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5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G:\.shortcut-targets-by-id\1g_obvkJl3clXkRWw_LpHMmn7Msj2d2vi\SOA 2021 Challenge\07_things_to_submit\"/>
    </mc:Choice>
  </mc:AlternateContent>
  <xr:revisionPtr revIDLastSave="0" documentId="13_ncr:1_{760EFCD3-B0A8-437A-98E1-2E2D3365AF1F}" xr6:coauthVersionLast="46" xr6:coauthVersionMax="46" xr10:uidLastSave="{00000000-0000-0000-0000-000000000000}"/>
  <bookViews>
    <workbookView xWindow="-120" yWindow="-120" windowWidth="29040" windowHeight="16440" firstSheet="6" activeTab="7" xr2:uid="{00000000-000D-0000-FFFF-FFFF00000000}"/>
  </bookViews>
  <sheets>
    <sheet name="Assumptions -&gt;" sheetId="1" r:id="rId1"/>
    <sheet name="Mortality" sheetId="2" r:id="rId2"/>
    <sheet name="Myopia Raw" sheetId="17" r:id="rId3"/>
    <sheet name="Myopia" sheetId="3" r:id="rId4"/>
    <sheet name="Myopia_(Reserve)" sheetId="20" r:id="rId5"/>
    <sheet name="Others" sheetId="4" r:id="rId6"/>
    <sheet name="Model -&gt;" sheetId="6" r:id="rId7"/>
    <sheet name="Parameters" sheetId="5" r:id="rId8"/>
    <sheet name="Pricing" sheetId="8" r:id="rId9"/>
    <sheet name="Reserve" sheetId="9" r:id="rId10"/>
    <sheet name="Plots" sheetId="10" r:id="rId11"/>
    <sheet name="Workings --&gt;" sheetId="14" r:id="rId12"/>
    <sheet name="Business Size" sheetId="21" r:id="rId13"/>
    <sheet name="Business Mix" sheetId="22" r:id="rId14"/>
    <sheet name="Business_Portfolio" sheetId="15" r:id="rId15"/>
    <sheet name="Business_Portfolio_Result" sheetId="16" r:id="rId16"/>
    <sheet name="Stoch_Test" sheetId="19" r:id="rId17"/>
    <sheet name="Rates --&gt;" sheetId="11" r:id="rId18"/>
    <sheet name="Rate_Table" sheetId="13" r:id="rId19"/>
  </sheets>
  <externalReferences>
    <externalReference r:id="rId20"/>
  </externalReferences>
  <definedNames>
    <definedName name="Ann_Prem" localSheetId="10">[1]Parameters!$C$27</definedName>
    <definedName name="Ann_Prem">Parameters!$C$27</definedName>
    <definedName name="Ben_Entry_Age">[1]Parameters!$C$11</definedName>
    <definedName name="Ben_Mort_Tbl">[1]Parameters!$C$14</definedName>
    <definedName name="Ben_Sex">[1]Parameters!$C$12</definedName>
    <definedName name="Div_Trend_Factor">[1]Parameters!$C$36</definedName>
    <definedName name="Div_Trend_Factor_Reserve">[1]Parameters!$C$37</definedName>
    <definedName name="Exp_Claim" localSheetId="10">[1]Parameters!$C$44</definedName>
    <definedName name="Exp_Claim">Parameters!$C$45</definedName>
    <definedName name="Exp_Comm" localSheetId="10">[1]Parameters!$C$41</definedName>
    <definedName name="Exp_Comm">Parameters!$C$42</definedName>
    <definedName name="Exp_Comm_Renew" localSheetId="10">[1]Parameters!$C$42</definedName>
    <definedName name="Exp_Comm_Renew">Parameters!$C$43</definedName>
    <definedName name="Exp_Init" localSheetId="10">[1]Parameters!$C$40</definedName>
    <definedName name="Exp_Init">Parameters!$C$41</definedName>
    <definedName name="Exp_Main" localSheetId="10">[1]Parameters!$C$43</definedName>
    <definedName name="Exp_Main">Parameters!$C$44</definedName>
    <definedName name="Exp_Main_Infl" localSheetId="10">[1]Parameters!$C$46</definedName>
    <definedName name="Exp_Main_Infl">Parameters!$C$47</definedName>
    <definedName name="Exp_Main_Infl_Reserve" localSheetId="10">[1]Parameters!$C$47</definedName>
    <definedName name="Exp_Main_Infl_Reserve">Parameters!$C$48</definedName>
    <definedName name="Hurdle" localSheetId="10">[1]Parameters!$K$2</definedName>
    <definedName name="Hurdle">Parameters!$K$2</definedName>
    <definedName name="Mat_Year" localSheetId="10">[1]Parameters!$C$24</definedName>
    <definedName name="Mat_Year">Parameters!$C$24</definedName>
    <definedName name="PAD_Divorce">[1]Parameters!$C$52</definedName>
    <definedName name="PAD_Exp_Claim" localSheetId="10">[1]Parameters!$C$56</definedName>
    <definedName name="PAD_Exp_Claim">Parameters!$C$57</definedName>
    <definedName name="PAD_Exp_Main" localSheetId="10">[1]Parameters!$C$55</definedName>
    <definedName name="PAD_Exp_Main">Parameters!$C$56</definedName>
    <definedName name="PAD_Incid">Parameters!$C$52</definedName>
    <definedName name="PAD_Laspe" localSheetId="10">[1]Parameters!$C$53</definedName>
    <definedName name="PAD_Laspe">Parameters!$C$54</definedName>
    <definedName name="PAD_Mort">Parameters!$C$51</definedName>
    <definedName name="PAD_Mort_Ben">[1]Parameters!$C$51</definedName>
    <definedName name="PAD_Mort_Pay">[1]Parameters!$C$50</definedName>
    <definedName name="PAD_Res_Divorce">[1]Parameters!$C$63</definedName>
    <definedName name="PAD_Res_Exp_Claim" localSheetId="10">[1]Parameters!$C$67</definedName>
    <definedName name="PAD_Res_Exp_Claim">Parameters!$C$68</definedName>
    <definedName name="PAD_Res_Exp_Main" localSheetId="10">[1]Parameters!$C$66</definedName>
    <definedName name="PAD_Res_Exp_Main">Parameters!$C$67</definedName>
    <definedName name="PAD_Res_Incid">Parameters!$C$63</definedName>
    <definedName name="PAD_Res_Laspe" localSheetId="10">[1]Parameters!$C$64</definedName>
    <definedName name="PAD_Res_Laspe">Parameters!$C$65</definedName>
    <definedName name="PAD_Res_Mort">Parameters!$C$62</definedName>
    <definedName name="PAD_Res_Mort_Ben">[1]Parameters!$C$62</definedName>
    <definedName name="PAD_Res_Mort_Pay">[1]Parameters!$C$61</definedName>
    <definedName name="Pay_Entry_Age">[1]Parameters!$C$5</definedName>
    <definedName name="Pay_Mort_Tbl">[1]Parameters!$C$8</definedName>
    <definedName name="Pay_Sex">[1]Parameters!$C$6</definedName>
    <definedName name="Pol_Country">Parameters!$C$9</definedName>
    <definedName name="Pol_Educated">Parameters!$C$8</definedName>
    <definedName name="Pol_Entry_Age">Parameters!$C$5</definedName>
    <definedName name="Pol_Inc_Tbl">Parameters!$C$11</definedName>
    <definedName name="Pol_Myopic">Parameters!$C$7</definedName>
    <definedName name="Pol_Sex">Parameters!$C$6</definedName>
    <definedName name="Prem_Lookup_Ind">Parameters!$C$17</definedName>
    <definedName name="Prem_Max_Year">[1]Parameters!$C$32</definedName>
    <definedName name="Prem_Mode" localSheetId="10">[1]Parameters!$C$29</definedName>
    <definedName name="Prem_Mode">Parameters!$C$30</definedName>
    <definedName name="Prem_Rate">Parameters!$C$25</definedName>
    <definedName name="Prem_Term" localSheetId="10">[1]Parameters!$C$30</definedName>
    <definedName name="Prem_Term">Parameters!$C$31</definedName>
    <definedName name="profit_mar_hurdle">Parameters!$K$17</definedName>
    <definedName name="Single_Prem">Parameters!$C$28</definedName>
    <definedName name="Sum_Assured" localSheetId="10">[1]Parameters!$C$26</definedName>
    <definedName name="Sum_Assured">Parameters!$C$26</definedName>
    <definedName name="Trend_Factor">Parameters!$C$37</definedName>
    <definedName name="Trend_Factor_Reserve">Parameters!$C$38</definedName>
    <definedName name="VBA_B_sex">[1]Rate_Table!$C$7</definedName>
    <definedName name="VBA_B_smk">[1]Rate_Table!$C$8</definedName>
    <definedName name="VBA_master_check">Parameters!$G$2</definedName>
    <definedName name="VBA_mat_year">[1]Rate_Table!$F$7</definedName>
    <definedName name="VBA_P_sex">[1]Rate_Table!$C$3</definedName>
    <definedName name="VBA_P_smk">[1]Rate_Table!$C$4</definedName>
    <definedName name="VBA_PM_Target">Parameters!$V$5</definedName>
    <definedName name="VBA_Prem_Input" localSheetId="10">[1]Parameters!$C$18</definedName>
    <definedName name="VBA_Prem_Input">Parameters!$C$18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4" l="1"/>
  <c r="C5" i="4"/>
  <c r="B6" i="4"/>
  <c r="B5" i="4"/>
  <c r="D34" i="22" l="1"/>
  <c r="Q37" i="22" l="1"/>
  <c r="Q2" i="22"/>
  <c r="C4" i="22"/>
  <c r="C3" i="22"/>
  <c r="D27" i="22"/>
  <c r="C27" i="22"/>
  <c r="D26" i="22"/>
  <c r="C26" i="22"/>
  <c r="C8" i="21"/>
  <c r="C26" i="5"/>
  <c r="E22" i="5"/>
  <c r="D29" i="22"/>
  <c r="D8" i="21" s="1"/>
  <c r="C29" i="22"/>
  <c r="D7" i="21"/>
  <c r="I60" i="4" l="1"/>
  <c r="H60" i="4"/>
  <c r="I59" i="4"/>
  <c r="H59" i="4"/>
  <c r="I58" i="4"/>
  <c r="H58" i="4"/>
  <c r="I57" i="4"/>
  <c r="H57" i="4"/>
  <c r="I56" i="4"/>
  <c r="H56" i="4"/>
  <c r="I55" i="4"/>
  <c r="H55" i="4"/>
  <c r="I54" i="4"/>
  <c r="H54" i="4"/>
  <c r="I53" i="4"/>
  <c r="H53" i="4"/>
  <c r="I52" i="4"/>
  <c r="H52" i="4"/>
  <c r="I51" i="4"/>
  <c r="H51" i="4"/>
  <c r="I50" i="4"/>
  <c r="H50" i="4"/>
  <c r="I49" i="4"/>
  <c r="H49" i="4"/>
  <c r="I48" i="4"/>
  <c r="H48" i="4"/>
  <c r="I47" i="4"/>
  <c r="H47" i="4"/>
  <c r="I46" i="4"/>
  <c r="H46" i="4"/>
  <c r="I45" i="4"/>
  <c r="H45" i="4"/>
  <c r="I44" i="4"/>
  <c r="H44" i="4"/>
  <c r="I43" i="4"/>
  <c r="H43" i="4"/>
  <c r="I42" i="4"/>
  <c r="H42" i="4"/>
  <c r="I41" i="4"/>
  <c r="H41" i="4"/>
  <c r="I40" i="4"/>
  <c r="H40" i="4"/>
  <c r="I39" i="4"/>
  <c r="H39" i="4"/>
  <c r="I38" i="4"/>
  <c r="H38" i="4"/>
  <c r="I37" i="4"/>
  <c r="H37" i="4"/>
  <c r="I36" i="4"/>
  <c r="H36" i="4"/>
  <c r="I35" i="4"/>
  <c r="H35" i="4"/>
  <c r="I34" i="4"/>
  <c r="H34" i="4"/>
  <c r="I33" i="4"/>
  <c r="H33" i="4"/>
  <c r="I32" i="4"/>
  <c r="H32" i="4"/>
  <c r="I31" i="4"/>
  <c r="H31" i="4"/>
  <c r="I30" i="4"/>
  <c r="H30" i="4"/>
  <c r="I29" i="4"/>
  <c r="H29" i="4"/>
  <c r="I28" i="4"/>
  <c r="H28" i="4"/>
  <c r="I27" i="4"/>
  <c r="H27" i="4"/>
  <c r="I26" i="4"/>
  <c r="H26" i="4"/>
  <c r="I25" i="4"/>
  <c r="H25" i="4"/>
  <c r="I24" i="4"/>
  <c r="H24" i="4"/>
  <c r="I23" i="4"/>
  <c r="H23" i="4"/>
  <c r="I22" i="4"/>
  <c r="H22" i="4"/>
  <c r="I21" i="4"/>
  <c r="H21" i="4"/>
  <c r="I20" i="4"/>
  <c r="H20" i="4"/>
  <c r="I19" i="4"/>
  <c r="H19" i="4"/>
  <c r="I18" i="4"/>
  <c r="H18" i="4"/>
  <c r="I17" i="4"/>
  <c r="H17" i="4"/>
  <c r="I16" i="4"/>
  <c r="H16" i="4"/>
  <c r="I15" i="4"/>
  <c r="H15" i="4"/>
  <c r="I14" i="4"/>
  <c r="H14" i="4"/>
  <c r="I13" i="4"/>
  <c r="H13" i="4"/>
  <c r="I12" i="4"/>
  <c r="H12" i="4"/>
  <c r="I11" i="4"/>
  <c r="H11" i="4"/>
  <c r="BT317" i="9"/>
  <c r="B6" i="8" l="1"/>
  <c r="C7" i="8" s="1"/>
  <c r="B7" i="8" l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B68" i="8" s="1"/>
  <c r="B69" i="8" s="1"/>
  <c r="B70" i="8" s="1"/>
  <c r="B71" i="8" s="1"/>
  <c r="B72" i="8" s="1"/>
  <c r="B73" i="8" s="1"/>
  <c r="B74" i="8" s="1"/>
  <c r="B75" i="8" s="1"/>
  <c r="B76" i="8" s="1"/>
  <c r="B77" i="8" s="1"/>
  <c r="B78" i="8" s="1"/>
  <c r="B79" i="8" s="1"/>
  <c r="B80" i="8" s="1"/>
  <c r="B81" i="8" s="1"/>
  <c r="B82" i="8" s="1"/>
  <c r="B83" i="8" s="1"/>
  <c r="B84" i="8" s="1"/>
  <c r="B85" i="8" s="1"/>
  <c r="B86" i="8" s="1"/>
  <c r="B87" i="8" s="1"/>
  <c r="B88" i="8" s="1"/>
  <c r="B89" i="8" s="1"/>
  <c r="B90" i="8" s="1"/>
  <c r="B91" i="8" s="1"/>
  <c r="B92" i="8" s="1"/>
  <c r="B93" i="8" s="1"/>
  <c r="B94" i="8" s="1"/>
  <c r="B95" i="8" s="1"/>
  <c r="B96" i="8" s="1"/>
  <c r="B97" i="8" s="1"/>
  <c r="B98" i="8" s="1"/>
  <c r="B99" i="8" s="1"/>
  <c r="B100" i="8" s="1"/>
  <c r="B101" i="8" s="1"/>
  <c r="B102" i="8" s="1"/>
  <c r="B103" i="8" s="1"/>
  <c r="B104" i="8" s="1"/>
  <c r="B105" i="8" s="1"/>
  <c r="B106" i="8" s="1"/>
  <c r="B107" i="8" s="1"/>
  <c r="B108" i="8" s="1"/>
  <c r="B109" i="8" s="1"/>
  <c r="B110" i="8" s="1"/>
  <c r="B111" i="8" s="1"/>
  <c r="B112" i="8" s="1"/>
  <c r="B113" i="8" s="1"/>
  <c r="B114" i="8" s="1"/>
  <c r="B115" i="8" s="1"/>
  <c r="B116" i="8" s="1"/>
  <c r="B117" i="8" s="1"/>
  <c r="B118" i="8" s="1"/>
  <c r="B119" i="8" s="1"/>
  <c r="B120" i="8" s="1"/>
  <c r="B121" i="8" s="1"/>
  <c r="B122" i="8" s="1"/>
  <c r="B123" i="8" s="1"/>
  <c r="B124" i="8" s="1"/>
  <c r="B125" i="8" s="1"/>
  <c r="B126" i="8" s="1"/>
  <c r="B127" i="8" s="1"/>
  <c r="B128" i="8" s="1"/>
  <c r="B129" i="8" s="1"/>
  <c r="B130" i="8" s="1"/>
  <c r="B131" i="8" s="1"/>
  <c r="B132" i="8" s="1"/>
  <c r="B133" i="8" s="1"/>
  <c r="B134" i="8" s="1"/>
  <c r="B135" i="8" s="1"/>
  <c r="B136" i="8" s="1"/>
  <c r="B137" i="8" s="1"/>
  <c r="B138" i="8" s="1"/>
  <c r="B139" i="8" s="1"/>
  <c r="B140" i="8" s="1"/>
  <c r="B141" i="8" s="1"/>
  <c r="B142" i="8" s="1"/>
  <c r="B143" i="8" s="1"/>
  <c r="B144" i="8" s="1"/>
  <c r="B145" i="8" s="1"/>
  <c r="B146" i="8" s="1"/>
  <c r="B147" i="8" s="1"/>
  <c r="B148" i="8" s="1"/>
  <c r="B149" i="8" s="1"/>
  <c r="B150" i="8" s="1"/>
  <c r="B151" i="8" s="1"/>
  <c r="B152" i="8" s="1"/>
  <c r="B153" i="8" s="1"/>
  <c r="B154" i="8" s="1"/>
  <c r="B155" i="8" s="1"/>
  <c r="B156" i="8" s="1"/>
  <c r="B157" i="8" s="1"/>
  <c r="B158" i="8" s="1"/>
  <c r="B159" i="8" s="1"/>
  <c r="B160" i="8" s="1"/>
  <c r="B161" i="8" s="1"/>
  <c r="B162" i="8" s="1"/>
  <c r="B163" i="8" s="1"/>
  <c r="B164" i="8" s="1"/>
  <c r="B165" i="8" s="1"/>
  <c r="B166" i="8" s="1"/>
  <c r="B167" i="8" s="1"/>
  <c r="B168" i="8" s="1"/>
  <c r="B169" i="8" s="1"/>
  <c r="B170" i="8" s="1"/>
  <c r="B171" i="8" s="1"/>
  <c r="B172" i="8" s="1"/>
  <c r="B173" i="8" s="1"/>
  <c r="B174" i="8" s="1"/>
  <c r="B175" i="8" s="1"/>
  <c r="B176" i="8" s="1"/>
  <c r="B177" i="8" s="1"/>
  <c r="B178" i="8" s="1"/>
  <c r="B179" i="8" s="1"/>
  <c r="B180" i="8" s="1"/>
  <c r="B181" i="8" s="1"/>
  <c r="B182" i="8" s="1"/>
  <c r="B183" i="8" s="1"/>
  <c r="B184" i="8" s="1"/>
  <c r="B185" i="8" s="1"/>
  <c r="B186" i="8" s="1"/>
  <c r="B187" i="8" s="1"/>
  <c r="B188" i="8" s="1"/>
  <c r="B189" i="8" s="1"/>
  <c r="B190" i="8" s="1"/>
  <c r="B191" i="8" s="1"/>
  <c r="B192" i="8" s="1"/>
  <c r="B193" i="8" s="1"/>
  <c r="B194" i="8" s="1"/>
  <c r="B195" i="8" s="1"/>
  <c r="B196" i="8" s="1"/>
  <c r="B197" i="8" s="1"/>
  <c r="B198" i="8" s="1"/>
  <c r="B199" i="8" s="1"/>
  <c r="B200" i="8" s="1"/>
  <c r="B201" i="8" s="1"/>
  <c r="B202" i="8" s="1"/>
  <c r="B203" i="8" s="1"/>
  <c r="B204" i="8" s="1"/>
  <c r="B205" i="8" s="1"/>
  <c r="B206" i="8" s="1"/>
  <c r="B207" i="8" s="1"/>
  <c r="B208" i="8" s="1"/>
  <c r="B209" i="8" s="1"/>
  <c r="B210" i="8" s="1"/>
  <c r="B211" i="8" s="1"/>
  <c r="B212" i="8" s="1"/>
  <c r="B213" i="8" s="1"/>
  <c r="B214" i="8" s="1"/>
  <c r="B215" i="8" s="1"/>
  <c r="B216" i="8" s="1"/>
  <c r="B217" i="8" s="1"/>
  <c r="B218" i="8" s="1"/>
  <c r="B219" i="8" s="1"/>
  <c r="B220" i="8" s="1"/>
  <c r="B221" i="8" s="1"/>
  <c r="B222" i="8" s="1"/>
  <c r="B223" i="8" s="1"/>
  <c r="B224" i="8" s="1"/>
  <c r="B225" i="8" s="1"/>
  <c r="B226" i="8" s="1"/>
  <c r="B227" i="8" s="1"/>
  <c r="B228" i="8" s="1"/>
  <c r="B229" i="8" s="1"/>
  <c r="B230" i="8" s="1"/>
  <c r="B231" i="8" s="1"/>
  <c r="B232" i="8" s="1"/>
  <c r="B233" i="8" s="1"/>
  <c r="B234" i="8" s="1"/>
  <c r="B235" i="8" s="1"/>
  <c r="B236" i="8" s="1"/>
  <c r="B237" i="8" s="1"/>
  <c r="B238" i="8" s="1"/>
  <c r="B239" i="8" s="1"/>
  <c r="B240" i="8" s="1"/>
  <c r="B241" i="8" s="1"/>
  <c r="B242" i="8" s="1"/>
  <c r="B243" i="8" s="1"/>
  <c r="B244" i="8" s="1"/>
  <c r="B245" i="8" s="1"/>
  <c r="B246" i="8" s="1"/>
  <c r="B247" i="8" s="1"/>
  <c r="B248" i="8" s="1"/>
  <c r="B249" i="8" s="1"/>
  <c r="B250" i="8" s="1"/>
  <c r="B251" i="8" s="1"/>
  <c r="B252" i="8" s="1"/>
  <c r="B253" i="8" s="1"/>
  <c r="B254" i="8" s="1"/>
  <c r="B255" i="8" s="1"/>
  <c r="B256" i="8" s="1"/>
  <c r="B257" i="8" s="1"/>
  <c r="B258" i="8" s="1"/>
  <c r="B259" i="8" s="1"/>
  <c r="B260" i="8" s="1"/>
  <c r="B261" i="8" s="1"/>
  <c r="B262" i="8" s="1"/>
  <c r="B263" i="8" s="1"/>
  <c r="B264" i="8" s="1"/>
  <c r="B265" i="8" s="1"/>
  <c r="B266" i="8" s="1"/>
  <c r="B267" i="8" s="1"/>
  <c r="B268" i="8" s="1"/>
  <c r="B269" i="8" s="1"/>
  <c r="B270" i="8" s="1"/>
  <c r="B271" i="8" s="1"/>
  <c r="B272" i="8" s="1"/>
  <c r="B273" i="8" s="1"/>
  <c r="B274" i="8" s="1"/>
  <c r="B275" i="8" s="1"/>
  <c r="B276" i="8" s="1"/>
  <c r="B277" i="8" s="1"/>
  <c r="B278" i="8" s="1"/>
  <c r="B279" i="8" s="1"/>
  <c r="B280" i="8" s="1"/>
  <c r="B281" i="8" s="1"/>
  <c r="B282" i="8" s="1"/>
  <c r="B283" i="8" s="1"/>
  <c r="B284" i="8" s="1"/>
  <c r="B285" i="8" s="1"/>
  <c r="B286" i="8" s="1"/>
  <c r="B287" i="8" s="1"/>
  <c r="B288" i="8" s="1"/>
  <c r="B289" i="8" s="1"/>
  <c r="B290" i="8" s="1"/>
  <c r="B291" i="8" s="1"/>
  <c r="B292" i="8" s="1"/>
  <c r="B293" i="8" s="1"/>
  <c r="B294" i="8" s="1"/>
  <c r="B295" i="8" s="1"/>
  <c r="B296" i="8" s="1"/>
  <c r="B297" i="8" s="1"/>
  <c r="B298" i="8" s="1"/>
  <c r="B299" i="8" s="1"/>
  <c r="B300" i="8" s="1"/>
  <c r="B301" i="8" s="1"/>
  <c r="B302" i="8" s="1"/>
  <c r="B303" i="8" s="1"/>
  <c r="B304" i="8" s="1"/>
  <c r="B305" i="8" s="1"/>
  <c r="B306" i="8" s="1"/>
  <c r="B307" i="8" s="1"/>
  <c r="B308" i="8" s="1"/>
  <c r="B309" i="8" s="1"/>
  <c r="B310" i="8" s="1"/>
  <c r="B311" i="8" s="1"/>
  <c r="B312" i="8" s="1"/>
  <c r="B313" i="8" s="1"/>
  <c r="B314" i="8" s="1"/>
  <c r="B315" i="8" s="1"/>
  <c r="B316" i="8" s="1"/>
  <c r="B317" i="8" s="1"/>
  <c r="C8" i="8"/>
  <c r="R8" i="19"/>
  <c r="Q8" i="19"/>
  <c r="R7" i="19"/>
  <c r="Q7" i="19"/>
  <c r="P8" i="19"/>
  <c r="P7" i="19"/>
  <c r="R6" i="19"/>
  <c r="Q6" i="19"/>
  <c r="P6" i="19"/>
  <c r="P5" i="19"/>
  <c r="Q5" i="19"/>
  <c r="R5" i="19"/>
  <c r="O37" i="22"/>
  <c r="N37" i="22"/>
  <c r="M37" i="22"/>
  <c r="L37" i="22"/>
  <c r="O36" i="22"/>
  <c r="N36" i="22"/>
  <c r="M36" i="22"/>
  <c r="L36" i="22"/>
  <c r="O35" i="22"/>
  <c r="N35" i="22"/>
  <c r="M35" i="22"/>
  <c r="L35" i="22"/>
  <c r="O34" i="22"/>
  <c r="N34" i="22"/>
  <c r="M34" i="22"/>
  <c r="L34" i="22"/>
  <c r="O33" i="22"/>
  <c r="N33" i="22"/>
  <c r="M33" i="22"/>
  <c r="L33" i="22"/>
  <c r="O32" i="22"/>
  <c r="N32" i="22"/>
  <c r="M32" i="22"/>
  <c r="L32" i="22"/>
  <c r="O31" i="22"/>
  <c r="N31" i="22"/>
  <c r="M31" i="22"/>
  <c r="L31" i="22"/>
  <c r="O30" i="22"/>
  <c r="N30" i="22"/>
  <c r="M30" i="22"/>
  <c r="L30" i="22"/>
  <c r="O29" i="22"/>
  <c r="N29" i="22"/>
  <c r="M29" i="22"/>
  <c r="L29" i="22"/>
  <c r="D30" i="22"/>
  <c r="C30" i="22"/>
  <c r="O28" i="22"/>
  <c r="N28" i="22"/>
  <c r="M28" i="22"/>
  <c r="L28" i="22"/>
  <c r="O27" i="22"/>
  <c r="N27" i="22"/>
  <c r="M27" i="22"/>
  <c r="L27" i="22"/>
  <c r="O26" i="22"/>
  <c r="N26" i="22"/>
  <c r="M26" i="22"/>
  <c r="L26" i="22"/>
  <c r="O25" i="22"/>
  <c r="N25" i="22"/>
  <c r="M25" i="22"/>
  <c r="L25" i="22"/>
  <c r="O24" i="22"/>
  <c r="N24" i="22"/>
  <c r="M24" i="22"/>
  <c r="L24" i="22"/>
  <c r="O23" i="22"/>
  <c r="N23" i="22"/>
  <c r="M23" i="22"/>
  <c r="L23" i="22"/>
  <c r="O22" i="22"/>
  <c r="N22" i="22"/>
  <c r="M22" i="22"/>
  <c r="L22" i="22"/>
  <c r="O21" i="22"/>
  <c r="N21" i="22"/>
  <c r="M21" i="22"/>
  <c r="L21" i="22"/>
  <c r="O20" i="22"/>
  <c r="N20" i="22"/>
  <c r="M20" i="22"/>
  <c r="L20" i="22"/>
  <c r="O19" i="22"/>
  <c r="N19" i="22"/>
  <c r="M19" i="22"/>
  <c r="L19" i="22"/>
  <c r="O18" i="22"/>
  <c r="N18" i="22"/>
  <c r="M18" i="22"/>
  <c r="L18" i="22"/>
  <c r="O17" i="22"/>
  <c r="N17" i="22"/>
  <c r="M17" i="22"/>
  <c r="L17" i="22"/>
  <c r="O16" i="22"/>
  <c r="N16" i="22"/>
  <c r="M16" i="22"/>
  <c r="L16" i="22"/>
  <c r="O15" i="22"/>
  <c r="N15" i="22"/>
  <c r="M15" i="22"/>
  <c r="L15" i="22"/>
  <c r="O14" i="22"/>
  <c r="N14" i="22"/>
  <c r="M14" i="22"/>
  <c r="L14" i="22"/>
  <c r="O13" i="22"/>
  <c r="N13" i="22"/>
  <c r="M13" i="22"/>
  <c r="L13" i="22"/>
  <c r="O12" i="22"/>
  <c r="N12" i="22"/>
  <c r="M12" i="22"/>
  <c r="L12" i="22"/>
  <c r="O11" i="22"/>
  <c r="N11" i="22"/>
  <c r="M11" i="22"/>
  <c r="L11" i="22"/>
  <c r="O10" i="22"/>
  <c r="N10" i="22"/>
  <c r="M10" i="22"/>
  <c r="L10" i="22"/>
  <c r="O9" i="22"/>
  <c r="N9" i="22"/>
  <c r="M9" i="22"/>
  <c r="L9" i="22"/>
  <c r="O8" i="22"/>
  <c r="N8" i="22"/>
  <c r="M8" i="22"/>
  <c r="L8" i="22"/>
  <c r="O7" i="22"/>
  <c r="N7" i="22"/>
  <c r="M7" i="22"/>
  <c r="L7" i="22"/>
  <c r="O6" i="22"/>
  <c r="N6" i="22"/>
  <c r="M6" i="22"/>
  <c r="L6" i="22"/>
  <c r="O5" i="22"/>
  <c r="N5" i="22"/>
  <c r="M5" i="22"/>
  <c r="L5" i="22"/>
  <c r="O4" i="22"/>
  <c r="N4" i="22"/>
  <c r="M4" i="22"/>
  <c r="L4" i="22"/>
  <c r="O3" i="22"/>
  <c r="N3" i="22"/>
  <c r="M3" i="22"/>
  <c r="L3" i="22"/>
  <c r="O2" i="22"/>
  <c r="N2" i="22"/>
  <c r="M2" i="22"/>
  <c r="L2" i="22"/>
  <c r="P4" i="21"/>
  <c r="Q4" i="21"/>
  <c r="P5" i="21"/>
  <c r="Q5" i="21"/>
  <c r="P6" i="21"/>
  <c r="Q6" i="21"/>
  <c r="P7" i="21"/>
  <c r="Q7" i="21"/>
  <c r="P8" i="21"/>
  <c r="Q8" i="21"/>
  <c r="P9" i="21"/>
  <c r="Q9" i="21"/>
  <c r="P10" i="21"/>
  <c r="Q10" i="21"/>
  <c r="P11" i="21"/>
  <c r="Q11" i="21"/>
  <c r="P12" i="21"/>
  <c r="Q12" i="21"/>
  <c r="P13" i="21"/>
  <c r="Q13" i="21"/>
  <c r="P14" i="21"/>
  <c r="Q14" i="21"/>
  <c r="P15" i="21"/>
  <c r="Q15" i="21"/>
  <c r="Q3" i="21"/>
  <c r="P3" i="21"/>
  <c r="N4" i="21"/>
  <c r="O4" i="21"/>
  <c r="N5" i="21"/>
  <c r="O5" i="21"/>
  <c r="N6" i="21"/>
  <c r="O6" i="21"/>
  <c r="N7" i="21"/>
  <c r="O7" i="21"/>
  <c r="N8" i="21"/>
  <c r="O8" i="21"/>
  <c r="N9" i="21"/>
  <c r="O9" i="21"/>
  <c r="N10" i="21"/>
  <c r="O10" i="21"/>
  <c r="N11" i="21"/>
  <c r="O11" i="21"/>
  <c r="N12" i="21"/>
  <c r="O12" i="21"/>
  <c r="N13" i="21"/>
  <c r="O13" i="21"/>
  <c r="N14" i="21"/>
  <c r="O14" i="21"/>
  <c r="N15" i="21"/>
  <c r="O15" i="21"/>
  <c r="O3" i="21"/>
  <c r="N3" i="21"/>
  <c r="J11" i="21"/>
  <c r="K11" i="21"/>
  <c r="J12" i="21"/>
  <c r="K12" i="21"/>
  <c r="J13" i="21"/>
  <c r="K13" i="21"/>
  <c r="J14" i="21"/>
  <c r="K14" i="21"/>
  <c r="J15" i="21"/>
  <c r="K15" i="21"/>
  <c r="K10" i="21"/>
  <c r="J10" i="21"/>
  <c r="K9" i="21"/>
  <c r="J9" i="21"/>
  <c r="K8" i="21"/>
  <c r="J8" i="21"/>
  <c r="K7" i="21"/>
  <c r="J7" i="21"/>
  <c r="K6" i="21"/>
  <c r="J6" i="21"/>
  <c r="K5" i="21"/>
  <c r="J5" i="21"/>
  <c r="K4" i="21"/>
  <c r="J4" i="21"/>
  <c r="K3" i="21"/>
  <c r="M3" i="21" s="1"/>
  <c r="J3" i="21"/>
  <c r="L3" i="21" s="1"/>
  <c r="H4" i="21"/>
  <c r="H5" i="21" s="1"/>
  <c r="H6" i="21" s="1"/>
  <c r="H7" i="21" s="1"/>
  <c r="H8" i="21" s="1"/>
  <c r="H9" i="21" s="1"/>
  <c r="H10" i="21" s="1"/>
  <c r="H11" i="21" s="1"/>
  <c r="H12" i="21" s="1"/>
  <c r="H13" i="21" s="1"/>
  <c r="H14" i="21" s="1"/>
  <c r="H15" i="21" s="1"/>
  <c r="L15" i="21" s="1"/>
  <c r="I4" i="21"/>
  <c r="I5" i="21" s="1"/>
  <c r="T3" i="21" l="1"/>
  <c r="R15" i="21"/>
  <c r="L6" i="21"/>
  <c r="R6" i="21" s="1"/>
  <c r="L9" i="21"/>
  <c r="T9" i="21" s="1"/>
  <c r="T22" i="21" s="1"/>
  <c r="R3" i="21"/>
  <c r="S3" i="21"/>
  <c r="R13" i="21"/>
  <c r="R10" i="21"/>
  <c r="C9" i="8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C24" i="8" s="1"/>
  <c r="C25" i="8" s="1"/>
  <c r="C26" i="8" s="1"/>
  <c r="C27" i="8" s="1"/>
  <c r="C28" i="8" s="1"/>
  <c r="C29" i="8" s="1"/>
  <c r="C30" i="8" s="1"/>
  <c r="C31" i="8" s="1"/>
  <c r="C32" i="8" s="1"/>
  <c r="C33" i="8" s="1"/>
  <c r="C34" i="8" s="1"/>
  <c r="C35" i="8" s="1"/>
  <c r="C36" i="8" s="1"/>
  <c r="C37" i="8" s="1"/>
  <c r="C38" i="8" s="1"/>
  <c r="C39" i="8" s="1"/>
  <c r="C40" i="8" s="1"/>
  <c r="C41" i="8" s="1"/>
  <c r="C42" i="8" s="1"/>
  <c r="C43" i="8" s="1"/>
  <c r="C44" i="8" s="1"/>
  <c r="C45" i="8" s="1"/>
  <c r="C46" i="8" s="1"/>
  <c r="C47" i="8" s="1"/>
  <c r="C48" i="8" s="1"/>
  <c r="C49" i="8" s="1"/>
  <c r="C50" i="8" s="1"/>
  <c r="C51" i="8" s="1"/>
  <c r="C52" i="8" s="1"/>
  <c r="C53" i="8" s="1"/>
  <c r="C54" i="8" s="1"/>
  <c r="C55" i="8" s="1"/>
  <c r="C56" i="8" s="1"/>
  <c r="C57" i="8" s="1"/>
  <c r="C58" i="8" s="1"/>
  <c r="C59" i="8" s="1"/>
  <c r="C60" i="8" s="1"/>
  <c r="C61" i="8" s="1"/>
  <c r="C62" i="8" s="1"/>
  <c r="C63" i="8" s="1"/>
  <c r="C64" i="8" s="1"/>
  <c r="C65" i="8" s="1"/>
  <c r="C66" i="8" s="1"/>
  <c r="C67" i="8" s="1"/>
  <c r="C68" i="8" s="1"/>
  <c r="C69" i="8" s="1"/>
  <c r="C70" i="8" s="1"/>
  <c r="C71" i="8" s="1"/>
  <c r="C72" i="8" s="1"/>
  <c r="C73" i="8" s="1"/>
  <c r="C74" i="8" s="1"/>
  <c r="C75" i="8" s="1"/>
  <c r="C76" i="8" s="1"/>
  <c r="C77" i="8" s="1"/>
  <c r="C78" i="8" s="1"/>
  <c r="C79" i="8" s="1"/>
  <c r="C80" i="8" s="1"/>
  <c r="C81" i="8" s="1"/>
  <c r="C82" i="8" s="1"/>
  <c r="C83" i="8" s="1"/>
  <c r="C84" i="8" s="1"/>
  <c r="C85" i="8" s="1"/>
  <c r="C86" i="8" s="1"/>
  <c r="C87" i="8" s="1"/>
  <c r="C88" i="8" s="1"/>
  <c r="C89" i="8" s="1"/>
  <c r="C90" i="8" s="1"/>
  <c r="C91" i="8" s="1"/>
  <c r="C92" i="8" s="1"/>
  <c r="C93" i="8" s="1"/>
  <c r="C94" i="8" s="1"/>
  <c r="C95" i="8" s="1"/>
  <c r="C96" i="8" s="1"/>
  <c r="C97" i="8" s="1"/>
  <c r="C98" i="8" s="1"/>
  <c r="C99" i="8" s="1"/>
  <c r="C100" i="8" s="1"/>
  <c r="C101" i="8" s="1"/>
  <c r="C102" i="8" s="1"/>
  <c r="C103" i="8" s="1"/>
  <c r="C104" i="8" s="1"/>
  <c r="C105" i="8" s="1"/>
  <c r="C106" i="8" s="1"/>
  <c r="C107" i="8" s="1"/>
  <c r="C108" i="8" s="1"/>
  <c r="C109" i="8" s="1"/>
  <c r="C110" i="8" s="1"/>
  <c r="C111" i="8" s="1"/>
  <c r="C112" i="8" s="1"/>
  <c r="C113" i="8" s="1"/>
  <c r="C114" i="8" s="1"/>
  <c r="C115" i="8" s="1"/>
  <c r="C116" i="8" s="1"/>
  <c r="C117" i="8" s="1"/>
  <c r="C118" i="8" s="1"/>
  <c r="C119" i="8" s="1"/>
  <c r="C120" i="8" s="1"/>
  <c r="C121" i="8" s="1"/>
  <c r="C122" i="8" s="1"/>
  <c r="C123" i="8" s="1"/>
  <c r="C124" i="8" s="1"/>
  <c r="C125" i="8" s="1"/>
  <c r="C126" i="8" s="1"/>
  <c r="C127" i="8" s="1"/>
  <c r="C128" i="8" s="1"/>
  <c r="C129" i="8" s="1"/>
  <c r="C130" i="8" s="1"/>
  <c r="C131" i="8" s="1"/>
  <c r="C132" i="8" s="1"/>
  <c r="C133" i="8" s="1"/>
  <c r="C134" i="8" s="1"/>
  <c r="C135" i="8" s="1"/>
  <c r="C136" i="8" s="1"/>
  <c r="C137" i="8" s="1"/>
  <c r="C138" i="8" s="1"/>
  <c r="C139" i="8" s="1"/>
  <c r="C140" i="8" s="1"/>
  <c r="C141" i="8" s="1"/>
  <c r="C142" i="8" s="1"/>
  <c r="C143" i="8" s="1"/>
  <c r="C144" i="8" s="1"/>
  <c r="C145" i="8" s="1"/>
  <c r="C146" i="8" s="1"/>
  <c r="C147" i="8" s="1"/>
  <c r="C148" i="8" s="1"/>
  <c r="C149" i="8" s="1"/>
  <c r="C150" i="8" s="1"/>
  <c r="C151" i="8" s="1"/>
  <c r="C152" i="8" s="1"/>
  <c r="C153" i="8" s="1"/>
  <c r="C154" i="8" s="1"/>
  <c r="C155" i="8" s="1"/>
  <c r="C156" i="8" s="1"/>
  <c r="C157" i="8" s="1"/>
  <c r="C158" i="8" s="1"/>
  <c r="C159" i="8" s="1"/>
  <c r="C160" i="8" s="1"/>
  <c r="C161" i="8" s="1"/>
  <c r="C162" i="8" s="1"/>
  <c r="C163" i="8" s="1"/>
  <c r="C164" i="8" s="1"/>
  <c r="C165" i="8" s="1"/>
  <c r="C166" i="8" s="1"/>
  <c r="C167" i="8" s="1"/>
  <c r="C168" i="8" s="1"/>
  <c r="C169" i="8" s="1"/>
  <c r="C170" i="8" s="1"/>
  <c r="C171" i="8" s="1"/>
  <c r="C172" i="8" s="1"/>
  <c r="C173" i="8" s="1"/>
  <c r="C174" i="8" s="1"/>
  <c r="C175" i="8" s="1"/>
  <c r="C176" i="8" s="1"/>
  <c r="C177" i="8" s="1"/>
  <c r="C178" i="8" s="1"/>
  <c r="C179" i="8" s="1"/>
  <c r="C180" i="8" s="1"/>
  <c r="C181" i="8" s="1"/>
  <c r="C182" i="8" s="1"/>
  <c r="C183" i="8" s="1"/>
  <c r="C184" i="8" s="1"/>
  <c r="C185" i="8" s="1"/>
  <c r="C186" i="8" s="1"/>
  <c r="C187" i="8" s="1"/>
  <c r="C188" i="8" s="1"/>
  <c r="C189" i="8" s="1"/>
  <c r="C190" i="8" s="1"/>
  <c r="C191" i="8" s="1"/>
  <c r="C192" i="8" s="1"/>
  <c r="C193" i="8" s="1"/>
  <c r="C194" i="8" s="1"/>
  <c r="C195" i="8" s="1"/>
  <c r="C196" i="8" s="1"/>
  <c r="C197" i="8" s="1"/>
  <c r="C198" i="8" s="1"/>
  <c r="C199" i="8" s="1"/>
  <c r="C200" i="8" s="1"/>
  <c r="C201" i="8" s="1"/>
  <c r="C202" i="8" s="1"/>
  <c r="C203" i="8" s="1"/>
  <c r="C204" i="8" s="1"/>
  <c r="C205" i="8" s="1"/>
  <c r="C206" i="8" s="1"/>
  <c r="C207" i="8" s="1"/>
  <c r="C208" i="8" s="1"/>
  <c r="C209" i="8" s="1"/>
  <c r="C210" i="8" s="1"/>
  <c r="C211" i="8" s="1"/>
  <c r="C212" i="8" s="1"/>
  <c r="C213" i="8" s="1"/>
  <c r="C214" i="8" s="1"/>
  <c r="C215" i="8" s="1"/>
  <c r="C216" i="8" s="1"/>
  <c r="C217" i="8" s="1"/>
  <c r="C218" i="8" s="1"/>
  <c r="C219" i="8" s="1"/>
  <c r="C220" i="8" s="1"/>
  <c r="C221" i="8" s="1"/>
  <c r="C222" i="8" s="1"/>
  <c r="C223" i="8" s="1"/>
  <c r="C224" i="8" s="1"/>
  <c r="C225" i="8" s="1"/>
  <c r="C226" i="8" s="1"/>
  <c r="C227" i="8" s="1"/>
  <c r="C228" i="8" s="1"/>
  <c r="C229" i="8" s="1"/>
  <c r="C230" i="8" s="1"/>
  <c r="C231" i="8" s="1"/>
  <c r="C232" i="8" s="1"/>
  <c r="C233" i="8" s="1"/>
  <c r="C234" i="8" s="1"/>
  <c r="C235" i="8" s="1"/>
  <c r="C236" i="8" s="1"/>
  <c r="C237" i="8" s="1"/>
  <c r="C238" i="8" s="1"/>
  <c r="C239" i="8" s="1"/>
  <c r="C240" i="8" s="1"/>
  <c r="C241" i="8" s="1"/>
  <c r="C242" i="8" s="1"/>
  <c r="C243" i="8" s="1"/>
  <c r="C244" i="8" s="1"/>
  <c r="C245" i="8" s="1"/>
  <c r="C246" i="8" s="1"/>
  <c r="C247" i="8" s="1"/>
  <c r="C248" i="8" s="1"/>
  <c r="C249" i="8" s="1"/>
  <c r="C250" i="8" s="1"/>
  <c r="C251" i="8" s="1"/>
  <c r="C252" i="8" s="1"/>
  <c r="C253" i="8" s="1"/>
  <c r="C254" i="8" s="1"/>
  <c r="C255" i="8" s="1"/>
  <c r="C256" i="8" s="1"/>
  <c r="C257" i="8" s="1"/>
  <c r="C258" i="8" s="1"/>
  <c r="C259" i="8" s="1"/>
  <c r="C260" i="8" s="1"/>
  <c r="C261" i="8" s="1"/>
  <c r="C262" i="8" s="1"/>
  <c r="C263" i="8" s="1"/>
  <c r="C264" i="8" s="1"/>
  <c r="C265" i="8" s="1"/>
  <c r="C266" i="8" s="1"/>
  <c r="C267" i="8" s="1"/>
  <c r="C268" i="8" s="1"/>
  <c r="C269" i="8" s="1"/>
  <c r="C270" i="8" s="1"/>
  <c r="C271" i="8" s="1"/>
  <c r="C272" i="8" s="1"/>
  <c r="C273" i="8" s="1"/>
  <c r="C274" i="8" s="1"/>
  <c r="C275" i="8" s="1"/>
  <c r="C276" i="8" s="1"/>
  <c r="C277" i="8" s="1"/>
  <c r="C278" i="8" s="1"/>
  <c r="C279" i="8" s="1"/>
  <c r="C280" i="8" s="1"/>
  <c r="C281" i="8" s="1"/>
  <c r="C282" i="8" s="1"/>
  <c r="C283" i="8" s="1"/>
  <c r="C284" i="8" s="1"/>
  <c r="C285" i="8" s="1"/>
  <c r="C286" i="8" s="1"/>
  <c r="C287" i="8" s="1"/>
  <c r="C288" i="8" s="1"/>
  <c r="C289" i="8" s="1"/>
  <c r="C290" i="8" s="1"/>
  <c r="C291" i="8" s="1"/>
  <c r="C292" i="8" s="1"/>
  <c r="C293" i="8" s="1"/>
  <c r="C294" i="8" s="1"/>
  <c r="C295" i="8" s="1"/>
  <c r="C296" i="8" s="1"/>
  <c r="C297" i="8" s="1"/>
  <c r="C298" i="8" s="1"/>
  <c r="C299" i="8" s="1"/>
  <c r="C300" i="8" s="1"/>
  <c r="C301" i="8" s="1"/>
  <c r="C302" i="8" s="1"/>
  <c r="C303" i="8" s="1"/>
  <c r="C304" i="8" s="1"/>
  <c r="C305" i="8" s="1"/>
  <c r="C306" i="8" s="1"/>
  <c r="C307" i="8" s="1"/>
  <c r="C308" i="8" s="1"/>
  <c r="C309" i="8" s="1"/>
  <c r="C310" i="8" s="1"/>
  <c r="C311" i="8" s="1"/>
  <c r="C312" i="8" s="1"/>
  <c r="C313" i="8" s="1"/>
  <c r="C314" i="8" s="1"/>
  <c r="C315" i="8" s="1"/>
  <c r="C316" i="8" s="1"/>
  <c r="C317" i="8" s="1"/>
  <c r="T15" i="21"/>
  <c r="T28" i="21" s="1"/>
  <c r="I6" i="21"/>
  <c r="M5" i="21"/>
  <c r="S5" i="21" s="1"/>
  <c r="U5" i="21"/>
  <c r="U18" i="21" s="1"/>
  <c r="U3" i="21"/>
  <c r="T6" i="21"/>
  <c r="T19" i="21" s="1"/>
  <c r="L12" i="21"/>
  <c r="T12" i="21" s="1"/>
  <c r="T25" i="21" s="1"/>
  <c r="L14" i="21"/>
  <c r="T14" i="21" s="1"/>
  <c r="T27" i="21" s="1"/>
  <c r="L11" i="21"/>
  <c r="T11" i="21" s="1"/>
  <c r="T24" i="21" s="1"/>
  <c r="L8" i="21"/>
  <c r="R8" i="21" s="1"/>
  <c r="L5" i="21"/>
  <c r="T5" i="21" s="1"/>
  <c r="T18" i="21" s="1"/>
  <c r="M4" i="21"/>
  <c r="U4" i="21" s="1"/>
  <c r="L13" i="21"/>
  <c r="T13" i="21" s="1"/>
  <c r="T26" i="21" s="1"/>
  <c r="L10" i="21"/>
  <c r="T10" i="21" s="1"/>
  <c r="T23" i="21" s="1"/>
  <c r="L7" i="21"/>
  <c r="T7" i="21" s="1"/>
  <c r="T20" i="21" s="1"/>
  <c r="L4" i="21"/>
  <c r="T4" i="21" s="1"/>
  <c r="C31" i="22"/>
  <c r="D31" i="22"/>
  <c r="R4" i="21" l="1"/>
  <c r="S4" i="21"/>
  <c r="T8" i="21"/>
  <c r="T21" i="21" s="1"/>
  <c r="R12" i="21"/>
  <c r="R11" i="21"/>
  <c r="R7" i="21"/>
  <c r="R9" i="21"/>
  <c r="R14" i="21"/>
  <c r="R5" i="21"/>
  <c r="D18" i="21" s="1"/>
  <c r="C30" i="21"/>
  <c r="I7" i="21"/>
  <c r="M6" i="21"/>
  <c r="P19" i="22"/>
  <c r="Q19" i="22" s="1"/>
  <c r="P18" i="22"/>
  <c r="Q18" i="22" s="1"/>
  <c r="P17" i="22"/>
  <c r="Q17" i="22" s="1"/>
  <c r="P16" i="22"/>
  <c r="Q16" i="22" s="1"/>
  <c r="P14" i="22"/>
  <c r="Q14" i="22" s="1"/>
  <c r="P13" i="22"/>
  <c r="Q13" i="22" s="1"/>
  <c r="P11" i="22"/>
  <c r="Q11" i="22" s="1"/>
  <c r="P10" i="22"/>
  <c r="Q10" i="22" s="1"/>
  <c r="P8" i="22"/>
  <c r="Q8" i="22" s="1"/>
  <c r="P6" i="22"/>
  <c r="Q6" i="22" s="1"/>
  <c r="P4" i="22"/>
  <c r="Q4" i="22" s="1"/>
  <c r="P2" i="22"/>
  <c r="P15" i="22"/>
  <c r="Q15" i="22" s="1"/>
  <c r="P12" i="22"/>
  <c r="Q12" i="22" s="1"/>
  <c r="P9" i="22"/>
  <c r="Q9" i="22" s="1"/>
  <c r="P7" i="22"/>
  <c r="Q7" i="22" s="1"/>
  <c r="P5" i="22"/>
  <c r="Q5" i="22" s="1"/>
  <c r="P3" i="22"/>
  <c r="Q3" i="22" s="1"/>
  <c r="P29" i="22"/>
  <c r="Q29" i="22" s="1"/>
  <c r="P35" i="22"/>
  <c r="Q35" i="22" s="1"/>
  <c r="P37" i="22"/>
  <c r="P34" i="22"/>
  <c r="Q34" i="22" s="1"/>
  <c r="P33" i="22"/>
  <c r="Q33" i="22" s="1"/>
  <c r="P28" i="22"/>
  <c r="Q28" i="22" s="1"/>
  <c r="P27" i="22"/>
  <c r="Q27" i="22" s="1"/>
  <c r="P26" i="22"/>
  <c r="Q26" i="22" s="1"/>
  <c r="P24" i="22"/>
  <c r="Q24" i="22" s="1"/>
  <c r="P23" i="22"/>
  <c r="Q23" i="22" s="1"/>
  <c r="P22" i="22"/>
  <c r="Q22" i="22" s="1"/>
  <c r="P21" i="22"/>
  <c r="Q21" i="22" s="1"/>
  <c r="P20" i="22"/>
  <c r="Q20" i="22" s="1"/>
  <c r="P25" i="22"/>
  <c r="Q25" i="22" s="1"/>
  <c r="P36" i="22"/>
  <c r="Q36" i="22" s="1"/>
  <c r="P32" i="22"/>
  <c r="Q32" i="22" s="1"/>
  <c r="P31" i="22"/>
  <c r="Q31" i="22" s="1"/>
  <c r="P30" i="22"/>
  <c r="Q30" i="22" s="1"/>
  <c r="D8" i="15" l="1" a="1"/>
  <c r="I2" i="13" a="1"/>
  <c r="U6" i="21"/>
  <c r="U19" i="21" s="1"/>
  <c r="S6" i="21"/>
  <c r="I8" i="21"/>
  <c r="M7" i="21"/>
  <c r="H8" i="19"/>
  <c r="G8" i="19"/>
  <c r="F8" i="19"/>
  <c r="E8" i="19"/>
  <c r="D8" i="19"/>
  <c r="C8" i="19"/>
  <c r="B8" i="19"/>
  <c r="D8" i="15" l="1"/>
  <c r="I2" i="13"/>
  <c r="U7" i="21"/>
  <c r="U20" i="21" s="1"/>
  <c r="S7" i="21"/>
  <c r="I9" i="21"/>
  <c r="M8" i="21"/>
  <c r="A14" i="19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A115" i="19" s="1"/>
  <c r="A116" i="19" s="1"/>
  <c r="A117" i="19" s="1"/>
  <c r="A118" i="19" s="1"/>
  <c r="A119" i="19" s="1"/>
  <c r="A120" i="19" s="1"/>
  <c r="A121" i="19" s="1"/>
  <c r="A122" i="19" s="1"/>
  <c r="A123" i="19" s="1"/>
  <c r="A124" i="19" s="1"/>
  <c r="A125" i="19" s="1"/>
  <c r="A126" i="19" s="1"/>
  <c r="A127" i="19" s="1"/>
  <c r="A128" i="19" s="1"/>
  <c r="A129" i="19" s="1"/>
  <c r="A130" i="19" s="1"/>
  <c r="A131" i="19" s="1"/>
  <c r="A132" i="19" s="1"/>
  <c r="A133" i="19" s="1"/>
  <c r="A134" i="19" s="1"/>
  <c r="A135" i="19" s="1"/>
  <c r="A136" i="19" s="1"/>
  <c r="A137" i="19" s="1"/>
  <c r="A138" i="19" s="1"/>
  <c r="A139" i="19" s="1"/>
  <c r="A140" i="19" s="1"/>
  <c r="A141" i="19" s="1"/>
  <c r="A142" i="19" s="1"/>
  <c r="A143" i="19" s="1"/>
  <c r="A144" i="19" s="1"/>
  <c r="A145" i="19" s="1"/>
  <c r="A146" i="19" s="1"/>
  <c r="A147" i="19" s="1"/>
  <c r="A148" i="19" s="1"/>
  <c r="A149" i="19" s="1"/>
  <c r="A150" i="19" s="1"/>
  <c r="A151" i="19" s="1"/>
  <c r="A152" i="19" s="1"/>
  <c r="A153" i="19" s="1"/>
  <c r="A154" i="19" s="1"/>
  <c r="A155" i="19" s="1"/>
  <c r="A156" i="19" s="1"/>
  <c r="A157" i="19" s="1"/>
  <c r="A158" i="19" s="1"/>
  <c r="A159" i="19" s="1"/>
  <c r="A160" i="19" s="1"/>
  <c r="A161" i="19" s="1"/>
  <c r="A162" i="19" s="1"/>
  <c r="A163" i="19" s="1"/>
  <c r="A164" i="19" s="1"/>
  <c r="A165" i="19" s="1"/>
  <c r="A166" i="19" s="1"/>
  <c r="A167" i="19" s="1"/>
  <c r="A168" i="19" s="1"/>
  <c r="A169" i="19" s="1"/>
  <c r="A170" i="19" s="1"/>
  <c r="A171" i="19" s="1"/>
  <c r="A172" i="19" s="1"/>
  <c r="A173" i="19" s="1"/>
  <c r="A174" i="19" s="1"/>
  <c r="A175" i="19" s="1"/>
  <c r="A176" i="19" s="1"/>
  <c r="A177" i="19" s="1"/>
  <c r="A178" i="19" s="1"/>
  <c r="A179" i="19" s="1"/>
  <c r="A180" i="19" s="1"/>
  <c r="A181" i="19" s="1"/>
  <c r="A182" i="19" s="1"/>
  <c r="A183" i="19" s="1"/>
  <c r="A184" i="19" s="1"/>
  <c r="A185" i="19" s="1"/>
  <c r="A186" i="19" s="1"/>
  <c r="A187" i="19" s="1"/>
  <c r="A188" i="19" s="1"/>
  <c r="A189" i="19" s="1"/>
  <c r="A190" i="19" s="1"/>
  <c r="A191" i="19" s="1"/>
  <c r="A192" i="19" s="1"/>
  <c r="A193" i="19" s="1"/>
  <c r="A194" i="19" s="1"/>
  <c r="A195" i="19" s="1"/>
  <c r="A196" i="19" s="1"/>
  <c r="A197" i="19" s="1"/>
  <c r="A198" i="19" s="1"/>
  <c r="A199" i="19" s="1"/>
  <c r="A200" i="19" s="1"/>
  <c r="A201" i="19" s="1"/>
  <c r="A202" i="19" s="1"/>
  <c r="A203" i="19" s="1"/>
  <c r="A204" i="19" s="1"/>
  <c r="A205" i="19" s="1"/>
  <c r="A206" i="19" s="1"/>
  <c r="A207" i="19" s="1"/>
  <c r="A208" i="19" s="1"/>
  <c r="A209" i="19" s="1"/>
  <c r="A210" i="19" s="1"/>
  <c r="A211" i="19" s="1"/>
  <c r="A212" i="19" s="1"/>
  <c r="A213" i="19" s="1"/>
  <c r="A214" i="19" s="1"/>
  <c r="A215" i="19" s="1"/>
  <c r="A216" i="19" s="1"/>
  <c r="A217" i="19" s="1"/>
  <c r="A218" i="19" s="1"/>
  <c r="A219" i="19" s="1"/>
  <c r="A220" i="19" s="1"/>
  <c r="A221" i="19" s="1"/>
  <c r="A222" i="19" s="1"/>
  <c r="A223" i="19" s="1"/>
  <c r="A224" i="19" s="1"/>
  <c r="A225" i="19" s="1"/>
  <c r="A226" i="19" s="1"/>
  <c r="A227" i="19" s="1"/>
  <c r="A228" i="19" s="1"/>
  <c r="A229" i="19" s="1"/>
  <c r="A230" i="19" s="1"/>
  <c r="A231" i="19" s="1"/>
  <c r="A232" i="19" s="1"/>
  <c r="A233" i="19" s="1"/>
  <c r="A234" i="19" s="1"/>
  <c r="A235" i="19" s="1"/>
  <c r="A236" i="19" s="1"/>
  <c r="A237" i="19" s="1"/>
  <c r="A238" i="19" s="1"/>
  <c r="A239" i="19" s="1"/>
  <c r="A240" i="19" s="1"/>
  <c r="A241" i="19" s="1"/>
  <c r="A242" i="19" s="1"/>
  <c r="A243" i="19" s="1"/>
  <c r="A244" i="19" s="1"/>
  <c r="A245" i="19" s="1"/>
  <c r="A246" i="19" s="1"/>
  <c r="A247" i="19" s="1"/>
  <c r="A248" i="19" s="1"/>
  <c r="A249" i="19" s="1"/>
  <c r="A250" i="19" s="1"/>
  <c r="A251" i="19" s="1"/>
  <c r="A252" i="19" s="1"/>
  <c r="A253" i="19" s="1"/>
  <c r="A254" i="19" s="1"/>
  <c r="A255" i="19" s="1"/>
  <c r="A256" i="19" s="1"/>
  <c r="A257" i="19" s="1"/>
  <c r="A258" i="19" s="1"/>
  <c r="A259" i="19" s="1"/>
  <c r="A260" i="19" s="1"/>
  <c r="A261" i="19" s="1"/>
  <c r="A262" i="19" s="1"/>
  <c r="A263" i="19" s="1"/>
  <c r="A264" i="19" s="1"/>
  <c r="A265" i="19" s="1"/>
  <c r="A266" i="19" s="1"/>
  <c r="A267" i="19" s="1"/>
  <c r="A268" i="19" s="1"/>
  <c r="A269" i="19" s="1"/>
  <c r="A270" i="19" s="1"/>
  <c r="A271" i="19" s="1"/>
  <c r="A272" i="19" s="1"/>
  <c r="A273" i="19" s="1"/>
  <c r="A274" i="19" s="1"/>
  <c r="A275" i="19" s="1"/>
  <c r="A276" i="19" s="1"/>
  <c r="A277" i="19" s="1"/>
  <c r="A278" i="19" s="1"/>
  <c r="A279" i="19" s="1"/>
  <c r="A280" i="19" s="1"/>
  <c r="A281" i="19" s="1"/>
  <c r="A282" i="19" s="1"/>
  <c r="A283" i="19" s="1"/>
  <c r="A284" i="19" s="1"/>
  <c r="A285" i="19" s="1"/>
  <c r="A286" i="19" s="1"/>
  <c r="A287" i="19" s="1"/>
  <c r="A288" i="19" s="1"/>
  <c r="A289" i="19" s="1"/>
  <c r="A290" i="19" s="1"/>
  <c r="A291" i="19" s="1"/>
  <c r="A292" i="19" s="1"/>
  <c r="A293" i="19" s="1"/>
  <c r="A294" i="19" s="1"/>
  <c r="A295" i="19" s="1"/>
  <c r="A296" i="19" s="1"/>
  <c r="A297" i="19" s="1"/>
  <c r="A298" i="19" s="1"/>
  <c r="A299" i="19" s="1"/>
  <c r="A300" i="19" s="1"/>
  <c r="A301" i="19" s="1"/>
  <c r="A302" i="19" s="1"/>
  <c r="A303" i="19" s="1"/>
  <c r="A304" i="19" s="1"/>
  <c r="A305" i="19" s="1"/>
  <c r="A306" i="19" s="1"/>
  <c r="A307" i="19" s="1"/>
  <c r="A308" i="19" s="1"/>
  <c r="A309" i="19" s="1"/>
  <c r="A310" i="19" s="1"/>
  <c r="A311" i="19" s="1"/>
  <c r="A312" i="19" s="1"/>
  <c r="A313" i="19" s="1"/>
  <c r="A314" i="19" s="1"/>
  <c r="A315" i="19" s="1"/>
  <c r="A316" i="19" s="1"/>
  <c r="A317" i="19" s="1"/>
  <c r="A318" i="19" s="1"/>
  <c r="A319" i="19" s="1"/>
  <c r="A320" i="19" s="1"/>
  <c r="A321" i="19" s="1"/>
  <c r="A322" i="19" s="1"/>
  <c r="A323" i="19" s="1"/>
  <c r="A324" i="19" s="1"/>
  <c r="A325" i="19" s="1"/>
  <c r="A326" i="19" s="1"/>
  <c r="A327" i="19" s="1"/>
  <c r="A328" i="19" s="1"/>
  <c r="A329" i="19" s="1"/>
  <c r="A330" i="19" s="1"/>
  <c r="A331" i="19" s="1"/>
  <c r="A332" i="19" s="1"/>
  <c r="A333" i="19" s="1"/>
  <c r="A334" i="19" s="1"/>
  <c r="A335" i="19" s="1"/>
  <c r="A336" i="19" s="1"/>
  <c r="A337" i="19" s="1"/>
  <c r="A338" i="19" s="1"/>
  <c r="A339" i="19" s="1"/>
  <c r="A340" i="19" s="1"/>
  <c r="A341" i="19" s="1"/>
  <c r="A342" i="19" s="1"/>
  <c r="A343" i="19" s="1"/>
  <c r="A344" i="19" s="1"/>
  <c r="A345" i="19" s="1"/>
  <c r="A346" i="19" s="1"/>
  <c r="A347" i="19" s="1"/>
  <c r="A348" i="19" s="1"/>
  <c r="A349" i="19" s="1"/>
  <c r="A350" i="19" s="1"/>
  <c r="A351" i="19" s="1"/>
  <c r="A352" i="19" s="1"/>
  <c r="A353" i="19" s="1"/>
  <c r="A354" i="19" s="1"/>
  <c r="A355" i="19" s="1"/>
  <c r="A356" i="19" s="1"/>
  <c r="A357" i="19" s="1"/>
  <c r="A358" i="19" s="1"/>
  <c r="A359" i="19" s="1"/>
  <c r="A360" i="19" s="1"/>
  <c r="A361" i="19" s="1"/>
  <c r="A362" i="19" s="1"/>
  <c r="A363" i="19" s="1"/>
  <c r="A364" i="19" s="1"/>
  <c r="A365" i="19" s="1"/>
  <c r="A366" i="19" s="1"/>
  <c r="A367" i="19" s="1"/>
  <c r="A368" i="19" s="1"/>
  <c r="A369" i="19" s="1"/>
  <c r="A370" i="19" s="1"/>
  <c r="A371" i="19" s="1"/>
  <c r="A372" i="19" s="1"/>
  <c r="A373" i="19" s="1"/>
  <c r="A374" i="19" s="1"/>
  <c r="A375" i="19" s="1"/>
  <c r="A376" i="19" s="1"/>
  <c r="A377" i="19" s="1"/>
  <c r="A378" i="19" s="1"/>
  <c r="A379" i="19" s="1"/>
  <c r="A380" i="19" s="1"/>
  <c r="A381" i="19" s="1"/>
  <c r="A382" i="19" s="1"/>
  <c r="A383" i="19" s="1"/>
  <c r="A384" i="19" s="1"/>
  <c r="A385" i="19" s="1"/>
  <c r="A386" i="19" s="1"/>
  <c r="A387" i="19" s="1"/>
  <c r="A388" i="19" s="1"/>
  <c r="A389" i="19" s="1"/>
  <c r="A390" i="19" s="1"/>
  <c r="A391" i="19" s="1"/>
  <c r="A392" i="19" s="1"/>
  <c r="A393" i="19" s="1"/>
  <c r="A394" i="19" s="1"/>
  <c r="A395" i="19" s="1"/>
  <c r="A396" i="19" s="1"/>
  <c r="A397" i="19" s="1"/>
  <c r="A398" i="19" s="1"/>
  <c r="A399" i="19" s="1"/>
  <c r="A400" i="19" s="1"/>
  <c r="A401" i="19" s="1"/>
  <c r="A402" i="19" s="1"/>
  <c r="A403" i="19" s="1"/>
  <c r="A404" i="19" s="1"/>
  <c r="A405" i="19" s="1"/>
  <c r="A406" i="19" s="1"/>
  <c r="A407" i="19" s="1"/>
  <c r="A408" i="19" s="1"/>
  <c r="A409" i="19" s="1"/>
  <c r="A410" i="19" s="1"/>
  <c r="A411" i="19" s="1"/>
  <c r="A412" i="19" s="1"/>
  <c r="A413" i="19" s="1"/>
  <c r="A414" i="19" s="1"/>
  <c r="A415" i="19" s="1"/>
  <c r="A416" i="19" s="1"/>
  <c r="A417" i="19" s="1"/>
  <c r="A418" i="19" s="1"/>
  <c r="A419" i="19" s="1"/>
  <c r="A420" i="19" s="1"/>
  <c r="A421" i="19" s="1"/>
  <c r="A422" i="19" s="1"/>
  <c r="A423" i="19" s="1"/>
  <c r="A424" i="19" s="1"/>
  <c r="A425" i="19" s="1"/>
  <c r="A426" i="19" s="1"/>
  <c r="A427" i="19" s="1"/>
  <c r="A428" i="19" s="1"/>
  <c r="A429" i="19" s="1"/>
  <c r="A430" i="19" s="1"/>
  <c r="A431" i="19" s="1"/>
  <c r="A432" i="19" s="1"/>
  <c r="A433" i="19" s="1"/>
  <c r="A434" i="19" s="1"/>
  <c r="A435" i="19" s="1"/>
  <c r="A436" i="19" s="1"/>
  <c r="A437" i="19" s="1"/>
  <c r="A438" i="19" s="1"/>
  <c r="A439" i="19" s="1"/>
  <c r="A440" i="19" s="1"/>
  <c r="A441" i="19" s="1"/>
  <c r="A442" i="19" s="1"/>
  <c r="A443" i="19" s="1"/>
  <c r="A444" i="19" s="1"/>
  <c r="A445" i="19" s="1"/>
  <c r="A446" i="19" s="1"/>
  <c r="A447" i="19" s="1"/>
  <c r="A448" i="19" s="1"/>
  <c r="A449" i="19" s="1"/>
  <c r="A450" i="19" s="1"/>
  <c r="A451" i="19" s="1"/>
  <c r="A452" i="19" s="1"/>
  <c r="A453" i="19" s="1"/>
  <c r="A454" i="19" s="1"/>
  <c r="A455" i="19" s="1"/>
  <c r="A456" i="19" s="1"/>
  <c r="A457" i="19" s="1"/>
  <c r="A458" i="19" s="1"/>
  <c r="A459" i="19" s="1"/>
  <c r="A460" i="19" s="1"/>
  <c r="A461" i="19" s="1"/>
  <c r="A462" i="19" s="1"/>
  <c r="A463" i="19" s="1"/>
  <c r="A464" i="19" s="1"/>
  <c r="A465" i="19" s="1"/>
  <c r="A466" i="19" s="1"/>
  <c r="A467" i="19" s="1"/>
  <c r="A468" i="19" s="1"/>
  <c r="A469" i="19" s="1"/>
  <c r="A470" i="19" s="1"/>
  <c r="A471" i="19" s="1"/>
  <c r="A472" i="19" s="1"/>
  <c r="A473" i="19" s="1"/>
  <c r="A474" i="19" s="1"/>
  <c r="A475" i="19" s="1"/>
  <c r="A476" i="19" s="1"/>
  <c r="A477" i="19" s="1"/>
  <c r="A478" i="19" s="1"/>
  <c r="A479" i="19" s="1"/>
  <c r="A480" i="19" s="1"/>
  <c r="A481" i="19" s="1"/>
  <c r="A482" i="19" s="1"/>
  <c r="A483" i="19" s="1"/>
  <c r="A484" i="19" s="1"/>
  <c r="A485" i="19" s="1"/>
  <c r="A486" i="19" s="1"/>
  <c r="A487" i="19" s="1"/>
  <c r="A488" i="19" s="1"/>
  <c r="A489" i="19" s="1"/>
  <c r="A490" i="19" s="1"/>
  <c r="A491" i="19" s="1"/>
  <c r="A492" i="19" s="1"/>
  <c r="A493" i="19" s="1"/>
  <c r="A494" i="19" s="1"/>
  <c r="A495" i="19" s="1"/>
  <c r="A496" i="19" s="1"/>
  <c r="A497" i="19" s="1"/>
  <c r="A498" i="19" s="1"/>
  <c r="A499" i="19" s="1"/>
  <c r="A500" i="19" s="1"/>
  <c r="A501" i="19" s="1"/>
  <c r="A502" i="19" s="1"/>
  <c r="A503" i="19" s="1"/>
  <c r="A504" i="19" s="1"/>
  <c r="A505" i="19" s="1"/>
  <c r="A506" i="19" s="1"/>
  <c r="A507" i="19" s="1"/>
  <c r="A508" i="19" s="1"/>
  <c r="A509" i="19" s="1"/>
  <c r="A510" i="19" s="1"/>
  <c r="A511" i="19" s="1"/>
  <c r="A512" i="19" s="1"/>
  <c r="A513" i="19" s="1"/>
  <c r="A514" i="19" s="1"/>
  <c r="A515" i="19" s="1"/>
  <c r="A516" i="19" s="1"/>
  <c r="A517" i="19" s="1"/>
  <c r="A518" i="19" s="1"/>
  <c r="A519" i="19" s="1"/>
  <c r="A520" i="19" s="1"/>
  <c r="A521" i="19" s="1"/>
  <c r="A522" i="19" s="1"/>
  <c r="A523" i="19" s="1"/>
  <c r="A524" i="19" s="1"/>
  <c r="A525" i="19" s="1"/>
  <c r="A526" i="19" s="1"/>
  <c r="A527" i="19" s="1"/>
  <c r="A528" i="19" s="1"/>
  <c r="A529" i="19" s="1"/>
  <c r="A530" i="19" s="1"/>
  <c r="A531" i="19" s="1"/>
  <c r="A532" i="19" s="1"/>
  <c r="A533" i="19" s="1"/>
  <c r="A534" i="19" s="1"/>
  <c r="A535" i="19" s="1"/>
  <c r="A536" i="19" s="1"/>
  <c r="A537" i="19" s="1"/>
  <c r="A538" i="19" s="1"/>
  <c r="A539" i="19" s="1"/>
  <c r="A540" i="19" s="1"/>
  <c r="A541" i="19" s="1"/>
  <c r="A542" i="19" s="1"/>
  <c r="A543" i="19" s="1"/>
  <c r="A544" i="19" s="1"/>
  <c r="A545" i="19" s="1"/>
  <c r="A546" i="19" s="1"/>
  <c r="A547" i="19" s="1"/>
  <c r="A548" i="19" s="1"/>
  <c r="A549" i="19" s="1"/>
  <c r="A550" i="19" s="1"/>
  <c r="A551" i="19" s="1"/>
  <c r="A552" i="19" s="1"/>
  <c r="A553" i="19" s="1"/>
  <c r="A554" i="19" s="1"/>
  <c r="A555" i="19" s="1"/>
  <c r="A556" i="19" s="1"/>
  <c r="A557" i="19" s="1"/>
  <c r="A558" i="19" s="1"/>
  <c r="A559" i="19" s="1"/>
  <c r="A560" i="19" s="1"/>
  <c r="A561" i="19" s="1"/>
  <c r="A562" i="19" s="1"/>
  <c r="A563" i="19" s="1"/>
  <c r="A564" i="19" s="1"/>
  <c r="A565" i="19" s="1"/>
  <c r="A566" i="19" s="1"/>
  <c r="A567" i="19" s="1"/>
  <c r="A568" i="19" s="1"/>
  <c r="A569" i="19" s="1"/>
  <c r="A570" i="19" s="1"/>
  <c r="A571" i="19" s="1"/>
  <c r="A572" i="19" s="1"/>
  <c r="A573" i="19" s="1"/>
  <c r="A574" i="19" s="1"/>
  <c r="A575" i="19" s="1"/>
  <c r="A576" i="19" s="1"/>
  <c r="A577" i="19" s="1"/>
  <c r="A578" i="19" s="1"/>
  <c r="A579" i="19" s="1"/>
  <c r="A580" i="19" s="1"/>
  <c r="A581" i="19" s="1"/>
  <c r="A582" i="19" s="1"/>
  <c r="A583" i="19" s="1"/>
  <c r="A584" i="19" s="1"/>
  <c r="A585" i="19" s="1"/>
  <c r="A586" i="19" s="1"/>
  <c r="A587" i="19" s="1"/>
  <c r="A588" i="19" s="1"/>
  <c r="A589" i="19" s="1"/>
  <c r="A590" i="19" s="1"/>
  <c r="A591" i="19" s="1"/>
  <c r="A592" i="19" s="1"/>
  <c r="A593" i="19" s="1"/>
  <c r="A594" i="19" s="1"/>
  <c r="A595" i="19" s="1"/>
  <c r="A596" i="19" s="1"/>
  <c r="A597" i="19" s="1"/>
  <c r="A598" i="19" s="1"/>
  <c r="A599" i="19" s="1"/>
  <c r="A600" i="19" s="1"/>
  <c r="A601" i="19" s="1"/>
  <c r="A602" i="19" s="1"/>
  <c r="A603" i="19" s="1"/>
  <c r="A604" i="19" s="1"/>
  <c r="A605" i="19" s="1"/>
  <c r="A606" i="19" s="1"/>
  <c r="A607" i="19" s="1"/>
  <c r="A608" i="19" s="1"/>
  <c r="A609" i="19" s="1"/>
  <c r="A610" i="19" s="1"/>
  <c r="A611" i="19" s="1"/>
  <c r="A612" i="19" s="1"/>
  <c r="A613" i="19" s="1"/>
  <c r="A614" i="19" s="1"/>
  <c r="A615" i="19" s="1"/>
  <c r="A616" i="19" s="1"/>
  <c r="A617" i="19" s="1"/>
  <c r="A618" i="19" s="1"/>
  <c r="A619" i="19" s="1"/>
  <c r="A620" i="19" s="1"/>
  <c r="A621" i="19" s="1"/>
  <c r="A622" i="19" s="1"/>
  <c r="A623" i="19" s="1"/>
  <c r="A624" i="19" s="1"/>
  <c r="A625" i="19" s="1"/>
  <c r="A626" i="19" s="1"/>
  <c r="A627" i="19" s="1"/>
  <c r="A628" i="19" s="1"/>
  <c r="A629" i="19" s="1"/>
  <c r="A630" i="19" s="1"/>
  <c r="A631" i="19" s="1"/>
  <c r="A632" i="19" s="1"/>
  <c r="A633" i="19" s="1"/>
  <c r="A634" i="19" s="1"/>
  <c r="A635" i="19" s="1"/>
  <c r="A636" i="19" s="1"/>
  <c r="A637" i="19" s="1"/>
  <c r="A638" i="19" s="1"/>
  <c r="A639" i="19" s="1"/>
  <c r="A640" i="19" s="1"/>
  <c r="A641" i="19" s="1"/>
  <c r="A642" i="19" s="1"/>
  <c r="A643" i="19" s="1"/>
  <c r="A644" i="19" s="1"/>
  <c r="A645" i="19" s="1"/>
  <c r="A646" i="19" s="1"/>
  <c r="A647" i="19" s="1"/>
  <c r="A648" i="19" s="1"/>
  <c r="A649" i="19" s="1"/>
  <c r="A650" i="19" s="1"/>
  <c r="A651" i="19" s="1"/>
  <c r="A652" i="19" s="1"/>
  <c r="A653" i="19" s="1"/>
  <c r="A654" i="19" s="1"/>
  <c r="A655" i="19" s="1"/>
  <c r="A656" i="19" s="1"/>
  <c r="A657" i="19" s="1"/>
  <c r="A658" i="19" s="1"/>
  <c r="A659" i="19" s="1"/>
  <c r="A660" i="19" s="1"/>
  <c r="A661" i="19" s="1"/>
  <c r="A662" i="19" s="1"/>
  <c r="A663" i="19" s="1"/>
  <c r="A664" i="19" s="1"/>
  <c r="A665" i="19" s="1"/>
  <c r="A666" i="19" s="1"/>
  <c r="A667" i="19" s="1"/>
  <c r="A668" i="19" s="1"/>
  <c r="A669" i="19" s="1"/>
  <c r="A670" i="19" s="1"/>
  <c r="A671" i="19" s="1"/>
  <c r="A672" i="19" s="1"/>
  <c r="A673" i="19" s="1"/>
  <c r="A674" i="19" s="1"/>
  <c r="A675" i="19" s="1"/>
  <c r="A676" i="19" s="1"/>
  <c r="A677" i="19" s="1"/>
  <c r="A678" i="19" s="1"/>
  <c r="A679" i="19" s="1"/>
  <c r="A680" i="19" s="1"/>
  <c r="A681" i="19" s="1"/>
  <c r="A682" i="19" s="1"/>
  <c r="A683" i="19" s="1"/>
  <c r="A684" i="19" s="1"/>
  <c r="A685" i="19" s="1"/>
  <c r="A686" i="19" s="1"/>
  <c r="A687" i="19" s="1"/>
  <c r="A688" i="19" s="1"/>
  <c r="A689" i="19" s="1"/>
  <c r="A690" i="19" s="1"/>
  <c r="A691" i="19" s="1"/>
  <c r="A692" i="19" s="1"/>
  <c r="A693" i="19" s="1"/>
  <c r="A694" i="19" s="1"/>
  <c r="A695" i="19" s="1"/>
  <c r="A696" i="19" s="1"/>
  <c r="A697" i="19" s="1"/>
  <c r="A698" i="19" s="1"/>
  <c r="A699" i="19" s="1"/>
  <c r="A700" i="19" s="1"/>
  <c r="A701" i="19" s="1"/>
  <c r="A702" i="19" s="1"/>
  <c r="A703" i="19" s="1"/>
  <c r="A704" i="19" s="1"/>
  <c r="A705" i="19" s="1"/>
  <c r="A706" i="19" s="1"/>
  <c r="A707" i="19" s="1"/>
  <c r="A708" i="19" s="1"/>
  <c r="A709" i="19" s="1"/>
  <c r="A710" i="19" s="1"/>
  <c r="A711" i="19" s="1"/>
  <c r="A712" i="19" s="1"/>
  <c r="A713" i="19" s="1"/>
  <c r="A714" i="19" s="1"/>
  <c r="A715" i="19" s="1"/>
  <c r="A716" i="19" s="1"/>
  <c r="A717" i="19" s="1"/>
  <c r="A718" i="19" s="1"/>
  <c r="A719" i="19" s="1"/>
  <c r="A720" i="19" s="1"/>
  <c r="A721" i="19" s="1"/>
  <c r="A722" i="19" s="1"/>
  <c r="A723" i="19" s="1"/>
  <c r="A724" i="19" s="1"/>
  <c r="A725" i="19" s="1"/>
  <c r="A726" i="19" s="1"/>
  <c r="A727" i="19" s="1"/>
  <c r="A728" i="19" s="1"/>
  <c r="A729" i="19" s="1"/>
  <c r="A730" i="19" s="1"/>
  <c r="A731" i="19" s="1"/>
  <c r="A732" i="19" s="1"/>
  <c r="A733" i="19" s="1"/>
  <c r="A734" i="19" s="1"/>
  <c r="A735" i="19" s="1"/>
  <c r="A736" i="19" s="1"/>
  <c r="A737" i="19" s="1"/>
  <c r="A738" i="19" s="1"/>
  <c r="A739" i="19" s="1"/>
  <c r="A740" i="19" s="1"/>
  <c r="A741" i="19" s="1"/>
  <c r="A742" i="19" s="1"/>
  <c r="A743" i="19" s="1"/>
  <c r="A744" i="19" s="1"/>
  <c r="A745" i="19" s="1"/>
  <c r="A746" i="19" s="1"/>
  <c r="A747" i="19" s="1"/>
  <c r="A748" i="19" s="1"/>
  <c r="A749" i="19" s="1"/>
  <c r="A750" i="19" s="1"/>
  <c r="A751" i="19" s="1"/>
  <c r="A752" i="19" s="1"/>
  <c r="A753" i="19" s="1"/>
  <c r="A754" i="19" s="1"/>
  <c r="A755" i="19" s="1"/>
  <c r="A756" i="19" s="1"/>
  <c r="A757" i="19" s="1"/>
  <c r="A758" i="19" s="1"/>
  <c r="A759" i="19" s="1"/>
  <c r="A760" i="19" s="1"/>
  <c r="A761" i="19" s="1"/>
  <c r="A762" i="19" s="1"/>
  <c r="A763" i="19" s="1"/>
  <c r="A764" i="19" s="1"/>
  <c r="A765" i="19" s="1"/>
  <c r="A766" i="19" s="1"/>
  <c r="A767" i="19" s="1"/>
  <c r="A768" i="19" s="1"/>
  <c r="A769" i="19" s="1"/>
  <c r="A770" i="19" s="1"/>
  <c r="A771" i="19" s="1"/>
  <c r="A772" i="19" s="1"/>
  <c r="A773" i="19" s="1"/>
  <c r="A774" i="19" s="1"/>
  <c r="A775" i="19" s="1"/>
  <c r="A776" i="19" s="1"/>
  <c r="A777" i="19" s="1"/>
  <c r="A778" i="19" s="1"/>
  <c r="A779" i="19" s="1"/>
  <c r="A780" i="19" s="1"/>
  <c r="A781" i="19" s="1"/>
  <c r="A782" i="19" s="1"/>
  <c r="A783" i="19" s="1"/>
  <c r="A784" i="19" s="1"/>
  <c r="A785" i="19" s="1"/>
  <c r="A786" i="19" s="1"/>
  <c r="A787" i="19" s="1"/>
  <c r="A788" i="19" s="1"/>
  <c r="A789" i="19" s="1"/>
  <c r="A790" i="19" s="1"/>
  <c r="A791" i="19" s="1"/>
  <c r="A792" i="19" s="1"/>
  <c r="A793" i="19" s="1"/>
  <c r="A794" i="19" s="1"/>
  <c r="A795" i="19" s="1"/>
  <c r="A796" i="19" s="1"/>
  <c r="A797" i="19" s="1"/>
  <c r="A798" i="19" s="1"/>
  <c r="A799" i="19" s="1"/>
  <c r="A800" i="19" s="1"/>
  <c r="A801" i="19" s="1"/>
  <c r="A802" i="19" s="1"/>
  <c r="A803" i="19" s="1"/>
  <c r="A804" i="19" s="1"/>
  <c r="A805" i="19" s="1"/>
  <c r="A806" i="19" s="1"/>
  <c r="A807" i="19" s="1"/>
  <c r="A808" i="19" s="1"/>
  <c r="A809" i="19" s="1"/>
  <c r="A810" i="19" s="1"/>
  <c r="A811" i="19" s="1"/>
  <c r="A812" i="19" s="1"/>
  <c r="A813" i="19" s="1"/>
  <c r="A814" i="19" s="1"/>
  <c r="A815" i="19" s="1"/>
  <c r="A816" i="19" s="1"/>
  <c r="A817" i="19" s="1"/>
  <c r="A818" i="19" s="1"/>
  <c r="A819" i="19" s="1"/>
  <c r="A820" i="19" s="1"/>
  <c r="A821" i="19" s="1"/>
  <c r="A822" i="19" s="1"/>
  <c r="A823" i="19" s="1"/>
  <c r="A824" i="19" s="1"/>
  <c r="A825" i="19" s="1"/>
  <c r="A826" i="19" s="1"/>
  <c r="A827" i="19" s="1"/>
  <c r="A828" i="19" s="1"/>
  <c r="A829" i="19" s="1"/>
  <c r="A830" i="19" s="1"/>
  <c r="A831" i="19" s="1"/>
  <c r="A832" i="19" s="1"/>
  <c r="A833" i="19" s="1"/>
  <c r="A834" i="19" s="1"/>
  <c r="A835" i="19" s="1"/>
  <c r="A836" i="19" s="1"/>
  <c r="A837" i="19" s="1"/>
  <c r="A838" i="19" s="1"/>
  <c r="A839" i="19" s="1"/>
  <c r="A840" i="19" s="1"/>
  <c r="A841" i="19" s="1"/>
  <c r="A842" i="19" s="1"/>
  <c r="A843" i="19" s="1"/>
  <c r="A844" i="19" s="1"/>
  <c r="A845" i="19" s="1"/>
  <c r="A846" i="19" s="1"/>
  <c r="A847" i="19" s="1"/>
  <c r="A848" i="19" s="1"/>
  <c r="A849" i="19" s="1"/>
  <c r="A850" i="19" s="1"/>
  <c r="A851" i="19" s="1"/>
  <c r="A852" i="19" s="1"/>
  <c r="A853" i="19" s="1"/>
  <c r="A854" i="19" s="1"/>
  <c r="A855" i="19" s="1"/>
  <c r="A856" i="19" s="1"/>
  <c r="A857" i="19" s="1"/>
  <c r="A858" i="19" s="1"/>
  <c r="A859" i="19" s="1"/>
  <c r="A860" i="19" s="1"/>
  <c r="A861" i="19" s="1"/>
  <c r="A862" i="19" s="1"/>
  <c r="A863" i="19" s="1"/>
  <c r="A864" i="19" s="1"/>
  <c r="A865" i="19" s="1"/>
  <c r="A866" i="19" s="1"/>
  <c r="A867" i="19" s="1"/>
  <c r="A868" i="19" s="1"/>
  <c r="A869" i="19" s="1"/>
  <c r="A870" i="19" s="1"/>
  <c r="A871" i="19" s="1"/>
  <c r="A872" i="19" s="1"/>
  <c r="A873" i="19" s="1"/>
  <c r="A874" i="19" s="1"/>
  <c r="A875" i="19" s="1"/>
  <c r="A876" i="19" s="1"/>
  <c r="A877" i="19" s="1"/>
  <c r="A878" i="19" s="1"/>
  <c r="A879" i="19" s="1"/>
  <c r="A880" i="19" s="1"/>
  <c r="A881" i="19" s="1"/>
  <c r="A882" i="19" s="1"/>
  <c r="A883" i="19" s="1"/>
  <c r="A884" i="19" s="1"/>
  <c r="A885" i="19" s="1"/>
  <c r="A886" i="19" s="1"/>
  <c r="A887" i="19" s="1"/>
  <c r="A888" i="19" s="1"/>
  <c r="A889" i="19" s="1"/>
  <c r="A890" i="19" s="1"/>
  <c r="A891" i="19" s="1"/>
  <c r="A892" i="19" s="1"/>
  <c r="A893" i="19" s="1"/>
  <c r="A894" i="19" s="1"/>
  <c r="A895" i="19" s="1"/>
  <c r="A896" i="19" s="1"/>
  <c r="A897" i="19" s="1"/>
  <c r="A898" i="19" s="1"/>
  <c r="A899" i="19" s="1"/>
  <c r="A900" i="19" s="1"/>
  <c r="A901" i="19" s="1"/>
  <c r="A902" i="19" s="1"/>
  <c r="A903" i="19" s="1"/>
  <c r="A904" i="19" s="1"/>
  <c r="A905" i="19" s="1"/>
  <c r="A906" i="19" s="1"/>
  <c r="A907" i="19" s="1"/>
  <c r="A908" i="19" s="1"/>
  <c r="A909" i="19" s="1"/>
  <c r="A910" i="19" s="1"/>
  <c r="A911" i="19" s="1"/>
  <c r="A912" i="19" s="1"/>
  <c r="A913" i="19" s="1"/>
  <c r="A914" i="19" s="1"/>
  <c r="A915" i="19" s="1"/>
  <c r="A916" i="19" s="1"/>
  <c r="A917" i="19" s="1"/>
  <c r="A918" i="19" s="1"/>
  <c r="A919" i="19" s="1"/>
  <c r="A920" i="19" s="1"/>
  <c r="A921" i="19" s="1"/>
  <c r="A922" i="19" s="1"/>
  <c r="A923" i="19" s="1"/>
  <c r="A924" i="19" s="1"/>
  <c r="A925" i="19" s="1"/>
  <c r="A926" i="19" s="1"/>
  <c r="A927" i="19" s="1"/>
  <c r="A928" i="19" s="1"/>
  <c r="A929" i="19" s="1"/>
  <c r="A930" i="19" s="1"/>
  <c r="A931" i="19" s="1"/>
  <c r="A932" i="19" s="1"/>
  <c r="A933" i="19" s="1"/>
  <c r="A934" i="19" s="1"/>
  <c r="A935" i="19" s="1"/>
  <c r="A936" i="19" s="1"/>
  <c r="A937" i="19" s="1"/>
  <c r="A938" i="19" s="1"/>
  <c r="A939" i="19" s="1"/>
  <c r="A940" i="19" s="1"/>
  <c r="A941" i="19" s="1"/>
  <c r="A942" i="19" s="1"/>
  <c r="A943" i="19" s="1"/>
  <c r="A944" i="19" s="1"/>
  <c r="A945" i="19" s="1"/>
  <c r="A946" i="19" s="1"/>
  <c r="A947" i="19" s="1"/>
  <c r="A948" i="19" s="1"/>
  <c r="A949" i="19" s="1"/>
  <c r="A950" i="19" s="1"/>
  <c r="A951" i="19" s="1"/>
  <c r="A952" i="19" s="1"/>
  <c r="A953" i="19" s="1"/>
  <c r="A954" i="19" s="1"/>
  <c r="A955" i="19" s="1"/>
  <c r="A956" i="19" s="1"/>
  <c r="A957" i="19" s="1"/>
  <c r="A958" i="19" s="1"/>
  <c r="A959" i="19" s="1"/>
  <c r="A960" i="19" s="1"/>
  <c r="A961" i="19" s="1"/>
  <c r="A962" i="19" s="1"/>
  <c r="A963" i="19" s="1"/>
  <c r="A964" i="19" s="1"/>
  <c r="A965" i="19" s="1"/>
  <c r="A966" i="19" s="1"/>
  <c r="A967" i="19" s="1"/>
  <c r="A968" i="19" s="1"/>
  <c r="A969" i="19" s="1"/>
  <c r="A970" i="19" s="1"/>
  <c r="A971" i="19" s="1"/>
  <c r="A972" i="19" s="1"/>
  <c r="A973" i="19" s="1"/>
  <c r="A974" i="19" s="1"/>
  <c r="A975" i="19" s="1"/>
  <c r="A976" i="19" s="1"/>
  <c r="A977" i="19" s="1"/>
  <c r="A978" i="19" s="1"/>
  <c r="A979" i="19" s="1"/>
  <c r="A980" i="19" s="1"/>
  <c r="A981" i="19" s="1"/>
  <c r="A982" i="19" s="1"/>
  <c r="A983" i="19" s="1"/>
  <c r="A984" i="19" s="1"/>
  <c r="A985" i="19" s="1"/>
  <c r="A986" i="19" s="1"/>
  <c r="A987" i="19" s="1"/>
  <c r="A988" i="19" s="1"/>
  <c r="A989" i="19" s="1"/>
  <c r="A990" i="19" s="1"/>
  <c r="A991" i="19" s="1"/>
  <c r="A992" i="19" s="1"/>
  <c r="A993" i="19" s="1"/>
  <c r="A994" i="19" s="1"/>
  <c r="A995" i="19" s="1"/>
  <c r="A996" i="19" s="1"/>
  <c r="A997" i="19" s="1"/>
  <c r="A998" i="19" s="1"/>
  <c r="A999" i="19" s="1"/>
  <c r="A1000" i="19" s="1"/>
  <c r="A1001" i="19" s="1"/>
  <c r="A1002" i="19" s="1"/>
  <c r="A1003" i="19" s="1"/>
  <c r="A1004" i="19" s="1"/>
  <c r="A1005" i="19" s="1"/>
  <c r="A1006" i="19" s="1"/>
  <c r="A1007" i="19" s="1"/>
  <c r="A1008" i="19" s="1"/>
  <c r="A1009" i="19" s="1"/>
  <c r="A1010" i="19" s="1"/>
  <c r="A1011" i="19" s="1"/>
  <c r="A1012" i="19" s="1"/>
  <c r="U8" i="21" l="1"/>
  <c r="U21" i="21" s="1"/>
  <c r="S8" i="21"/>
  <c r="I10" i="21"/>
  <c r="M9" i="21"/>
  <c r="L33" i="20"/>
  <c r="P31" i="20" s="1"/>
  <c r="Q31" i="20"/>
  <c r="U28" i="20"/>
  <c r="Q21" i="20"/>
  <c r="P21" i="20"/>
  <c r="Q17" i="20"/>
  <c r="P17" i="20"/>
  <c r="L10" i="20"/>
  <c r="U8" i="20"/>
  <c r="V8" i="20" s="1"/>
  <c r="U7" i="20"/>
  <c r="V7" i="20" s="1"/>
  <c r="U6" i="20"/>
  <c r="V6" i="20" s="1"/>
  <c r="L6" i="20" l="1"/>
  <c r="L7" i="20"/>
  <c r="U9" i="21"/>
  <c r="U22" i="21" s="1"/>
  <c r="S9" i="21"/>
  <c r="I11" i="21"/>
  <c r="M10" i="21"/>
  <c r="M10" i="20"/>
  <c r="D7" i="20" s="1"/>
  <c r="D8" i="20" s="1"/>
  <c r="V10" i="20"/>
  <c r="E7" i="20" s="1"/>
  <c r="E8" i="20" s="1"/>
  <c r="E9" i="20" s="1"/>
  <c r="E10" i="20" s="1"/>
  <c r="E11" i="20" s="1"/>
  <c r="E12" i="20" s="1"/>
  <c r="E13" i="20" s="1"/>
  <c r="E14" i="20" s="1"/>
  <c r="E15" i="20" s="1"/>
  <c r="E16" i="20" s="1"/>
  <c r="E17" i="20" s="1"/>
  <c r="E18" i="20" s="1"/>
  <c r="E19" i="20" s="1"/>
  <c r="E20" i="20" s="1"/>
  <c r="E21" i="20" s="1"/>
  <c r="E22" i="20" s="1"/>
  <c r="E23" i="20" s="1"/>
  <c r="E24" i="20" s="1"/>
  <c r="E25" i="20" s="1"/>
  <c r="E26" i="20" s="1"/>
  <c r="E27" i="20" s="1"/>
  <c r="U10" i="21" l="1"/>
  <c r="U23" i="21" s="1"/>
  <c r="S10" i="21"/>
  <c r="I12" i="21"/>
  <c r="M11" i="21"/>
  <c r="F7" i="20"/>
  <c r="G7" i="20" s="1"/>
  <c r="F8" i="20"/>
  <c r="G8" i="20" s="1"/>
  <c r="D9" i="20"/>
  <c r="U11" i="21" l="1"/>
  <c r="U24" i="21" s="1"/>
  <c r="S11" i="21"/>
  <c r="I13" i="21"/>
  <c r="M12" i="21"/>
  <c r="H8" i="20"/>
  <c r="F9" i="20"/>
  <c r="G9" i="20" s="1"/>
  <c r="H9" i="20" s="1"/>
  <c r="D10" i="20"/>
  <c r="B28" i="17"/>
  <c r="B25" i="17"/>
  <c r="B22" i="17"/>
  <c r="B19" i="17"/>
  <c r="C19" i="17" s="1"/>
  <c r="B17" i="17" s="1"/>
  <c r="B16" i="17"/>
  <c r="K18" i="17"/>
  <c r="K17" i="17"/>
  <c r="K16" i="17"/>
  <c r="K13" i="17"/>
  <c r="K12" i="17"/>
  <c r="M14" i="17" s="1"/>
  <c r="K9" i="17"/>
  <c r="K8" i="17"/>
  <c r="S10" i="17" s="1"/>
  <c r="K5" i="17"/>
  <c r="K4" i="17"/>
  <c r="C16" i="17"/>
  <c r="B15" i="17" s="1"/>
  <c r="B14" i="17" s="1"/>
  <c r="P12" i="17"/>
  <c r="O12" i="17"/>
  <c r="R10" i="17"/>
  <c r="P1" i="16"/>
  <c r="J1" i="16"/>
  <c r="S14" i="17" l="1"/>
  <c r="C22" i="17"/>
  <c r="B20" i="17" s="1"/>
  <c r="B21" i="17" s="1"/>
  <c r="M6" i="17"/>
  <c r="C28" i="17"/>
  <c r="B29" i="17" s="1"/>
  <c r="B30" i="17" s="1"/>
  <c r="C25" i="17"/>
  <c r="B23" i="17" s="1"/>
  <c r="B24" i="17" s="1"/>
  <c r="U12" i="21"/>
  <c r="U25" i="21" s="1"/>
  <c r="S12" i="21"/>
  <c r="M10" i="17"/>
  <c r="M24" i="17" s="1"/>
  <c r="M19" i="17"/>
  <c r="I14" i="21"/>
  <c r="M13" i="21"/>
  <c r="D11" i="20"/>
  <c r="F10" i="20"/>
  <c r="G10" i="20" s="1"/>
  <c r="H10" i="20" s="1"/>
  <c r="R14" i="17"/>
  <c r="B13" i="17"/>
  <c r="B18" i="17"/>
  <c r="B26" i="17"/>
  <c r="E12" i="17" l="1"/>
  <c r="E19" i="17"/>
  <c r="B16" i="3" s="1"/>
  <c r="E14" i="17"/>
  <c r="B11" i="3" s="1"/>
  <c r="E16" i="17"/>
  <c r="B13" i="3" s="1"/>
  <c r="E22" i="17"/>
  <c r="B19" i="3" s="1"/>
  <c r="E17" i="17"/>
  <c r="B14" i="3" s="1"/>
  <c r="E29" i="17"/>
  <c r="B26" i="3" s="1"/>
  <c r="E21" i="17"/>
  <c r="B18" i="3" s="1"/>
  <c r="E13" i="17"/>
  <c r="B10" i="3" s="1"/>
  <c r="E15" i="17"/>
  <c r="B12" i="3" s="1"/>
  <c r="B9" i="3"/>
  <c r="B7" i="3"/>
  <c r="E30" i="17"/>
  <c r="B27" i="3" s="1"/>
  <c r="E25" i="17"/>
  <c r="B22" i="3" s="1"/>
  <c r="E24" i="17"/>
  <c r="B21" i="3" s="1"/>
  <c r="E18" i="17"/>
  <c r="B15" i="3" s="1"/>
  <c r="U13" i="21"/>
  <c r="U26" i="21" s="1"/>
  <c r="S13" i="21"/>
  <c r="I15" i="21"/>
  <c r="M15" i="21" s="1"/>
  <c r="M14" i="21"/>
  <c r="F11" i="20"/>
  <c r="G11" i="20" s="1"/>
  <c r="H11" i="20" s="1"/>
  <c r="D12" i="20"/>
  <c r="E23" i="17"/>
  <c r="B20" i="3" s="1"/>
  <c r="E28" i="17"/>
  <c r="B25" i="3" s="1"/>
  <c r="E20" i="17"/>
  <c r="B17" i="3" s="1"/>
  <c r="E26" i="17"/>
  <c r="B23" i="3" s="1"/>
  <c r="B27" i="17"/>
  <c r="E27" i="17" s="1"/>
  <c r="B24" i="3" s="1"/>
  <c r="D1" i="16"/>
  <c r="A629" i="16"/>
  <c r="A628" i="16"/>
  <c r="A627" i="16"/>
  <c r="A626" i="16"/>
  <c r="A625" i="16"/>
  <c r="A624" i="16"/>
  <c r="A623" i="16"/>
  <c r="A622" i="16"/>
  <c r="A621" i="16"/>
  <c r="A620" i="16"/>
  <c r="A619" i="16"/>
  <c r="A618" i="16"/>
  <c r="A617" i="16"/>
  <c r="A616" i="16"/>
  <c r="A615" i="16"/>
  <c r="A614" i="16"/>
  <c r="A613" i="16"/>
  <c r="A612" i="16"/>
  <c r="A611" i="16"/>
  <c r="A610" i="16"/>
  <c r="A609" i="16"/>
  <c r="A608" i="16"/>
  <c r="A607" i="16"/>
  <c r="A606" i="16"/>
  <c r="A605" i="16"/>
  <c r="A604" i="16"/>
  <c r="A603" i="16"/>
  <c r="A602" i="16"/>
  <c r="A601" i="16"/>
  <c r="A600" i="16"/>
  <c r="A599" i="16"/>
  <c r="A598" i="16"/>
  <c r="A597" i="16"/>
  <c r="A596" i="16"/>
  <c r="A595" i="16"/>
  <c r="A594" i="16"/>
  <c r="A593" i="16"/>
  <c r="A592" i="16"/>
  <c r="A591" i="16"/>
  <c r="A590" i="16"/>
  <c r="A589" i="16"/>
  <c r="A588" i="16"/>
  <c r="A587" i="16"/>
  <c r="A586" i="16"/>
  <c r="A585" i="16"/>
  <c r="A584" i="16"/>
  <c r="A583" i="16"/>
  <c r="A582" i="16"/>
  <c r="A581" i="16"/>
  <c r="A580" i="16"/>
  <c r="A579" i="16"/>
  <c r="A578" i="16"/>
  <c r="A577" i="16"/>
  <c r="A576" i="16"/>
  <c r="A575" i="16"/>
  <c r="A574" i="16"/>
  <c r="A573" i="16"/>
  <c r="A572" i="16"/>
  <c r="A571" i="16"/>
  <c r="A570" i="16"/>
  <c r="A569" i="16"/>
  <c r="A568" i="16"/>
  <c r="A567" i="16"/>
  <c r="A566" i="16"/>
  <c r="A565" i="16"/>
  <c r="A564" i="16"/>
  <c r="A563" i="16"/>
  <c r="A562" i="16"/>
  <c r="A561" i="16"/>
  <c r="A560" i="16"/>
  <c r="A559" i="16"/>
  <c r="A558" i="16"/>
  <c r="A557" i="16"/>
  <c r="A556" i="16"/>
  <c r="A555" i="16"/>
  <c r="A554" i="16"/>
  <c r="A553" i="16"/>
  <c r="A552" i="16"/>
  <c r="A551" i="16"/>
  <c r="A550" i="16"/>
  <c r="A549" i="16"/>
  <c r="A548" i="16"/>
  <c r="A547" i="16"/>
  <c r="A546" i="16"/>
  <c r="A545" i="16"/>
  <c r="A544" i="16"/>
  <c r="A543" i="16"/>
  <c r="A542" i="16"/>
  <c r="A541" i="16"/>
  <c r="A540" i="16"/>
  <c r="A539" i="16"/>
  <c r="A538" i="16"/>
  <c r="A537" i="16"/>
  <c r="A536" i="16"/>
  <c r="A535" i="16"/>
  <c r="A534" i="16"/>
  <c r="A533" i="16"/>
  <c r="A532" i="16"/>
  <c r="A531" i="16"/>
  <c r="A530" i="16"/>
  <c r="A529" i="16"/>
  <c r="A528" i="16"/>
  <c r="A527" i="16"/>
  <c r="A526" i="16"/>
  <c r="A525" i="16"/>
  <c r="A524" i="16"/>
  <c r="A523" i="16"/>
  <c r="A522" i="16"/>
  <c r="A521" i="16"/>
  <c r="A520" i="16"/>
  <c r="A519" i="16"/>
  <c r="A518" i="16"/>
  <c r="A517" i="16"/>
  <c r="A516" i="16"/>
  <c r="A515" i="16"/>
  <c r="A514" i="16"/>
  <c r="A513" i="16"/>
  <c r="A512" i="16"/>
  <c r="A511" i="16"/>
  <c r="A510" i="16"/>
  <c r="A509" i="16"/>
  <c r="A508" i="16"/>
  <c r="A507" i="16"/>
  <c r="A506" i="16"/>
  <c r="A505" i="16"/>
  <c r="A504" i="16"/>
  <c r="A503" i="16"/>
  <c r="A502" i="16"/>
  <c r="A501" i="16"/>
  <c r="A500" i="16"/>
  <c r="A499" i="16"/>
  <c r="A498" i="16"/>
  <c r="A497" i="16"/>
  <c r="A496" i="16"/>
  <c r="A495" i="16"/>
  <c r="A494" i="16"/>
  <c r="A493" i="16"/>
  <c r="A492" i="16"/>
  <c r="A491" i="16"/>
  <c r="A490" i="16"/>
  <c r="A489" i="16"/>
  <c r="A488" i="16"/>
  <c r="A487" i="16"/>
  <c r="A486" i="16"/>
  <c r="A485" i="16"/>
  <c r="A484" i="16"/>
  <c r="A483" i="16"/>
  <c r="A482" i="16"/>
  <c r="A481" i="16"/>
  <c r="A480" i="16"/>
  <c r="A479" i="16"/>
  <c r="A478" i="16"/>
  <c r="A477" i="16"/>
  <c r="A476" i="16"/>
  <c r="A475" i="16"/>
  <c r="A474" i="16"/>
  <c r="A473" i="16"/>
  <c r="A472" i="16"/>
  <c r="A471" i="16"/>
  <c r="A470" i="16"/>
  <c r="A469" i="16"/>
  <c r="A468" i="16"/>
  <c r="A467" i="16"/>
  <c r="A466" i="16"/>
  <c r="A465" i="16"/>
  <c r="A464" i="16"/>
  <c r="A463" i="16"/>
  <c r="A462" i="16"/>
  <c r="A461" i="16"/>
  <c r="A460" i="16"/>
  <c r="A459" i="16"/>
  <c r="A458" i="16"/>
  <c r="A457" i="16"/>
  <c r="A456" i="16"/>
  <c r="A455" i="16"/>
  <c r="A454" i="16"/>
  <c r="A453" i="16"/>
  <c r="A452" i="16"/>
  <c r="A451" i="16"/>
  <c r="A450" i="16"/>
  <c r="A449" i="16"/>
  <c r="A448" i="16"/>
  <c r="A447" i="16"/>
  <c r="A446" i="16"/>
  <c r="A445" i="16"/>
  <c r="A444" i="16"/>
  <c r="A443" i="16"/>
  <c r="A442" i="16"/>
  <c r="A441" i="16"/>
  <c r="A440" i="16"/>
  <c r="A439" i="16"/>
  <c r="A438" i="16"/>
  <c r="A437" i="16"/>
  <c r="A436" i="16"/>
  <c r="A435" i="16"/>
  <c r="A434" i="16"/>
  <c r="A433" i="16"/>
  <c r="A432" i="16"/>
  <c r="A431" i="16"/>
  <c r="A430" i="16"/>
  <c r="A429" i="16"/>
  <c r="A428" i="16"/>
  <c r="A427" i="16"/>
  <c r="A426" i="16"/>
  <c r="A425" i="16"/>
  <c r="A424" i="16"/>
  <c r="A423" i="16"/>
  <c r="A422" i="16"/>
  <c r="A421" i="16"/>
  <c r="A420" i="16"/>
  <c r="A419" i="16"/>
  <c r="A418" i="16"/>
  <c r="A417" i="16"/>
  <c r="A416" i="16"/>
  <c r="A415" i="16"/>
  <c r="A414" i="16"/>
  <c r="A413" i="16"/>
  <c r="A412" i="16"/>
  <c r="A411" i="16"/>
  <c r="A410" i="16"/>
  <c r="A409" i="16"/>
  <c r="A408" i="16"/>
  <c r="A407" i="16"/>
  <c r="A406" i="16"/>
  <c r="A405" i="16"/>
  <c r="A404" i="16"/>
  <c r="A403" i="16"/>
  <c r="A402" i="16"/>
  <c r="A401" i="16"/>
  <c r="A400" i="16"/>
  <c r="A399" i="16"/>
  <c r="A398" i="16"/>
  <c r="A397" i="16"/>
  <c r="A396" i="16"/>
  <c r="A395" i="16"/>
  <c r="A394" i="16"/>
  <c r="A393" i="16"/>
  <c r="A392" i="16"/>
  <c r="A391" i="16"/>
  <c r="A390" i="16"/>
  <c r="A389" i="16"/>
  <c r="A388" i="16"/>
  <c r="A387" i="16"/>
  <c r="A386" i="16"/>
  <c r="A385" i="16"/>
  <c r="A384" i="16"/>
  <c r="A383" i="16"/>
  <c r="A382" i="16"/>
  <c r="A381" i="16"/>
  <c r="A380" i="16"/>
  <c r="A379" i="16"/>
  <c r="A378" i="16"/>
  <c r="A377" i="16"/>
  <c r="A376" i="16"/>
  <c r="A375" i="16"/>
  <c r="A374" i="16"/>
  <c r="A373" i="16"/>
  <c r="A372" i="16"/>
  <c r="A371" i="16"/>
  <c r="A370" i="16"/>
  <c r="A369" i="16"/>
  <c r="A368" i="16"/>
  <c r="A367" i="16"/>
  <c r="A366" i="16"/>
  <c r="A365" i="16"/>
  <c r="A364" i="16"/>
  <c r="A363" i="16"/>
  <c r="A362" i="16"/>
  <c r="A361" i="16"/>
  <c r="A360" i="16"/>
  <c r="A359" i="16"/>
  <c r="A358" i="16"/>
  <c r="A357" i="16"/>
  <c r="A356" i="16"/>
  <c r="A355" i="16"/>
  <c r="A354" i="16"/>
  <c r="A353" i="16"/>
  <c r="A352" i="16"/>
  <c r="A351" i="16"/>
  <c r="A350" i="16"/>
  <c r="A349" i="16"/>
  <c r="A348" i="16"/>
  <c r="A347" i="16"/>
  <c r="A346" i="16"/>
  <c r="A345" i="16"/>
  <c r="A344" i="16"/>
  <c r="A343" i="16"/>
  <c r="A342" i="16"/>
  <c r="A341" i="16"/>
  <c r="A340" i="16"/>
  <c r="A339" i="16"/>
  <c r="A338" i="16"/>
  <c r="A337" i="16"/>
  <c r="A336" i="16"/>
  <c r="A335" i="16"/>
  <c r="A334" i="16"/>
  <c r="A333" i="16"/>
  <c r="A332" i="16"/>
  <c r="A331" i="16"/>
  <c r="A330" i="16"/>
  <c r="A329" i="16"/>
  <c r="A328" i="16"/>
  <c r="A327" i="16"/>
  <c r="A326" i="16"/>
  <c r="A325" i="16"/>
  <c r="A324" i="16"/>
  <c r="A323" i="16"/>
  <c r="A322" i="16"/>
  <c r="A321" i="16"/>
  <c r="A320" i="16"/>
  <c r="A319" i="16"/>
  <c r="A318" i="16"/>
  <c r="A317" i="16"/>
  <c r="A316" i="16"/>
  <c r="A315" i="16"/>
  <c r="A314" i="16"/>
  <c r="A313" i="16"/>
  <c r="A312" i="16"/>
  <c r="A311" i="16"/>
  <c r="A310" i="16"/>
  <c r="A309" i="16"/>
  <c r="A308" i="16"/>
  <c r="A307" i="16"/>
  <c r="A306" i="16"/>
  <c r="A305" i="16"/>
  <c r="A304" i="16"/>
  <c r="A303" i="16"/>
  <c r="A302" i="16"/>
  <c r="A301" i="16"/>
  <c r="A300" i="16"/>
  <c r="A299" i="16"/>
  <c r="A298" i="16"/>
  <c r="A297" i="16"/>
  <c r="A296" i="16"/>
  <c r="A295" i="16"/>
  <c r="A294" i="16"/>
  <c r="A293" i="16"/>
  <c r="A292" i="16"/>
  <c r="A291" i="16"/>
  <c r="A290" i="16"/>
  <c r="A289" i="16"/>
  <c r="A288" i="16"/>
  <c r="A287" i="16"/>
  <c r="A286" i="16"/>
  <c r="A285" i="16"/>
  <c r="A284" i="16"/>
  <c r="A283" i="16"/>
  <c r="A282" i="16"/>
  <c r="A281" i="16"/>
  <c r="A280" i="16"/>
  <c r="A279" i="16"/>
  <c r="A278" i="16"/>
  <c r="A277" i="16"/>
  <c r="A276" i="16"/>
  <c r="A275" i="16"/>
  <c r="A274" i="16"/>
  <c r="A273" i="16"/>
  <c r="A272" i="16"/>
  <c r="A271" i="16"/>
  <c r="A270" i="16"/>
  <c r="A269" i="16"/>
  <c r="A268" i="16"/>
  <c r="A267" i="16"/>
  <c r="A266" i="16"/>
  <c r="A265" i="16"/>
  <c r="A264" i="16"/>
  <c r="A263" i="16"/>
  <c r="A262" i="16"/>
  <c r="A261" i="16"/>
  <c r="A260" i="16"/>
  <c r="A259" i="16"/>
  <c r="A258" i="16"/>
  <c r="A257" i="16"/>
  <c r="A256" i="16"/>
  <c r="A255" i="16"/>
  <c r="A254" i="16"/>
  <c r="A253" i="16"/>
  <c r="A252" i="16"/>
  <c r="A251" i="16"/>
  <c r="A250" i="16"/>
  <c r="A249" i="16"/>
  <c r="A248" i="16"/>
  <c r="A247" i="16"/>
  <c r="A246" i="16"/>
  <c r="A245" i="16"/>
  <c r="A244" i="16"/>
  <c r="A243" i="16"/>
  <c r="A242" i="16"/>
  <c r="A241" i="16"/>
  <c r="A240" i="16"/>
  <c r="A239" i="16"/>
  <c r="A238" i="16"/>
  <c r="A237" i="16"/>
  <c r="A236" i="16"/>
  <c r="A235" i="16"/>
  <c r="A234" i="16"/>
  <c r="A233" i="16"/>
  <c r="A232" i="16"/>
  <c r="A231" i="16"/>
  <c r="A230" i="16"/>
  <c r="A229" i="16"/>
  <c r="A228" i="16"/>
  <c r="A227" i="16"/>
  <c r="A226" i="16"/>
  <c r="A225" i="16"/>
  <c r="A224" i="16"/>
  <c r="A223" i="16"/>
  <c r="A222" i="16"/>
  <c r="A221" i="16"/>
  <c r="A220" i="16"/>
  <c r="A219" i="16"/>
  <c r="A218" i="16"/>
  <c r="A217" i="16"/>
  <c r="A216" i="16"/>
  <c r="A215" i="16"/>
  <c r="A214" i="16"/>
  <c r="A213" i="16"/>
  <c r="A212" i="16"/>
  <c r="A211" i="16"/>
  <c r="A210" i="16"/>
  <c r="A209" i="16"/>
  <c r="A208" i="16"/>
  <c r="A207" i="16"/>
  <c r="A206" i="16"/>
  <c r="A205" i="16"/>
  <c r="A204" i="16"/>
  <c r="A203" i="16"/>
  <c r="A202" i="16"/>
  <c r="A201" i="16"/>
  <c r="A200" i="16"/>
  <c r="A199" i="16"/>
  <c r="A198" i="16"/>
  <c r="A197" i="16"/>
  <c r="A196" i="16"/>
  <c r="A195" i="16"/>
  <c r="A194" i="16"/>
  <c r="A193" i="16"/>
  <c r="A192" i="16"/>
  <c r="A191" i="16"/>
  <c r="A190" i="16"/>
  <c r="A189" i="16"/>
  <c r="A188" i="16"/>
  <c r="A187" i="16"/>
  <c r="A186" i="16"/>
  <c r="A185" i="16"/>
  <c r="A184" i="16"/>
  <c r="A183" i="16"/>
  <c r="A182" i="16"/>
  <c r="A181" i="16"/>
  <c r="A180" i="16"/>
  <c r="A179" i="16"/>
  <c r="A178" i="16"/>
  <c r="A177" i="16"/>
  <c r="A176" i="16"/>
  <c r="A175" i="16"/>
  <c r="A174" i="16"/>
  <c r="A173" i="16"/>
  <c r="A172" i="16"/>
  <c r="A171" i="16"/>
  <c r="A170" i="16"/>
  <c r="A169" i="16"/>
  <c r="A168" i="16"/>
  <c r="A167" i="16"/>
  <c r="A166" i="16"/>
  <c r="A165" i="16"/>
  <c r="A164" i="16"/>
  <c r="A163" i="16"/>
  <c r="A162" i="16"/>
  <c r="A161" i="16"/>
  <c r="A160" i="16"/>
  <c r="A159" i="16"/>
  <c r="A158" i="16"/>
  <c r="A157" i="16"/>
  <c r="A156" i="16"/>
  <c r="A155" i="16"/>
  <c r="A154" i="16"/>
  <c r="A153" i="16"/>
  <c r="A152" i="16"/>
  <c r="A151" i="16"/>
  <c r="A150" i="16"/>
  <c r="A149" i="16"/>
  <c r="A148" i="16"/>
  <c r="A147" i="16"/>
  <c r="A146" i="16"/>
  <c r="A145" i="16"/>
  <c r="A144" i="16"/>
  <c r="A143" i="16"/>
  <c r="A142" i="16"/>
  <c r="A141" i="16"/>
  <c r="A140" i="16"/>
  <c r="A139" i="16"/>
  <c r="A138" i="16"/>
  <c r="A137" i="16"/>
  <c r="A136" i="16"/>
  <c r="A135" i="16"/>
  <c r="A134" i="16"/>
  <c r="A133" i="16"/>
  <c r="A132" i="16"/>
  <c r="A131" i="16"/>
  <c r="A130" i="16"/>
  <c r="A129" i="16"/>
  <c r="A128" i="16"/>
  <c r="A127" i="16"/>
  <c r="A126" i="16"/>
  <c r="A125" i="16"/>
  <c r="A124" i="16"/>
  <c r="A123" i="16"/>
  <c r="A122" i="16"/>
  <c r="A121" i="16"/>
  <c r="A120" i="16"/>
  <c r="A119" i="16"/>
  <c r="A118" i="16"/>
  <c r="A117" i="16"/>
  <c r="A116" i="16"/>
  <c r="A115" i="16"/>
  <c r="A114" i="16"/>
  <c r="A113" i="16"/>
  <c r="A112" i="16"/>
  <c r="A111" i="16"/>
  <c r="A110" i="16"/>
  <c r="A109" i="16"/>
  <c r="A108" i="16"/>
  <c r="A107" i="16"/>
  <c r="A106" i="16"/>
  <c r="A105" i="16"/>
  <c r="A104" i="16"/>
  <c r="A103" i="16"/>
  <c r="A102" i="16"/>
  <c r="A101" i="16"/>
  <c r="A100" i="16"/>
  <c r="A99" i="16"/>
  <c r="A98" i="16"/>
  <c r="A97" i="16"/>
  <c r="A96" i="16"/>
  <c r="A95" i="16"/>
  <c r="A94" i="16"/>
  <c r="A93" i="16"/>
  <c r="A92" i="16"/>
  <c r="A91" i="16"/>
  <c r="A90" i="16"/>
  <c r="A89" i="16"/>
  <c r="A88" i="16"/>
  <c r="A87" i="16"/>
  <c r="A86" i="16"/>
  <c r="A85" i="16"/>
  <c r="A84" i="16"/>
  <c r="A83" i="16"/>
  <c r="A82" i="16"/>
  <c r="A81" i="16"/>
  <c r="A80" i="16"/>
  <c r="A79" i="16"/>
  <c r="A78" i="16"/>
  <c r="A77" i="16"/>
  <c r="A76" i="16"/>
  <c r="A75" i="16"/>
  <c r="A74" i="16"/>
  <c r="A73" i="16"/>
  <c r="A72" i="16"/>
  <c r="A71" i="16"/>
  <c r="A70" i="16"/>
  <c r="A69" i="16"/>
  <c r="A68" i="16"/>
  <c r="A67" i="16"/>
  <c r="A66" i="16"/>
  <c r="A65" i="16"/>
  <c r="A64" i="16"/>
  <c r="A63" i="16"/>
  <c r="A62" i="16"/>
  <c r="A61" i="16"/>
  <c r="A60" i="16"/>
  <c r="A59" i="16"/>
  <c r="A58" i="16"/>
  <c r="A57" i="16"/>
  <c r="A56" i="16"/>
  <c r="A55" i="16"/>
  <c r="A54" i="16"/>
  <c r="A53" i="16"/>
  <c r="A52" i="16"/>
  <c r="A51" i="16"/>
  <c r="A50" i="16"/>
  <c r="A49" i="16"/>
  <c r="A48" i="16"/>
  <c r="A47" i="16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U15" i="21" l="1"/>
  <c r="U28" i="21" s="1"/>
  <c r="S15" i="21"/>
  <c r="U14" i="21"/>
  <c r="U27" i="21" s="1"/>
  <c r="S14" i="21"/>
  <c r="F12" i="20"/>
  <c r="G12" i="20" s="1"/>
  <c r="H12" i="20" s="1"/>
  <c r="D13" i="20"/>
  <c r="F13" i="20" l="1"/>
  <c r="G13" i="20" s="1"/>
  <c r="H13" i="20" s="1"/>
  <c r="D14" i="20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208" i="15"/>
  <c r="A209" i="15"/>
  <c r="A210" i="15"/>
  <c r="A211" i="15"/>
  <c r="A212" i="15"/>
  <c r="A213" i="15"/>
  <c r="A214" i="15"/>
  <c r="A215" i="15"/>
  <c r="A216" i="15"/>
  <c r="A217" i="15"/>
  <c r="A218" i="15"/>
  <c r="A219" i="15"/>
  <c r="A220" i="15"/>
  <c r="A221" i="15"/>
  <c r="A222" i="15"/>
  <c r="A223" i="15"/>
  <c r="A224" i="15"/>
  <c r="A225" i="15"/>
  <c r="A226" i="15"/>
  <c r="A227" i="15"/>
  <c r="A228" i="15"/>
  <c r="A229" i="15"/>
  <c r="A230" i="15"/>
  <c r="A231" i="15"/>
  <c r="A232" i="15"/>
  <c r="A233" i="15"/>
  <c r="A234" i="15"/>
  <c r="A235" i="15"/>
  <c r="A236" i="15"/>
  <c r="A237" i="15"/>
  <c r="A238" i="15"/>
  <c r="A239" i="15"/>
  <c r="A240" i="15"/>
  <c r="A241" i="15"/>
  <c r="A242" i="15"/>
  <c r="A243" i="15"/>
  <c r="A244" i="15"/>
  <c r="A245" i="15"/>
  <c r="A246" i="15"/>
  <c r="A247" i="15"/>
  <c r="A248" i="15"/>
  <c r="A249" i="15"/>
  <c r="A250" i="15"/>
  <c r="A251" i="15"/>
  <c r="A252" i="15"/>
  <c r="A253" i="15"/>
  <c r="A254" i="15"/>
  <c r="A255" i="15"/>
  <c r="A256" i="15"/>
  <c r="A257" i="15"/>
  <c r="A258" i="15"/>
  <c r="A259" i="15"/>
  <c r="A260" i="15"/>
  <c r="A261" i="15"/>
  <c r="A262" i="15"/>
  <c r="A263" i="15"/>
  <c r="A264" i="15"/>
  <c r="A265" i="15"/>
  <c r="A266" i="15"/>
  <c r="A267" i="15"/>
  <c r="A268" i="15"/>
  <c r="A269" i="15"/>
  <c r="A270" i="15"/>
  <c r="A271" i="15"/>
  <c r="A272" i="15"/>
  <c r="A273" i="15"/>
  <c r="A274" i="15"/>
  <c r="A275" i="15"/>
  <c r="A276" i="15"/>
  <c r="A277" i="15"/>
  <c r="A278" i="15"/>
  <c r="A279" i="15"/>
  <c r="A280" i="15"/>
  <c r="A281" i="15"/>
  <c r="A282" i="15"/>
  <c r="A283" i="15"/>
  <c r="A284" i="15"/>
  <c r="A285" i="15"/>
  <c r="A286" i="15"/>
  <c r="A287" i="15"/>
  <c r="A288" i="15"/>
  <c r="A289" i="15"/>
  <c r="A290" i="15"/>
  <c r="A291" i="15"/>
  <c r="A292" i="15"/>
  <c r="A293" i="15"/>
  <c r="A294" i="15"/>
  <c r="A295" i="15"/>
  <c r="A296" i="15"/>
  <c r="A297" i="15"/>
  <c r="A298" i="15"/>
  <c r="A299" i="15"/>
  <c r="A300" i="15"/>
  <c r="A301" i="15"/>
  <c r="A302" i="15"/>
  <c r="A303" i="15"/>
  <c r="A304" i="15"/>
  <c r="A305" i="15"/>
  <c r="A306" i="15"/>
  <c r="A307" i="15"/>
  <c r="A308" i="15"/>
  <c r="A309" i="15"/>
  <c r="A310" i="15"/>
  <c r="A311" i="15"/>
  <c r="A312" i="15"/>
  <c r="A313" i="15"/>
  <c r="A314" i="15"/>
  <c r="A315" i="15"/>
  <c r="A316" i="15"/>
  <c r="A317" i="15"/>
  <c r="A318" i="15"/>
  <c r="A319" i="15"/>
  <c r="A320" i="15"/>
  <c r="A321" i="15"/>
  <c r="A322" i="15"/>
  <c r="A323" i="15"/>
  <c r="A324" i="15"/>
  <c r="A325" i="15"/>
  <c r="A326" i="15"/>
  <c r="A327" i="15"/>
  <c r="A328" i="15"/>
  <c r="A329" i="15"/>
  <c r="A330" i="15"/>
  <c r="A331" i="15"/>
  <c r="A332" i="15"/>
  <c r="A333" i="15"/>
  <c r="A334" i="15"/>
  <c r="A335" i="15"/>
  <c r="A336" i="15"/>
  <c r="A337" i="15"/>
  <c r="A338" i="15"/>
  <c r="A339" i="15"/>
  <c r="A340" i="15"/>
  <c r="A341" i="15"/>
  <c r="A31" i="15"/>
  <c r="A30" i="15"/>
  <c r="A29" i="15"/>
  <c r="D15" i="20" l="1"/>
  <c r="F14" i="20"/>
  <c r="G14" i="20" s="1"/>
  <c r="H14" i="20" s="1"/>
  <c r="BP3" i="9"/>
  <c r="G3" i="9"/>
  <c r="G3" i="8"/>
  <c r="K3" i="9"/>
  <c r="K3" i="8"/>
  <c r="BP6" i="9" l="1"/>
  <c r="D16" i="20"/>
  <c r="F15" i="20"/>
  <c r="G15" i="20" s="1"/>
  <c r="H15" i="20" s="1"/>
  <c r="D17" i="20" l="1"/>
  <c r="F16" i="20"/>
  <c r="G16" i="20" s="1"/>
  <c r="H16" i="20" s="1"/>
  <c r="C12" i="4"/>
  <c r="C13" i="4"/>
  <c r="C14" i="4"/>
  <c r="E14" i="4" s="1"/>
  <c r="C15" i="4"/>
  <c r="C16" i="4"/>
  <c r="C17" i="4"/>
  <c r="C18" i="4"/>
  <c r="C19" i="4"/>
  <c r="E19" i="4" s="1"/>
  <c r="C20" i="4"/>
  <c r="E20" i="4" s="1"/>
  <c r="C21" i="4"/>
  <c r="C22" i="4"/>
  <c r="C23" i="4"/>
  <c r="C24" i="4"/>
  <c r="C25" i="4"/>
  <c r="E25" i="4" s="1"/>
  <c r="C26" i="4"/>
  <c r="E26" i="4" s="1"/>
  <c r="C27" i="4"/>
  <c r="C28" i="4"/>
  <c r="C29" i="4"/>
  <c r="C30" i="4"/>
  <c r="C31" i="4"/>
  <c r="E31" i="4" s="1"/>
  <c r="C32" i="4"/>
  <c r="E32" i="4" s="1"/>
  <c r="C33" i="4"/>
  <c r="C34" i="4"/>
  <c r="C35" i="4"/>
  <c r="C36" i="4"/>
  <c r="C37" i="4"/>
  <c r="E37" i="4" s="1"/>
  <c r="C38" i="4"/>
  <c r="E38" i="4" s="1"/>
  <c r="C39" i="4"/>
  <c r="C40" i="4"/>
  <c r="C41" i="4"/>
  <c r="C42" i="4"/>
  <c r="C43" i="4"/>
  <c r="C44" i="4"/>
  <c r="E44" i="4" s="1"/>
  <c r="C45" i="4"/>
  <c r="C46" i="4"/>
  <c r="C47" i="4"/>
  <c r="C48" i="4"/>
  <c r="C49" i="4"/>
  <c r="E49" i="4" s="1"/>
  <c r="C50" i="4"/>
  <c r="E50" i="4" s="1"/>
  <c r="C51" i="4"/>
  <c r="C52" i="4"/>
  <c r="C53" i="4"/>
  <c r="C54" i="4"/>
  <c r="C55" i="4"/>
  <c r="E55" i="4" s="1"/>
  <c r="C56" i="4"/>
  <c r="E56" i="4" s="1"/>
  <c r="C57" i="4"/>
  <c r="C58" i="4"/>
  <c r="C59" i="4"/>
  <c r="C60" i="4"/>
  <c r="C11" i="4"/>
  <c r="L10" i="3"/>
  <c r="C19" i="5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7" i="13"/>
  <c r="E16" i="13"/>
  <c r="E15" i="13"/>
  <c r="E14" i="13"/>
  <c r="E13" i="13"/>
  <c r="E12" i="13"/>
  <c r="E11" i="13"/>
  <c r="E10" i="13"/>
  <c r="E9" i="13"/>
  <c r="E8" i="13"/>
  <c r="E7" i="13"/>
  <c r="E6" i="13"/>
  <c r="E5" i="13"/>
  <c r="E4" i="13"/>
  <c r="E3" i="13"/>
  <c r="E2" i="13"/>
  <c r="E43" i="4" l="1"/>
  <c r="E13" i="4"/>
  <c r="E21" i="4"/>
  <c r="E15" i="4"/>
  <c r="E59" i="4"/>
  <c r="E53" i="4"/>
  <c r="E57" i="4"/>
  <c r="E51" i="4"/>
  <c r="E45" i="4"/>
  <c r="E39" i="4"/>
  <c r="E47" i="4"/>
  <c r="E41" i="4"/>
  <c r="E35" i="4"/>
  <c r="E29" i="4"/>
  <c r="E23" i="4"/>
  <c r="E33" i="4"/>
  <c r="E27" i="4"/>
  <c r="E17" i="4"/>
  <c r="E11" i="4"/>
  <c r="E60" i="4"/>
  <c r="E54" i="4"/>
  <c r="E48" i="4"/>
  <c r="E42" i="4"/>
  <c r="E36" i="4"/>
  <c r="E30" i="4"/>
  <c r="E24" i="4"/>
  <c r="E18" i="4"/>
  <c r="E12" i="4"/>
  <c r="E58" i="4"/>
  <c r="E52" i="4"/>
  <c r="E46" i="4"/>
  <c r="E40" i="4"/>
  <c r="E34" i="4"/>
  <c r="E28" i="4"/>
  <c r="E22" i="4"/>
  <c r="E16" i="4"/>
  <c r="F17" i="20"/>
  <c r="G17" i="20" s="1"/>
  <c r="H17" i="20" s="1"/>
  <c r="D18" i="20"/>
  <c r="C20" i="5"/>
  <c r="U8" i="3"/>
  <c r="U7" i="3"/>
  <c r="D19" i="20" l="1"/>
  <c r="F18" i="20"/>
  <c r="G18" i="20" s="1"/>
  <c r="H18" i="20" s="1"/>
  <c r="B6" i="9"/>
  <c r="BN317" i="9"/>
  <c r="BV317" i="9" s="1"/>
  <c r="Q6" i="9"/>
  <c r="C7" i="9"/>
  <c r="BP7" i="9" s="1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D5" i="9"/>
  <c r="E5" i="9" s="1"/>
  <c r="AZ4" i="9"/>
  <c r="AW4" i="9"/>
  <c r="C25" i="5"/>
  <c r="F19" i="20" l="1"/>
  <c r="G19" i="20" s="1"/>
  <c r="H19" i="20" s="1"/>
  <c r="D20" i="20"/>
  <c r="D31" i="9"/>
  <c r="A32" i="9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A213" i="9" s="1"/>
  <c r="A214" i="9" s="1"/>
  <c r="A215" i="9" s="1"/>
  <c r="A216" i="9" s="1"/>
  <c r="A217" i="9" s="1"/>
  <c r="A218" i="9" s="1"/>
  <c r="A219" i="9" s="1"/>
  <c r="A220" i="9" s="1"/>
  <c r="A221" i="9" s="1"/>
  <c r="A222" i="9" s="1"/>
  <c r="A223" i="9" s="1"/>
  <c r="A224" i="9" s="1"/>
  <c r="A225" i="9" s="1"/>
  <c r="A226" i="9" s="1"/>
  <c r="A227" i="9" s="1"/>
  <c r="A228" i="9" s="1"/>
  <c r="A229" i="9" s="1"/>
  <c r="A230" i="9" s="1"/>
  <c r="A231" i="9" s="1"/>
  <c r="A232" i="9" s="1"/>
  <c r="A233" i="9" s="1"/>
  <c r="A234" i="9" s="1"/>
  <c r="A235" i="9" s="1"/>
  <c r="A236" i="9" s="1"/>
  <c r="A237" i="9" s="1"/>
  <c r="A238" i="9" s="1"/>
  <c r="A239" i="9" s="1"/>
  <c r="A240" i="9" s="1"/>
  <c r="A241" i="9" s="1"/>
  <c r="A242" i="9" s="1"/>
  <c r="A243" i="9" s="1"/>
  <c r="A244" i="9" s="1"/>
  <c r="A245" i="9" s="1"/>
  <c r="A246" i="9" s="1"/>
  <c r="A247" i="9" s="1"/>
  <c r="A248" i="9" s="1"/>
  <c r="A249" i="9" s="1"/>
  <c r="A250" i="9" s="1"/>
  <c r="A251" i="9" s="1"/>
  <c r="A252" i="9" s="1"/>
  <c r="A253" i="9" s="1"/>
  <c r="A254" i="9" s="1"/>
  <c r="A255" i="9" s="1"/>
  <c r="A256" i="9" s="1"/>
  <c r="A257" i="9" s="1"/>
  <c r="A258" i="9" s="1"/>
  <c r="A259" i="9" s="1"/>
  <c r="A260" i="9" s="1"/>
  <c r="A261" i="9" s="1"/>
  <c r="A262" i="9" s="1"/>
  <c r="A263" i="9" s="1"/>
  <c r="A264" i="9" s="1"/>
  <c r="A265" i="9" s="1"/>
  <c r="A266" i="9" s="1"/>
  <c r="A267" i="9" s="1"/>
  <c r="A268" i="9" s="1"/>
  <c r="A269" i="9" s="1"/>
  <c r="A270" i="9" s="1"/>
  <c r="A271" i="9" s="1"/>
  <c r="A272" i="9" s="1"/>
  <c r="A273" i="9" s="1"/>
  <c r="A274" i="9" s="1"/>
  <c r="A275" i="9" s="1"/>
  <c r="A276" i="9" s="1"/>
  <c r="A277" i="9" s="1"/>
  <c r="A278" i="9" s="1"/>
  <c r="A279" i="9" s="1"/>
  <c r="A280" i="9" s="1"/>
  <c r="A281" i="9" s="1"/>
  <c r="A282" i="9" s="1"/>
  <c r="A283" i="9" s="1"/>
  <c r="A284" i="9" s="1"/>
  <c r="A285" i="9" s="1"/>
  <c r="A286" i="9" s="1"/>
  <c r="A287" i="9" s="1"/>
  <c r="A288" i="9" s="1"/>
  <c r="A289" i="9" s="1"/>
  <c r="A290" i="9" s="1"/>
  <c r="A291" i="9" s="1"/>
  <c r="A292" i="9" s="1"/>
  <c r="A293" i="9" s="1"/>
  <c r="A294" i="9" s="1"/>
  <c r="A295" i="9" s="1"/>
  <c r="A296" i="9" s="1"/>
  <c r="A297" i="9" s="1"/>
  <c r="A298" i="9" s="1"/>
  <c r="A299" i="9" s="1"/>
  <c r="A300" i="9" s="1"/>
  <c r="A301" i="9" s="1"/>
  <c r="A302" i="9" s="1"/>
  <c r="A303" i="9" s="1"/>
  <c r="A304" i="9" s="1"/>
  <c r="A305" i="9" s="1"/>
  <c r="A306" i="9" s="1"/>
  <c r="A307" i="9" s="1"/>
  <c r="A308" i="9" s="1"/>
  <c r="A309" i="9" s="1"/>
  <c r="A310" i="9" s="1"/>
  <c r="A311" i="9" s="1"/>
  <c r="A312" i="9" s="1"/>
  <c r="A313" i="9" s="1"/>
  <c r="A314" i="9" s="1"/>
  <c r="A315" i="9" s="1"/>
  <c r="A316" i="9" s="1"/>
  <c r="A317" i="9" s="1"/>
  <c r="D317" i="9" s="1"/>
  <c r="Q7" i="9"/>
  <c r="D6" i="9"/>
  <c r="E6" i="9" s="1"/>
  <c r="N6" i="9" s="1"/>
  <c r="D14" i="9"/>
  <c r="D22" i="9"/>
  <c r="D24" i="9"/>
  <c r="D29" i="9"/>
  <c r="B7" i="9"/>
  <c r="D10" i="9"/>
  <c r="E10" i="9" s="1"/>
  <c r="N10" i="9" s="1"/>
  <c r="D18" i="9"/>
  <c r="D30" i="9"/>
  <c r="D8" i="9"/>
  <c r="E8" i="9" s="1"/>
  <c r="N8" i="9" s="1"/>
  <c r="D16" i="9"/>
  <c r="D7" i="9"/>
  <c r="E7" i="9" s="1"/>
  <c r="N7" i="9" s="1"/>
  <c r="D9" i="9"/>
  <c r="E9" i="9" s="1"/>
  <c r="N9" i="9" s="1"/>
  <c r="D11" i="9"/>
  <c r="D13" i="9"/>
  <c r="D15" i="9"/>
  <c r="D17" i="9"/>
  <c r="D19" i="9"/>
  <c r="D21" i="9"/>
  <c r="D23" i="9"/>
  <c r="D25" i="9"/>
  <c r="D27" i="9"/>
  <c r="D28" i="9"/>
  <c r="D12" i="9"/>
  <c r="D20" i="9"/>
  <c r="D26" i="9"/>
  <c r="C27" i="5"/>
  <c r="L33" i="3"/>
  <c r="P31" i="3" s="1"/>
  <c r="E317" i="9" l="1"/>
  <c r="E20" i="9"/>
  <c r="N20" i="9" s="1"/>
  <c r="E12" i="9"/>
  <c r="N12" i="9" s="1"/>
  <c r="E19" i="9"/>
  <c r="N19" i="9" s="1"/>
  <c r="Q31" i="3"/>
  <c r="K27" i="9"/>
  <c r="E27" i="9"/>
  <c r="N27" i="9" s="1"/>
  <c r="K15" i="9"/>
  <c r="E15" i="9"/>
  <c r="N15" i="9" s="1"/>
  <c r="K24" i="9"/>
  <c r="E24" i="9"/>
  <c r="N24" i="9" s="1"/>
  <c r="E31" i="9"/>
  <c r="N31" i="9" s="1"/>
  <c r="E21" i="9"/>
  <c r="N21" i="9" s="1"/>
  <c r="E28" i="9"/>
  <c r="N28" i="9" s="1"/>
  <c r="E17" i="9"/>
  <c r="N17" i="9" s="1"/>
  <c r="K16" i="9"/>
  <c r="E16" i="9"/>
  <c r="N16" i="9" s="1"/>
  <c r="K29" i="9"/>
  <c r="E29" i="9"/>
  <c r="N29" i="9" s="1"/>
  <c r="E25" i="9"/>
  <c r="N25" i="9" s="1"/>
  <c r="E13" i="9"/>
  <c r="N13" i="9" s="1"/>
  <c r="E30" i="9"/>
  <c r="N30" i="9" s="1"/>
  <c r="E22" i="9"/>
  <c r="N22" i="9" s="1"/>
  <c r="K26" i="9"/>
  <c r="E26" i="9"/>
  <c r="N26" i="9" s="1"/>
  <c r="K23" i="9"/>
  <c r="E23" i="9"/>
  <c r="N23" i="9" s="1"/>
  <c r="E11" i="9"/>
  <c r="N11" i="9" s="1"/>
  <c r="E18" i="9"/>
  <c r="N18" i="9" s="1"/>
  <c r="E14" i="9"/>
  <c r="N14" i="9" s="1"/>
  <c r="K9" i="9"/>
  <c r="K7" i="9"/>
  <c r="K10" i="9"/>
  <c r="K6" i="9"/>
  <c r="K8" i="9"/>
  <c r="F20" i="20"/>
  <c r="G20" i="20" s="1"/>
  <c r="H20" i="20" s="1"/>
  <c r="D21" i="20"/>
  <c r="AX317" i="9"/>
  <c r="D39" i="9"/>
  <c r="E39" i="9" s="1"/>
  <c r="N39" i="9" s="1"/>
  <c r="D65" i="9"/>
  <c r="E65" i="9" s="1"/>
  <c r="N65" i="9" s="1"/>
  <c r="D282" i="9"/>
  <c r="E282" i="9" s="1"/>
  <c r="D48" i="9"/>
  <c r="E48" i="9" s="1"/>
  <c r="N48" i="9" s="1"/>
  <c r="D129" i="9"/>
  <c r="E129" i="9" s="1"/>
  <c r="N129" i="9" s="1"/>
  <c r="D150" i="9"/>
  <c r="D158" i="9"/>
  <c r="E158" i="9" s="1"/>
  <c r="D191" i="9"/>
  <c r="D198" i="9"/>
  <c r="D227" i="9"/>
  <c r="D243" i="9"/>
  <c r="E243" i="9" s="1"/>
  <c r="D258" i="9"/>
  <c r="D289" i="9"/>
  <c r="E289" i="9" s="1"/>
  <c r="D292" i="9"/>
  <c r="D43" i="9"/>
  <c r="D58" i="9"/>
  <c r="D51" i="9"/>
  <c r="D75" i="9"/>
  <c r="D93" i="9"/>
  <c r="E93" i="9" s="1"/>
  <c r="N93" i="9" s="1"/>
  <c r="D116" i="9"/>
  <c r="D90" i="9"/>
  <c r="D114" i="9"/>
  <c r="D145" i="9"/>
  <c r="E145" i="9" s="1"/>
  <c r="N145" i="9" s="1"/>
  <c r="D142" i="9"/>
  <c r="D169" i="9"/>
  <c r="E169" i="9" s="1"/>
  <c r="D180" i="9"/>
  <c r="D189" i="9"/>
  <c r="D209" i="9"/>
  <c r="D230" i="9"/>
  <c r="D248" i="9"/>
  <c r="E248" i="9" s="1"/>
  <c r="D272" i="9"/>
  <c r="D310" i="9"/>
  <c r="D35" i="9"/>
  <c r="E35" i="9" s="1"/>
  <c r="N35" i="9" s="1"/>
  <c r="D74" i="9"/>
  <c r="D60" i="9"/>
  <c r="E60" i="9" s="1"/>
  <c r="N60" i="9" s="1"/>
  <c r="D53" i="9"/>
  <c r="D80" i="9"/>
  <c r="D95" i="9"/>
  <c r="D117" i="9"/>
  <c r="D92" i="9"/>
  <c r="D124" i="9"/>
  <c r="D148" i="9"/>
  <c r="D144" i="9"/>
  <c r="D154" i="9"/>
  <c r="D188" i="9"/>
  <c r="D220" i="9"/>
  <c r="E220" i="9" s="1"/>
  <c r="D223" i="9"/>
  <c r="E223" i="9" s="1"/>
  <c r="D239" i="9"/>
  <c r="D254" i="9"/>
  <c r="D271" i="9"/>
  <c r="D288" i="9"/>
  <c r="E288" i="9" s="1"/>
  <c r="D38" i="9"/>
  <c r="D44" i="9"/>
  <c r="E44" i="9" s="1"/>
  <c r="N44" i="9" s="1"/>
  <c r="D66" i="9"/>
  <c r="D59" i="9"/>
  <c r="D119" i="9"/>
  <c r="D101" i="9"/>
  <c r="D146" i="9"/>
  <c r="D98" i="9"/>
  <c r="E98" i="9" s="1"/>
  <c r="N98" i="9" s="1"/>
  <c r="D126" i="9"/>
  <c r="D32" i="9"/>
  <c r="E32" i="9" s="1"/>
  <c r="N32" i="9" s="1"/>
  <c r="D36" i="9"/>
  <c r="D46" i="9"/>
  <c r="D70" i="9"/>
  <c r="D63" i="9"/>
  <c r="D81" i="9"/>
  <c r="D105" i="9"/>
  <c r="D118" i="9"/>
  <c r="D102" i="9"/>
  <c r="D133" i="9"/>
  <c r="D130" i="9"/>
  <c r="D157" i="9"/>
  <c r="D166" i="9"/>
  <c r="D215" i="9"/>
  <c r="D206" i="9"/>
  <c r="D214" i="9"/>
  <c r="D251" i="9"/>
  <c r="E251" i="9" s="1"/>
  <c r="D265" i="9"/>
  <c r="D281" i="9"/>
  <c r="E281" i="9" s="1"/>
  <c r="D299" i="9"/>
  <c r="D76" i="9"/>
  <c r="D83" i="9"/>
  <c r="D107" i="9"/>
  <c r="E107" i="9" s="1"/>
  <c r="N107" i="9" s="1"/>
  <c r="D121" i="9"/>
  <c r="D104" i="9"/>
  <c r="D135" i="9"/>
  <c r="D132" i="9"/>
  <c r="D159" i="9"/>
  <c r="E159" i="9" s="1"/>
  <c r="D170" i="9"/>
  <c r="D177" i="9"/>
  <c r="D210" i="9"/>
  <c r="D234" i="9"/>
  <c r="D236" i="9"/>
  <c r="D255" i="9"/>
  <c r="D293" i="9"/>
  <c r="E293" i="9" s="1"/>
  <c r="D307" i="9"/>
  <c r="D37" i="9"/>
  <c r="E37" i="9" s="1"/>
  <c r="N37" i="9" s="1"/>
  <c r="D54" i="9"/>
  <c r="D47" i="9"/>
  <c r="D71" i="9"/>
  <c r="D89" i="9"/>
  <c r="D113" i="9"/>
  <c r="D86" i="9"/>
  <c r="D110" i="9"/>
  <c r="D141" i="9"/>
  <c r="D138" i="9"/>
  <c r="E138" i="9" s="1"/>
  <c r="N138" i="9" s="1"/>
  <c r="D165" i="9"/>
  <c r="E165" i="9" s="1"/>
  <c r="D176" i="9"/>
  <c r="D185" i="9"/>
  <c r="D205" i="9"/>
  <c r="D226" i="9"/>
  <c r="D244" i="9"/>
  <c r="D263" i="9"/>
  <c r="D278" i="9"/>
  <c r="D306" i="9"/>
  <c r="E306" i="9" s="1"/>
  <c r="B8" i="9"/>
  <c r="C8" i="9"/>
  <c r="BP8" i="9" s="1"/>
  <c r="D33" i="9"/>
  <c r="D40" i="9"/>
  <c r="D45" i="9"/>
  <c r="D56" i="9"/>
  <c r="D68" i="9"/>
  <c r="D49" i="9"/>
  <c r="D61" i="9"/>
  <c r="D77" i="9"/>
  <c r="D122" i="9"/>
  <c r="D91" i="9"/>
  <c r="D103" i="9"/>
  <c r="D115" i="9"/>
  <c r="D151" i="9"/>
  <c r="D88" i="9"/>
  <c r="D100" i="9"/>
  <c r="D112" i="9"/>
  <c r="D131" i="9"/>
  <c r="D143" i="9"/>
  <c r="D128" i="9"/>
  <c r="D140" i="9"/>
  <c r="D155" i="9"/>
  <c r="D167" i="9"/>
  <c r="D156" i="9"/>
  <c r="D168" i="9"/>
  <c r="D178" i="9"/>
  <c r="D190" i="9"/>
  <c r="D218" i="9"/>
  <c r="D187" i="9"/>
  <c r="D193" i="9"/>
  <c r="D208" i="9"/>
  <c r="D207" i="9"/>
  <c r="D225" i="9"/>
  <c r="D217" i="9"/>
  <c r="D228" i="9"/>
  <c r="D241" i="9"/>
  <c r="D270" i="9"/>
  <c r="D246" i="9"/>
  <c r="D256" i="9"/>
  <c r="D253" i="9"/>
  <c r="D266" i="9"/>
  <c r="D273" i="9"/>
  <c r="D284" i="9"/>
  <c r="D280" i="9"/>
  <c r="D290" i="9"/>
  <c r="D300" i="9"/>
  <c r="D315" i="9"/>
  <c r="D309" i="9"/>
  <c r="D312" i="9"/>
  <c r="AI31" i="9"/>
  <c r="D296" i="9"/>
  <c r="D301" i="9"/>
  <c r="AI24" i="9"/>
  <c r="D160" i="9"/>
  <c r="D182" i="9"/>
  <c r="D179" i="9"/>
  <c r="D219" i="9"/>
  <c r="D200" i="9"/>
  <c r="D199" i="9"/>
  <c r="D213" i="9"/>
  <c r="D229" i="9"/>
  <c r="D235" i="9"/>
  <c r="D233" i="9"/>
  <c r="D245" i="9"/>
  <c r="D238" i="9"/>
  <c r="D249" i="9"/>
  <c r="D260" i="9"/>
  <c r="D257" i="9"/>
  <c r="D275" i="9"/>
  <c r="D287" i="9"/>
  <c r="D294" i="9"/>
  <c r="D298" i="9"/>
  <c r="D305" i="9"/>
  <c r="D311" i="9"/>
  <c r="AI26" i="9"/>
  <c r="AI13" i="9"/>
  <c r="D171" i="9"/>
  <c r="D172" i="9"/>
  <c r="D196" i="9"/>
  <c r="D274" i="9"/>
  <c r="AI23" i="9"/>
  <c r="AI18" i="9"/>
  <c r="AI22" i="9"/>
  <c r="D42" i="9"/>
  <c r="D153" i="9"/>
  <c r="D50" i="9"/>
  <c r="D62" i="9"/>
  <c r="D72" i="9"/>
  <c r="D55" i="9"/>
  <c r="D67" i="9"/>
  <c r="D73" i="9"/>
  <c r="D85" i="9"/>
  <c r="D97" i="9"/>
  <c r="D109" i="9"/>
  <c r="D120" i="9"/>
  <c r="D82" i="9"/>
  <c r="D94" i="9"/>
  <c r="D106" i="9"/>
  <c r="D125" i="9"/>
  <c r="D137" i="9"/>
  <c r="D149" i="9"/>
  <c r="D134" i="9"/>
  <c r="D147" i="9"/>
  <c r="D161" i="9"/>
  <c r="D173" i="9"/>
  <c r="D162" i="9"/>
  <c r="D174" i="9"/>
  <c r="D184" i="9"/>
  <c r="D192" i="9"/>
  <c r="D181" i="9"/>
  <c r="D195" i="9"/>
  <c r="D202" i="9"/>
  <c r="D201" i="9"/>
  <c r="D216" i="9"/>
  <c r="D231" i="9"/>
  <c r="D222" i="9"/>
  <c r="D237" i="9"/>
  <c r="D247" i="9"/>
  <c r="D240" i="9"/>
  <c r="D268" i="9"/>
  <c r="D262" i="9"/>
  <c r="D259" i="9"/>
  <c r="D267" i="9"/>
  <c r="D277" i="9"/>
  <c r="D285" i="9"/>
  <c r="D295" i="9"/>
  <c r="D304" i="9"/>
  <c r="D303" i="9"/>
  <c r="D314" i="9"/>
  <c r="D316" i="9"/>
  <c r="AI28" i="9"/>
  <c r="AI17" i="9"/>
  <c r="AI27" i="9"/>
  <c r="AI15" i="9"/>
  <c r="AI16" i="9"/>
  <c r="AI29" i="9"/>
  <c r="AI25" i="9"/>
  <c r="AI8" i="9"/>
  <c r="D283" i="9"/>
  <c r="AI12" i="9"/>
  <c r="AI9" i="9"/>
  <c r="AI10" i="9"/>
  <c r="AI14" i="9"/>
  <c r="D34" i="9"/>
  <c r="D41" i="9"/>
  <c r="D52" i="9"/>
  <c r="D64" i="9"/>
  <c r="D79" i="9"/>
  <c r="D57" i="9"/>
  <c r="D69" i="9"/>
  <c r="D78" i="9"/>
  <c r="D87" i="9"/>
  <c r="D99" i="9"/>
  <c r="D111" i="9"/>
  <c r="D123" i="9"/>
  <c r="D84" i="9"/>
  <c r="D96" i="9"/>
  <c r="D108" i="9"/>
  <c r="D127" i="9"/>
  <c r="D139" i="9"/>
  <c r="D175" i="9"/>
  <c r="D136" i="9"/>
  <c r="D152" i="9"/>
  <c r="D163" i="9"/>
  <c r="D194" i="9"/>
  <c r="D164" i="9"/>
  <c r="D197" i="9"/>
  <c r="D186" i="9"/>
  <c r="D212" i="9"/>
  <c r="D183" i="9"/>
  <c r="D211" i="9"/>
  <c r="D204" i="9"/>
  <c r="D203" i="9"/>
  <c r="D221" i="9"/>
  <c r="D232" i="9"/>
  <c r="D224" i="9"/>
  <c r="D291" i="9"/>
  <c r="D250" i="9"/>
  <c r="D242" i="9"/>
  <c r="D252" i="9"/>
  <c r="D264" i="9"/>
  <c r="D261" i="9"/>
  <c r="D269" i="9"/>
  <c r="D279" i="9"/>
  <c r="D276" i="9"/>
  <c r="D286" i="9"/>
  <c r="D297" i="9"/>
  <c r="D308" i="9"/>
  <c r="D302" i="9"/>
  <c r="D313" i="9"/>
  <c r="AI19" i="9"/>
  <c r="AI7" i="9"/>
  <c r="W6" i="9"/>
  <c r="AI6" i="9"/>
  <c r="W317" i="9"/>
  <c r="AI317" i="9"/>
  <c r="U28" i="3"/>
  <c r="V8" i="3" s="1"/>
  <c r="U6" i="3"/>
  <c r="V6" i="3" s="1"/>
  <c r="V7" i="3"/>
  <c r="Q21" i="3"/>
  <c r="P21" i="3"/>
  <c r="Q17" i="3"/>
  <c r="L7" i="3" s="1"/>
  <c r="P17" i="3"/>
  <c r="L6" i="3" s="1"/>
  <c r="M10" i="3" s="1"/>
  <c r="K14" i="9" l="1"/>
  <c r="K13" i="9"/>
  <c r="AI21" i="9"/>
  <c r="AI30" i="9"/>
  <c r="AI11" i="9"/>
  <c r="K18" i="9"/>
  <c r="K28" i="9"/>
  <c r="AI20" i="9"/>
  <c r="K30" i="9"/>
  <c r="K21" i="9"/>
  <c r="E291" i="9"/>
  <c r="E127" i="9"/>
  <c r="N127" i="9" s="1"/>
  <c r="E316" i="9"/>
  <c r="W316" i="9" s="1"/>
  <c r="E202" i="9"/>
  <c r="K202" i="9" s="1"/>
  <c r="E72" i="9"/>
  <c r="N72" i="9" s="1"/>
  <c r="E284" i="9"/>
  <c r="E212" i="9"/>
  <c r="K212" i="9" s="1"/>
  <c r="K303" i="9"/>
  <c r="E303" i="9"/>
  <c r="E222" i="9"/>
  <c r="K222" i="9" s="1"/>
  <c r="E161" i="9"/>
  <c r="K161" i="9" s="1"/>
  <c r="E106" i="9"/>
  <c r="N106" i="9" s="1"/>
  <c r="E85" i="9"/>
  <c r="N85" i="9" s="1"/>
  <c r="E50" i="9"/>
  <c r="N50" i="9" s="1"/>
  <c r="E171" i="9"/>
  <c r="K171" i="9" s="1"/>
  <c r="E294" i="9"/>
  <c r="E238" i="9"/>
  <c r="K238" i="9" s="1"/>
  <c r="K199" i="9"/>
  <c r="E199" i="9"/>
  <c r="E315" i="9"/>
  <c r="E266" i="9"/>
  <c r="E228" i="9"/>
  <c r="K228" i="9" s="1"/>
  <c r="E187" i="9"/>
  <c r="K187" i="9" s="1"/>
  <c r="E167" i="9"/>
  <c r="K167" i="9" s="1"/>
  <c r="E112" i="9"/>
  <c r="N112" i="9" s="1"/>
  <c r="E91" i="9"/>
  <c r="N91" i="9" s="1"/>
  <c r="E56" i="9"/>
  <c r="N56" i="9" s="1"/>
  <c r="AJ306" i="9"/>
  <c r="AU306" i="9"/>
  <c r="N306" i="9"/>
  <c r="K185" i="9"/>
  <c r="E185" i="9"/>
  <c r="E86" i="9"/>
  <c r="N86" i="9" s="1"/>
  <c r="E210" i="9"/>
  <c r="K210" i="9" s="1"/>
  <c r="E104" i="9"/>
  <c r="N104" i="9" s="1"/>
  <c r="AJ281" i="9"/>
  <c r="AU281" i="9"/>
  <c r="N281" i="9"/>
  <c r="E166" i="9"/>
  <c r="K166" i="9" s="1"/>
  <c r="E105" i="9"/>
  <c r="N105" i="9" s="1"/>
  <c r="K59" i="9"/>
  <c r="E59" i="9"/>
  <c r="N59" i="9" s="1"/>
  <c r="E254" i="9"/>
  <c r="E144" i="9"/>
  <c r="N144" i="9" s="1"/>
  <c r="E80" i="9"/>
  <c r="N80" i="9" s="1"/>
  <c r="E272" i="9"/>
  <c r="AJ289" i="9"/>
  <c r="AU289" i="9"/>
  <c r="N289" i="9"/>
  <c r="E143" i="9"/>
  <c r="N143" i="9" s="1"/>
  <c r="E264" i="9"/>
  <c r="K264" i="9" s="1"/>
  <c r="E78" i="9"/>
  <c r="N78" i="9" s="1"/>
  <c r="E286" i="9"/>
  <c r="AI286" i="9" s="1"/>
  <c r="E252" i="9"/>
  <c r="K252" i="9" s="1"/>
  <c r="K221" i="9"/>
  <c r="E221" i="9"/>
  <c r="E186" i="9"/>
  <c r="K186" i="9" s="1"/>
  <c r="K136" i="9"/>
  <c r="E136" i="9"/>
  <c r="N136" i="9" s="1"/>
  <c r="E84" i="9"/>
  <c r="N84" i="9" s="1"/>
  <c r="E69" i="9"/>
  <c r="N69" i="9" s="1"/>
  <c r="E34" i="9"/>
  <c r="N34" i="9" s="1"/>
  <c r="E283" i="9"/>
  <c r="K283" i="9" s="1"/>
  <c r="E304" i="9"/>
  <c r="E262" i="9"/>
  <c r="K262" i="9" s="1"/>
  <c r="K231" i="9"/>
  <c r="E231" i="9"/>
  <c r="E192" i="9"/>
  <c r="K192" i="9" s="1"/>
  <c r="K147" i="9"/>
  <c r="E147" i="9"/>
  <c r="N147" i="9" s="1"/>
  <c r="E94" i="9"/>
  <c r="N94" i="9" s="1"/>
  <c r="E73" i="9"/>
  <c r="N73" i="9" s="1"/>
  <c r="E153" i="9"/>
  <c r="N153" i="9" s="1"/>
  <c r="E287" i="9"/>
  <c r="AI287" i="9" s="1"/>
  <c r="E245" i="9"/>
  <c r="K245" i="9" s="1"/>
  <c r="E200" i="9"/>
  <c r="K200" i="9" s="1"/>
  <c r="K301" i="9"/>
  <c r="E301" i="9"/>
  <c r="E300" i="9"/>
  <c r="AI300" i="9" s="1"/>
  <c r="K253" i="9"/>
  <c r="E253" i="9"/>
  <c r="E217" i="9"/>
  <c r="K217" i="9" s="1"/>
  <c r="E218" i="9"/>
  <c r="K218" i="9" s="1"/>
  <c r="E155" i="9"/>
  <c r="K155" i="9" s="1"/>
  <c r="E100" i="9"/>
  <c r="N100" i="9" s="1"/>
  <c r="E122" i="9"/>
  <c r="N122" i="9" s="1"/>
  <c r="E45" i="9"/>
  <c r="N45" i="9" s="1"/>
  <c r="E278" i="9"/>
  <c r="E176" i="9"/>
  <c r="K176" i="9" s="1"/>
  <c r="E113" i="9"/>
  <c r="N113" i="9" s="1"/>
  <c r="E307" i="9"/>
  <c r="AI307" i="9" s="1"/>
  <c r="E177" i="9"/>
  <c r="K177" i="9" s="1"/>
  <c r="K121" i="9"/>
  <c r="E121" i="9"/>
  <c r="N121" i="9" s="1"/>
  <c r="E265" i="9"/>
  <c r="E157" i="9"/>
  <c r="K157" i="9" s="1"/>
  <c r="E81" i="9"/>
  <c r="N81" i="9" s="1"/>
  <c r="E126" i="9"/>
  <c r="N126" i="9" s="1"/>
  <c r="E66" i="9"/>
  <c r="N66" i="9" s="1"/>
  <c r="E239" i="9"/>
  <c r="K239" i="9" s="1"/>
  <c r="E148" i="9"/>
  <c r="N148" i="9" s="1"/>
  <c r="E53" i="9"/>
  <c r="N53" i="9" s="1"/>
  <c r="K142" i="9"/>
  <c r="E142" i="9"/>
  <c r="N142" i="9" s="1"/>
  <c r="E75" i="9"/>
  <c r="N75" i="9" s="1"/>
  <c r="E258" i="9"/>
  <c r="W258" i="9" s="1"/>
  <c r="AF258" i="9" s="1"/>
  <c r="E150" i="9"/>
  <c r="N150" i="9" s="1"/>
  <c r="K12" i="9"/>
  <c r="E302" i="9"/>
  <c r="K302" i="9" s="1"/>
  <c r="E211" i="9"/>
  <c r="K211" i="9" s="1"/>
  <c r="E99" i="9"/>
  <c r="N99" i="9" s="1"/>
  <c r="E109" i="9"/>
  <c r="N109" i="9" s="1"/>
  <c r="E297" i="9"/>
  <c r="E96" i="9"/>
  <c r="N96" i="9" s="1"/>
  <c r="K259" i="9"/>
  <c r="E259" i="9"/>
  <c r="E276" i="9"/>
  <c r="E242" i="9"/>
  <c r="K242" i="9" s="1"/>
  <c r="E203" i="9"/>
  <c r="K203" i="9" s="1"/>
  <c r="E197" i="9"/>
  <c r="K197" i="9" s="1"/>
  <c r="E175" i="9"/>
  <c r="K175" i="9" s="1"/>
  <c r="E123" i="9"/>
  <c r="N123" i="9" s="1"/>
  <c r="E57" i="9"/>
  <c r="N57" i="9" s="1"/>
  <c r="E295" i="9"/>
  <c r="K268" i="9"/>
  <c r="E268" i="9"/>
  <c r="E216" i="9"/>
  <c r="K216" i="9" s="1"/>
  <c r="E184" i="9"/>
  <c r="K184" i="9" s="1"/>
  <c r="E134" i="9"/>
  <c r="N134" i="9" s="1"/>
  <c r="E82" i="9"/>
  <c r="N82" i="9" s="1"/>
  <c r="E67" i="9"/>
  <c r="N67" i="9" s="1"/>
  <c r="E42" i="9"/>
  <c r="N42" i="9" s="1"/>
  <c r="E275" i="9"/>
  <c r="E233" i="9"/>
  <c r="K233" i="9" s="1"/>
  <c r="E219" i="9"/>
  <c r="K219" i="9" s="1"/>
  <c r="E296" i="9"/>
  <c r="E290" i="9"/>
  <c r="E256" i="9"/>
  <c r="E225" i="9"/>
  <c r="K225" i="9" s="1"/>
  <c r="E190" i="9"/>
  <c r="K190" i="9" s="1"/>
  <c r="E140" i="9"/>
  <c r="N140" i="9" s="1"/>
  <c r="E88" i="9"/>
  <c r="N88" i="9" s="1"/>
  <c r="E77" i="9"/>
  <c r="N77" i="9" s="1"/>
  <c r="E40" i="9"/>
  <c r="N40" i="9" s="1"/>
  <c r="E263" i="9"/>
  <c r="AX263" i="9" s="1"/>
  <c r="E89" i="9"/>
  <c r="N89" i="9" s="1"/>
  <c r="AJ293" i="9"/>
  <c r="AU293" i="9"/>
  <c r="N293" i="9"/>
  <c r="E170" i="9"/>
  <c r="K170" i="9" s="1"/>
  <c r="AJ251" i="9"/>
  <c r="AU251" i="9"/>
  <c r="N251" i="9"/>
  <c r="E130" i="9"/>
  <c r="N130" i="9" s="1"/>
  <c r="E63" i="9"/>
  <c r="N63" i="9" s="1"/>
  <c r="E124" i="9"/>
  <c r="N124" i="9" s="1"/>
  <c r="E230" i="9"/>
  <c r="AI230" i="9" s="1"/>
  <c r="E51" i="9"/>
  <c r="N51" i="9" s="1"/>
  <c r="K11" i="9"/>
  <c r="K22" i="9"/>
  <c r="K25" i="9"/>
  <c r="K17" i="9"/>
  <c r="K31" i="9"/>
  <c r="E269" i="9"/>
  <c r="AX269" i="9" s="1"/>
  <c r="E162" i="9"/>
  <c r="K162" i="9" s="1"/>
  <c r="K208" i="9"/>
  <c r="E208" i="9"/>
  <c r="E232" i="9"/>
  <c r="K232" i="9" s="1"/>
  <c r="E152" i="9"/>
  <c r="N152" i="9" s="1"/>
  <c r="E41" i="9"/>
  <c r="N41" i="9" s="1"/>
  <c r="E181" i="9"/>
  <c r="K181" i="9" s="1"/>
  <c r="E313" i="9"/>
  <c r="E279" i="9"/>
  <c r="AX279" i="9" s="1"/>
  <c r="E250" i="9"/>
  <c r="K250" i="9" s="1"/>
  <c r="E204" i="9"/>
  <c r="K204" i="9" s="1"/>
  <c r="K164" i="9"/>
  <c r="E164" i="9"/>
  <c r="E139" i="9"/>
  <c r="N139" i="9" s="1"/>
  <c r="E111" i="9"/>
  <c r="N111" i="9" s="1"/>
  <c r="E79" i="9"/>
  <c r="N79" i="9" s="1"/>
  <c r="E285" i="9"/>
  <c r="E240" i="9"/>
  <c r="AI240" i="9" s="1"/>
  <c r="E201" i="9"/>
  <c r="K201" i="9" s="1"/>
  <c r="E174" i="9"/>
  <c r="K174" i="9" s="1"/>
  <c r="E149" i="9"/>
  <c r="N149" i="9" s="1"/>
  <c r="K120" i="9"/>
  <c r="E120" i="9"/>
  <c r="N120" i="9" s="1"/>
  <c r="E55" i="9"/>
  <c r="N55" i="9" s="1"/>
  <c r="E274" i="9"/>
  <c r="AX274" i="9" s="1"/>
  <c r="E311" i="9"/>
  <c r="AI311" i="9" s="1"/>
  <c r="E257" i="9"/>
  <c r="W257" i="9" s="1"/>
  <c r="E235" i="9"/>
  <c r="AI235" i="9" s="1"/>
  <c r="E179" i="9"/>
  <c r="K179" i="9" s="1"/>
  <c r="E280" i="9"/>
  <c r="AX280" i="9" s="1"/>
  <c r="E246" i="9"/>
  <c r="AI246" i="9" s="1"/>
  <c r="K207" i="9"/>
  <c r="E207" i="9"/>
  <c r="E178" i="9"/>
  <c r="K178" i="9" s="1"/>
  <c r="E128" i="9"/>
  <c r="N128" i="9" s="1"/>
  <c r="E151" i="9"/>
  <c r="N151" i="9" s="1"/>
  <c r="E61" i="9"/>
  <c r="N61" i="9" s="1"/>
  <c r="E33" i="9"/>
  <c r="N33" i="9" s="1"/>
  <c r="E244" i="9"/>
  <c r="K244" i="9" s="1"/>
  <c r="E71" i="9"/>
  <c r="N71" i="9" s="1"/>
  <c r="E255" i="9"/>
  <c r="AI255" i="9" s="1"/>
  <c r="K83" i="9"/>
  <c r="E83" i="9"/>
  <c r="N83" i="9" s="1"/>
  <c r="E214" i="9"/>
  <c r="K214" i="9" s="1"/>
  <c r="E133" i="9"/>
  <c r="N133" i="9" s="1"/>
  <c r="E70" i="9"/>
  <c r="N70" i="9" s="1"/>
  <c r="E146" i="9"/>
  <c r="N146" i="9" s="1"/>
  <c r="E38" i="9"/>
  <c r="N38" i="9" s="1"/>
  <c r="E92" i="9"/>
  <c r="N92" i="9" s="1"/>
  <c r="E74" i="9"/>
  <c r="N74" i="9" s="1"/>
  <c r="E209" i="9"/>
  <c r="AI209" i="9" s="1"/>
  <c r="K114" i="9"/>
  <c r="E114" i="9"/>
  <c r="N114" i="9" s="1"/>
  <c r="E58" i="9"/>
  <c r="N58" i="9" s="1"/>
  <c r="E227" i="9"/>
  <c r="K227" i="9" s="1"/>
  <c r="K20" i="9"/>
  <c r="E277" i="9"/>
  <c r="E305" i="9"/>
  <c r="AI305" i="9" s="1"/>
  <c r="E312" i="9"/>
  <c r="K312" i="9" s="1"/>
  <c r="E168" i="9"/>
  <c r="K168" i="9" s="1"/>
  <c r="E115" i="9"/>
  <c r="N115" i="9" s="1"/>
  <c r="E49" i="9"/>
  <c r="N49" i="9" s="1"/>
  <c r="E47" i="9"/>
  <c r="N47" i="9" s="1"/>
  <c r="E46" i="9"/>
  <c r="N46" i="9" s="1"/>
  <c r="E189" i="9"/>
  <c r="K189" i="9" s="1"/>
  <c r="E90" i="9"/>
  <c r="N90" i="9" s="1"/>
  <c r="E43" i="9"/>
  <c r="N43" i="9" s="1"/>
  <c r="E198" i="9"/>
  <c r="K198" i="9" s="1"/>
  <c r="AJ282" i="9"/>
  <c r="AU282" i="9"/>
  <c r="N282" i="9"/>
  <c r="AJ317" i="9"/>
  <c r="AU317" i="9"/>
  <c r="N317" i="9"/>
  <c r="E194" i="9"/>
  <c r="K194" i="9" s="1"/>
  <c r="E64" i="9"/>
  <c r="N64" i="9" s="1"/>
  <c r="K247" i="9"/>
  <c r="E247" i="9"/>
  <c r="E137" i="9"/>
  <c r="N137" i="9" s="1"/>
  <c r="E196" i="9"/>
  <c r="AI196" i="9" s="1"/>
  <c r="K260" i="9"/>
  <c r="E260" i="9"/>
  <c r="E229" i="9"/>
  <c r="K229" i="9" s="1"/>
  <c r="E182" i="9"/>
  <c r="K182" i="9" s="1"/>
  <c r="E270" i="9"/>
  <c r="K270" i="9" s="1"/>
  <c r="E226" i="9"/>
  <c r="K226" i="9" s="1"/>
  <c r="E141" i="9"/>
  <c r="K141" i="9" s="1"/>
  <c r="E236" i="9"/>
  <c r="K236" i="9" s="1"/>
  <c r="E132" i="9"/>
  <c r="N132" i="9" s="1"/>
  <c r="K76" i="9"/>
  <c r="E76" i="9"/>
  <c r="N76" i="9" s="1"/>
  <c r="E206" i="9"/>
  <c r="K206" i="9" s="1"/>
  <c r="E102" i="9"/>
  <c r="N102" i="9" s="1"/>
  <c r="K101" i="9"/>
  <c r="E101" i="9"/>
  <c r="N101" i="9" s="1"/>
  <c r="AJ288" i="9"/>
  <c r="AU288" i="9"/>
  <c r="N288" i="9"/>
  <c r="E188" i="9"/>
  <c r="K188" i="9" s="1"/>
  <c r="E117" i="9"/>
  <c r="N117" i="9" s="1"/>
  <c r="E308" i="9"/>
  <c r="AX308" i="9" s="1"/>
  <c r="E261" i="9"/>
  <c r="K261" i="9" s="1"/>
  <c r="E224" i="9"/>
  <c r="K224" i="9" s="1"/>
  <c r="E183" i="9"/>
  <c r="K183" i="9" s="1"/>
  <c r="E163" i="9"/>
  <c r="N163" i="9" s="1"/>
  <c r="E108" i="9"/>
  <c r="N108" i="9" s="1"/>
  <c r="E87" i="9"/>
  <c r="N87" i="9" s="1"/>
  <c r="E52" i="9"/>
  <c r="N52" i="9" s="1"/>
  <c r="E314" i="9"/>
  <c r="K314" i="9" s="1"/>
  <c r="E267" i="9"/>
  <c r="AX267" i="9" s="1"/>
  <c r="E237" i="9"/>
  <c r="K237" i="9" s="1"/>
  <c r="E195" i="9"/>
  <c r="K195" i="9" s="1"/>
  <c r="E173" i="9"/>
  <c r="K173" i="9" s="1"/>
  <c r="E125" i="9"/>
  <c r="N125" i="9" s="1"/>
  <c r="E97" i="9"/>
  <c r="N97" i="9" s="1"/>
  <c r="E62" i="9"/>
  <c r="N62" i="9" s="1"/>
  <c r="E172" i="9"/>
  <c r="K172" i="9" s="1"/>
  <c r="E298" i="9"/>
  <c r="K298" i="9" s="1"/>
  <c r="E249" i="9"/>
  <c r="K249" i="9" s="1"/>
  <c r="E213" i="9"/>
  <c r="K213" i="9" s="1"/>
  <c r="E160" i="9"/>
  <c r="AI160" i="9" s="1"/>
  <c r="E309" i="9"/>
  <c r="K309" i="9" s="1"/>
  <c r="E273" i="9"/>
  <c r="K273" i="9" s="1"/>
  <c r="E241" i="9"/>
  <c r="AI241" i="9" s="1"/>
  <c r="E193" i="9"/>
  <c r="K193" i="9" s="1"/>
  <c r="E156" i="9"/>
  <c r="K156" i="9" s="1"/>
  <c r="E131" i="9"/>
  <c r="N131" i="9" s="1"/>
  <c r="E103" i="9"/>
  <c r="N103" i="9" s="1"/>
  <c r="E68" i="9"/>
  <c r="N68" i="9" s="1"/>
  <c r="E205" i="9"/>
  <c r="K205" i="9" s="1"/>
  <c r="E110" i="9"/>
  <c r="N110" i="9" s="1"/>
  <c r="E54" i="9"/>
  <c r="N54" i="9" s="1"/>
  <c r="E234" i="9"/>
  <c r="AI234" i="9" s="1"/>
  <c r="E135" i="9"/>
  <c r="N135" i="9" s="1"/>
  <c r="E299" i="9"/>
  <c r="K299" i="9" s="1"/>
  <c r="E215" i="9"/>
  <c r="AI215" i="9" s="1"/>
  <c r="E118" i="9"/>
  <c r="N118" i="9" s="1"/>
  <c r="E36" i="9"/>
  <c r="N36" i="9" s="1"/>
  <c r="E119" i="9"/>
  <c r="N119" i="9" s="1"/>
  <c r="E271" i="9"/>
  <c r="K271" i="9" s="1"/>
  <c r="E154" i="9"/>
  <c r="N154" i="9" s="1"/>
  <c r="E95" i="9"/>
  <c r="N95" i="9" s="1"/>
  <c r="E310" i="9"/>
  <c r="AI310" i="9" s="1"/>
  <c r="E180" i="9"/>
  <c r="K180" i="9" s="1"/>
  <c r="E116" i="9"/>
  <c r="N116" i="9" s="1"/>
  <c r="E292" i="9"/>
  <c r="K292" i="9" s="1"/>
  <c r="E191" i="9"/>
  <c r="AI191" i="9" s="1"/>
  <c r="K19" i="9"/>
  <c r="K317" i="9"/>
  <c r="N158" i="9"/>
  <c r="N164" i="9"/>
  <c r="N159" i="9"/>
  <c r="N165" i="9"/>
  <c r="N166" i="9"/>
  <c r="N161" i="9"/>
  <c r="N162" i="9"/>
  <c r="AI159" i="9"/>
  <c r="K159" i="9"/>
  <c r="AI165" i="9"/>
  <c r="K165" i="9"/>
  <c r="AI293" i="9"/>
  <c r="K293" i="9"/>
  <c r="AI107" i="9"/>
  <c r="K107" i="9"/>
  <c r="AI251" i="9"/>
  <c r="K251" i="9"/>
  <c r="AI98" i="9"/>
  <c r="K98" i="9"/>
  <c r="AI44" i="9"/>
  <c r="K44" i="9"/>
  <c r="AI223" i="9"/>
  <c r="K223" i="9"/>
  <c r="AI60" i="9"/>
  <c r="K60" i="9"/>
  <c r="AI145" i="9"/>
  <c r="K145" i="9"/>
  <c r="AI243" i="9"/>
  <c r="K243" i="9"/>
  <c r="AI129" i="9"/>
  <c r="K129" i="9"/>
  <c r="F21" i="20"/>
  <c r="G21" i="20" s="1"/>
  <c r="H21" i="20" s="1"/>
  <c r="D22" i="20"/>
  <c r="AI220" i="9"/>
  <c r="K220" i="9"/>
  <c r="AI288" i="9"/>
  <c r="K288" i="9"/>
  <c r="AI35" i="9"/>
  <c r="K35" i="9"/>
  <c r="W282" i="9"/>
  <c r="AO282" i="9" s="1"/>
  <c r="K282" i="9"/>
  <c r="AI65" i="9"/>
  <c r="K65" i="9"/>
  <c r="AI138" i="9"/>
  <c r="K138" i="9"/>
  <c r="AI48" i="9"/>
  <c r="K48" i="9"/>
  <c r="AI306" i="9"/>
  <c r="K306" i="9"/>
  <c r="AI37" i="9"/>
  <c r="K37" i="9"/>
  <c r="K281" i="9"/>
  <c r="AI32" i="9"/>
  <c r="K32" i="9"/>
  <c r="AI169" i="9"/>
  <c r="K169" i="9"/>
  <c r="AI93" i="9"/>
  <c r="K93" i="9"/>
  <c r="W289" i="9"/>
  <c r="AM289" i="9" s="1"/>
  <c r="K289" i="9"/>
  <c r="AI158" i="9"/>
  <c r="K158" i="9"/>
  <c r="AI39" i="9"/>
  <c r="K39" i="9"/>
  <c r="AI248" i="9"/>
  <c r="K248" i="9"/>
  <c r="W263" i="9"/>
  <c r="AM263" i="9" s="1"/>
  <c r="AI89" i="9"/>
  <c r="AI51" i="9"/>
  <c r="AI263" i="9"/>
  <c r="AI124" i="9"/>
  <c r="AI63" i="9"/>
  <c r="AI86" i="9"/>
  <c r="AI170" i="9"/>
  <c r="AI206" i="9"/>
  <c r="W293" i="9"/>
  <c r="BC293" i="9" s="1"/>
  <c r="W272" i="9"/>
  <c r="AO272" i="9" s="1"/>
  <c r="AX291" i="9"/>
  <c r="AX304" i="9"/>
  <c r="AX276" i="9"/>
  <c r="AX294" i="9"/>
  <c r="AX300" i="9"/>
  <c r="AI176" i="9"/>
  <c r="AI113" i="9"/>
  <c r="AX307" i="9"/>
  <c r="AX265" i="9"/>
  <c r="AI81" i="9"/>
  <c r="AI239" i="9"/>
  <c r="AI148" i="9"/>
  <c r="AI75" i="9"/>
  <c r="AX258" i="9"/>
  <c r="AI150" i="9"/>
  <c r="W265" i="9"/>
  <c r="BG265" i="9" s="1"/>
  <c r="AI214" i="9"/>
  <c r="AX313" i="9"/>
  <c r="AX283" i="9"/>
  <c r="AX303" i="9"/>
  <c r="AX259" i="9"/>
  <c r="AX287" i="9"/>
  <c r="AX290" i="9"/>
  <c r="AX293" i="9"/>
  <c r="AX302" i="9"/>
  <c r="AX262" i="9"/>
  <c r="AX275" i="9"/>
  <c r="AI71" i="9"/>
  <c r="AI83" i="9"/>
  <c r="AX295" i="9"/>
  <c r="AX268" i="9"/>
  <c r="AX311" i="9"/>
  <c r="AX301" i="9"/>
  <c r="AX312" i="9"/>
  <c r="AX284" i="9"/>
  <c r="AX270" i="9"/>
  <c r="AI236" i="9"/>
  <c r="AX288" i="9"/>
  <c r="AI189" i="9"/>
  <c r="AI90" i="9"/>
  <c r="AI43" i="9"/>
  <c r="AX282" i="9"/>
  <c r="AX297" i="9"/>
  <c r="AX264" i="9"/>
  <c r="AI74" i="9"/>
  <c r="AX285" i="9"/>
  <c r="AX260" i="9"/>
  <c r="AX296" i="9"/>
  <c r="AX309" i="9"/>
  <c r="AX273" i="9"/>
  <c r="AX271" i="9"/>
  <c r="AI180" i="9"/>
  <c r="AX286" i="9"/>
  <c r="AX316" i="9"/>
  <c r="AX277" i="9"/>
  <c r="AX315" i="9"/>
  <c r="AX266" i="9"/>
  <c r="W306" i="9"/>
  <c r="AO306" i="9" s="1"/>
  <c r="AX306" i="9"/>
  <c r="AI185" i="9"/>
  <c r="AI281" i="9"/>
  <c r="AX281" i="9"/>
  <c r="AI166" i="9"/>
  <c r="AI105" i="9"/>
  <c r="AI80" i="9"/>
  <c r="AX272" i="9"/>
  <c r="AX289" i="9"/>
  <c r="AI278" i="9"/>
  <c r="AI66" i="9"/>
  <c r="W278" i="9"/>
  <c r="AO278" i="9" s="1"/>
  <c r="AI121" i="9"/>
  <c r="AI126" i="9"/>
  <c r="AI53" i="9"/>
  <c r="AI47" i="9"/>
  <c r="AI210" i="9"/>
  <c r="AI282" i="9"/>
  <c r="AI299" i="9"/>
  <c r="AI144" i="9"/>
  <c r="AI142" i="9"/>
  <c r="AI36" i="9"/>
  <c r="W281" i="9"/>
  <c r="BD281" i="9" s="1"/>
  <c r="AI271" i="9"/>
  <c r="AI254" i="9"/>
  <c r="AI59" i="9"/>
  <c r="AI104" i="9"/>
  <c r="AI289" i="9"/>
  <c r="AI272" i="9"/>
  <c r="AI198" i="9"/>
  <c r="AI101" i="9"/>
  <c r="AI76" i="9"/>
  <c r="W288" i="9"/>
  <c r="BC288" i="9" s="1"/>
  <c r="AI226" i="9"/>
  <c r="AI114" i="9"/>
  <c r="AI58" i="9"/>
  <c r="AI70" i="9"/>
  <c r="AI110" i="9"/>
  <c r="W304" i="9"/>
  <c r="AI304" i="9"/>
  <c r="AI262" i="9"/>
  <c r="W262" i="9"/>
  <c r="AI231" i="9"/>
  <c r="AI192" i="9"/>
  <c r="AI147" i="9"/>
  <c r="AI94" i="9"/>
  <c r="AI73" i="9"/>
  <c r="AI153" i="9"/>
  <c r="W300" i="9"/>
  <c r="AI253" i="9"/>
  <c r="AI217" i="9"/>
  <c r="AI218" i="9"/>
  <c r="AI155" i="9"/>
  <c r="AI100" i="9"/>
  <c r="AI122" i="9"/>
  <c r="AI45" i="9"/>
  <c r="AI297" i="9"/>
  <c r="W297" i="9"/>
  <c r="W264" i="9"/>
  <c r="AI264" i="9"/>
  <c r="AI232" i="9"/>
  <c r="AI212" i="9"/>
  <c r="AI152" i="9"/>
  <c r="AI96" i="9"/>
  <c r="AI78" i="9"/>
  <c r="AI41" i="9"/>
  <c r="AI295" i="9"/>
  <c r="W295" i="9"/>
  <c r="AI268" i="9"/>
  <c r="W268" i="9"/>
  <c r="AI216" i="9"/>
  <c r="AI184" i="9"/>
  <c r="AI134" i="9"/>
  <c r="AI82" i="9"/>
  <c r="AI67" i="9"/>
  <c r="W294" i="9"/>
  <c r="AI294" i="9"/>
  <c r="AI238" i="9"/>
  <c r="AI199" i="9"/>
  <c r="W301" i="9"/>
  <c r="AI301" i="9"/>
  <c r="W290" i="9"/>
  <c r="AI290" i="9"/>
  <c r="AI256" i="9"/>
  <c r="AI190" i="9"/>
  <c r="AI88" i="9"/>
  <c r="AI77" i="9"/>
  <c r="AI40" i="9"/>
  <c r="W286" i="9"/>
  <c r="AI252" i="9"/>
  <c r="AI221" i="9"/>
  <c r="AI186" i="9"/>
  <c r="AI136" i="9"/>
  <c r="AI84" i="9"/>
  <c r="AI69" i="9"/>
  <c r="AI34" i="9"/>
  <c r="AI285" i="9"/>
  <c r="AI201" i="9"/>
  <c r="AI174" i="9"/>
  <c r="AI120" i="9"/>
  <c r="W287" i="9"/>
  <c r="AI245" i="9"/>
  <c r="AI200" i="9"/>
  <c r="W296" i="9"/>
  <c r="AI296" i="9"/>
  <c r="W280" i="9"/>
  <c r="AI207" i="9"/>
  <c r="AI178" i="9"/>
  <c r="AI151" i="9"/>
  <c r="W276" i="9"/>
  <c r="AI276" i="9"/>
  <c r="AI203" i="9"/>
  <c r="AI197" i="9"/>
  <c r="AI175" i="9"/>
  <c r="AI123" i="9"/>
  <c r="AI57" i="9"/>
  <c r="AI316" i="9"/>
  <c r="AI277" i="9"/>
  <c r="W277" i="9"/>
  <c r="AI247" i="9"/>
  <c r="AI202" i="9"/>
  <c r="AI109" i="9"/>
  <c r="AI72" i="9"/>
  <c r="AI275" i="9"/>
  <c r="W275" i="9"/>
  <c r="AI233" i="9"/>
  <c r="AI312" i="9"/>
  <c r="W284" i="9"/>
  <c r="AI284" i="9"/>
  <c r="AI270" i="9"/>
  <c r="W270" i="9"/>
  <c r="AI208" i="9"/>
  <c r="AI143" i="9"/>
  <c r="AI115" i="9"/>
  <c r="AI49" i="9"/>
  <c r="Q8" i="9"/>
  <c r="AI250" i="9"/>
  <c r="AI164" i="9"/>
  <c r="AI111" i="9"/>
  <c r="AI79" i="9"/>
  <c r="AI172" i="9"/>
  <c r="W311" i="9"/>
  <c r="AI257" i="9"/>
  <c r="AI179" i="9"/>
  <c r="W309" i="9"/>
  <c r="AI309" i="9"/>
  <c r="AI193" i="9"/>
  <c r="AI156" i="9"/>
  <c r="AI131" i="9"/>
  <c r="W261" i="9"/>
  <c r="AI261" i="9"/>
  <c r="AI183" i="9"/>
  <c r="AI52" i="9"/>
  <c r="BG317" i="9"/>
  <c r="BD317" i="9"/>
  <c r="AM317" i="9"/>
  <c r="AO317" i="9"/>
  <c r="AF317" i="9"/>
  <c r="BC317" i="9"/>
  <c r="W302" i="9"/>
  <c r="AI302" i="9"/>
  <c r="AI269" i="9"/>
  <c r="AI291" i="9"/>
  <c r="W291" i="9"/>
  <c r="AI211" i="9"/>
  <c r="AI194" i="9"/>
  <c r="AI127" i="9"/>
  <c r="AI99" i="9"/>
  <c r="AI64" i="9"/>
  <c r="W283" i="9"/>
  <c r="AI283" i="9"/>
  <c r="W303" i="9"/>
  <c r="AI303" i="9"/>
  <c r="W259" i="9"/>
  <c r="AI259" i="9"/>
  <c r="AI222" i="9"/>
  <c r="AI161" i="9"/>
  <c r="AI106" i="9"/>
  <c r="AI85" i="9"/>
  <c r="AI50" i="9"/>
  <c r="AI171" i="9"/>
  <c r="AI260" i="9"/>
  <c r="W260" i="9"/>
  <c r="AI229" i="9"/>
  <c r="AI182" i="9"/>
  <c r="W315" i="9"/>
  <c r="AI315" i="9"/>
  <c r="AI266" i="9"/>
  <c r="W266" i="9"/>
  <c r="AI228" i="9"/>
  <c r="AI187" i="9"/>
  <c r="AI167" i="9"/>
  <c r="AI112" i="9"/>
  <c r="AI91" i="9"/>
  <c r="AI56" i="9"/>
  <c r="C9" i="9"/>
  <c r="BP9" i="9" s="1"/>
  <c r="B9" i="9"/>
  <c r="AD8" i="9"/>
  <c r="C28" i="5"/>
  <c r="AD6" i="9" s="1"/>
  <c r="D7" i="3"/>
  <c r="D8" i="3" s="1"/>
  <c r="D9" i="3" s="1"/>
  <c r="D10" i="3" s="1"/>
  <c r="V10" i="3"/>
  <c r="E7" i="3" s="1"/>
  <c r="W310" i="9" l="1"/>
  <c r="BC310" i="9" s="1"/>
  <c r="K64" i="9"/>
  <c r="K70" i="9"/>
  <c r="K151" i="9"/>
  <c r="K311" i="9"/>
  <c r="K79" i="9"/>
  <c r="K41" i="9"/>
  <c r="K130" i="9"/>
  <c r="K150" i="9"/>
  <c r="K81" i="9"/>
  <c r="K45" i="9"/>
  <c r="K287" i="9"/>
  <c r="K78" i="9"/>
  <c r="K106" i="9"/>
  <c r="K127" i="9"/>
  <c r="AI173" i="9"/>
  <c r="AI249" i="9"/>
  <c r="W308" i="9"/>
  <c r="AF308" i="9" s="1"/>
  <c r="AI237" i="9"/>
  <c r="K196" i="9"/>
  <c r="W267" i="9"/>
  <c r="AM267" i="9" s="1"/>
  <c r="W279" i="9"/>
  <c r="BC279" i="9" s="1"/>
  <c r="AI168" i="9"/>
  <c r="AI118" i="9"/>
  <c r="AI154" i="9"/>
  <c r="AI244" i="9"/>
  <c r="AI102" i="9"/>
  <c r="AI92" i="9"/>
  <c r="K279" i="9"/>
  <c r="K230" i="9"/>
  <c r="K113" i="9"/>
  <c r="K153" i="9"/>
  <c r="K84" i="9"/>
  <c r="K104" i="9"/>
  <c r="K112" i="9"/>
  <c r="K72" i="9"/>
  <c r="K92" i="9"/>
  <c r="W305" i="9"/>
  <c r="AO305" i="9" s="1"/>
  <c r="AI87" i="9"/>
  <c r="W314" i="9"/>
  <c r="BG314" i="9" s="1"/>
  <c r="AI279" i="9"/>
  <c r="W312" i="9"/>
  <c r="BD312" i="9" s="1"/>
  <c r="AI137" i="9"/>
  <c r="AI242" i="9"/>
  <c r="AI225" i="9"/>
  <c r="W271" i="9"/>
  <c r="AO271" i="9" s="1"/>
  <c r="AI292" i="9"/>
  <c r="W292" i="9"/>
  <c r="AO292" i="9" s="1"/>
  <c r="AI258" i="9"/>
  <c r="AI157" i="9"/>
  <c r="AX310" i="9"/>
  <c r="AX305" i="9"/>
  <c r="AI132" i="9"/>
  <c r="AX257" i="9"/>
  <c r="AI177" i="9"/>
  <c r="AI130" i="9"/>
  <c r="N155" i="9"/>
  <c r="N157" i="9"/>
  <c r="K134" i="9"/>
  <c r="K100" i="9"/>
  <c r="K80" i="9"/>
  <c r="K49" i="9"/>
  <c r="K123" i="9"/>
  <c r="K109" i="9"/>
  <c r="K94" i="9"/>
  <c r="K34" i="9"/>
  <c r="K86" i="9"/>
  <c r="AJ267" i="9"/>
  <c r="AU267" i="9"/>
  <c r="N267" i="9"/>
  <c r="AJ308" i="9"/>
  <c r="AU308" i="9"/>
  <c r="N308" i="9"/>
  <c r="AI181" i="9"/>
  <c r="AI224" i="9"/>
  <c r="AI103" i="9"/>
  <c r="W273" i="9"/>
  <c r="BG273" i="9" s="1"/>
  <c r="AI125" i="9"/>
  <c r="AI314" i="9"/>
  <c r="AI204" i="9"/>
  <c r="AI219" i="9"/>
  <c r="AI61" i="9"/>
  <c r="AI280" i="9"/>
  <c r="AI149" i="9"/>
  <c r="AI140" i="9"/>
  <c r="AI42" i="9"/>
  <c r="AI213" i="9"/>
  <c r="AI95" i="9"/>
  <c r="AI117" i="9"/>
  <c r="AX292" i="9"/>
  <c r="AI205" i="9"/>
  <c r="AI46" i="9"/>
  <c r="AX261" i="9"/>
  <c r="N160" i="9"/>
  <c r="K310" i="9"/>
  <c r="K118" i="9"/>
  <c r="K135" i="9"/>
  <c r="K110" i="9"/>
  <c r="K103" i="9"/>
  <c r="K62" i="9"/>
  <c r="K267" i="9"/>
  <c r="K87" i="9"/>
  <c r="K308" i="9"/>
  <c r="AJ270" i="9"/>
  <c r="AU270" i="9"/>
  <c r="N270" i="9"/>
  <c r="AJ260" i="9"/>
  <c r="AU260" i="9"/>
  <c r="N260" i="9"/>
  <c r="AJ312" i="9"/>
  <c r="AU312" i="9"/>
  <c r="N312" i="9"/>
  <c r="AJ263" i="9"/>
  <c r="AU263" i="9"/>
  <c r="N263" i="9"/>
  <c r="AJ296" i="9"/>
  <c r="AU296" i="9"/>
  <c r="N296" i="9"/>
  <c r="AJ275" i="9"/>
  <c r="AU275" i="9"/>
  <c r="N275" i="9"/>
  <c r="AJ276" i="9"/>
  <c r="AU276" i="9"/>
  <c r="N276" i="9"/>
  <c r="AJ297" i="9"/>
  <c r="AU297" i="9"/>
  <c r="N297" i="9"/>
  <c r="AJ272" i="9"/>
  <c r="AU272" i="9"/>
  <c r="N272" i="9"/>
  <c r="AJ254" i="9"/>
  <c r="AU254" i="9"/>
  <c r="N254" i="9"/>
  <c r="AJ315" i="9"/>
  <c r="AU315" i="9"/>
  <c r="N315" i="9"/>
  <c r="AJ294" i="9"/>
  <c r="AU294" i="9"/>
  <c r="N294" i="9"/>
  <c r="AJ284" i="9"/>
  <c r="AU284" i="9"/>
  <c r="N284" i="9"/>
  <c r="AJ316" i="9"/>
  <c r="AU316" i="9"/>
  <c r="N316" i="9"/>
  <c r="K263" i="9"/>
  <c r="K88" i="9"/>
  <c r="K296" i="9"/>
  <c r="K275" i="9"/>
  <c r="K82" i="9"/>
  <c r="K57" i="9"/>
  <c r="K276" i="9"/>
  <c r="K297" i="9"/>
  <c r="AJ258" i="9"/>
  <c r="AU258" i="9"/>
  <c r="N258" i="9"/>
  <c r="AJ300" i="9"/>
  <c r="AU300" i="9"/>
  <c r="N300" i="9"/>
  <c r="AJ304" i="9"/>
  <c r="AU304" i="9"/>
  <c r="N304" i="9"/>
  <c r="AJ286" i="9"/>
  <c r="AU286" i="9"/>
  <c r="N286" i="9"/>
  <c r="K272" i="9"/>
  <c r="K254" i="9"/>
  <c r="K91" i="9"/>
  <c r="K315" i="9"/>
  <c r="K294" i="9"/>
  <c r="K85" i="9"/>
  <c r="K284" i="9"/>
  <c r="K316" i="9"/>
  <c r="AJ255" i="9"/>
  <c r="AU255" i="9"/>
  <c r="N255" i="9"/>
  <c r="AJ274" i="9"/>
  <c r="AU274" i="9"/>
  <c r="N274" i="9"/>
  <c r="AJ313" i="9"/>
  <c r="AU313" i="9"/>
  <c r="N313" i="9"/>
  <c r="AI195" i="9"/>
  <c r="AI162" i="9"/>
  <c r="AI128" i="9"/>
  <c r="W274" i="9"/>
  <c r="AO274" i="9" s="1"/>
  <c r="W298" i="9"/>
  <c r="AF298" i="9" s="1"/>
  <c r="AI54" i="9"/>
  <c r="W299" i="9"/>
  <c r="AO299" i="9" s="1"/>
  <c r="AI227" i="9"/>
  <c r="AX314" i="9"/>
  <c r="N156" i="9"/>
  <c r="K116" i="9"/>
  <c r="K95" i="9"/>
  <c r="K119" i="9"/>
  <c r="K215" i="9"/>
  <c r="K234" i="9"/>
  <c r="K131" i="9"/>
  <c r="K241" i="9"/>
  <c r="K160" i="9"/>
  <c r="K97" i="9"/>
  <c r="K108" i="9"/>
  <c r="K117" i="9"/>
  <c r="N141" i="9"/>
  <c r="AI141" i="9"/>
  <c r="AJ305" i="9"/>
  <c r="AU305" i="9"/>
  <c r="N305" i="9"/>
  <c r="K209" i="9"/>
  <c r="K38" i="9"/>
  <c r="K133" i="9"/>
  <c r="K255" i="9"/>
  <c r="K33" i="9"/>
  <c r="K128" i="9"/>
  <c r="K246" i="9"/>
  <c r="K235" i="9"/>
  <c r="K274" i="9"/>
  <c r="K149" i="9"/>
  <c r="K240" i="9"/>
  <c r="K111" i="9"/>
  <c r="K313" i="9"/>
  <c r="K152" i="9"/>
  <c r="AJ256" i="9"/>
  <c r="AU256" i="9"/>
  <c r="N256" i="9"/>
  <c r="AJ268" i="9"/>
  <c r="AU268" i="9"/>
  <c r="N268" i="9"/>
  <c r="AJ259" i="9"/>
  <c r="AU259" i="9"/>
  <c r="N259" i="9"/>
  <c r="AJ302" i="9"/>
  <c r="AU302" i="9"/>
  <c r="N302" i="9"/>
  <c r="K258" i="9"/>
  <c r="K53" i="9"/>
  <c r="K66" i="9"/>
  <c r="K122" i="9"/>
  <c r="K300" i="9"/>
  <c r="K73" i="9"/>
  <c r="K304" i="9"/>
  <c r="K69" i="9"/>
  <c r="K286" i="9"/>
  <c r="K143" i="9"/>
  <c r="AJ303" i="9"/>
  <c r="AU303" i="9"/>
  <c r="N303" i="9"/>
  <c r="AJ298" i="9"/>
  <c r="AU298" i="9"/>
  <c r="N298" i="9"/>
  <c r="AJ301" i="9"/>
  <c r="AU301" i="9"/>
  <c r="N301" i="9"/>
  <c r="AJ287" i="9"/>
  <c r="AU287" i="9"/>
  <c r="N287" i="9"/>
  <c r="AJ283" i="9"/>
  <c r="AU283" i="9"/>
  <c r="N283" i="9"/>
  <c r="K43" i="9"/>
  <c r="K46" i="9"/>
  <c r="K115" i="9"/>
  <c r="K305" i="9"/>
  <c r="AJ280" i="9"/>
  <c r="AU280" i="9"/>
  <c r="N280" i="9"/>
  <c r="AJ257" i="9"/>
  <c r="AU257" i="9"/>
  <c r="N257" i="9"/>
  <c r="AJ285" i="9"/>
  <c r="AU285" i="9"/>
  <c r="N285" i="9"/>
  <c r="AJ269" i="9"/>
  <c r="AU269" i="9"/>
  <c r="N269" i="9"/>
  <c r="K124" i="9"/>
  <c r="K40" i="9"/>
  <c r="K140" i="9"/>
  <c r="K256" i="9"/>
  <c r="K42" i="9"/>
  <c r="AJ265" i="9"/>
  <c r="AU265" i="9"/>
  <c r="N265" i="9"/>
  <c r="AJ307" i="9"/>
  <c r="AU307" i="9"/>
  <c r="N307" i="9"/>
  <c r="AJ278" i="9"/>
  <c r="AU278" i="9"/>
  <c r="N278" i="9"/>
  <c r="W269" i="9"/>
  <c r="AF269" i="9" s="1"/>
  <c r="AI163" i="9"/>
  <c r="AI308" i="9"/>
  <c r="AI62" i="9"/>
  <c r="AI267" i="9"/>
  <c r="AI139" i="9"/>
  <c r="W313" i="9"/>
  <c r="AF313" i="9" s="1"/>
  <c r="AI55" i="9"/>
  <c r="W285" i="9"/>
  <c r="AM285" i="9" s="1"/>
  <c r="AI135" i="9"/>
  <c r="AI116" i="9"/>
  <c r="AI265" i="9"/>
  <c r="W307" i="9"/>
  <c r="AM307" i="9" s="1"/>
  <c r="AI146" i="9"/>
  <c r="AI119" i="9"/>
  <c r="AI188" i="9"/>
  <c r="AX278" i="9"/>
  <c r="K191" i="9"/>
  <c r="K154" i="9"/>
  <c r="K36" i="9"/>
  <c r="K54" i="9"/>
  <c r="K68" i="9"/>
  <c r="K125" i="9"/>
  <c r="K52" i="9"/>
  <c r="K163" i="9"/>
  <c r="AJ277" i="9"/>
  <c r="AU277" i="9"/>
  <c r="N277" i="9"/>
  <c r="K58" i="9"/>
  <c r="K74" i="9"/>
  <c r="K146" i="9"/>
  <c r="K71" i="9"/>
  <c r="K61" i="9"/>
  <c r="K280" i="9"/>
  <c r="K257" i="9"/>
  <c r="K55" i="9"/>
  <c r="K285" i="9"/>
  <c r="K139" i="9"/>
  <c r="K269" i="9"/>
  <c r="AJ290" i="9"/>
  <c r="AU290" i="9"/>
  <c r="N290" i="9"/>
  <c r="AJ295" i="9"/>
  <c r="AU295" i="9"/>
  <c r="N295" i="9"/>
  <c r="K75" i="9"/>
  <c r="K148" i="9"/>
  <c r="K126" i="9"/>
  <c r="K265" i="9"/>
  <c r="K307" i="9"/>
  <c r="K278" i="9"/>
  <c r="AJ266" i="9"/>
  <c r="AU266" i="9"/>
  <c r="N266" i="9"/>
  <c r="AJ291" i="9"/>
  <c r="AU291" i="9"/>
  <c r="N291" i="9"/>
  <c r="AJ314" i="9"/>
  <c r="AU314" i="9"/>
  <c r="N314" i="9"/>
  <c r="AI108" i="9"/>
  <c r="AI274" i="9"/>
  <c r="AI298" i="9"/>
  <c r="AJ299" i="9"/>
  <c r="AU299" i="9"/>
  <c r="N299" i="9"/>
  <c r="AJ273" i="9"/>
  <c r="AU273" i="9"/>
  <c r="N273" i="9"/>
  <c r="AJ261" i="9"/>
  <c r="AU261" i="9"/>
  <c r="N261" i="9"/>
  <c r="AI68" i="9"/>
  <c r="AI273" i="9"/>
  <c r="AI97" i="9"/>
  <c r="AI313" i="9"/>
  <c r="AI33" i="9"/>
  <c r="AI133" i="9"/>
  <c r="AI38" i="9"/>
  <c r="AX298" i="9"/>
  <c r="AX299" i="9"/>
  <c r="AJ292" i="9"/>
  <c r="AU292" i="9"/>
  <c r="N292" i="9"/>
  <c r="AJ310" i="9"/>
  <c r="AU310" i="9"/>
  <c r="N310" i="9"/>
  <c r="AJ271" i="9"/>
  <c r="AU271" i="9"/>
  <c r="N271" i="9"/>
  <c r="AJ309" i="9"/>
  <c r="AU309" i="9"/>
  <c r="N309" i="9"/>
  <c r="K102" i="9"/>
  <c r="K132" i="9"/>
  <c r="K137" i="9"/>
  <c r="K90" i="9"/>
  <c r="K47" i="9"/>
  <c r="K277" i="9"/>
  <c r="AJ311" i="9"/>
  <c r="AU311" i="9"/>
  <c r="N311" i="9"/>
  <c r="AJ279" i="9"/>
  <c r="AU279" i="9"/>
  <c r="N279" i="9"/>
  <c r="K51" i="9"/>
  <c r="K63" i="9"/>
  <c r="K89" i="9"/>
  <c r="K77" i="9"/>
  <c r="K290" i="9"/>
  <c r="K67" i="9"/>
  <c r="K295" i="9"/>
  <c r="K96" i="9"/>
  <c r="K99" i="9"/>
  <c r="AJ253" i="9"/>
  <c r="AU253" i="9"/>
  <c r="N253" i="9"/>
  <c r="AJ262" i="9"/>
  <c r="AU262" i="9"/>
  <c r="N262" i="9"/>
  <c r="AJ252" i="9"/>
  <c r="AU252" i="9"/>
  <c r="N252" i="9"/>
  <c r="AJ264" i="9"/>
  <c r="AU264" i="9"/>
  <c r="N264" i="9"/>
  <c r="K144" i="9"/>
  <c r="K105" i="9"/>
  <c r="K56" i="9"/>
  <c r="K266" i="9"/>
  <c r="K50" i="9"/>
  <c r="K291" i="9"/>
  <c r="AJ6" i="9"/>
  <c r="BD282" i="9"/>
  <c r="AF282" i="9"/>
  <c r="BG282" i="9"/>
  <c r="N169" i="9"/>
  <c r="N175" i="9"/>
  <c r="N170" i="9"/>
  <c r="N176" i="9"/>
  <c r="N171" i="9"/>
  <c r="N177" i="9"/>
  <c r="N172" i="9"/>
  <c r="N178" i="9"/>
  <c r="N167" i="9"/>
  <c r="N173" i="9"/>
  <c r="N168" i="9"/>
  <c r="N174" i="9"/>
  <c r="BC282" i="9"/>
  <c r="AM282" i="9"/>
  <c r="BC289" i="9"/>
  <c r="AF289" i="9"/>
  <c r="BG289" i="9"/>
  <c r="BD289" i="9"/>
  <c r="AO289" i="9"/>
  <c r="F22" i="20"/>
  <c r="G22" i="20" s="1"/>
  <c r="H22" i="20" s="1"/>
  <c r="D23" i="20"/>
  <c r="AO258" i="9"/>
  <c r="AO263" i="9"/>
  <c r="AF272" i="9"/>
  <c r="AM272" i="9"/>
  <c r="BC265" i="9"/>
  <c r="AF263" i="9"/>
  <c r="BD272" i="9"/>
  <c r="BG263" i="9"/>
  <c r="BD263" i="9"/>
  <c r="BC263" i="9"/>
  <c r="BG272" i="9"/>
  <c r="BC272" i="9"/>
  <c r="AF265" i="9"/>
  <c r="AM265" i="9"/>
  <c r="BD293" i="9"/>
  <c r="BG258" i="9"/>
  <c r="BC258" i="9"/>
  <c r="BD258" i="9"/>
  <c r="AM293" i="9"/>
  <c r="BG293" i="9"/>
  <c r="AF293" i="9"/>
  <c r="AF306" i="9"/>
  <c r="AM306" i="9"/>
  <c r="AO307" i="9"/>
  <c r="AM258" i="9"/>
  <c r="AO293" i="9"/>
  <c r="BD265" i="9"/>
  <c r="BG278" i="9"/>
  <c r="BD278" i="9"/>
  <c r="AF278" i="9"/>
  <c r="BG306" i="9"/>
  <c r="AO265" i="9"/>
  <c r="BC278" i="9"/>
  <c r="BC306" i="9"/>
  <c r="BD306" i="9"/>
  <c r="AM278" i="9"/>
  <c r="AM288" i="9"/>
  <c r="BC281" i="9"/>
  <c r="BG281" i="9"/>
  <c r="BD288" i="9"/>
  <c r="AF281" i="9"/>
  <c r="AF288" i="9"/>
  <c r="AO281" i="9"/>
  <c r="AM281" i="9"/>
  <c r="BG288" i="9"/>
  <c r="AO288" i="9"/>
  <c r="AO266" i="9"/>
  <c r="BD266" i="9"/>
  <c r="BC266" i="9"/>
  <c r="AM266" i="9"/>
  <c r="AF266" i="9"/>
  <c r="BG266" i="9"/>
  <c r="BG261" i="9"/>
  <c r="AO261" i="9"/>
  <c r="BC261" i="9"/>
  <c r="AM261" i="9"/>
  <c r="AF261" i="9"/>
  <c r="BD261" i="9"/>
  <c r="AO260" i="9"/>
  <c r="BD260" i="9"/>
  <c r="BC260" i="9"/>
  <c r="AM260" i="9"/>
  <c r="AF260" i="9"/>
  <c r="BG260" i="9"/>
  <c r="B10" i="9"/>
  <c r="C10" i="9"/>
  <c r="BP10" i="9" s="1"/>
  <c r="AD9" i="9"/>
  <c r="BG259" i="9"/>
  <c r="AO259" i="9"/>
  <c r="BC259" i="9"/>
  <c r="AM259" i="9"/>
  <c r="AF259" i="9"/>
  <c r="BD259" i="9"/>
  <c r="BG283" i="9"/>
  <c r="AM283" i="9"/>
  <c r="BD283" i="9"/>
  <c r="BC283" i="9"/>
  <c r="AF283" i="9"/>
  <c r="AO283" i="9"/>
  <c r="BG302" i="9"/>
  <c r="BC302" i="9"/>
  <c r="AO302" i="9"/>
  <c r="BD302" i="9"/>
  <c r="AM302" i="9"/>
  <c r="AF302" i="9"/>
  <c r="BG257" i="9"/>
  <c r="AO257" i="9"/>
  <c r="BC257" i="9"/>
  <c r="AM257" i="9"/>
  <c r="AF257" i="9"/>
  <c r="BD257" i="9"/>
  <c r="BD303" i="9"/>
  <c r="BG303" i="9"/>
  <c r="AO303" i="9"/>
  <c r="AF303" i="9"/>
  <c r="AM303" i="9"/>
  <c r="BC303" i="9"/>
  <c r="Q9" i="9"/>
  <c r="AE6" i="9"/>
  <c r="AO291" i="9"/>
  <c r="BD291" i="9"/>
  <c r="BG291" i="9"/>
  <c r="AF291" i="9"/>
  <c r="BC291" i="9"/>
  <c r="AM291" i="9"/>
  <c r="BG315" i="9"/>
  <c r="BD315" i="9"/>
  <c r="AO315" i="9"/>
  <c r="AF315" i="9"/>
  <c r="BC315" i="9"/>
  <c r="AM315" i="9"/>
  <c r="BC309" i="9"/>
  <c r="AM309" i="9"/>
  <c r="AF309" i="9"/>
  <c r="BG309" i="9"/>
  <c r="BD309" i="9"/>
  <c r="AO309" i="9"/>
  <c r="BG296" i="9"/>
  <c r="AO296" i="9"/>
  <c r="BC296" i="9"/>
  <c r="AM296" i="9"/>
  <c r="AF296" i="9"/>
  <c r="BD296" i="9"/>
  <c r="BD301" i="9"/>
  <c r="AM301" i="9"/>
  <c r="BC301" i="9"/>
  <c r="AO301" i="9"/>
  <c r="BG301" i="9"/>
  <c r="AF301" i="9"/>
  <c r="BD311" i="9"/>
  <c r="AM311" i="9"/>
  <c r="BG311" i="9"/>
  <c r="AO311" i="9"/>
  <c r="AF311" i="9"/>
  <c r="BC311" i="9"/>
  <c r="BC284" i="9"/>
  <c r="AM284" i="9"/>
  <c r="AF284" i="9"/>
  <c r="BG284" i="9"/>
  <c r="BD284" i="9"/>
  <c r="AO284" i="9"/>
  <c r="AO287" i="9"/>
  <c r="BD287" i="9"/>
  <c r="BG287" i="9"/>
  <c r="AM287" i="9"/>
  <c r="BC287" i="9"/>
  <c r="AF287" i="9"/>
  <c r="BC294" i="9"/>
  <c r="AM294" i="9"/>
  <c r="AF294" i="9"/>
  <c r="BG294" i="9"/>
  <c r="BD294" i="9"/>
  <c r="AO294" i="9"/>
  <c r="AO268" i="9"/>
  <c r="BD268" i="9"/>
  <c r="BC268" i="9"/>
  <c r="AM268" i="9"/>
  <c r="AF268" i="9"/>
  <c r="BG268" i="9"/>
  <c r="BC304" i="9"/>
  <c r="AM304" i="9"/>
  <c r="AF304" i="9"/>
  <c r="BG304" i="9"/>
  <c r="AO304" i="9"/>
  <c r="BD304" i="9"/>
  <c r="BG280" i="9"/>
  <c r="AO280" i="9"/>
  <c r="BC280" i="9"/>
  <c r="AM280" i="9"/>
  <c r="AF280" i="9"/>
  <c r="BD280" i="9"/>
  <c r="BD264" i="9"/>
  <c r="AM264" i="9"/>
  <c r="BC264" i="9"/>
  <c r="BG264" i="9"/>
  <c r="AO264" i="9"/>
  <c r="AF264" i="9"/>
  <c r="BG276" i="9"/>
  <c r="AO276" i="9"/>
  <c r="BC276" i="9"/>
  <c r="AM276" i="9"/>
  <c r="AF276" i="9"/>
  <c r="BD276" i="9"/>
  <c r="BC286" i="9"/>
  <c r="AM286" i="9"/>
  <c r="AF286" i="9"/>
  <c r="BG286" i="9"/>
  <c r="BD286" i="9"/>
  <c r="AO286" i="9"/>
  <c r="AO277" i="9"/>
  <c r="BD277" i="9"/>
  <c r="BC277" i="9"/>
  <c r="AM277" i="9"/>
  <c r="AF277" i="9"/>
  <c r="BG277" i="9"/>
  <c r="BD316" i="9"/>
  <c r="BG316" i="9"/>
  <c r="BC316" i="9"/>
  <c r="AF316" i="9"/>
  <c r="AO316" i="9"/>
  <c r="AM316" i="9"/>
  <c r="BC290" i="9"/>
  <c r="AM290" i="9"/>
  <c r="AF290" i="9"/>
  <c r="BG290" i="9"/>
  <c r="BD290" i="9"/>
  <c r="AO290" i="9"/>
  <c r="BG300" i="9"/>
  <c r="AF300" i="9"/>
  <c r="AM300" i="9"/>
  <c r="BC300" i="9"/>
  <c r="AO300" i="9"/>
  <c r="BD300" i="9"/>
  <c r="AO270" i="9"/>
  <c r="BD270" i="9"/>
  <c r="BC270" i="9"/>
  <c r="AM270" i="9"/>
  <c r="AF270" i="9"/>
  <c r="BG270" i="9"/>
  <c r="AO275" i="9"/>
  <c r="BD275" i="9"/>
  <c r="BC275" i="9"/>
  <c r="AM275" i="9"/>
  <c r="AF275" i="9"/>
  <c r="BG275" i="9"/>
  <c r="AO295" i="9"/>
  <c r="BD295" i="9"/>
  <c r="BC295" i="9"/>
  <c r="AM295" i="9"/>
  <c r="AF295" i="9"/>
  <c r="BG295" i="9"/>
  <c r="AO297" i="9"/>
  <c r="BD297" i="9"/>
  <c r="BC297" i="9"/>
  <c r="AM297" i="9"/>
  <c r="AF297" i="9"/>
  <c r="BG297" i="9"/>
  <c r="AO262" i="9"/>
  <c r="BD262" i="9"/>
  <c r="BC262" i="9"/>
  <c r="AM262" i="9"/>
  <c r="AF262" i="9"/>
  <c r="BG262" i="9"/>
  <c r="C42" i="5"/>
  <c r="AS5" i="9" s="1"/>
  <c r="AT5" i="9" s="1"/>
  <c r="AD6" i="8"/>
  <c r="F7" i="3"/>
  <c r="G7" i="3" s="1"/>
  <c r="E8" i="3"/>
  <c r="D11" i="3"/>
  <c r="BD267" i="9" l="1"/>
  <c r="AF305" i="9"/>
  <c r="AO267" i="9"/>
  <c r="BG279" i="9"/>
  <c r="BG267" i="9"/>
  <c r="BD310" i="9"/>
  <c r="BG310" i="9"/>
  <c r="AM310" i="9"/>
  <c r="AF310" i="9"/>
  <c r="AO310" i="9"/>
  <c r="AO279" i="9"/>
  <c r="AF314" i="9"/>
  <c r="BC314" i="9"/>
  <c r="BC271" i="9"/>
  <c r="AF279" i="9"/>
  <c r="BC267" i="9"/>
  <c r="BD279" i="9"/>
  <c r="BD314" i="9"/>
  <c r="AM271" i="9"/>
  <c r="AO314" i="9"/>
  <c r="BD271" i="9"/>
  <c r="AF267" i="9"/>
  <c r="AM279" i="9"/>
  <c r="AM314" i="9"/>
  <c r="AF271" i="9"/>
  <c r="BG271" i="9"/>
  <c r="AO312" i="9"/>
  <c r="AO308" i="9"/>
  <c r="AF312" i="9"/>
  <c r="BD292" i="9"/>
  <c r="BG312" i="9"/>
  <c r="BC292" i="9"/>
  <c r="BC308" i="9"/>
  <c r="AM308" i="9"/>
  <c r="BC312" i="9"/>
  <c r="BD308" i="9"/>
  <c r="AF292" i="9"/>
  <c r="AM312" i="9"/>
  <c r="BG308" i="9"/>
  <c r="BG292" i="9"/>
  <c r="AM292" i="9"/>
  <c r="BG305" i="9"/>
  <c r="BD305" i="9"/>
  <c r="BC305" i="9"/>
  <c r="AM305" i="9"/>
  <c r="BC299" i="9"/>
  <c r="BC313" i="9"/>
  <c r="AO313" i="9"/>
  <c r="BG269" i="9"/>
  <c r="AO269" i="9"/>
  <c r="BC269" i="9"/>
  <c r="AF299" i="9"/>
  <c r="AF273" i="9"/>
  <c r="AM273" i="9"/>
  <c r="AM269" i="9"/>
  <c r="BG313" i="9"/>
  <c r="BD273" i="9"/>
  <c r="BD313" i="9"/>
  <c r="AM299" i="9"/>
  <c r="BC273" i="9"/>
  <c r="AO273" i="9"/>
  <c r="BD299" i="9"/>
  <c r="BG299" i="9"/>
  <c r="AM298" i="9"/>
  <c r="BC285" i="9"/>
  <c r="AO285" i="9"/>
  <c r="AF285" i="9"/>
  <c r="BD274" i="9"/>
  <c r="BG285" i="9"/>
  <c r="BD285" i="9"/>
  <c r="AF307" i="9"/>
  <c r="BC307" i="9"/>
  <c r="AO298" i="9"/>
  <c r="AM313" i="9"/>
  <c r="BD269" i="9"/>
  <c r="BG307" i="9"/>
  <c r="BC298" i="9"/>
  <c r="BG298" i="9"/>
  <c r="BD307" i="9"/>
  <c r="BD298" i="9"/>
  <c r="BC274" i="9"/>
  <c r="BG274" i="9"/>
  <c r="AF274" i="9"/>
  <c r="AM274" i="9"/>
  <c r="N181" i="9"/>
  <c r="N187" i="9"/>
  <c r="N182" i="9"/>
  <c r="N188" i="9"/>
  <c r="N183" i="9"/>
  <c r="N189" i="9"/>
  <c r="N184" i="9"/>
  <c r="N190" i="9"/>
  <c r="N179" i="9"/>
  <c r="N185" i="9"/>
  <c r="N180" i="9"/>
  <c r="N186" i="9"/>
  <c r="F23" i="20"/>
  <c r="G23" i="20" s="1"/>
  <c r="H23" i="20" s="1"/>
  <c r="D24" i="20"/>
  <c r="Q10" i="9"/>
  <c r="AD10" i="9"/>
  <c r="C11" i="9"/>
  <c r="BP11" i="9" s="1"/>
  <c r="B11" i="9"/>
  <c r="E9" i="3"/>
  <c r="F8" i="3"/>
  <c r="G8" i="3" s="1"/>
  <c r="H8" i="3" s="1"/>
  <c r="D12" i="3"/>
  <c r="N193" i="9" l="1"/>
  <c r="N199" i="9"/>
  <c r="N194" i="9"/>
  <c r="N200" i="9"/>
  <c r="N195" i="9"/>
  <c r="N201" i="9"/>
  <c r="N196" i="9"/>
  <c r="N202" i="9"/>
  <c r="N191" i="9"/>
  <c r="N197" i="9"/>
  <c r="N192" i="9"/>
  <c r="N198" i="9"/>
  <c r="D25" i="20"/>
  <c r="F24" i="20"/>
  <c r="G24" i="20" s="1"/>
  <c r="H24" i="20" s="1"/>
  <c r="B12" i="9"/>
  <c r="AD11" i="9"/>
  <c r="C12" i="9"/>
  <c r="BP12" i="9" s="1"/>
  <c r="Q11" i="9"/>
  <c r="E10" i="3"/>
  <c r="F9" i="3"/>
  <c r="G9" i="3" s="1"/>
  <c r="H9" i="3" s="1"/>
  <c r="D13" i="3"/>
  <c r="N205" i="9" l="1"/>
  <c r="N211" i="9"/>
  <c r="N206" i="9"/>
  <c r="N212" i="9"/>
  <c r="N207" i="9"/>
  <c r="N213" i="9"/>
  <c r="N208" i="9"/>
  <c r="N214" i="9"/>
  <c r="N203" i="9"/>
  <c r="N209" i="9"/>
  <c r="N204" i="9"/>
  <c r="N210" i="9"/>
  <c r="D26" i="20"/>
  <c r="F25" i="20"/>
  <c r="G25" i="20" s="1"/>
  <c r="H25" i="20" s="1"/>
  <c r="Q12" i="9"/>
  <c r="C13" i="9"/>
  <c r="BP13" i="9" s="1"/>
  <c r="AD12" i="9"/>
  <c r="B13" i="9"/>
  <c r="E11" i="3"/>
  <c r="F10" i="3"/>
  <c r="D14" i="3"/>
  <c r="N217" i="9" l="1"/>
  <c r="N223" i="9"/>
  <c r="N218" i="9"/>
  <c r="N224" i="9"/>
  <c r="N219" i="9"/>
  <c r="N225" i="9"/>
  <c r="N220" i="9"/>
  <c r="N226" i="9"/>
  <c r="N215" i="9"/>
  <c r="N221" i="9"/>
  <c r="N216" i="9"/>
  <c r="N222" i="9"/>
  <c r="D27" i="20"/>
  <c r="F27" i="20" s="1"/>
  <c r="G27" i="20" s="1"/>
  <c r="F26" i="20"/>
  <c r="G26" i="20" s="1"/>
  <c r="H26" i="20" s="1"/>
  <c r="B14" i="9"/>
  <c r="AD13" i="9"/>
  <c r="C14" i="9"/>
  <c r="BP14" i="9" s="1"/>
  <c r="Q13" i="9"/>
  <c r="G10" i="3"/>
  <c r="H10" i="3" s="1"/>
  <c r="E12" i="3"/>
  <c r="F11" i="3"/>
  <c r="G11" i="3" s="1"/>
  <c r="D15" i="3"/>
  <c r="N229" i="9" l="1"/>
  <c r="N235" i="9"/>
  <c r="N230" i="9"/>
  <c r="N236" i="9"/>
  <c r="N231" i="9"/>
  <c r="N237" i="9"/>
  <c r="N232" i="9"/>
  <c r="N238" i="9"/>
  <c r="N227" i="9"/>
  <c r="N233" i="9"/>
  <c r="N228" i="9"/>
  <c r="N234" i="9"/>
  <c r="H27" i="20"/>
  <c r="H11" i="3"/>
  <c r="Q14" i="9"/>
  <c r="C15" i="9"/>
  <c r="BP15" i="9" s="1"/>
  <c r="B15" i="9"/>
  <c r="AD14" i="9"/>
  <c r="E13" i="3"/>
  <c r="F12" i="3"/>
  <c r="G12" i="3" s="1"/>
  <c r="H12" i="3" s="1"/>
  <c r="D16" i="3"/>
  <c r="N241" i="9" l="1"/>
  <c r="N247" i="9"/>
  <c r="N242" i="9"/>
  <c r="N248" i="9"/>
  <c r="N243" i="9"/>
  <c r="N249" i="9"/>
  <c r="N244" i="9"/>
  <c r="N250" i="9"/>
  <c r="N239" i="9"/>
  <c r="N245" i="9"/>
  <c r="N240" i="9"/>
  <c r="N246" i="9"/>
  <c r="B16" i="9"/>
  <c r="C16" i="9"/>
  <c r="BP16" i="9" s="1"/>
  <c r="AD15" i="9"/>
  <c r="Q15" i="9"/>
  <c r="E14" i="3"/>
  <c r="F13" i="3"/>
  <c r="G13" i="3" s="1"/>
  <c r="H13" i="3" s="1"/>
  <c r="D17" i="3"/>
  <c r="BN317" i="8"/>
  <c r="AZ4" i="8"/>
  <c r="AW4" i="8"/>
  <c r="Q6" i="8"/>
  <c r="D5" i="8"/>
  <c r="A6" i="8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A211" i="8" s="1"/>
  <c r="A212" i="8" s="1"/>
  <c r="A213" i="8" s="1"/>
  <c r="A214" i="8" s="1"/>
  <c r="A215" i="8" s="1"/>
  <c r="A216" i="8" s="1"/>
  <c r="A217" i="8" s="1"/>
  <c r="A218" i="8" s="1"/>
  <c r="A219" i="8" s="1"/>
  <c r="A220" i="8" s="1"/>
  <c r="A221" i="8" s="1"/>
  <c r="A222" i="8" s="1"/>
  <c r="A223" i="8" s="1"/>
  <c r="A224" i="8" s="1"/>
  <c r="A225" i="8" s="1"/>
  <c r="A226" i="8" s="1"/>
  <c r="A227" i="8" s="1"/>
  <c r="A228" i="8" s="1"/>
  <c r="A229" i="8" s="1"/>
  <c r="A230" i="8" s="1"/>
  <c r="A231" i="8" s="1"/>
  <c r="A232" i="8" s="1"/>
  <c r="A233" i="8" s="1"/>
  <c r="A234" i="8" s="1"/>
  <c r="A235" i="8" s="1"/>
  <c r="A236" i="8" s="1"/>
  <c r="A237" i="8" s="1"/>
  <c r="A238" i="8" s="1"/>
  <c r="A239" i="8" s="1"/>
  <c r="A240" i="8" s="1"/>
  <c r="A241" i="8" s="1"/>
  <c r="A242" i="8" s="1"/>
  <c r="A243" i="8" s="1"/>
  <c r="A244" i="8" s="1"/>
  <c r="A245" i="8" s="1"/>
  <c r="A246" i="8" s="1"/>
  <c r="A247" i="8" s="1"/>
  <c r="A248" i="8" s="1"/>
  <c r="A249" i="8" s="1"/>
  <c r="A250" i="8" s="1"/>
  <c r="A251" i="8" s="1"/>
  <c r="A252" i="8" s="1"/>
  <c r="A253" i="8" s="1"/>
  <c r="A254" i="8" s="1"/>
  <c r="A255" i="8" s="1"/>
  <c r="A256" i="8" s="1"/>
  <c r="A257" i="8" s="1"/>
  <c r="A258" i="8" s="1"/>
  <c r="A259" i="8" s="1"/>
  <c r="A260" i="8" s="1"/>
  <c r="A261" i="8" s="1"/>
  <c r="A262" i="8" s="1"/>
  <c r="A263" i="8" s="1"/>
  <c r="A264" i="8" s="1"/>
  <c r="A265" i="8" s="1"/>
  <c r="A266" i="8" s="1"/>
  <c r="A267" i="8" s="1"/>
  <c r="A268" i="8" s="1"/>
  <c r="A269" i="8" s="1"/>
  <c r="A270" i="8" s="1"/>
  <c r="A271" i="8" s="1"/>
  <c r="A272" i="8" s="1"/>
  <c r="A273" i="8" s="1"/>
  <c r="A274" i="8" s="1"/>
  <c r="A275" i="8" s="1"/>
  <c r="A276" i="8" s="1"/>
  <c r="A277" i="8" s="1"/>
  <c r="A278" i="8" s="1"/>
  <c r="A279" i="8" s="1"/>
  <c r="A280" i="8" s="1"/>
  <c r="A281" i="8" s="1"/>
  <c r="A282" i="8" s="1"/>
  <c r="A283" i="8" s="1"/>
  <c r="A284" i="8" s="1"/>
  <c r="A285" i="8" s="1"/>
  <c r="A286" i="8" s="1"/>
  <c r="A287" i="8" s="1"/>
  <c r="A288" i="8" s="1"/>
  <c r="A289" i="8" s="1"/>
  <c r="A290" i="8" s="1"/>
  <c r="A291" i="8" s="1"/>
  <c r="A292" i="8" s="1"/>
  <c r="A293" i="8" s="1"/>
  <c r="A294" i="8" s="1"/>
  <c r="A295" i="8" s="1"/>
  <c r="A296" i="8" s="1"/>
  <c r="A297" i="8" s="1"/>
  <c r="A298" i="8" s="1"/>
  <c r="A299" i="8" s="1"/>
  <c r="A300" i="8" s="1"/>
  <c r="A301" i="8" s="1"/>
  <c r="A302" i="8" s="1"/>
  <c r="A303" i="8" s="1"/>
  <c r="A304" i="8" s="1"/>
  <c r="A305" i="8" s="1"/>
  <c r="A306" i="8" s="1"/>
  <c r="A307" i="8" s="1"/>
  <c r="A308" i="8" s="1"/>
  <c r="A309" i="8" s="1"/>
  <c r="A310" i="8" s="1"/>
  <c r="A311" i="8" s="1"/>
  <c r="A312" i="8" s="1"/>
  <c r="A313" i="8" s="1"/>
  <c r="A314" i="8" s="1"/>
  <c r="A315" i="8" s="1"/>
  <c r="A316" i="8" s="1"/>
  <c r="A317" i="8" s="1"/>
  <c r="E5" i="8" l="1"/>
  <c r="D6" i="8"/>
  <c r="E6" i="8" s="1"/>
  <c r="D251" i="8"/>
  <c r="E251" i="8" s="1"/>
  <c r="AD16" i="9"/>
  <c r="C17" i="9"/>
  <c r="BP17" i="9" s="1"/>
  <c r="B17" i="9"/>
  <c r="Q16" i="9"/>
  <c r="E15" i="3"/>
  <c r="F14" i="3"/>
  <c r="G14" i="3" s="1"/>
  <c r="H14" i="3" s="1"/>
  <c r="D18" i="3"/>
  <c r="D9" i="8"/>
  <c r="E9" i="8" s="1"/>
  <c r="D7" i="8"/>
  <c r="E7" i="8" s="1"/>
  <c r="D8" i="8"/>
  <c r="E8" i="8" s="1"/>
  <c r="K6" i="8"/>
  <c r="K2" i="5"/>
  <c r="CN3" i="8" s="1"/>
  <c r="AS5" i="8"/>
  <c r="AT5" i="8" s="1"/>
  <c r="C68" i="5"/>
  <c r="C67" i="5"/>
  <c r="C65" i="5"/>
  <c r="C63" i="5"/>
  <c r="C62" i="5"/>
  <c r="C57" i="5"/>
  <c r="C56" i="5"/>
  <c r="C54" i="5"/>
  <c r="C52" i="5"/>
  <c r="C51" i="5"/>
  <c r="C48" i="5"/>
  <c r="C47" i="5"/>
  <c r="C31" i="5"/>
  <c r="AC16" i="9" s="1"/>
  <c r="G2" i="5"/>
  <c r="B56" i="4"/>
  <c r="B38" i="4"/>
  <c r="AJ6" i="8" l="1"/>
  <c r="L10" i="9" a="1"/>
  <c r="L10" i="9" s="1"/>
  <c r="M10" i="9" s="1"/>
  <c r="T10" i="9" s="1"/>
  <c r="L9" i="9" a="1"/>
  <c r="L9" i="9" s="1"/>
  <c r="M9" i="9" s="1"/>
  <c r="T9" i="9" s="1"/>
  <c r="L16" i="9" a="1"/>
  <c r="L16" i="9" s="1"/>
  <c r="M16" i="9" s="1"/>
  <c r="T16" i="9" s="1"/>
  <c r="L22" i="9" a="1"/>
  <c r="L22" i="9" s="1"/>
  <c r="M22" i="9" s="1"/>
  <c r="T22" i="9" s="1"/>
  <c r="L28" i="9" a="1"/>
  <c r="L28" i="9" s="1"/>
  <c r="M28" i="9" s="1"/>
  <c r="T28" i="9" s="1"/>
  <c r="L34" i="9" a="1"/>
  <c r="L34" i="9" s="1"/>
  <c r="M34" i="9" s="1"/>
  <c r="T34" i="9" s="1"/>
  <c r="L40" i="9" a="1"/>
  <c r="L40" i="9" s="1"/>
  <c r="M40" i="9" s="1"/>
  <c r="T40" i="9" s="1"/>
  <c r="L46" i="9" a="1"/>
  <c r="L46" i="9" s="1"/>
  <c r="M46" i="9" s="1"/>
  <c r="T46" i="9" s="1"/>
  <c r="L52" i="9" a="1"/>
  <c r="L52" i="9" s="1"/>
  <c r="M52" i="9" s="1"/>
  <c r="T52" i="9" s="1"/>
  <c r="L58" i="9" a="1"/>
  <c r="L58" i="9" s="1"/>
  <c r="M58" i="9" s="1"/>
  <c r="T58" i="9" s="1"/>
  <c r="L64" i="9" a="1"/>
  <c r="L64" i="9" s="1"/>
  <c r="M64" i="9" s="1"/>
  <c r="T64" i="9" s="1"/>
  <c r="L70" i="9" a="1"/>
  <c r="L70" i="9" s="1"/>
  <c r="M70" i="9" s="1"/>
  <c r="T70" i="9" s="1"/>
  <c r="L76" i="9" a="1"/>
  <c r="L76" i="9" s="1"/>
  <c r="M76" i="9" s="1"/>
  <c r="T76" i="9" s="1"/>
  <c r="L82" i="9" a="1"/>
  <c r="L82" i="9" s="1"/>
  <c r="M82" i="9" s="1"/>
  <c r="T82" i="9" s="1"/>
  <c r="L88" i="9" a="1"/>
  <c r="L88" i="9" s="1"/>
  <c r="M88" i="9" s="1"/>
  <c r="T88" i="9" s="1"/>
  <c r="L94" i="9" a="1"/>
  <c r="L94" i="9" s="1"/>
  <c r="M94" i="9" s="1"/>
  <c r="T94" i="9" s="1"/>
  <c r="L100" i="9" a="1"/>
  <c r="L100" i="9" s="1"/>
  <c r="M100" i="9" s="1"/>
  <c r="T100" i="9" s="1"/>
  <c r="L106" i="9" a="1"/>
  <c r="L106" i="9" s="1"/>
  <c r="M106" i="9" s="1"/>
  <c r="T106" i="9" s="1"/>
  <c r="L112" i="9" a="1"/>
  <c r="L112" i="9" s="1"/>
  <c r="M112" i="9" s="1"/>
  <c r="T112" i="9" s="1"/>
  <c r="L118" i="9" a="1"/>
  <c r="L118" i="9" s="1"/>
  <c r="M118" i="9" s="1"/>
  <c r="T118" i="9" s="1"/>
  <c r="L124" i="9" a="1"/>
  <c r="L124" i="9" s="1"/>
  <c r="M124" i="9" s="1"/>
  <c r="T124" i="9" s="1"/>
  <c r="L130" i="9" a="1"/>
  <c r="L130" i="9" s="1"/>
  <c r="M130" i="9" s="1"/>
  <c r="T130" i="9" s="1"/>
  <c r="L136" i="9" a="1"/>
  <c r="L136" i="9" s="1"/>
  <c r="M136" i="9" s="1"/>
  <c r="T136" i="9" s="1"/>
  <c r="L142" i="9" a="1"/>
  <c r="L142" i="9" s="1"/>
  <c r="M142" i="9" s="1"/>
  <c r="T142" i="9" s="1"/>
  <c r="L148" i="9" a="1"/>
  <c r="L148" i="9" s="1"/>
  <c r="M148" i="9" s="1"/>
  <c r="T148" i="9" s="1"/>
  <c r="L154" i="9" a="1"/>
  <c r="L154" i="9" s="1"/>
  <c r="M154" i="9" s="1"/>
  <c r="T154" i="9" s="1"/>
  <c r="L160" i="9" a="1"/>
  <c r="L160" i="9" s="1"/>
  <c r="M160" i="9" s="1"/>
  <c r="T160" i="9" s="1"/>
  <c r="L166" i="9" a="1"/>
  <c r="L166" i="9" s="1"/>
  <c r="M166" i="9" s="1"/>
  <c r="T166" i="9" s="1"/>
  <c r="L172" i="9" a="1"/>
  <c r="L172" i="9" s="1"/>
  <c r="M172" i="9" s="1"/>
  <c r="T172" i="9" s="1"/>
  <c r="L178" i="9" a="1"/>
  <c r="L178" i="9" s="1"/>
  <c r="M178" i="9" s="1"/>
  <c r="T178" i="9" s="1"/>
  <c r="L184" i="9" a="1"/>
  <c r="L184" i="9" s="1"/>
  <c r="M184" i="9" s="1"/>
  <c r="T184" i="9" s="1"/>
  <c r="L190" i="9" a="1"/>
  <c r="L190" i="9" s="1"/>
  <c r="M190" i="9" s="1"/>
  <c r="T190" i="9" s="1"/>
  <c r="L196" i="9" a="1"/>
  <c r="L196" i="9" s="1"/>
  <c r="M196" i="9" s="1"/>
  <c r="T196" i="9" s="1"/>
  <c r="L202" i="9" a="1"/>
  <c r="L202" i="9" s="1"/>
  <c r="M202" i="9" s="1"/>
  <c r="T202" i="9" s="1"/>
  <c r="L208" i="9" a="1"/>
  <c r="L208" i="9" s="1"/>
  <c r="M208" i="9" s="1"/>
  <c r="T208" i="9" s="1"/>
  <c r="L214" i="9" a="1"/>
  <c r="L214" i="9" s="1"/>
  <c r="M214" i="9" s="1"/>
  <c r="T214" i="9" s="1"/>
  <c r="L220" i="9" a="1"/>
  <c r="L220" i="9" s="1"/>
  <c r="M220" i="9" s="1"/>
  <c r="T220" i="9" s="1"/>
  <c r="L226" i="9" a="1"/>
  <c r="L226" i="9" s="1"/>
  <c r="M226" i="9" s="1"/>
  <c r="T226" i="9" s="1"/>
  <c r="L232" i="9" a="1"/>
  <c r="L232" i="9" s="1"/>
  <c r="M232" i="9" s="1"/>
  <c r="T232" i="9" s="1"/>
  <c r="L238" i="9" a="1"/>
  <c r="L238" i="9" s="1"/>
  <c r="M238" i="9" s="1"/>
  <c r="T238" i="9" s="1"/>
  <c r="L244" i="9" a="1"/>
  <c r="L244" i="9" s="1"/>
  <c r="M244" i="9" s="1"/>
  <c r="T244" i="9" s="1"/>
  <c r="L250" i="9" a="1"/>
  <c r="L250" i="9" s="1"/>
  <c r="M250" i="9" s="1"/>
  <c r="T250" i="9" s="1"/>
  <c r="L256" i="9" a="1"/>
  <c r="L256" i="9" s="1"/>
  <c r="M256" i="9" s="1"/>
  <c r="T256" i="9" s="1"/>
  <c r="L262" i="9" a="1"/>
  <c r="L262" i="9" s="1"/>
  <c r="M262" i="9" s="1"/>
  <c r="T262" i="9" s="1"/>
  <c r="L268" i="9" a="1"/>
  <c r="L268" i="9" s="1"/>
  <c r="M268" i="9" s="1"/>
  <c r="T268" i="9" s="1"/>
  <c r="L274" i="9" a="1"/>
  <c r="L274" i="9" s="1"/>
  <c r="M274" i="9" s="1"/>
  <c r="T274" i="9" s="1"/>
  <c r="L280" i="9" a="1"/>
  <c r="L280" i="9" s="1"/>
  <c r="M280" i="9" s="1"/>
  <c r="T280" i="9" s="1"/>
  <c r="L286" i="9" a="1"/>
  <c r="L286" i="9" s="1"/>
  <c r="M286" i="9" s="1"/>
  <c r="T286" i="9" s="1"/>
  <c r="L292" i="9" a="1"/>
  <c r="L292" i="9" s="1"/>
  <c r="M292" i="9" s="1"/>
  <c r="T292" i="9" s="1"/>
  <c r="L298" i="9" a="1"/>
  <c r="L298" i="9" s="1"/>
  <c r="M298" i="9" s="1"/>
  <c r="T298" i="9" s="1"/>
  <c r="L304" i="9" a="1"/>
  <c r="L304" i="9" s="1"/>
  <c r="M304" i="9" s="1"/>
  <c r="T304" i="9" s="1"/>
  <c r="L310" i="9" a="1"/>
  <c r="L310" i="9" s="1"/>
  <c r="M310" i="9" s="1"/>
  <c r="T310" i="9" s="1"/>
  <c r="L316" i="9" a="1"/>
  <c r="L316" i="9" s="1"/>
  <c r="M316" i="9" s="1"/>
  <c r="T316" i="9" s="1"/>
  <c r="L12" i="9" a="1"/>
  <c r="L12" i="9" s="1"/>
  <c r="M12" i="9" s="1"/>
  <c r="T12" i="9" s="1"/>
  <c r="L18" i="9" a="1"/>
  <c r="L18" i="9" s="1"/>
  <c r="M18" i="9" s="1"/>
  <c r="T18" i="9" s="1"/>
  <c r="L24" i="9" a="1"/>
  <c r="L24" i="9" s="1"/>
  <c r="M24" i="9" s="1"/>
  <c r="T24" i="9" s="1"/>
  <c r="L30" i="9" a="1"/>
  <c r="L30" i="9" s="1"/>
  <c r="M30" i="9" s="1"/>
  <c r="T30" i="9" s="1"/>
  <c r="L36" i="9" a="1"/>
  <c r="L36" i="9" s="1"/>
  <c r="M36" i="9" s="1"/>
  <c r="T36" i="9" s="1"/>
  <c r="L42" i="9" a="1"/>
  <c r="L42" i="9" s="1"/>
  <c r="M42" i="9" s="1"/>
  <c r="T42" i="9" s="1"/>
  <c r="L48" i="9" a="1"/>
  <c r="L48" i="9" s="1"/>
  <c r="M48" i="9" s="1"/>
  <c r="T48" i="9" s="1"/>
  <c r="L54" i="9" a="1"/>
  <c r="L54" i="9" s="1"/>
  <c r="M54" i="9" s="1"/>
  <c r="T54" i="9" s="1"/>
  <c r="L60" i="9" a="1"/>
  <c r="L60" i="9" s="1"/>
  <c r="M60" i="9" s="1"/>
  <c r="T60" i="9" s="1"/>
  <c r="L66" i="9" a="1"/>
  <c r="L66" i="9" s="1"/>
  <c r="M66" i="9" s="1"/>
  <c r="T66" i="9" s="1"/>
  <c r="L72" i="9" a="1"/>
  <c r="L72" i="9" s="1"/>
  <c r="M72" i="9" s="1"/>
  <c r="T72" i="9" s="1"/>
  <c r="L78" i="9" a="1"/>
  <c r="L78" i="9" s="1"/>
  <c r="M78" i="9" s="1"/>
  <c r="T78" i="9" s="1"/>
  <c r="L84" i="9" a="1"/>
  <c r="L84" i="9" s="1"/>
  <c r="M84" i="9" s="1"/>
  <c r="T84" i="9" s="1"/>
  <c r="L90" i="9" a="1"/>
  <c r="L90" i="9" s="1"/>
  <c r="M90" i="9" s="1"/>
  <c r="T90" i="9" s="1"/>
  <c r="L96" i="9" a="1"/>
  <c r="L96" i="9" s="1"/>
  <c r="M96" i="9" s="1"/>
  <c r="T96" i="9" s="1"/>
  <c r="L102" i="9" a="1"/>
  <c r="L102" i="9" s="1"/>
  <c r="M102" i="9" s="1"/>
  <c r="T102" i="9" s="1"/>
  <c r="L108" i="9" a="1"/>
  <c r="L108" i="9" s="1"/>
  <c r="M108" i="9" s="1"/>
  <c r="T108" i="9" s="1"/>
  <c r="L114" i="9" a="1"/>
  <c r="L114" i="9" s="1"/>
  <c r="M114" i="9" s="1"/>
  <c r="T114" i="9" s="1"/>
  <c r="L120" i="9" a="1"/>
  <c r="L120" i="9" s="1"/>
  <c r="M120" i="9" s="1"/>
  <c r="T120" i="9" s="1"/>
  <c r="L126" i="9" a="1"/>
  <c r="L126" i="9" s="1"/>
  <c r="M126" i="9" s="1"/>
  <c r="T126" i="9" s="1"/>
  <c r="L132" i="9" a="1"/>
  <c r="L132" i="9" s="1"/>
  <c r="M132" i="9" s="1"/>
  <c r="T132" i="9" s="1"/>
  <c r="L138" i="9" a="1"/>
  <c r="L138" i="9" s="1"/>
  <c r="M138" i="9" s="1"/>
  <c r="T138" i="9" s="1"/>
  <c r="L144" i="9" a="1"/>
  <c r="L144" i="9" s="1"/>
  <c r="M144" i="9" s="1"/>
  <c r="T144" i="9" s="1"/>
  <c r="L150" i="9" a="1"/>
  <c r="L150" i="9" s="1"/>
  <c r="M150" i="9" s="1"/>
  <c r="T150" i="9" s="1"/>
  <c r="L156" i="9" a="1"/>
  <c r="L156" i="9" s="1"/>
  <c r="M156" i="9" s="1"/>
  <c r="T156" i="9" s="1"/>
  <c r="L162" i="9" a="1"/>
  <c r="L162" i="9" s="1"/>
  <c r="M162" i="9" s="1"/>
  <c r="T162" i="9" s="1"/>
  <c r="L168" i="9" a="1"/>
  <c r="L168" i="9" s="1"/>
  <c r="M168" i="9" s="1"/>
  <c r="T168" i="9" s="1"/>
  <c r="L174" i="9" a="1"/>
  <c r="L174" i="9" s="1"/>
  <c r="M174" i="9" s="1"/>
  <c r="T174" i="9" s="1"/>
  <c r="L180" i="9" a="1"/>
  <c r="L180" i="9" s="1"/>
  <c r="M180" i="9" s="1"/>
  <c r="T180" i="9" s="1"/>
  <c r="L186" i="9" a="1"/>
  <c r="L186" i="9" s="1"/>
  <c r="M186" i="9" s="1"/>
  <c r="T186" i="9" s="1"/>
  <c r="L192" i="9" a="1"/>
  <c r="L192" i="9" s="1"/>
  <c r="M192" i="9" s="1"/>
  <c r="T192" i="9" s="1"/>
  <c r="L198" i="9" a="1"/>
  <c r="L198" i="9" s="1"/>
  <c r="M198" i="9" s="1"/>
  <c r="T198" i="9" s="1"/>
  <c r="L204" i="9" a="1"/>
  <c r="L204" i="9" s="1"/>
  <c r="M204" i="9" s="1"/>
  <c r="T204" i="9" s="1"/>
  <c r="L210" i="9" a="1"/>
  <c r="L210" i="9" s="1"/>
  <c r="M210" i="9" s="1"/>
  <c r="T210" i="9" s="1"/>
  <c r="L216" i="9" a="1"/>
  <c r="L216" i="9" s="1"/>
  <c r="M216" i="9" s="1"/>
  <c r="T216" i="9" s="1"/>
  <c r="L222" i="9" a="1"/>
  <c r="L222" i="9" s="1"/>
  <c r="M222" i="9" s="1"/>
  <c r="T222" i="9" s="1"/>
  <c r="L228" i="9" a="1"/>
  <c r="L228" i="9" s="1"/>
  <c r="M228" i="9" s="1"/>
  <c r="T228" i="9" s="1"/>
  <c r="L234" i="9" a="1"/>
  <c r="L234" i="9" s="1"/>
  <c r="M234" i="9" s="1"/>
  <c r="T234" i="9" s="1"/>
  <c r="L240" i="9" a="1"/>
  <c r="L240" i="9" s="1"/>
  <c r="M240" i="9" s="1"/>
  <c r="T240" i="9" s="1"/>
  <c r="L246" i="9" a="1"/>
  <c r="L246" i="9" s="1"/>
  <c r="M246" i="9" s="1"/>
  <c r="T246" i="9" s="1"/>
  <c r="L252" i="9" a="1"/>
  <c r="L252" i="9" s="1"/>
  <c r="M252" i="9" s="1"/>
  <c r="T252" i="9" s="1"/>
  <c r="L258" i="9" a="1"/>
  <c r="L258" i="9" s="1"/>
  <c r="M258" i="9" s="1"/>
  <c r="T258" i="9" s="1"/>
  <c r="L264" i="9" a="1"/>
  <c r="L264" i="9" s="1"/>
  <c r="M264" i="9" s="1"/>
  <c r="T264" i="9" s="1"/>
  <c r="L270" i="9" a="1"/>
  <c r="L270" i="9" s="1"/>
  <c r="M270" i="9" s="1"/>
  <c r="T270" i="9" s="1"/>
  <c r="L276" i="9" a="1"/>
  <c r="L276" i="9" s="1"/>
  <c r="M276" i="9" s="1"/>
  <c r="T276" i="9" s="1"/>
  <c r="L282" i="9" a="1"/>
  <c r="L282" i="9" s="1"/>
  <c r="M282" i="9" s="1"/>
  <c r="T282" i="9" s="1"/>
  <c r="L288" i="9" a="1"/>
  <c r="L288" i="9" s="1"/>
  <c r="M288" i="9" s="1"/>
  <c r="T288" i="9" s="1"/>
  <c r="L294" i="9" a="1"/>
  <c r="L294" i="9" s="1"/>
  <c r="M294" i="9" s="1"/>
  <c r="T294" i="9" s="1"/>
  <c r="L300" i="9" a="1"/>
  <c r="L300" i="9" s="1"/>
  <c r="M300" i="9" s="1"/>
  <c r="T300" i="9" s="1"/>
  <c r="L306" i="9" a="1"/>
  <c r="L306" i="9" s="1"/>
  <c r="M306" i="9" s="1"/>
  <c r="T306" i="9" s="1"/>
  <c r="L312" i="9" a="1"/>
  <c r="L312" i="9" s="1"/>
  <c r="M312" i="9" s="1"/>
  <c r="T312" i="9" s="1"/>
  <c r="L6" i="9" a="1"/>
  <c r="L6" i="9" s="1"/>
  <c r="M6" i="9" s="1"/>
  <c r="T6" i="9" s="1"/>
  <c r="L8" i="9" a="1"/>
  <c r="L8" i="9" s="1"/>
  <c r="M8" i="9" s="1"/>
  <c r="T8" i="9" s="1"/>
  <c r="L15" i="9" a="1"/>
  <c r="L15" i="9" s="1"/>
  <c r="M15" i="9" s="1"/>
  <c r="T15" i="9" s="1"/>
  <c r="L21" i="9" a="1"/>
  <c r="L21" i="9" s="1"/>
  <c r="M21" i="9" s="1"/>
  <c r="T21" i="9" s="1"/>
  <c r="L27" i="9" a="1"/>
  <c r="L27" i="9" s="1"/>
  <c r="M27" i="9" s="1"/>
  <c r="T27" i="9" s="1"/>
  <c r="L33" i="9" a="1"/>
  <c r="L33" i="9" s="1"/>
  <c r="M33" i="9" s="1"/>
  <c r="T33" i="9" s="1"/>
  <c r="L39" i="9" a="1"/>
  <c r="L39" i="9" s="1"/>
  <c r="M39" i="9" s="1"/>
  <c r="T39" i="9" s="1"/>
  <c r="L45" i="9" a="1"/>
  <c r="L45" i="9" s="1"/>
  <c r="M45" i="9" s="1"/>
  <c r="T45" i="9" s="1"/>
  <c r="L51" i="9" a="1"/>
  <c r="L51" i="9" s="1"/>
  <c r="M51" i="9" s="1"/>
  <c r="T51" i="9" s="1"/>
  <c r="L57" i="9" a="1"/>
  <c r="L57" i="9" s="1"/>
  <c r="M57" i="9" s="1"/>
  <c r="T57" i="9" s="1"/>
  <c r="L63" i="9" a="1"/>
  <c r="L63" i="9" s="1"/>
  <c r="M63" i="9" s="1"/>
  <c r="T63" i="9" s="1"/>
  <c r="L69" i="9" a="1"/>
  <c r="L69" i="9" s="1"/>
  <c r="M69" i="9" s="1"/>
  <c r="T69" i="9" s="1"/>
  <c r="L75" i="9" a="1"/>
  <c r="L75" i="9" s="1"/>
  <c r="M75" i="9" s="1"/>
  <c r="T75" i="9" s="1"/>
  <c r="L81" i="9" a="1"/>
  <c r="L81" i="9" s="1"/>
  <c r="M81" i="9" s="1"/>
  <c r="T81" i="9" s="1"/>
  <c r="L87" i="9" a="1"/>
  <c r="L87" i="9" s="1"/>
  <c r="M87" i="9" s="1"/>
  <c r="T87" i="9" s="1"/>
  <c r="L93" i="9" a="1"/>
  <c r="L93" i="9" s="1"/>
  <c r="M93" i="9" s="1"/>
  <c r="T93" i="9" s="1"/>
  <c r="L99" i="9" a="1"/>
  <c r="L99" i="9" s="1"/>
  <c r="M99" i="9" s="1"/>
  <c r="T99" i="9" s="1"/>
  <c r="L105" i="9" a="1"/>
  <c r="L105" i="9" s="1"/>
  <c r="M105" i="9" s="1"/>
  <c r="T105" i="9" s="1"/>
  <c r="L111" i="9" a="1"/>
  <c r="L111" i="9" s="1"/>
  <c r="M111" i="9" s="1"/>
  <c r="T111" i="9" s="1"/>
  <c r="L117" i="9" a="1"/>
  <c r="L117" i="9" s="1"/>
  <c r="M117" i="9" s="1"/>
  <c r="T117" i="9" s="1"/>
  <c r="L123" i="9" a="1"/>
  <c r="L123" i="9" s="1"/>
  <c r="M123" i="9" s="1"/>
  <c r="T123" i="9" s="1"/>
  <c r="L129" i="9" a="1"/>
  <c r="L129" i="9" s="1"/>
  <c r="M129" i="9" s="1"/>
  <c r="T129" i="9" s="1"/>
  <c r="L135" i="9" a="1"/>
  <c r="L135" i="9" s="1"/>
  <c r="M135" i="9" s="1"/>
  <c r="T135" i="9" s="1"/>
  <c r="L141" i="9" a="1"/>
  <c r="L141" i="9" s="1"/>
  <c r="M141" i="9" s="1"/>
  <c r="T141" i="9" s="1"/>
  <c r="L147" i="9" a="1"/>
  <c r="L147" i="9" s="1"/>
  <c r="M147" i="9" s="1"/>
  <c r="T147" i="9" s="1"/>
  <c r="L153" i="9" a="1"/>
  <c r="L153" i="9" s="1"/>
  <c r="M153" i="9" s="1"/>
  <c r="T153" i="9" s="1"/>
  <c r="L159" i="9" a="1"/>
  <c r="L159" i="9" s="1"/>
  <c r="M159" i="9" s="1"/>
  <c r="T159" i="9" s="1"/>
  <c r="L165" i="9" a="1"/>
  <c r="L165" i="9" s="1"/>
  <c r="M165" i="9" s="1"/>
  <c r="T165" i="9" s="1"/>
  <c r="L171" i="9" a="1"/>
  <c r="L171" i="9" s="1"/>
  <c r="M171" i="9" s="1"/>
  <c r="T171" i="9" s="1"/>
  <c r="L177" i="9" a="1"/>
  <c r="L177" i="9" s="1"/>
  <c r="M177" i="9" s="1"/>
  <c r="T177" i="9" s="1"/>
  <c r="L183" i="9" a="1"/>
  <c r="L183" i="9" s="1"/>
  <c r="M183" i="9" s="1"/>
  <c r="T183" i="9" s="1"/>
  <c r="L189" i="9" a="1"/>
  <c r="L189" i="9" s="1"/>
  <c r="M189" i="9" s="1"/>
  <c r="T189" i="9" s="1"/>
  <c r="L195" i="9" a="1"/>
  <c r="L195" i="9" s="1"/>
  <c r="M195" i="9" s="1"/>
  <c r="T195" i="9" s="1"/>
  <c r="L201" i="9" a="1"/>
  <c r="L201" i="9" s="1"/>
  <c r="M201" i="9" s="1"/>
  <c r="T201" i="9" s="1"/>
  <c r="L207" i="9" a="1"/>
  <c r="L207" i="9" s="1"/>
  <c r="M207" i="9" s="1"/>
  <c r="T207" i="9" s="1"/>
  <c r="L13" i="9" a="1"/>
  <c r="L13" i="9" s="1"/>
  <c r="M13" i="9" s="1"/>
  <c r="T13" i="9" s="1"/>
  <c r="L25" i="9" a="1"/>
  <c r="L25" i="9" s="1"/>
  <c r="M25" i="9" s="1"/>
  <c r="T25" i="9" s="1"/>
  <c r="L37" i="9" a="1"/>
  <c r="L37" i="9" s="1"/>
  <c r="M37" i="9" s="1"/>
  <c r="T37" i="9" s="1"/>
  <c r="L49" i="9" a="1"/>
  <c r="L49" i="9" s="1"/>
  <c r="M49" i="9" s="1"/>
  <c r="T49" i="9" s="1"/>
  <c r="L61" i="9" a="1"/>
  <c r="L61" i="9" s="1"/>
  <c r="M61" i="9" s="1"/>
  <c r="T61" i="9" s="1"/>
  <c r="L73" i="9" a="1"/>
  <c r="L73" i="9" s="1"/>
  <c r="M73" i="9" s="1"/>
  <c r="T73" i="9" s="1"/>
  <c r="L85" i="9" a="1"/>
  <c r="L85" i="9" s="1"/>
  <c r="M85" i="9" s="1"/>
  <c r="T85" i="9" s="1"/>
  <c r="L97" i="9" a="1"/>
  <c r="L97" i="9" s="1"/>
  <c r="M97" i="9" s="1"/>
  <c r="T97" i="9" s="1"/>
  <c r="L109" i="9" a="1"/>
  <c r="L109" i="9" s="1"/>
  <c r="M109" i="9" s="1"/>
  <c r="T109" i="9" s="1"/>
  <c r="L121" i="9" a="1"/>
  <c r="L121" i="9" s="1"/>
  <c r="M121" i="9" s="1"/>
  <c r="T121" i="9" s="1"/>
  <c r="L133" i="9" a="1"/>
  <c r="L133" i="9" s="1"/>
  <c r="M133" i="9" s="1"/>
  <c r="T133" i="9" s="1"/>
  <c r="L145" i="9" a="1"/>
  <c r="L145" i="9" s="1"/>
  <c r="M145" i="9" s="1"/>
  <c r="T145" i="9" s="1"/>
  <c r="L157" i="9" a="1"/>
  <c r="L157" i="9" s="1"/>
  <c r="M157" i="9" s="1"/>
  <c r="T157" i="9" s="1"/>
  <c r="L169" i="9" a="1"/>
  <c r="L169" i="9" s="1"/>
  <c r="M169" i="9" s="1"/>
  <c r="T169" i="9" s="1"/>
  <c r="L181" i="9" a="1"/>
  <c r="L181" i="9" s="1"/>
  <c r="M181" i="9" s="1"/>
  <c r="T181" i="9" s="1"/>
  <c r="L193" i="9" a="1"/>
  <c r="L193" i="9" s="1"/>
  <c r="M193" i="9" s="1"/>
  <c r="T193" i="9" s="1"/>
  <c r="L205" i="9" a="1"/>
  <c r="L205" i="9" s="1"/>
  <c r="M205" i="9" s="1"/>
  <c r="T205" i="9" s="1"/>
  <c r="L215" i="9" a="1"/>
  <c r="L215" i="9" s="1"/>
  <c r="M215" i="9" s="1"/>
  <c r="T215" i="9" s="1"/>
  <c r="L224" i="9" a="1"/>
  <c r="L224" i="9" s="1"/>
  <c r="M224" i="9" s="1"/>
  <c r="T224" i="9" s="1"/>
  <c r="L233" i="9" a="1"/>
  <c r="L233" i="9" s="1"/>
  <c r="M233" i="9" s="1"/>
  <c r="T233" i="9" s="1"/>
  <c r="L242" i="9" a="1"/>
  <c r="L242" i="9" s="1"/>
  <c r="M242" i="9" s="1"/>
  <c r="T242" i="9" s="1"/>
  <c r="L251" i="9" a="1"/>
  <c r="L251" i="9" s="1"/>
  <c r="M251" i="9" s="1"/>
  <c r="T251" i="9" s="1"/>
  <c r="L260" i="9" a="1"/>
  <c r="L260" i="9" s="1"/>
  <c r="M260" i="9" s="1"/>
  <c r="T260" i="9" s="1"/>
  <c r="L269" i="9" a="1"/>
  <c r="L269" i="9" s="1"/>
  <c r="M269" i="9" s="1"/>
  <c r="T269" i="9" s="1"/>
  <c r="L278" i="9" a="1"/>
  <c r="L278" i="9" s="1"/>
  <c r="M278" i="9" s="1"/>
  <c r="T278" i="9" s="1"/>
  <c r="L287" i="9" a="1"/>
  <c r="L287" i="9" s="1"/>
  <c r="M287" i="9" s="1"/>
  <c r="T287" i="9" s="1"/>
  <c r="L296" i="9" a="1"/>
  <c r="L296" i="9" s="1"/>
  <c r="M296" i="9" s="1"/>
  <c r="T296" i="9" s="1"/>
  <c r="L305" i="9" a="1"/>
  <c r="L305" i="9" s="1"/>
  <c r="M305" i="9" s="1"/>
  <c r="T305" i="9" s="1"/>
  <c r="L314" i="9" a="1"/>
  <c r="L314" i="9" s="1"/>
  <c r="M314" i="9" s="1"/>
  <c r="T314" i="9" s="1"/>
  <c r="L38" i="9" a="1"/>
  <c r="L38" i="9" s="1"/>
  <c r="M38" i="9" s="1"/>
  <c r="T38" i="9" s="1"/>
  <c r="L50" i="9" a="1"/>
  <c r="L50" i="9" s="1"/>
  <c r="M50" i="9" s="1"/>
  <c r="T50" i="9" s="1"/>
  <c r="L62" i="9" a="1"/>
  <c r="L62" i="9" s="1"/>
  <c r="M62" i="9" s="1"/>
  <c r="T62" i="9" s="1"/>
  <c r="L74" i="9" a="1"/>
  <c r="L74" i="9" s="1"/>
  <c r="M74" i="9" s="1"/>
  <c r="T74" i="9" s="1"/>
  <c r="L98" i="9" a="1"/>
  <c r="L98" i="9" s="1"/>
  <c r="M98" i="9" s="1"/>
  <c r="T98" i="9" s="1"/>
  <c r="L110" i="9" a="1"/>
  <c r="L110" i="9" s="1"/>
  <c r="M110" i="9" s="1"/>
  <c r="T110" i="9" s="1"/>
  <c r="L146" i="9" a="1"/>
  <c r="L146" i="9" s="1"/>
  <c r="M146" i="9" s="1"/>
  <c r="T146" i="9" s="1"/>
  <c r="L170" i="9" a="1"/>
  <c r="L170" i="9" s="1"/>
  <c r="M170" i="9" s="1"/>
  <c r="T170" i="9" s="1"/>
  <c r="L194" i="9" a="1"/>
  <c r="L194" i="9" s="1"/>
  <c r="M194" i="9" s="1"/>
  <c r="T194" i="9" s="1"/>
  <c r="L225" i="9" a="1"/>
  <c r="L225" i="9" s="1"/>
  <c r="M225" i="9" s="1"/>
  <c r="T225" i="9" s="1"/>
  <c r="L253" i="9" a="1"/>
  <c r="L253" i="9" s="1"/>
  <c r="M253" i="9" s="1"/>
  <c r="T253" i="9" s="1"/>
  <c r="L289" i="9" a="1"/>
  <c r="L289" i="9" s="1"/>
  <c r="M289" i="9" s="1"/>
  <c r="T289" i="9" s="1"/>
  <c r="L315" i="9" a="1"/>
  <c r="L315" i="9" s="1"/>
  <c r="M315" i="9" s="1"/>
  <c r="T315" i="9" s="1"/>
  <c r="L86" i="9" a="1"/>
  <c r="L86" i="9" s="1"/>
  <c r="M86" i="9" s="1"/>
  <c r="T86" i="9" s="1"/>
  <c r="L17" i="9" a="1"/>
  <c r="L17" i="9" s="1"/>
  <c r="M17" i="9" s="1"/>
  <c r="T17" i="9" s="1"/>
  <c r="L29" i="9" a="1"/>
  <c r="L29" i="9" s="1"/>
  <c r="M29" i="9" s="1"/>
  <c r="T29" i="9" s="1"/>
  <c r="L41" i="9" a="1"/>
  <c r="L41" i="9" s="1"/>
  <c r="M41" i="9" s="1"/>
  <c r="T41" i="9" s="1"/>
  <c r="L53" i="9" a="1"/>
  <c r="L53" i="9" s="1"/>
  <c r="M53" i="9" s="1"/>
  <c r="T53" i="9" s="1"/>
  <c r="L65" i="9" a="1"/>
  <c r="L65" i="9" s="1"/>
  <c r="M65" i="9" s="1"/>
  <c r="T65" i="9" s="1"/>
  <c r="L77" i="9" a="1"/>
  <c r="L77" i="9" s="1"/>
  <c r="M77" i="9" s="1"/>
  <c r="T77" i="9" s="1"/>
  <c r="L89" i="9" a="1"/>
  <c r="L89" i="9" s="1"/>
  <c r="M89" i="9" s="1"/>
  <c r="T89" i="9" s="1"/>
  <c r="L101" i="9" a="1"/>
  <c r="L101" i="9" s="1"/>
  <c r="M101" i="9" s="1"/>
  <c r="T101" i="9" s="1"/>
  <c r="L113" i="9" a="1"/>
  <c r="L113" i="9" s="1"/>
  <c r="M113" i="9" s="1"/>
  <c r="T113" i="9" s="1"/>
  <c r="L125" i="9" a="1"/>
  <c r="L125" i="9" s="1"/>
  <c r="M125" i="9" s="1"/>
  <c r="T125" i="9" s="1"/>
  <c r="L137" i="9" a="1"/>
  <c r="L137" i="9" s="1"/>
  <c r="M137" i="9" s="1"/>
  <c r="T137" i="9" s="1"/>
  <c r="L149" i="9" a="1"/>
  <c r="L149" i="9" s="1"/>
  <c r="M149" i="9" s="1"/>
  <c r="T149" i="9" s="1"/>
  <c r="L161" i="9" a="1"/>
  <c r="L161" i="9" s="1"/>
  <c r="M161" i="9" s="1"/>
  <c r="T161" i="9" s="1"/>
  <c r="L173" i="9" a="1"/>
  <c r="L173" i="9" s="1"/>
  <c r="M173" i="9" s="1"/>
  <c r="T173" i="9" s="1"/>
  <c r="L185" i="9" a="1"/>
  <c r="L185" i="9" s="1"/>
  <c r="M185" i="9" s="1"/>
  <c r="T185" i="9" s="1"/>
  <c r="L197" i="9" a="1"/>
  <c r="L197" i="9" s="1"/>
  <c r="M197" i="9" s="1"/>
  <c r="T197" i="9" s="1"/>
  <c r="L209" i="9" a="1"/>
  <c r="L209" i="9" s="1"/>
  <c r="M209" i="9" s="1"/>
  <c r="T209" i="9" s="1"/>
  <c r="L218" i="9" a="1"/>
  <c r="L218" i="9" s="1"/>
  <c r="M218" i="9" s="1"/>
  <c r="T218" i="9" s="1"/>
  <c r="L227" i="9" a="1"/>
  <c r="L227" i="9" s="1"/>
  <c r="M227" i="9" s="1"/>
  <c r="T227" i="9" s="1"/>
  <c r="L236" i="9" a="1"/>
  <c r="L236" i="9" s="1"/>
  <c r="M236" i="9" s="1"/>
  <c r="T236" i="9" s="1"/>
  <c r="L245" i="9" a="1"/>
  <c r="L245" i="9" s="1"/>
  <c r="M245" i="9" s="1"/>
  <c r="T245" i="9" s="1"/>
  <c r="L254" i="9" a="1"/>
  <c r="L254" i="9" s="1"/>
  <c r="M254" i="9" s="1"/>
  <c r="T254" i="9" s="1"/>
  <c r="L263" i="9" a="1"/>
  <c r="L263" i="9" s="1"/>
  <c r="M263" i="9" s="1"/>
  <c r="T263" i="9" s="1"/>
  <c r="L272" i="9" a="1"/>
  <c r="L272" i="9" s="1"/>
  <c r="M272" i="9" s="1"/>
  <c r="T272" i="9" s="1"/>
  <c r="L281" i="9" a="1"/>
  <c r="L281" i="9" s="1"/>
  <c r="M281" i="9" s="1"/>
  <c r="T281" i="9" s="1"/>
  <c r="L290" i="9" a="1"/>
  <c r="L290" i="9" s="1"/>
  <c r="M290" i="9" s="1"/>
  <c r="T290" i="9" s="1"/>
  <c r="L299" i="9" a="1"/>
  <c r="L299" i="9" s="1"/>
  <c r="M299" i="9" s="1"/>
  <c r="T299" i="9" s="1"/>
  <c r="L308" i="9" a="1"/>
  <c r="L308" i="9" s="1"/>
  <c r="M308" i="9" s="1"/>
  <c r="T308" i="9" s="1"/>
  <c r="L317" i="9" a="1"/>
  <c r="L317" i="9" s="1"/>
  <c r="M317" i="9" s="1"/>
  <c r="T317" i="9" s="1"/>
  <c r="L265" i="9" a="1"/>
  <c r="L265" i="9" s="1"/>
  <c r="M265" i="9" s="1"/>
  <c r="T265" i="9" s="1"/>
  <c r="L283" i="9" a="1"/>
  <c r="L283" i="9" s="1"/>
  <c r="M283" i="9" s="1"/>
  <c r="T283" i="9" s="1"/>
  <c r="L301" i="9" a="1"/>
  <c r="L301" i="9" s="1"/>
  <c r="M301" i="9" s="1"/>
  <c r="T301" i="9" s="1"/>
  <c r="L257" i="9" a="1"/>
  <c r="L257" i="9" s="1"/>
  <c r="M257" i="9" s="1"/>
  <c r="T257" i="9" s="1"/>
  <c r="L293" i="9" a="1"/>
  <c r="L293" i="9" s="1"/>
  <c r="M293" i="9" s="1"/>
  <c r="T293" i="9" s="1"/>
  <c r="L134" i="9" a="1"/>
  <c r="L134" i="9" s="1"/>
  <c r="M134" i="9" s="1"/>
  <c r="T134" i="9" s="1"/>
  <c r="L279" i="9" a="1"/>
  <c r="L279" i="9" s="1"/>
  <c r="M279" i="9" s="1"/>
  <c r="T279" i="9" s="1"/>
  <c r="L19" i="9" a="1"/>
  <c r="L19" i="9" s="1"/>
  <c r="M19" i="9" s="1"/>
  <c r="T19" i="9" s="1"/>
  <c r="L31" i="9" a="1"/>
  <c r="L31" i="9" s="1"/>
  <c r="M31" i="9" s="1"/>
  <c r="T31" i="9" s="1"/>
  <c r="L43" i="9" a="1"/>
  <c r="L43" i="9" s="1"/>
  <c r="M43" i="9" s="1"/>
  <c r="T43" i="9" s="1"/>
  <c r="L55" i="9" a="1"/>
  <c r="L55" i="9" s="1"/>
  <c r="M55" i="9" s="1"/>
  <c r="T55" i="9" s="1"/>
  <c r="L67" i="9" a="1"/>
  <c r="L67" i="9" s="1"/>
  <c r="M67" i="9" s="1"/>
  <c r="T67" i="9" s="1"/>
  <c r="L79" i="9" a="1"/>
  <c r="L79" i="9" s="1"/>
  <c r="M79" i="9" s="1"/>
  <c r="T79" i="9" s="1"/>
  <c r="L91" i="9" a="1"/>
  <c r="L91" i="9" s="1"/>
  <c r="M91" i="9" s="1"/>
  <c r="T91" i="9" s="1"/>
  <c r="L103" i="9" a="1"/>
  <c r="L103" i="9" s="1"/>
  <c r="M103" i="9" s="1"/>
  <c r="T103" i="9" s="1"/>
  <c r="L115" i="9" a="1"/>
  <c r="L115" i="9" s="1"/>
  <c r="M115" i="9" s="1"/>
  <c r="T115" i="9" s="1"/>
  <c r="L127" i="9" a="1"/>
  <c r="L127" i="9" s="1"/>
  <c r="M127" i="9" s="1"/>
  <c r="T127" i="9" s="1"/>
  <c r="L139" i="9" a="1"/>
  <c r="L139" i="9" s="1"/>
  <c r="M139" i="9" s="1"/>
  <c r="T139" i="9" s="1"/>
  <c r="L151" i="9" a="1"/>
  <c r="L151" i="9" s="1"/>
  <c r="M151" i="9" s="1"/>
  <c r="T151" i="9" s="1"/>
  <c r="L163" i="9" a="1"/>
  <c r="L163" i="9" s="1"/>
  <c r="M163" i="9" s="1"/>
  <c r="T163" i="9" s="1"/>
  <c r="L175" i="9" a="1"/>
  <c r="L175" i="9" s="1"/>
  <c r="M175" i="9" s="1"/>
  <c r="T175" i="9" s="1"/>
  <c r="L187" i="9" a="1"/>
  <c r="L187" i="9" s="1"/>
  <c r="M187" i="9" s="1"/>
  <c r="T187" i="9" s="1"/>
  <c r="L199" i="9" a="1"/>
  <c r="L199" i="9" s="1"/>
  <c r="M199" i="9" s="1"/>
  <c r="T199" i="9" s="1"/>
  <c r="L211" i="9" a="1"/>
  <c r="L211" i="9" s="1"/>
  <c r="M211" i="9" s="1"/>
  <c r="T211" i="9" s="1"/>
  <c r="L219" i="9" a="1"/>
  <c r="L219" i="9" s="1"/>
  <c r="M219" i="9" s="1"/>
  <c r="T219" i="9" s="1"/>
  <c r="L229" i="9" a="1"/>
  <c r="L229" i="9" s="1"/>
  <c r="M229" i="9" s="1"/>
  <c r="T229" i="9" s="1"/>
  <c r="L237" i="9" a="1"/>
  <c r="L237" i="9" s="1"/>
  <c r="M237" i="9" s="1"/>
  <c r="T237" i="9" s="1"/>
  <c r="L247" i="9" a="1"/>
  <c r="L247" i="9" s="1"/>
  <c r="M247" i="9" s="1"/>
  <c r="T247" i="9" s="1"/>
  <c r="L255" i="9" a="1"/>
  <c r="L255" i="9" s="1"/>
  <c r="M255" i="9" s="1"/>
  <c r="T255" i="9" s="1"/>
  <c r="L273" i="9" a="1"/>
  <c r="L273" i="9" s="1"/>
  <c r="M273" i="9" s="1"/>
  <c r="T273" i="9" s="1"/>
  <c r="L291" i="9" a="1"/>
  <c r="L291" i="9" s="1"/>
  <c r="M291" i="9" s="1"/>
  <c r="T291" i="9" s="1"/>
  <c r="L309" i="9" a="1"/>
  <c r="L309" i="9" s="1"/>
  <c r="M309" i="9" s="1"/>
  <c r="T309" i="9" s="1"/>
  <c r="L275" i="9" a="1"/>
  <c r="L275" i="9" s="1"/>
  <c r="M275" i="9" s="1"/>
  <c r="T275" i="9" s="1"/>
  <c r="L302" i="9" a="1"/>
  <c r="L302" i="9" s="1"/>
  <c r="M302" i="9" s="1"/>
  <c r="T302" i="9" s="1"/>
  <c r="L259" i="9" a="1"/>
  <c r="L259" i="9" s="1"/>
  <c r="M259" i="9" s="1"/>
  <c r="T259" i="9" s="1"/>
  <c r="L295" i="9" a="1"/>
  <c r="L295" i="9" s="1"/>
  <c r="M295" i="9" s="1"/>
  <c r="T295" i="9" s="1"/>
  <c r="L7" i="9" a="1"/>
  <c r="L7" i="9" s="1"/>
  <c r="M7" i="9" s="1"/>
  <c r="T7" i="9" s="1"/>
  <c r="L20" i="9" a="1"/>
  <c r="L20" i="9" s="1"/>
  <c r="M20" i="9" s="1"/>
  <c r="T20" i="9" s="1"/>
  <c r="L32" i="9" a="1"/>
  <c r="L32" i="9" s="1"/>
  <c r="M32" i="9" s="1"/>
  <c r="T32" i="9" s="1"/>
  <c r="L44" i="9" a="1"/>
  <c r="L44" i="9" s="1"/>
  <c r="M44" i="9" s="1"/>
  <c r="T44" i="9" s="1"/>
  <c r="L56" i="9" a="1"/>
  <c r="L56" i="9" s="1"/>
  <c r="M56" i="9" s="1"/>
  <c r="T56" i="9" s="1"/>
  <c r="L68" i="9" a="1"/>
  <c r="L68" i="9" s="1"/>
  <c r="M68" i="9" s="1"/>
  <c r="T68" i="9" s="1"/>
  <c r="L80" i="9" a="1"/>
  <c r="L80" i="9" s="1"/>
  <c r="M80" i="9" s="1"/>
  <c r="T80" i="9" s="1"/>
  <c r="L92" i="9" a="1"/>
  <c r="L92" i="9" s="1"/>
  <c r="M92" i="9" s="1"/>
  <c r="T92" i="9" s="1"/>
  <c r="L104" i="9" a="1"/>
  <c r="L104" i="9" s="1"/>
  <c r="M104" i="9" s="1"/>
  <c r="T104" i="9" s="1"/>
  <c r="L116" i="9" a="1"/>
  <c r="L116" i="9" s="1"/>
  <c r="M116" i="9" s="1"/>
  <c r="T116" i="9" s="1"/>
  <c r="L128" i="9" a="1"/>
  <c r="L128" i="9" s="1"/>
  <c r="M128" i="9" s="1"/>
  <c r="T128" i="9" s="1"/>
  <c r="L140" i="9" a="1"/>
  <c r="L140" i="9" s="1"/>
  <c r="M140" i="9" s="1"/>
  <c r="T140" i="9" s="1"/>
  <c r="L152" i="9" a="1"/>
  <c r="L152" i="9" s="1"/>
  <c r="M152" i="9" s="1"/>
  <c r="T152" i="9" s="1"/>
  <c r="L164" i="9" a="1"/>
  <c r="L164" i="9" s="1"/>
  <c r="M164" i="9" s="1"/>
  <c r="T164" i="9" s="1"/>
  <c r="L176" i="9" a="1"/>
  <c r="L176" i="9" s="1"/>
  <c r="M176" i="9" s="1"/>
  <c r="T176" i="9" s="1"/>
  <c r="L188" i="9" a="1"/>
  <c r="L188" i="9" s="1"/>
  <c r="M188" i="9" s="1"/>
  <c r="T188" i="9" s="1"/>
  <c r="L200" i="9" a="1"/>
  <c r="L200" i="9" s="1"/>
  <c r="M200" i="9" s="1"/>
  <c r="T200" i="9" s="1"/>
  <c r="L212" i="9" a="1"/>
  <c r="L212" i="9" s="1"/>
  <c r="M212" i="9" s="1"/>
  <c r="T212" i="9" s="1"/>
  <c r="L221" i="9" a="1"/>
  <c r="L221" i="9" s="1"/>
  <c r="M221" i="9" s="1"/>
  <c r="T221" i="9" s="1"/>
  <c r="L230" i="9" a="1"/>
  <c r="L230" i="9" s="1"/>
  <c r="M230" i="9" s="1"/>
  <c r="T230" i="9" s="1"/>
  <c r="L239" i="9" a="1"/>
  <c r="L239" i="9" s="1"/>
  <c r="M239" i="9" s="1"/>
  <c r="T239" i="9" s="1"/>
  <c r="L248" i="9" a="1"/>
  <c r="L248" i="9" s="1"/>
  <c r="M248" i="9" s="1"/>
  <c r="T248" i="9" s="1"/>
  <c r="L266" i="9" a="1"/>
  <c r="L266" i="9" s="1"/>
  <c r="M266" i="9" s="1"/>
  <c r="T266" i="9" s="1"/>
  <c r="L284" i="9" a="1"/>
  <c r="L284" i="9" s="1"/>
  <c r="M284" i="9" s="1"/>
  <c r="T284" i="9" s="1"/>
  <c r="L311" i="9" a="1"/>
  <c r="L311" i="9" s="1"/>
  <c r="M311" i="9" s="1"/>
  <c r="T311" i="9" s="1"/>
  <c r="L277" i="9" a="1"/>
  <c r="L277" i="9" s="1"/>
  <c r="M277" i="9" s="1"/>
  <c r="T277" i="9" s="1"/>
  <c r="L313" i="9" a="1"/>
  <c r="L313" i="9" s="1"/>
  <c r="M313" i="9" s="1"/>
  <c r="T313" i="9" s="1"/>
  <c r="L14" i="9" a="1"/>
  <c r="L14" i="9" s="1"/>
  <c r="M14" i="9" s="1"/>
  <c r="T14" i="9" s="1"/>
  <c r="L158" i="9" a="1"/>
  <c r="L158" i="9" s="1"/>
  <c r="M158" i="9" s="1"/>
  <c r="T158" i="9" s="1"/>
  <c r="L206" i="9" a="1"/>
  <c r="L206" i="9" s="1"/>
  <c r="M206" i="9" s="1"/>
  <c r="T206" i="9" s="1"/>
  <c r="L235" i="9" a="1"/>
  <c r="L235" i="9" s="1"/>
  <c r="M235" i="9" s="1"/>
  <c r="T235" i="9" s="1"/>
  <c r="L261" i="9" a="1"/>
  <c r="L261" i="9" s="1"/>
  <c r="M261" i="9" s="1"/>
  <c r="T261" i="9" s="1"/>
  <c r="L297" i="9" a="1"/>
  <c r="L297" i="9" s="1"/>
  <c r="M297" i="9" s="1"/>
  <c r="T297" i="9" s="1"/>
  <c r="L11" i="9" a="1"/>
  <c r="L11" i="9" s="1"/>
  <c r="M11" i="9" s="1"/>
  <c r="T11" i="9" s="1"/>
  <c r="L23" i="9" a="1"/>
  <c r="L23" i="9" s="1"/>
  <c r="M23" i="9" s="1"/>
  <c r="T23" i="9" s="1"/>
  <c r="L35" i="9" a="1"/>
  <c r="L35" i="9" s="1"/>
  <c r="M35" i="9" s="1"/>
  <c r="T35" i="9" s="1"/>
  <c r="L47" i="9" a="1"/>
  <c r="L47" i="9" s="1"/>
  <c r="M47" i="9" s="1"/>
  <c r="T47" i="9" s="1"/>
  <c r="L59" i="9" a="1"/>
  <c r="L59" i="9" s="1"/>
  <c r="M59" i="9" s="1"/>
  <c r="T59" i="9" s="1"/>
  <c r="L71" i="9" a="1"/>
  <c r="L71" i="9" s="1"/>
  <c r="M71" i="9" s="1"/>
  <c r="T71" i="9" s="1"/>
  <c r="L83" i="9" a="1"/>
  <c r="L83" i="9" s="1"/>
  <c r="M83" i="9" s="1"/>
  <c r="T83" i="9" s="1"/>
  <c r="L95" i="9" a="1"/>
  <c r="L95" i="9" s="1"/>
  <c r="M95" i="9" s="1"/>
  <c r="T95" i="9" s="1"/>
  <c r="L107" i="9" a="1"/>
  <c r="L107" i="9" s="1"/>
  <c r="M107" i="9" s="1"/>
  <c r="T107" i="9" s="1"/>
  <c r="L119" i="9" a="1"/>
  <c r="L119" i="9" s="1"/>
  <c r="M119" i="9" s="1"/>
  <c r="T119" i="9" s="1"/>
  <c r="L131" i="9" a="1"/>
  <c r="L131" i="9" s="1"/>
  <c r="M131" i="9" s="1"/>
  <c r="T131" i="9" s="1"/>
  <c r="L143" i="9" a="1"/>
  <c r="L143" i="9" s="1"/>
  <c r="M143" i="9" s="1"/>
  <c r="T143" i="9" s="1"/>
  <c r="L155" i="9" a="1"/>
  <c r="L155" i="9" s="1"/>
  <c r="M155" i="9" s="1"/>
  <c r="T155" i="9" s="1"/>
  <c r="L167" i="9" a="1"/>
  <c r="L167" i="9" s="1"/>
  <c r="M167" i="9" s="1"/>
  <c r="T167" i="9" s="1"/>
  <c r="L179" i="9" a="1"/>
  <c r="L179" i="9" s="1"/>
  <c r="M179" i="9" s="1"/>
  <c r="T179" i="9" s="1"/>
  <c r="L191" i="9" a="1"/>
  <c r="L191" i="9" s="1"/>
  <c r="M191" i="9" s="1"/>
  <c r="T191" i="9" s="1"/>
  <c r="L203" i="9" a="1"/>
  <c r="L203" i="9" s="1"/>
  <c r="M203" i="9" s="1"/>
  <c r="T203" i="9" s="1"/>
  <c r="L213" i="9" a="1"/>
  <c r="L213" i="9" s="1"/>
  <c r="M213" i="9" s="1"/>
  <c r="T213" i="9" s="1"/>
  <c r="L223" i="9" a="1"/>
  <c r="L223" i="9" s="1"/>
  <c r="M223" i="9" s="1"/>
  <c r="T223" i="9" s="1"/>
  <c r="L231" i="9" a="1"/>
  <c r="L231" i="9" s="1"/>
  <c r="M231" i="9" s="1"/>
  <c r="T231" i="9" s="1"/>
  <c r="L241" i="9" a="1"/>
  <c r="L241" i="9" s="1"/>
  <c r="M241" i="9" s="1"/>
  <c r="T241" i="9" s="1"/>
  <c r="L249" i="9" a="1"/>
  <c r="L249" i="9" s="1"/>
  <c r="M249" i="9" s="1"/>
  <c r="T249" i="9" s="1"/>
  <c r="L267" i="9" a="1"/>
  <c r="L267" i="9" s="1"/>
  <c r="M267" i="9" s="1"/>
  <c r="T267" i="9" s="1"/>
  <c r="L285" i="9" a="1"/>
  <c r="L285" i="9" s="1"/>
  <c r="M285" i="9" s="1"/>
  <c r="T285" i="9" s="1"/>
  <c r="L303" i="9" a="1"/>
  <c r="L303" i="9" s="1"/>
  <c r="M303" i="9" s="1"/>
  <c r="T303" i="9" s="1"/>
  <c r="L26" i="9" a="1"/>
  <c r="L26" i="9" s="1"/>
  <c r="M26" i="9" s="1"/>
  <c r="T26" i="9" s="1"/>
  <c r="L122" i="9" a="1"/>
  <c r="L122" i="9" s="1"/>
  <c r="M122" i="9" s="1"/>
  <c r="T122" i="9" s="1"/>
  <c r="L182" i="9" a="1"/>
  <c r="L182" i="9" s="1"/>
  <c r="M182" i="9" s="1"/>
  <c r="T182" i="9" s="1"/>
  <c r="L217" i="9" a="1"/>
  <c r="L217" i="9" s="1"/>
  <c r="M217" i="9" s="1"/>
  <c r="T217" i="9" s="1"/>
  <c r="L243" i="9" a="1"/>
  <c r="L243" i="9" s="1"/>
  <c r="M243" i="9" s="1"/>
  <c r="T243" i="9" s="1"/>
  <c r="L271" i="9" a="1"/>
  <c r="L271" i="9" s="1"/>
  <c r="M271" i="9" s="1"/>
  <c r="T271" i="9" s="1"/>
  <c r="L307" i="9" a="1"/>
  <c r="L307" i="9" s="1"/>
  <c r="M307" i="9" s="1"/>
  <c r="T307" i="9" s="1"/>
  <c r="AY8" i="9"/>
  <c r="AY14" i="9"/>
  <c r="AY20" i="9"/>
  <c r="AY26" i="9"/>
  <c r="AY32" i="9"/>
  <c r="AY38" i="9"/>
  <c r="AY44" i="9"/>
  <c r="AY50" i="9"/>
  <c r="AY56" i="9"/>
  <c r="AY62" i="9"/>
  <c r="AY68" i="9"/>
  <c r="AY74" i="9"/>
  <c r="AY80" i="9"/>
  <c r="AY86" i="9"/>
  <c r="AY92" i="9"/>
  <c r="AY98" i="9"/>
  <c r="AY104" i="9"/>
  <c r="AY110" i="9"/>
  <c r="AY116" i="9"/>
  <c r="AY122" i="9"/>
  <c r="AY128" i="9"/>
  <c r="AY134" i="9"/>
  <c r="AY140" i="9"/>
  <c r="AY146" i="9"/>
  <c r="AY152" i="9"/>
  <c r="AY158" i="9"/>
  <c r="AY164" i="9"/>
  <c r="AY170" i="9"/>
  <c r="AY176" i="9"/>
  <c r="AY182" i="9"/>
  <c r="AY188" i="9"/>
  <c r="AY194" i="9"/>
  <c r="AY200" i="9"/>
  <c r="AY206" i="9"/>
  <c r="AY212" i="9"/>
  <c r="AY218" i="9"/>
  <c r="AY224" i="9"/>
  <c r="AY230" i="9"/>
  <c r="AY236" i="9"/>
  <c r="AY242" i="9"/>
  <c r="AY248" i="9"/>
  <c r="AY254" i="9"/>
  <c r="AY260" i="9"/>
  <c r="AZ260" i="9" s="1"/>
  <c r="AY266" i="9"/>
  <c r="AZ266" i="9" s="1"/>
  <c r="AY272" i="9"/>
  <c r="AZ272" i="9" s="1"/>
  <c r="AY278" i="9"/>
  <c r="AZ278" i="9" s="1"/>
  <c r="AY284" i="9"/>
  <c r="AZ284" i="9" s="1"/>
  <c r="AY290" i="9"/>
  <c r="AZ290" i="9" s="1"/>
  <c r="AY296" i="9"/>
  <c r="AZ296" i="9" s="1"/>
  <c r="AY302" i="9"/>
  <c r="AZ302" i="9" s="1"/>
  <c r="AY308" i="9"/>
  <c r="AZ308" i="9" s="1"/>
  <c r="AY314" i="9"/>
  <c r="AZ314" i="9" s="1"/>
  <c r="AY9" i="9"/>
  <c r="AY15" i="9"/>
  <c r="AY21" i="9"/>
  <c r="AY27" i="9"/>
  <c r="AY33" i="9"/>
  <c r="AY39" i="9"/>
  <c r="AY45" i="9"/>
  <c r="AY51" i="9"/>
  <c r="AY57" i="9"/>
  <c r="AY63" i="9"/>
  <c r="AY69" i="9"/>
  <c r="AY75" i="9"/>
  <c r="AY81" i="9"/>
  <c r="AY87" i="9"/>
  <c r="AY93" i="9"/>
  <c r="AY99" i="9"/>
  <c r="AY105" i="9"/>
  <c r="AY111" i="9"/>
  <c r="AY117" i="9"/>
  <c r="AY123" i="9"/>
  <c r="AY129" i="9"/>
  <c r="AY135" i="9"/>
  <c r="AY141" i="9"/>
  <c r="AY147" i="9"/>
  <c r="AY153" i="9"/>
  <c r="AY159" i="9"/>
  <c r="AY165" i="9"/>
  <c r="AY171" i="9"/>
  <c r="AY177" i="9"/>
  <c r="AY183" i="9"/>
  <c r="AY189" i="9"/>
  <c r="AY195" i="9"/>
  <c r="AY201" i="9"/>
  <c r="AY207" i="9"/>
  <c r="AY213" i="9"/>
  <c r="AY219" i="9"/>
  <c r="AY225" i="9"/>
  <c r="AY231" i="9"/>
  <c r="AY237" i="9"/>
  <c r="AY243" i="9"/>
  <c r="AY249" i="9"/>
  <c r="AY255" i="9"/>
  <c r="AY261" i="9"/>
  <c r="AZ261" i="9" s="1"/>
  <c r="AY267" i="9"/>
  <c r="AZ267" i="9" s="1"/>
  <c r="AY273" i="9"/>
  <c r="AZ273" i="9" s="1"/>
  <c r="AY279" i="9"/>
  <c r="AZ279" i="9" s="1"/>
  <c r="AY285" i="9"/>
  <c r="AZ285" i="9" s="1"/>
  <c r="AY291" i="9"/>
  <c r="AZ291" i="9" s="1"/>
  <c r="AY297" i="9"/>
  <c r="AZ297" i="9" s="1"/>
  <c r="AY303" i="9"/>
  <c r="AZ303" i="9" s="1"/>
  <c r="AY309" i="9"/>
  <c r="AZ309" i="9" s="1"/>
  <c r="AY315" i="9"/>
  <c r="AZ315" i="9" s="1"/>
  <c r="AY10" i="9"/>
  <c r="AY16" i="9"/>
  <c r="AY22" i="9"/>
  <c r="AY28" i="9"/>
  <c r="AY34" i="9"/>
  <c r="AY40" i="9"/>
  <c r="AY46" i="9"/>
  <c r="AY52" i="9"/>
  <c r="AY58" i="9"/>
  <c r="AY64" i="9"/>
  <c r="AY70" i="9"/>
  <c r="AY76" i="9"/>
  <c r="AY82" i="9"/>
  <c r="AY88" i="9"/>
  <c r="AY94" i="9"/>
  <c r="AY100" i="9"/>
  <c r="AY106" i="9"/>
  <c r="AY112" i="9"/>
  <c r="AY118" i="9"/>
  <c r="AY124" i="9"/>
  <c r="AY130" i="9"/>
  <c r="AY136" i="9"/>
  <c r="AY142" i="9"/>
  <c r="AY148" i="9"/>
  <c r="AY154" i="9"/>
  <c r="AY160" i="9"/>
  <c r="AY166" i="9"/>
  <c r="AY172" i="9"/>
  <c r="AY178" i="9"/>
  <c r="AY184" i="9"/>
  <c r="AY190" i="9"/>
  <c r="AY196" i="9"/>
  <c r="AY202" i="9"/>
  <c r="AY208" i="9"/>
  <c r="AY214" i="9"/>
  <c r="AY220" i="9"/>
  <c r="AY226" i="9"/>
  <c r="AY232" i="9"/>
  <c r="AY238" i="9"/>
  <c r="AY244" i="9"/>
  <c r="AY250" i="9"/>
  <c r="AY256" i="9"/>
  <c r="AY262" i="9"/>
  <c r="AZ262" i="9" s="1"/>
  <c r="AY268" i="9"/>
  <c r="AZ268" i="9" s="1"/>
  <c r="AY274" i="9"/>
  <c r="AZ274" i="9" s="1"/>
  <c r="AY280" i="9"/>
  <c r="AZ280" i="9" s="1"/>
  <c r="AY286" i="9"/>
  <c r="AZ286" i="9" s="1"/>
  <c r="AY292" i="9"/>
  <c r="AZ292" i="9" s="1"/>
  <c r="AY298" i="9"/>
  <c r="AZ298" i="9" s="1"/>
  <c r="AY304" i="9"/>
  <c r="AZ304" i="9" s="1"/>
  <c r="AY310" i="9"/>
  <c r="AZ310" i="9" s="1"/>
  <c r="AY316" i="9"/>
  <c r="AZ316" i="9" s="1"/>
  <c r="AY11" i="9"/>
  <c r="AY17" i="9"/>
  <c r="AY23" i="9"/>
  <c r="AY29" i="9"/>
  <c r="AY35" i="9"/>
  <c r="AY41" i="9"/>
  <c r="AY47" i="9"/>
  <c r="AY53" i="9"/>
  <c r="AY59" i="9"/>
  <c r="AY65" i="9"/>
  <c r="AY71" i="9"/>
  <c r="AY77" i="9"/>
  <c r="AY83" i="9"/>
  <c r="AY89" i="9"/>
  <c r="AY95" i="9"/>
  <c r="AY101" i="9"/>
  <c r="AY107" i="9"/>
  <c r="AY113" i="9"/>
  <c r="AY119" i="9"/>
  <c r="AY125" i="9"/>
  <c r="AY131" i="9"/>
  <c r="AY137" i="9"/>
  <c r="AY143" i="9"/>
  <c r="AY149" i="9"/>
  <c r="AY155" i="9"/>
  <c r="AY161" i="9"/>
  <c r="AY167" i="9"/>
  <c r="AY173" i="9"/>
  <c r="AY179" i="9"/>
  <c r="AY185" i="9"/>
  <c r="AY191" i="9"/>
  <c r="AY197" i="9"/>
  <c r="AY203" i="9"/>
  <c r="AY209" i="9"/>
  <c r="AY215" i="9"/>
  <c r="AY221" i="9"/>
  <c r="AY227" i="9"/>
  <c r="AY233" i="9"/>
  <c r="AY239" i="9"/>
  <c r="AY245" i="9"/>
  <c r="AY251" i="9"/>
  <c r="AY257" i="9"/>
  <c r="AZ257" i="9" s="1"/>
  <c r="AY263" i="9"/>
  <c r="AZ263" i="9" s="1"/>
  <c r="AY269" i="9"/>
  <c r="AZ269" i="9" s="1"/>
  <c r="AY275" i="9"/>
  <c r="AZ275" i="9" s="1"/>
  <c r="AY281" i="9"/>
  <c r="AZ281" i="9" s="1"/>
  <c r="AY287" i="9"/>
  <c r="AZ287" i="9" s="1"/>
  <c r="AY293" i="9"/>
  <c r="AZ293" i="9" s="1"/>
  <c r="AY299" i="9"/>
  <c r="AZ299" i="9" s="1"/>
  <c r="AY305" i="9"/>
  <c r="AZ305" i="9" s="1"/>
  <c r="AY311" i="9"/>
  <c r="AZ311" i="9" s="1"/>
  <c r="AY317" i="9"/>
  <c r="AZ317" i="9" s="1"/>
  <c r="AY12" i="9"/>
  <c r="AY18" i="9"/>
  <c r="AY24" i="9"/>
  <c r="AY30" i="9"/>
  <c r="AY36" i="9"/>
  <c r="AY42" i="9"/>
  <c r="AY48" i="9"/>
  <c r="AY54" i="9"/>
  <c r="AY60" i="9"/>
  <c r="AY66" i="9"/>
  <c r="AY72" i="9"/>
  <c r="AY78" i="9"/>
  <c r="AY84" i="9"/>
  <c r="AY90" i="9"/>
  <c r="AY96" i="9"/>
  <c r="AY102" i="9"/>
  <c r="AY108" i="9"/>
  <c r="AY114" i="9"/>
  <c r="AY120" i="9"/>
  <c r="AY126" i="9"/>
  <c r="AY132" i="9"/>
  <c r="AY138" i="9"/>
  <c r="AY144" i="9"/>
  <c r="AY150" i="9"/>
  <c r="AY156" i="9"/>
  <c r="AY162" i="9"/>
  <c r="AY168" i="9"/>
  <c r="AY174" i="9"/>
  <c r="AY180" i="9"/>
  <c r="AY186" i="9"/>
  <c r="AY192" i="9"/>
  <c r="AY198" i="9"/>
  <c r="AY204" i="9"/>
  <c r="AY210" i="9"/>
  <c r="AY216" i="9"/>
  <c r="AY222" i="9"/>
  <c r="AY228" i="9"/>
  <c r="AY234" i="9"/>
  <c r="AY240" i="9"/>
  <c r="AY246" i="9"/>
  <c r="AY252" i="9"/>
  <c r="AY258" i="9"/>
  <c r="AZ258" i="9" s="1"/>
  <c r="AY264" i="9"/>
  <c r="AZ264" i="9" s="1"/>
  <c r="AY270" i="9"/>
  <c r="AZ270" i="9" s="1"/>
  <c r="AY276" i="9"/>
  <c r="AZ276" i="9" s="1"/>
  <c r="AY282" i="9"/>
  <c r="AZ282" i="9" s="1"/>
  <c r="AY288" i="9"/>
  <c r="AZ288" i="9" s="1"/>
  <c r="AY294" i="9"/>
  <c r="AZ294" i="9" s="1"/>
  <c r="AY300" i="9"/>
  <c r="AZ300" i="9" s="1"/>
  <c r="AY306" i="9"/>
  <c r="AZ306" i="9" s="1"/>
  <c r="AY312" i="9"/>
  <c r="AZ312" i="9" s="1"/>
  <c r="AY6" i="9"/>
  <c r="AY25" i="9"/>
  <c r="AY61" i="9"/>
  <c r="AY97" i="9"/>
  <c r="AY133" i="9"/>
  <c r="AY169" i="9"/>
  <c r="AY205" i="9"/>
  <c r="AY241" i="9"/>
  <c r="AY277" i="9"/>
  <c r="AZ277" i="9" s="1"/>
  <c r="AY313" i="9"/>
  <c r="AZ313" i="9" s="1"/>
  <c r="AY37" i="9"/>
  <c r="AY73" i="9"/>
  <c r="AY109" i="9"/>
  <c r="AY145" i="9"/>
  <c r="AY181" i="9"/>
  <c r="AY217" i="9"/>
  <c r="AY253" i="9"/>
  <c r="AY289" i="9"/>
  <c r="AZ289" i="9" s="1"/>
  <c r="AY31" i="9"/>
  <c r="AY85" i="9"/>
  <c r="AY139" i="9"/>
  <c r="AY193" i="9"/>
  <c r="AY247" i="9"/>
  <c r="AY301" i="9"/>
  <c r="AZ301" i="9" s="1"/>
  <c r="AY43" i="9"/>
  <c r="AY49" i="9"/>
  <c r="AY103" i="9"/>
  <c r="AY157" i="9"/>
  <c r="AY211" i="9"/>
  <c r="AY265" i="9"/>
  <c r="AZ265" i="9" s="1"/>
  <c r="AY7" i="9"/>
  <c r="AY55" i="9"/>
  <c r="AY115" i="9"/>
  <c r="AY163" i="9"/>
  <c r="AY223" i="9"/>
  <c r="AY271" i="9"/>
  <c r="AZ271" i="9" s="1"/>
  <c r="AY19" i="9"/>
  <c r="AY79" i="9"/>
  <c r="AY127" i="9"/>
  <c r="AY187" i="9"/>
  <c r="AY235" i="9"/>
  <c r="AY295" i="9"/>
  <c r="AZ295" i="9" s="1"/>
  <c r="AY121" i="9"/>
  <c r="AY283" i="9"/>
  <c r="AZ283" i="9" s="1"/>
  <c r="AY151" i="9"/>
  <c r="AY307" i="9"/>
  <c r="AZ307" i="9" s="1"/>
  <c r="AY175" i="9"/>
  <c r="AY91" i="9"/>
  <c r="AY259" i="9"/>
  <c r="AZ259" i="9" s="1"/>
  <c r="AY229" i="9"/>
  <c r="AY13" i="9"/>
  <c r="AY67" i="9"/>
  <c r="AY199" i="9"/>
  <c r="O6" i="9"/>
  <c r="P6" i="9" s="1"/>
  <c r="U6" i="9" s="1"/>
  <c r="O9" i="9"/>
  <c r="P9" i="9" s="1"/>
  <c r="U9" i="9" s="1"/>
  <c r="O15" i="9"/>
  <c r="P15" i="9" s="1"/>
  <c r="U15" i="9" s="1"/>
  <c r="O21" i="9"/>
  <c r="P21" i="9" s="1"/>
  <c r="U21" i="9" s="1"/>
  <c r="O27" i="9"/>
  <c r="P27" i="9" s="1"/>
  <c r="U27" i="9" s="1"/>
  <c r="O33" i="9"/>
  <c r="P33" i="9" s="1"/>
  <c r="U33" i="9" s="1"/>
  <c r="O39" i="9"/>
  <c r="P39" i="9" s="1"/>
  <c r="U39" i="9" s="1"/>
  <c r="O45" i="9"/>
  <c r="P45" i="9" s="1"/>
  <c r="U45" i="9" s="1"/>
  <c r="O51" i="9"/>
  <c r="P51" i="9" s="1"/>
  <c r="U51" i="9" s="1"/>
  <c r="O57" i="9"/>
  <c r="P57" i="9" s="1"/>
  <c r="U57" i="9" s="1"/>
  <c r="O63" i="9"/>
  <c r="P63" i="9" s="1"/>
  <c r="U63" i="9" s="1"/>
  <c r="O69" i="9"/>
  <c r="P69" i="9" s="1"/>
  <c r="U69" i="9" s="1"/>
  <c r="O75" i="9"/>
  <c r="P75" i="9" s="1"/>
  <c r="U75" i="9" s="1"/>
  <c r="O81" i="9"/>
  <c r="P81" i="9" s="1"/>
  <c r="U81" i="9" s="1"/>
  <c r="O87" i="9"/>
  <c r="O93" i="9"/>
  <c r="P93" i="9" s="1"/>
  <c r="U93" i="9" s="1"/>
  <c r="O99" i="9"/>
  <c r="O105" i="9"/>
  <c r="O111" i="9"/>
  <c r="O117" i="9"/>
  <c r="O123" i="9"/>
  <c r="O129" i="9"/>
  <c r="O135" i="9"/>
  <c r="O141" i="9"/>
  <c r="O147" i="9"/>
  <c r="O153" i="9"/>
  <c r="O159" i="9"/>
  <c r="O165" i="9"/>
  <c r="O171" i="9"/>
  <c r="O177" i="9"/>
  <c r="O183" i="9"/>
  <c r="O189" i="9"/>
  <c r="O195" i="9"/>
  <c r="O201" i="9"/>
  <c r="O207" i="9"/>
  <c r="O213" i="9"/>
  <c r="O219" i="9"/>
  <c r="O225" i="9"/>
  <c r="O231" i="9"/>
  <c r="O237" i="9"/>
  <c r="O243" i="9"/>
  <c r="O249" i="9"/>
  <c r="O255" i="9"/>
  <c r="O261" i="9"/>
  <c r="P261" i="9" s="1"/>
  <c r="U261" i="9" s="1"/>
  <c r="O267" i="9"/>
  <c r="P267" i="9" s="1"/>
  <c r="U267" i="9" s="1"/>
  <c r="O273" i="9"/>
  <c r="P273" i="9" s="1"/>
  <c r="U273" i="9" s="1"/>
  <c r="O279" i="9"/>
  <c r="P279" i="9" s="1"/>
  <c r="U279" i="9" s="1"/>
  <c r="O285" i="9"/>
  <c r="P285" i="9" s="1"/>
  <c r="U285" i="9" s="1"/>
  <c r="O291" i="9"/>
  <c r="P291" i="9" s="1"/>
  <c r="U291" i="9" s="1"/>
  <c r="O297" i="9"/>
  <c r="P297" i="9" s="1"/>
  <c r="U297" i="9" s="1"/>
  <c r="O303" i="9"/>
  <c r="P303" i="9" s="1"/>
  <c r="U303" i="9" s="1"/>
  <c r="O309" i="9"/>
  <c r="P309" i="9" s="1"/>
  <c r="U309" i="9" s="1"/>
  <c r="O315" i="9"/>
  <c r="P315" i="9" s="1"/>
  <c r="U315" i="9" s="1"/>
  <c r="O11" i="9"/>
  <c r="P11" i="9" s="1"/>
  <c r="U11" i="9" s="1"/>
  <c r="O17" i="9"/>
  <c r="P17" i="9" s="1"/>
  <c r="U17" i="9" s="1"/>
  <c r="O23" i="9"/>
  <c r="P23" i="9" s="1"/>
  <c r="U23" i="9" s="1"/>
  <c r="O29" i="9"/>
  <c r="P29" i="9" s="1"/>
  <c r="U29" i="9" s="1"/>
  <c r="O35" i="9"/>
  <c r="P35" i="9" s="1"/>
  <c r="U35" i="9" s="1"/>
  <c r="O41" i="9"/>
  <c r="P41" i="9" s="1"/>
  <c r="U41" i="9" s="1"/>
  <c r="O47" i="9"/>
  <c r="P47" i="9" s="1"/>
  <c r="U47" i="9" s="1"/>
  <c r="O53" i="9"/>
  <c r="P53" i="9" s="1"/>
  <c r="U53" i="9" s="1"/>
  <c r="O59" i="9"/>
  <c r="P59" i="9" s="1"/>
  <c r="U59" i="9" s="1"/>
  <c r="O65" i="9"/>
  <c r="P65" i="9" s="1"/>
  <c r="U65" i="9" s="1"/>
  <c r="O71" i="9"/>
  <c r="P71" i="9" s="1"/>
  <c r="U71" i="9" s="1"/>
  <c r="O77" i="9"/>
  <c r="P77" i="9" s="1"/>
  <c r="U77" i="9" s="1"/>
  <c r="O83" i="9"/>
  <c r="P83" i="9" s="1"/>
  <c r="U83" i="9" s="1"/>
  <c r="O89" i="9"/>
  <c r="P89" i="9" s="1"/>
  <c r="U89" i="9" s="1"/>
  <c r="O95" i="9"/>
  <c r="O101" i="9"/>
  <c r="O107" i="9"/>
  <c r="O113" i="9"/>
  <c r="O119" i="9"/>
  <c r="O125" i="9"/>
  <c r="O131" i="9"/>
  <c r="O137" i="9"/>
  <c r="O143" i="9"/>
  <c r="O149" i="9"/>
  <c r="O155" i="9"/>
  <c r="O161" i="9"/>
  <c r="O167" i="9"/>
  <c r="O173" i="9"/>
  <c r="O179" i="9"/>
  <c r="O185" i="9"/>
  <c r="O191" i="9"/>
  <c r="O197" i="9"/>
  <c r="O203" i="9"/>
  <c r="O209" i="9"/>
  <c r="O215" i="9"/>
  <c r="O221" i="9"/>
  <c r="O227" i="9"/>
  <c r="O233" i="9"/>
  <c r="O239" i="9"/>
  <c r="O245" i="9"/>
  <c r="O12" i="9"/>
  <c r="P12" i="9" s="1"/>
  <c r="U12" i="9" s="1"/>
  <c r="O18" i="9"/>
  <c r="P18" i="9" s="1"/>
  <c r="U18" i="9" s="1"/>
  <c r="O24" i="9"/>
  <c r="P24" i="9" s="1"/>
  <c r="U24" i="9" s="1"/>
  <c r="O30" i="9"/>
  <c r="P30" i="9" s="1"/>
  <c r="U30" i="9" s="1"/>
  <c r="O36" i="9"/>
  <c r="P36" i="9" s="1"/>
  <c r="U36" i="9" s="1"/>
  <c r="O42" i="9"/>
  <c r="P42" i="9" s="1"/>
  <c r="U42" i="9" s="1"/>
  <c r="O48" i="9"/>
  <c r="P48" i="9" s="1"/>
  <c r="U48" i="9" s="1"/>
  <c r="O54" i="9"/>
  <c r="P54" i="9" s="1"/>
  <c r="U54" i="9" s="1"/>
  <c r="O60" i="9"/>
  <c r="P60" i="9" s="1"/>
  <c r="U60" i="9" s="1"/>
  <c r="O66" i="9"/>
  <c r="P66" i="9" s="1"/>
  <c r="U66" i="9" s="1"/>
  <c r="O72" i="9"/>
  <c r="P72" i="9" s="1"/>
  <c r="U72" i="9" s="1"/>
  <c r="O78" i="9"/>
  <c r="P78" i="9" s="1"/>
  <c r="U78" i="9" s="1"/>
  <c r="O84" i="9"/>
  <c r="P84" i="9" s="1"/>
  <c r="U84" i="9" s="1"/>
  <c r="O90" i="9"/>
  <c r="O96" i="9"/>
  <c r="O102" i="9"/>
  <c r="O108" i="9"/>
  <c r="O114" i="9"/>
  <c r="O120" i="9"/>
  <c r="O126" i="9"/>
  <c r="O132" i="9"/>
  <c r="O138" i="9"/>
  <c r="O144" i="9"/>
  <c r="O150" i="9"/>
  <c r="O8" i="9"/>
  <c r="P8" i="9" s="1"/>
  <c r="U8" i="9" s="1"/>
  <c r="O14" i="9"/>
  <c r="P14" i="9" s="1"/>
  <c r="U14" i="9" s="1"/>
  <c r="O20" i="9"/>
  <c r="P20" i="9" s="1"/>
  <c r="U20" i="9" s="1"/>
  <c r="O26" i="9"/>
  <c r="P26" i="9" s="1"/>
  <c r="U26" i="9" s="1"/>
  <c r="O32" i="9"/>
  <c r="P32" i="9" s="1"/>
  <c r="U32" i="9" s="1"/>
  <c r="O38" i="9"/>
  <c r="P38" i="9" s="1"/>
  <c r="U38" i="9" s="1"/>
  <c r="O44" i="9"/>
  <c r="P44" i="9" s="1"/>
  <c r="U44" i="9" s="1"/>
  <c r="O19" i="9"/>
  <c r="P19" i="9" s="1"/>
  <c r="U19" i="9" s="1"/>
  <c r="O37" i="9"/>
  <c r="P37" i="9" s="1"/>
  <c r="U37" i="9" s="1"/>
  <c r="O52" i="9"/>
  <c r="P52" i="9" s="1"/>
  <c r="U52" i="9" s="1"/>
  <c r="O64" i="9"/>
  <c r="P64" i="9" s="1"/>
  <c r="U64" i="9" s="1"/>
  <c r="O76" i="9"/>
  <c r="P76" i="9" s="1"/>
  <c r="U76" i="9" s="1"/>
  <c r="O88" i="9"/>
  <c r="P88" i="9" s="1"/>
  <c r="U88" i="9" s="1"/>
  <c r="O100" i="9"/>
  <c r="O112" i="9"/>
  <c r="O124" i="9"/>
  <c r="O136" i="9"/>
  <c r="O148" i="9"/>
  <c r="O158" i="9"/>
  <c r="O168" i="9"/>
  <c r="O176" i="9"/>
  <c r="O186" i="9"/>
  <c r="O194" i="9"/>
  <c r="O204" i="9"/>
  <c r="O212" i="9"/>
  <c r="O222" i="9"/>
  <c r="O230" i="9"/>
  <c r="O240" i="9"/>
  <c r="O248" i="9"/>
  <c r="O256" i="9"/>
  <c r="O263" i="9"/>
  <c r="P263" i="9" s="1"/>
  <c r="U263" i="9" s="1"/>
  <c r="O270" i="9"/>
  <c r="P270" i="9" s="1"/>
  <c r="U270" i="9" s="1"/>
  <c r="O277" i="9"/>
  <c r="P277" i="9" s="1"/>
  <c r="U277" i="9" s="1"/>
  <c r="O284" i="9"/>
  <c r="P284" i="9" s="1"/>
  <c r="U284" i="9" s="1"/>
  <c r="O292" i="9"/>
  <c r="P292" i="9" s="1"/>
  <c r="U292" i="9" s="1"/>
  <c r="O299" i="9"/>
  <c r="P299" i="9" s="1"/>
  <c r="U299" i="9" s="1"/>
  <c r="O306" i="9"/>
  <c r="P306" i="9" s="1"/>
  <c r="U306" i="9" s="1"/>
  <c r="O313" i="9"/>
  <c r="P313" i="9" s="1"/>
  <c r="U313" i="9" s="1"/>
  <c r="O7" i="9"/>
  <c r="P7" i="9" s="1"/>
  <c r="U7" i="9" s="1"/>
  <c r="O25" i="9"/>
  <c r="P25" i="9" s="1"/>
  <c r="U25" i="9" s="1"/>
  <c r="O43" i="9"/>
  <c r="P43" i="9" s="1"/>
  <c r="U43" i="9" s="1"/>
  <c r="O56" i="9"/>
  <c r="P56" i="9" s="1"/>
  <c r="U56" i="9" s="1"/>
  <c r="O68" i="9"/>
  <c r="P68" i="9" s="1"/>
  <c r="U68" i="9" s="1"/>
  <c r="O80" i="9"/>
  <c r="P80" i="9" s="1"/>
  <c r="U80" i="9" s="1"/>
  <c r="O92" i="9"/>
  <c r="O104" i="9"/>
  <c r="O116" i="9"/>
  <c r="O128" i="9"/>
  <c r="O140" i="9"/>
  <c r="O152" i="9"/>
  <c r="O162" i="9"/>
  <c r="O170" i="9"/>
  <c r="O180" i="9"/>
  <c r="O188" i="9"/>
  <c r="O198" i="9"/>
  <c r="O206" i="9"/>
  <c r="O216" i="9"/>
  <c r="O224" i="9"/>
  <c r="O234" i="9"/>
  <c r="O242" i="9"/>
  <c r="O251" i="9"/>
  <c r="O258" i="9"/>
  <c r="P258" i="9" s="1"/>
  <c r="U258" i="9" s="1"/>
  <c r="O265" i="9"/>
  <c r="P265" i="9" s="1"/>
  <c r="U265" i="9" s="1"/>
  <c r="O272" i="9"/>
  <c r="P272" i="9" s="1"/>
  <c r="U272" i="9" s="1"/>
  <c r="O280" i="9"/>
  <c r="P280" i="9" s="1"/>
  <c r="U280" i="9" s="1"/>
  <c r="O287" i="9"/>
  <c r="P287" i="9" s="1"/>
  <c r="U287" i="9" s="1"/>
  <c r="O294" i="9"/>
  <c r="P294" i="9" s="1"/>
  <c r="U294" i="9" s="1"/>
  <c r="O301" i="9"/>
  <c r="P301" i="9" s="1"/>
  <c r="U301" i="9" s="1"/>
  <c r="O308" i="9"/>
  <c r="P308" i="9" s="1"/>
  <c r="U308" i="9" s="1"/>
  <c r="O316" i="9"/>
  <c r="P316" i="9" s="1"/>
  <c r="U316" i="9" s="1"/>
  <c r="O16" i="9"/>
  <c r="P16" i="9" s="1"/>
  <c r="U16" i="9" s="1"/>
  <c r="O34" i="9"/>
  <c r="P34" i="9" s="1"/>
  <c r="U34" i="9" s="1"/>
  <c r="O50" i="9"/>
  <c r="P50" i="9" s="1"/>
  <c r="U50" i="9" s="1"/>
  <c r="O62" i="9"/>
  <c r="P62" i="9" s="1"/>
  <c r="U62" i="9" s="1"/>
  <c r="O74" i="9"/>
  <c r="P74" i="9" s="1"/>
  <c r="U74" i="9" s="1"/>
  <c r="O86" i="9"/>
  <c r="O98" i="9"/>
  <c r="O110" i="9"/>
  <c r="O122" i="9"/>
  <c r="O134" i="9"/>
  <c r="O146" i="9"/>
  <c r="O157" i="9"/>
  <c r="O166" i="9"/>
  <c r="O175" i="9"/>
  <c r="O184" i="9"/>
  <c r="O193" i="9"/>
  <c r="O202" i="9"/>
  <c r="O211" i="9"/>
  <c r="O220" i="9"/>
  <c r="O229" i="9"/>
  <c r="O238" i="9"/>
  <c r="O247" i="9"/>
  <c r="O254" i="9"/>
  <c r="O262" i="9"/>
  <c r="P262" i="9" s="1"/>
  <c r="U262" i="9" s="1"/>
  <c r="O269" i="9"/>
  <c r="P269" i="9" s="1"/>
  <c r="U269" i="9" s="1"/>
  <c r="O276" i="9"/>
  <c r="P276" i="9" s="1"/>
  <c r="U276" i="9" s="1"/>
  <c r="O283" i="9"/>
  <c r="P283" i="9" s="1"/>
  <c r="U283" i="9" s="1"/>
  <c r="O290" i="9"/>
  <c r="P290" i="9" s="1"/>
  <c r="U290" i="9" s="1"/>
  <c r="O298" i="9"/>
  <c r="P298" i="9" s="1"/>
  <c r="U298" i="9" s="1"/>
  <c r="O305" i="9"/>
  <c r="P305" i="9" s="1"/>
  <c r="U305" i="9" s="1"/>
  <c r="O312" i="9"/>
  <c r="P312" i="9" s="1"/>
  <c r="U312" i="9" s="1"/>
  <c r="O10" i="9"/>
  <c r="P10" i="9" s="1"/>
  <c r="U10" i="9" s="1"/>
  <c r="O46" i="9"/>
  <c r="P46" i="9" s="1"/>
  <c r="U46" i="9" s="1"/>
  <c r="O70" i="9"/>
  <c r="P70" i="9" s="1"/>
  <c r="U70" i="9" s="1"/>
  <c r="O94" i="9"/>
  <c r="O118" i="9"/>
  <c r="O142" i="9"/>
  <c r="O163" i="9"/>
  <c r="O181" i="9"/>
  <c r="O199" i="9"/>
  <c r="O217" i="9"/>
  <c r="O235" i="9"/>
  <c r="O252" i="9"/>
  <c r="O266" i="9"/>
  <c r="P266" i="9" s="1"/>
  <c r="U266" i="9" s="1"/>
  <c r="O281" i="9"/>
  <c r="P281" i="9" s="1"/>
  <c r="U281" i="9" s="1"/>
  <c r="O295" i="9"/>
  <c r="P295" i="9" s="1"/>
  <c r="U295" i="9" s="1"/>
  <c r="O310" i="9"/>
  <c r="P310" i="9" s="1"/>
  <c r="U310" i="9" s="1"/>
  <c r="O13" i="9"/>
  <c r="P13" i="9" s="1"/>
  <c r="U13" i="9" s="1"/>
  <c r="O49" i="9"/>
  <c r="P49" i="9" s="1"/>
  <c r="U49" i="9" s="1"/>
  <c r="O73" i="9"/>
  <c r="O97" i="9"/>
  <c r="O121" i="9"/>
  <c r="O145" i="9"/>
  <c r="O164" i="9"/>
  <c r="O182" i="9"/>
  <c r="O200" i="9"/>
  <c r="O218" i="9"/>
  <c r="O236" i="9"/>
  <c r="O253" i="9"/>
  <c r="O268" i="9"/>
  <c r="P268" i="9" s="1"/>
  <c r="U268" i="9" s="1"/>
  <c r="O282" i="9"/>
  <c r="P282" i="9" s="1"/>
  <c r="U282" i="9" s="1"/>
  <c r="O296" i="9"/>
  <c r="P296" i="9" s="1"/>
  <c r="U296" i="9" s="1"/>
  <c r="O311" i="9"/>
  <c r="P311" i="9" s="1"/>
  <c r="U311" i="9" s="1"/>
  <c r="O22" i="9"/>
  <c r="P22" i="9" s="1"/>
  <c r="U22" i="9" s="1"/>
  <c r="O55" i="9"/>
  <c r="P55" i="9" s="1"/>
  <c r="U55" i="9" s="1"/>
  <c r="O79" i="9"/>
  <c r="O103" i="9"/>
  <c r="O127" i="9"/>
  <c r="O151" i="9"/>
  <c r="O169" i="9"/>
  <c r="O187" i="9"/>
  <c r="O205" i="9"/>
  <c r="O223" i="9"/>
  <c r="O241" i="9"/>
  <c r="O257" i="9"/>
  <c r="P257" i="9" s="1"/>
  <c r="U257" i="9" s="1"/>
  <c r="O271" i="9"/>
  <c r="P271" i="9" s="1"/>
  <c r="U271" i="9" s="1"/>
  <c r="O286" i="9"/>
  <c r="P286" i="9" s="1"/>
  <c r="U286" i="9" s="1"/>
  <c r="O300" i="9"/>
  <c r="P300" i="9" s="1"/>
  <c r="U300" i="9" s="1"/>
  <c r="O314" i="9"/>
  <c r="P314" i="9" s="1"/>
  <c r="U314" i="9" s="1"/>
  <c r="O28" i="9"/>
  <c r="P28" i="9" s="1"/>
  <c r="U28" i="9" s="1"/>
  <c r="O58" i="9"/>
  <c r="P58" i="9" s="1"/>
  <c r="U58" i="9" s="1"/>
  <c r="O82" i="9"/>
  <c r="P82" i="9" s="1"/>
  <c r="U82" i="9" s="1"/>
  <c r="O106" i="9"/>
  <c r="O130" i="9"/>
  <c r="O154" i="9"/>
  <c r="O172" i="9"/>
  <c r="O190" i="9"/>
  <c r="O208" i="9"/>
  <c r="O226" i="9"/>
  <c r="O244" i="9"/>
  <c r="O259" i="9"/>
  <c r="P259" i="9" s="1"/>
  <c r="U259" i="9" s="1"/>
  <c r="O274" i="9"/>
  <c r="P274" i="9" s="1"/>
  <c r="U274" i="9" s="1"/>
  <c r="O288" i="9"/>
  <c r="P288" i="9" s="1"/>
  <c r="U288" i="9" s="1"/>
  <c r="O302" i="9"/>
  <c r="P302" i="9" s="1"/>
  <c r="U302" i="9" s="1"/>
  <c r="O317" i="9"/>
  <c r="P317" i="9" s="1"/>
  <c r="U317" i="9" s="1"/>
  <c r="O31" i="9"/>
  <c r="P31" i="9" s="1"/>
  <c r="U31" i="9" s="1"/>
  <c r="O61" i="9"/>
  <c r="P61" i="9" s="1"/>
  <c r="U61" i="9" s="1"/>
  <c r="O85" i="9"/>
  <c r="O109" i="9"/>
  <c r="O133" i="9"/>
  <c r="O156" i="9"/>
  <c r="O174" i="9"/>
  <c r="O192" i="9"/>
  <c r="O210" i="9"/>
  <c r="O228" i="9"/>
  <c r="O246" i="9"/>
  <c r="O260" i="9"/>
  <c r="P260" i="9" s="1"/>
  <c r="U260" i="9" s="1"/>
  <c r="O275" i="9"/>
  <c r="P275" i="9" s="1"/>
  <c r="U275" i="9" s="1"/>
  <c r="O289" i="9"/>
  <c r="P289" i="9" s="1"/>
  <c r="U289" i="9" s="1"/>
  <c r="O304" i="9"/>
  <c r="P304" i="9" s="1"/>
  <c r="U304" i="9" s="1"/>
  <c r="O40" i="9"/>
  <c r="P40" i="9" s="1"/>
  <c r="U40" i="9" s="1"/>
  <c r="O67" i="9"/>
  <c r="P67" i="9" s="1"/>
  <c r="U67" i="9" s="1"/>
  <c r="O91" i="9"/>
  <c r="O115" i="9"/>
  <c r="O139" i="9"/>
  <c r="O160" i="9"/>
  <c r="O178" i="9"/>
  <c r="O196" i="9"/>
  <c r="O214" i="9"/>
  <c r="O232" i="9"/>
  <c r="O250" i="9"/>
  <c r="O264" i="9"/>
  <c r="P264" i="9" s="1"/>
  <c r="U264" i="9" s="1"/>
  <c r="O278" i="9"/>
  <c r="P278" i="9" s="1"/>
  <c r="U278" i="9" s="1"/>
  <c r="O293" i="9"/>
  <c r="P293" i="9" s="1"/>
  <c r="U293" i="9" s="1"/>
  <c r="O307" i="9"/>
  <c r="P307" i="9" s="1"/>
  <c r="U307" i="9" s="1"/>
  <c r="R9" i="9"/>
  <c r="S9" i="9" s="1"/>
  <c r="V9" i="9" s="1"/>
  <c r="R15" i="9"/>
  <c r="S15" i="9" s="1"/>
  <c r="V15" i="9" s="1"/>
  <c r="R21" i="9"/>
  <c r="R27" i="9"/>
  <c r="R33" i="9"/>
  <c r="R39" i="9"/>
  <c r="R45" i="9"/>
  <c r="R51" i="9"/>
  <c r="R57" i="9"/>
  <c r="R63" i="9"/>
  <c r="R69" i="9"/>
  <c r="R75" i="9"/>
  <c r="R81" i="9"/>
  <c r="R87" i="9"/>
  <c r="R93" i="9"/>
  <c r="R99" i="9"/>
  <c r="R105" i="9"/>
  <c r="R111" i="9"/>
  <c r="R117" i="9"/>
  <c r="R123" i="9"/>
  <c r="R129" i="9"/>
  <c r="R135" i="9"/>
  <c r="R141" i="9"/>
  <c r="R147" i="9"/>
  <c r="R153" i="9"/>
  <c r="R159" i="9"/>
  <c r="R165" i="9"/>
  <c r="R171" i="9"/>
  <c r="R177" i="9"/>
  <c r="R183" i="9"/>
  <c r="R189" i="9"/>
  <c r="R195" i="9"/>
  <c r="R201" i="9"/>
  <c r="R207" i="9"/>
  <c r="R213" i="9"/>
  <c r="R219" i="9"/>
  <c r="R225" i="9"/>
  <c r="R231" i="9"/>
  <c r="R237" i="9"/>
  <c r="R243" i="9"/>
  <c r="R249" i="9"/>
  <c r="R255" i="9"/>
  <c r="R261" i="9"/>
  <c r="R267" i="9"/>
  <c r="R273" i="9"/>
  <c r="R279" i="9"/>
  <c r="R285" i="9"/>
  <c r="R291" i="9"/>
  <c r="R297" i="9"/>
  <c r="R303" i="9"/>
  <c r="R309" i="9"/>
  <c r="R11" i="9"/>
  <c r="S11" i="9" s="1"/>
  <c r="V11" i="9" s="1"/>
  <c r="R17" i="9"/>
  <c r="R23" i="9"/>
  <c r="R29" i="9"/>
  <c r="R35" i="9"/>
  <c r="R41" i="9"/>
  <c r="R47" i="9"/>
  <c r="R53" i="9"/>
  <c r="R59" i="9"/>
  <c r="R65" i="9"/>
  <c r="R71" i="9"/>
  <c r="R77" i="9"/>
  <c r="R83" i="9"/>
  <c r="R89" i="9"/>
  <c r="R95" i="9"/>
  <c r="R101" i="9"/>
  <c r="R107" i="9"/>
  <c r="R113" i="9"/>
  <c r="R119" i="9"/>
  <c r="R125" i="9"/>
  <c r="R131" i="9"/>
  <c r="R137" i="9"/>
  <c r="R143" i="9"/>
  <c r="R149" i="9"/>
  <c r="R155" i="9"/>
  <c r="R161" i="9"/>
  <c r="R167" i="9"/>
  <c r="R173" i="9"/>
  <c r="R179" i="9"/>
  <c r="R185" i="9"/>
  <c r="R191" i="9"/>
  <c r="R197" i="9"/>
  <c r="R203" i="9"/>
  <c r="R209" i="9"/>
  <c r="R215" i="9"/>
  <c r="R221" i="9"/>
  <c r="R227" i="9"/>
  <c r="R13" i="9"/>
  <c r="S13" i="9" s="1"/>
  <c r="V13" i="9" s="1"/>
  <c r="R22" i="9"/>
  <c r="R31" i="9"/>
  <c r="R40" i="9"/>
  <c r="R49" i="9"/>
  <c r="R58" i="9"/>
  <c r="R67" i="9"/>
  <c r="R76" i="9"/>
  <c r="R85" i="9"/>
  <c r="R94" i="9"/>
  <c r="R103" i="9"/>
  <c r="R112" i="9"/>
  <c r="R121" i="9"/>
  <c r="R130" i="9"/>
  <c r="R139" i="9"/>
  <c r="R148" i="9"/>
  <c r="R157" i="9"/>
  <c r="R166" i="9"/>
  <c r="R175" i="9"/>
  <c r="R184" i="9"/>
  <c r="R193" i="9"/>
  <c r="R202" i="9"/>
  <c r="R211" i="9"/>
  <c r="R220" i="9"/>
  <c r="R229" i="9"/>
  <c r="R236" i="9"/>
  <c r="R244" i="9"/>
  <c r="R251" i="9"/>
  <c r="R258" i="9"/>
  <c r="R265" i="9"/>
  <c r="R272" i="9"/>
  <c r="R280" i="9"/>
  <c r="R287" i="9"/>
  <c r="R294" i="9"/>
  <c r="R301" i="9"/>
  <c r="R308" i="9"/>
  <c r="R315" i="9"/>
  <c r="R7" i="9"/>
  <c r="S7" i="9" s="1"/>
  <c r="V7" i="9" s="1"/>
  <c r="R16" i="9"/>
  <c r="S16" i="9" s="1"/>
  <c r="V16" i="9" s="1"/>
  <c r="R25" i="9"/>
  <c r="R34" i="9"/>
  <c r="R43" i="9"/>
  <c r="R52" i="9"/>
  <c r="R61" i="9"/>
  <c r="R70" i="9"/>
  <c r="R79" i="9"/>
  <c r="R88" i="9"/>
  <c r="R97" i="9"/>
  <c r="R106" i="9"/>
  <c r="R115" i="9"/>
  <c r="R124" i="9"/>
  <c r="R133" i="9"/>
  <c r="R142" i="9"/>
  <c r="R151" i="9"/>
  <c r="R160" i="9"/>
  <c r="R169" i="9"/>
  <c r="R178" i="9"/>
  <c r="R187" i="9"/>
  <c r="R196" i="9"/>
  <c r="R205" i="9"/>
  <c r="R214" i="9"/>
  <c r="R223" i="9"/>
  <c r="R232" i="9"/>
  <c r="R239" i="9"/>
  <c r="R246" i="9"/>
  <c r="R253" i="9"/>
  <c r="R260" i="9"/>
  <c r="R268" i="9"/>
  <c r="R275" i="9"/>
  <c r="R282" i="9"/>
  <c r="R289" i="9"/>
  <c r="R296" i="9"/>
  <c r="R304" i="9"/>
  <c r="R311" i="9"/>
  <c r="R317" i="9"/>
  <c r="R8" i="9"/>
  <c r="S8" i="9" s="1"/>
  <c r="V8" i="9" s="1"/>
  <c r="R18" i="9"/>
  <c r="R26" i="9"/>
  <c r="R36" i="9"/>
  <c r="R44" i="9"/>
  <c r="R54" i="9"/>
  <c r="R62" i="9"/>
  <c r="R72" i="9"/>
  <c r="R80" i="9"/>
  <c r="R90" i="9"/>
  <c r="R98" i="9"/>
  <c r="R108" i="9"/>
  <c r="R116" i="9"/>
  <c r="R126" i="9"/>
  <c r="R134" i="9"/>
  <c r="R144" i="9"/>
  <c r="R152" i="9"/>
  <c r="R162" i="9"/>
  <c r="R170" i="9"/>
  <c r="R180" i="9"/>
  <c r="R188" i="9"/>
  <c r="R198" i="9"/>
  <c r="R206" i="9"/>
  <c r="R216" i="9"/>
  <c r="R224" i="9"/>
  <c r="R233" i="9"/>
  <c r="R240" i="9"/>
  <c r="R247" i="9"/>
  <c r="R254" i="9"/>
  <c r="R262" i="9"/>
  <c r="R269" i="9"/>
  <c r="R276" i="9"/>
  <c r="R283" i="9"/>
  <c r="R290" i="9"/>
  <c r="R298" i="9"/>
  <c r="R305" i="9"/>
  <c r="R312" i="9"/>
  <c r="R6" i="9"/>
  <c r="S6" i="9" s="1"/>
  <c r="V6" i="9" s="1"/>
  <c r="R12" i="9"/>
  <c r="S12" i="9" s="1"/>
  <c r="V12" i="9" s="1"/>
  <c r="R20" i="9"/>
  <c r="R30" i="9"/>
  <c r="R38" i="9"/>
  <c r="R48" i="9"/>
  <c r="R56" i="9"/>
  <c r="R66" i="9"/>
  <c r="R74" i="9"/>
  <c r="R84" i="9"/>
  <c r="R92" i="9"/>
  <c r="R102" i="9"/>
  <c r="R110" i="9"/>
  <c r="R120" i="9"/>
  <c r="R128" i="9"/>
  <c r="R138" i="9"/>
  <c r="R146" i="9"/>
  <c r="R156" i="9"/>
  <c r="R164" i="9"/>
  <c r="R174" i="9"/>
  <c r="R182" i="9"/>
  <c r="R192" i="9"/>
  <c r="R200" i="9"/>
  <c r="R210" i="9"/>
  <c r="R218" i="9"/>
  <c r="R228" i="9"/>
  <c r="R235" i="9"/>
  <c r="R242" i="9"/>
  <c r="R250" i="9"/>
  <c r="R257" i="9"/>
  <c r="R264" i="9"/>
  <c r="R271" i="9"/>
  <c r="R278" i="9"/>
  <c r="R286" i="9"/>
  <c r="R293" i="9"/>
  <c r="R300" i="9"/>
  <c r="R307" i="9"/>
  <c r="R314" i="9"/>
  <c r="R10" i="9"/>
  <c r="S10" i="9" s="1"/>
  <c r="V10" i="9" s="1"/>
  <c r="R37" i="9"/>
  <c r="R64" i="9"/>
  <c r="R91" i="9"/>
  <c r="R118" i="9"/>
  <c r="R145" i="9"/>
  <c r="R172" i="9"/>
  <c r="R199" i="9"/>
  <c r="R226" i="9"/>
  <c r="R248" i="9"/>
  <c r="R270" i="9"/>
  <c r="R292" i="9"/>
  <c r="R313" i="9"/>
  <c r="R19" i="9"/>
  <c r="R46" i="9"/>
  <c r="R73" i="9"/>
  <c r="R100" i="9"/>
  <c r="R127" i="9"/>
  <c r="R154" i="9"/>
  <c r="R181" i="9"/>
  <c r="R208" i="9"/>
  <c r="R234" i="9"/>
  <c r="R256" i="9"/>
  <c r="R277" i="9"/>
  <c r="R299" i="9"/>
  <c r="R32" i="9"/>
  <c r="R60" i="9"/>
  <c r="R86" i="9"/>
  <c r="R114" i="9"/>
  <c r="R140" i="9"/>
  <c r="R168" i="9"/>
  <c r="R194" i="9"/>
  <c r="R222" i="9"/>
  <c r="R245" i="9"/>
  <c r="R266" i="9"/>
  <c r="R288" i="9"/>
  <c r="R310" i="9"/>
  <c r="R24" i="9"/>
  <c r="R78" i="9"/>
  <c r="R132" i="9"/>
  <c r="R186" i="9"/>
  <c r="R238" i="9"/>
  <c r="R281" i="9"/>
  <c r="R28" i="9"/>
  <c r="R82" i="9"/>
  <c r="R136" i="9"/>
  <c r="R190" i="9"/>
  <c r="R241" i="9"/>
  <c r="R284" i="9"/>
  <c r="R42" i="9"/>
  <c r="R96" i="9"/>
  <c r="R150" i="9"/>
  <c r="R204" i="9"/>
  <c r="R252" i="9"/>
  <c r="R295" i="9"/>
  <c r="R50" i="9"/>
  <c r="R104" i="9"/>
  <c r="R158" i="9"/>
  <c r="R212" i="9"/>
  <c r="R259" i="9"/>
  <c r="R302" i="9"/>
  <c r="R55" i="9"/>
  <c r="R109" i="9"/>
  <c r="R163" i="9"/>
  <c r="R217" i="9"/>
  <c r="R263" i="9"/>
  <c r="R306" i="9"/>
  <c r="R14" i="9"/>
  <c r="S14" i="9" s="1"/>
  <c r="V14" i="9" s="1"/>
  <c r="R68" i="9"/>
  <c r="R122" i="9"/>
  <c r="R176" i="9"/>
  <c r="R230" i="9"/>
  <c r="R274" i="9"/>
  <c r="R316" i="9"/>
  <c r="P79" i="9"/>
  <c r="U79" i="9" s="1"/>
  <c r="P73" i="9"/>
  <c r="U73" i="9" s="1"/>
  <c r="AV8" i="9"/>
  <c r="AV14" i="9"/>
  <c r="AV20" i="9"/>
  <c r="AV26" i="9"/>
  <c r="AV32" i="9"/>
  <c r="AV38" i="9"/>
  <c r="AV44" i="9"/>
  <c r="AV50" i="9"/>
  <c r="AV56" i="9"/>
  <c r="AV62" i="9"/>
  <c r="AV68" i="9"/>
  <c r="AV74" i="9"/>
  <c r="AV80" i="9"/>
  <c r="AV86" i="9"/>
  <c r="AV92" i="9"/>
  <c r="AV98" i="9"/>
  <c r="AV104" i="9"/>
  <c r="AV110" i="9"/>
  <c r="AV116" i="9"/>
  <c r="AV122" i="9"/>
  <c r="AV128" i="9"/>
  <c r="AV134" i="9"/>
  <c r="AV140" i="9"/>
  <c r="AV146" i="9"/>
  <c r="AV152" i="9"/>
  <c r="AV158" i="9"/>
  <c r="AV164" i="9"/>
  <c r="AV170" i="9"/>
  <c r="AV176" i="9"/>
  <c r="AV182" i="9"/>
  <c r="AV188" i="9"/>
  <c r="AV194" i="9"/>
  <c r="AV9" i="9"/>
  <c r="AV15" i="9"/>
  <c r="AV21" i="9"/>
  <c r="AV27" i="9"/>
  <c r="AV33" i="9"/>
  <c r="AV39" i="9"/>
  <c r="AV45" i="9"/>
  <c r="AV51" i="9"/>
  <c r="AV57" i="9"/>
  <c r="AV63" i="9"/>
  <c r="AV69" i="9"/>
  <c r="AV75" i="9"/>
  <c r="AV81" i="9"/>
  <c r="AV87" i="9"/>
  <c r="AV93" i="9"/>
  <c r="AV99" i="9"/>
  <c r="AV105" i="9"/>
  <c r="AV111" i="9"/>
  <c r="AV117" i="9"/>
  <c r="AV123" i="9"/>
  <c r="AV129" i="9"/>
  <c r="AV135" i="9"/>
  <c r="AV141" i="9"/>
  <c r="AV147" i="9"/>
  <c r="AV153" i="9"/>
  <c r="AV159" i="9"/>
  <c r="AV165" i="9"/>
  <c r="AV171" i="9"/>
  <c r="AV177" i="9"/>
  <c r="AV183" i="9"/>
  <c r="AV189" i="9"/>
  <c r="AV195" i="9"/>
  <c r="AV10" i="9"/>
  <c r="AV16" i="9"/>
  <c r="AV22" i="9"/>
  <c r="AV28" i="9"/>
  <c r="AV34" i="9"/>
  <c r="AV40" i="9"/>
  <c r="AV46" i="9"/>
  <c r="AV52" i="9"/>
  <c r="AV58" i="9"/>
  <c r="AV64" i="9"/>
  <c r="AV70" i="9"/>
  <c r="AV76" i="9"/>
  <c r="AV82" i="9"/>
  <c r="AV88" i="9"/>
  <c r="AV94" i="9"/>
  <c r="AV100" i="9"/>
  <c r="AV106" i="9"/>
  <c r="AV112" i="9"/>
  <c r="AV118" i="9"/>
  <c r="AV124" i="9"/>
  <c r="AV130" i="9"/>
  <c r="AV136" i="9"/>
  <c r="AV142" i="9"/>
  <c r="AV148" i="9"/>
  <c r="AV154" i="9"/>
  <c r="AV160" i="9"/>
  <c r="AV166" i="9"/>
  <c r="AV172" i="9"/>
  <c r="AV178" i="9"/>
  <c r="AV184" i="9"/>
  <c r="AV190" i="9"/>
  <c r="AV196" i="9"/>
  <c r="AV11" i="9"/>
  <c r="AV17" i="9"/>
  <c r="AV23" i="9"/>
  <c r="AV29" i="9"/>
  <c r="AV35" i="9"/>
  <c r="AV41" i="9"/>
  <c r="AV47" i="9"/>
  <c r="AV53" i="9"/>
  <c r="AV59" i="9"/>
  <c r="AV65" i="9"/>
  <c r="AV71" i="9"/>
  <c r="AV77" i="9"/>
  <c r="AV83" i="9"/>
  <c r="AV89" i="9"/>
  <c r="AV95" i="9"/>
  <c r="AV101" i="9"/>
  <c r="AV107" i="9"/>
  <c r="AV113" i="9"/>
  <c r="AV119" i="9"/>
  <c r="AV125" i="9"/>
  <c r="AV131" i="9"/>
  <c r="AV137" i="9"/>
  <c r="AV143" i="9"/>
  <c r="AV149" i="9"/>
  <c r="AV155" i="9"/>
  <c r="AV161" i="9"/>
  <c r="AV167" i="9"/>
  <c r="AV173" i="9"/>
  <c r="AV179" i="9"/>
  <c r="AV185" i="9"/>
  <c r="AV191" i="9"/>
  <c r="AV197" i="9"/>
  <c r="AV12" i="9"/>
  <c r="AV18" i="9"/>
  <c r="AV24" i="9"/>
  <c r="AV30" i="9"/>
  <c r="AV36" i="9"/>
  <c r="AV42" i="9"/>
  <c r="AV48" i="9"/>
  <c r="AV54" i="9"/>
  <c r="AV60" i="9"/>
  <c r="AV66" i="9"/>
  <c r="AV72" i="9"/>
  <c r="AV78" i="9"/>
  <c r="AV84" i="9"/>
  <c r="AV90" i="9"/>
  <c r="AV96" i="9"/>
  <c r="AV102" i="9"/>
  <c r="AV108" i="9"/>
  <c r="AV114" i="9"/>
  <c r="AV120" i="9"/>
  <c r="AV126" i="9"/>
  <c r="AV132" i="9"/>
  <c r="AV138" i="9"/>
  <c r="AV144" i="9"/>
  <c r="AV150" i="9"/>
  <c r="AV156" i="9"/>
  <c r="AV162" i="9"/>
  <c r="AV168" i="9"/>
  <c r="AV174" i="9"/>
  <c r="AV180" i="9"/>
  <c r="AV186" i="9"/>
  <c r="AV192" i="9"/>
  <c r="AV37" i="9"/>
  <c r="AV73" i="9"/>
  <c r="AV109" i="9"/>
  <c r="AV145" i="9"/>
  <c r="AV181" i="9"/>
  <c r="AV201" i="9"/>
  <c r="AV207" i="9"/>
  <c r="AV213" i="9"/>
  <c r="AV219" i="9"/>
  <c r="AV225" i="9"/>
  <c r="AV231" i="9"/>
  <c r="AV237" i="9"/>
  <c r="AV243" i="9"/>
  <c r="AV249" i="9"/>
  <c r="AV255" i="9"/>
  <c r="AV261" i="9"/>
  <c r="AW261" i="9" s="1"/>
  <c r="BA261" i="9" s="1"/>
  <c r="BE261" i="9" s="1"/>
  <c r="AV267" i="9"/>
  <c r="AW267" i="9" s="1"/>
  <c r="BA267" i="9" s="1"/>
  <c r="BE267" i="9" s="1"/>
  <c r="AV273" i="9"/>
  <c r="AW273" i="9" s="1"/>
  <c r="BA273" i="9" s="1"/>
  <c r="BE273" i="9" s="1"/>
  <c r="AV279" i="9"/>
  <c r="AW279" i="9" s="1"/>
  <c r="BA279" i="9" s="1"/>
  <c r="BE279" i="9" s="1"/>
  <c r="AV285" i="9"/>
  <c r="AW285" i="9" s="1"/>
  <c r="BA285" i="9" s="1"/>
  <c r="BE285" i="9" s="1"/>
  <c r="AV291" i="9"/>
  <c r="AW291" i="9" s="1"/>
  <c r="BA291" i="9" s="1"/>
  <c r="BE291" i="9" s="1"/>
  <c r="AV297" i="9"/>
  <c r="AW297" i="9" s="1"/>
  <c r="BA297" i="9" s="1"/>
  <c r="BE297" i="9" s="1"/>
  <c r="AV303" i="9"/>
  <c r="AW303" i="9" s="1"/>
  <c r="BA303" i="9" s="1"/>
  <c r="BE303" i="9" s="1"/>
  <c r="AV309" i="9"/>
  <c r="AW309" i="9" s="1"/>
  <c r="BA309" i="9" s="1"/>
  <c r="BE309" i="9" s="1"/>
  <c r="AV315" i="9"/>
  <c r="AW315" i="9" s="1"/>
  <c r="BA315" i="9" s="1"/>
  <c r="BE315" i="9" s="1"/>
  <c r="AV13" i="9"/>
  <c r="AV49" i="9"/>
  <c r="AV85" i="9"/>
  <c r="AV121" i="9"/>
  <c r="AV157" i="9"/>
  <c r="AV193" i="9"/>
  <c r="AV203" i="9"/>
  <c r="AV209" i="9"/>
  <c r="AV215" i="9"/>
  <c r="AV221" i="9"/>
  <c r="AV227" i="9"/>
  <c r="AV233" i="9"/>
  <c r="AV239" i="9"/>
  <c r="AV245" i="9"/>
  <c r="AV251" i="9"/>
  <c r="AV257" i="9"/>
  <c r="AW257" i="9" s="1"/>
  <c r="BA257" i="9" s="1"/>
  <c r="BE257" i="9" s="1"/>
  <c r="AV263" i="9"/>
  <c r="AW263" i="9" s="1"/>
  <c r="BA263" i="9" s="1"/>
  <c r="BE263" i="9" s="1"/>
  <c r="AV269" i="9"/>
  <c r="AW269" i="9" s="1"/>
  <c r="BA269" i="9" s="1"/>
  <c r="BE269" i="9" s="1"/>
  <c r="AV275" i="9"/>
  <c r="AW275" i="9" s="1"/>
  <c r="BA275" i="9" s="1"/>
  <c r="BE275" i="9" s="1"/>
  <c r="AV281" i="9"/>
  <c r="AW281" i="9" s="1"/>
  <c r="BA281" i="9" s="1"/>
  <c r="BE281" i="9" s="1"/>
  <c r="AV287" i="9"/>
  <c r="AW287" i="9" s="1"/>
  <c r="BA287" i="9" s="1"/>
  <c r="BE287" i="9" s="1"/>
  <c r="AV293" i="9"/>
  <c r="AW293" i="9" s="1"/>
  <c r="BA293" i="9" s="1"/>
  <c r="BE293" i="9" s="1"/>
  <c r="AV299" i="9"/>
  <c r="AW299" i="9" s="1"/>
  <c r="BA299" i="9" s="1"/>
  <c r="BE299" i="9" s="1"/>
  <c r="AV305" i="9"/>
  <c r="AW305" i="9" s="1"/>
  <c r="BA305" i="9" s="1"/>
  <c r="BE305" i="9" s="1"/>
  <c r="AV311" i="9"/>
  <c r="AW311" i="9" s="1"/>
  <c r="BA311" i="9" s="1"/>
  <c r="BE311" i="9" s="1"/>
  <c r="AV317" i="9"/>
  <c r="AW317" i="9" s="1"/>
  <c r="BA317" i="9" s="1"/>
  <c r="BE317" i="9" s="1"/>
  <c r="AV43" i="9"/>
  <c r="AV97" i="9"/>
  <c r="AV151" i="9"/>
  <c r="AV199" i="9"/>
  <c r="AV208" i="9"/>
  <c r="AV217" i="9"/>
  <c r="AV226" i="9"/>
  <c r="AV235" i="9"/>
  <c r="AV244" i="9"/>
  <c r="AV253" i="9"/>
  <c r="AV262" i="9"/>
  <c r="AW262" i="9" s="1"/>
  <c r="BA262" i="9" s="1"/>
  <c r="BE262" i="9" s="1"/>
  <c r="AV271" i="9"/>
  <c r="AW271" i="9" s="1"/>
  <c r="BA271" i="9" s="1"/>
  <c r="BE271" i="9" s="1"/>
  <c r="AV280" i="9"/>
  <c r="AW280" i="9" s="1"/>
  <c r="BA280" i="9" s="1"/>
  <c r="BE280" i="9" s="1"/>
  <c r="AV289" i="9"/>
  <c r="AW289" i="9" s="1"/>
  <c r="BA289" i="9" s="1"/>
  <c r="BE289" i="9" s="1"/>
  <c r="AV298" i="9"/>
  <c r="AW298" i="9" s="1"/>
  <c r="BA298" i="9" s="1"/>
  <c r="BE298" i="9" s="1"/>
  <c r="AV307" i="9"/>
  <c r="AW307" i="9" s="1"/>
  <c r="BA307" i="9" s="1"/>
  <c r="BE307" i="9" s="1"/>
  <c r="AV316" i="9"/>
  <c r="AW316" i="9" s="1"/>
  <c r="BA316" i="9" s="1"/>
  <c r="BE316" i="9" s="1"/>
  <c r="AV7" i="9"/>
  <c r="AV61" i="9"/>
  <c r="AV115" i="9"/>
  <c r="AV169" i="9"/>
  <c r="AV202" i="9"/>
  <c r="AV211" i="9"/>
  <c r="AV220" i="9"/>
  <c r="AV229" i="9"/>
  <c r="AV238" i="9"/>
  <c r="AV247" i="9"/>
  <c r="AV256" i="9"/>
  <c r="AV265" i="9"/>
  <c r="AW265" i="9" s="1"/>
  <c r="BA265" i="9" s="1"/>
  <c r="BE265" i="9" s="1"/>
  <c r="AV274" i="9"/>
  <c r="AW274" i="9" s="1"/>
  <c r="BA274" i="9" s="1"/>
  <c r="BE274" i="9" s="1"/>
  <c r="AV283" i="9"/>
  <c r="AW283" i="9" s="1"/>
  <c r="BA283" i="9" s="1"/>
  <c r="BE283" i="9" s="1"/>
  <c r="AV292" i="9"/>
  <c r="AW292" i="9" s="1"/>
  <c r="BA292" i="9" s="1"/>
  <c r="BE292" i="9" s="1"/>
  <c r="AV301" i="9"/>
  <c r="AW301" i="9" s="1"/>
  <c r="BA301" i="9" s="1"/>
  <c r="BE301" i="9" s="1"/>
  <c r="AV310" i="9"/>
  <c r="AW310" i="9" s="1"/>
  <c r="BA310" i="9" s="1"/>
  <c r="BE310" i="9" s="1"/>
  <c r="AV19" i="9"/>
  <c r="AV67" i="9"/>
  <c r="AV127" i="9"/>
  <c r="AV175" i="9"/>
  <c r="AV204" i="9"/>
  <c r="AV212" i="9"/>
  <c r="AV222" i="9"/>
  <c r="AV230" i="9"/>
  <c r="AV240" i="9"/>
  <c r="AV248" i="9"/>
  <c r="AV258" i="9"/>
  <c r="AW258" i="9" s="1"/>
  <c r="BA258" i="9" s="1"/>
  <c r="BE258" i="9" s="1"/>
  <c r="AV266" i="9"/>
  <c r="AW266" i="9" s="1"/>
  <c r="BA266" i="9" s="1"/>
  <c r="BE266" i="9" s="1"/>
  <c r="AV276" i="9"/>
  <c r="AW276" i="9" s="1"/>
  <c r="BA276" i="9" s="1"/>
  <c r="BE276" i="9" s="1"/>
  <c r="AV284" i="9"/>
  <c r="AW284" i="9" s="1"/>
  <c r="BA284" i="9" s="1"/>
  <c r="BE284" i="9" s="1"/>
  <c r="AV294" i="9"/>
  <c r="AW294" i="9" s="1"/>
  <c r="BA294" i="9" s="1"/>
  <c r="BE294" i="9" s="1"/>
  <c r="AV302" i="9"/>
  <c r="AW302" i="9" s="1"/>
  <c r="BA302" i="9" s="1"/>
  <c r="BE302" i="9" s="1"/>
  <c r="AV312" i="9"/>
  <c r="AW312" i="9" s="1"/>
  <c r="BA312" i="9" s="1"/>
  <c r="BE312" i="9" s="1"/>
  <c r="AV31" i="9"/>
  <c r="AV91" i="9"/>
  <c r="AV139" i="9"/>
  <c r="AV198" i="9"/>
  <c r="AV206" i="9"/>
  <c r="AV216" i="9"/>
  <c r="AV224" i="9"/>
  <c r="AV234" i="9"/>
  <c r="AV242" i="9"/>
  <c r="AV252" i="9"/>
  <c r="AV260" i="9"/>
  <c r="AW260" i="9" s="1"/>
  <c r="BA260" i="9" s="1"/>
  <c r="BE260" i="9" s="1"/>
  <c r="AV270" i="9"/>
  <c r="AW270" i="9" s="1"/>
  <c r="BA270" i="9" s="1"/>
  <c r="BE270" i="9" s="1"/>
  <c r="AV278" i="9"/>
  <c r="AW278" i="9" s="1"/>
  <c r="BA278" i="9" s="1"/>
  <c r="BE278" i="9" s="1"/>
  <c r="AV288" i="9"/>
  <c r="AW288" i="9" s="1"/>
  <c r="BA288" i="9" s="1"/>
  <c r="BE288" i="9" s="1"/>
  <c r="AV296" i="9"/>
  <c r="AW296" i="9" s="1"/>
  <c r="BA296" i="9" s="1"/>
  <c r="BE296" i="9" s="1"/>
  <c r="AV306" i="9"/>
  <c r="AW306" i="9" s="1"/>
  <c r="BA306" i="9" s="1"/>
  <c r="BE306" i="9" s="1"/>
  <c r="AV314" i="9"/>
  <c r="AW314" i="9" s="1"/>
  <c r="BA314" i="9" s="1"/>
  <c r="BE314" i="9" s="1"/>
  <c r="AV133" i="9"/>
  <c r="AV214" i="9"/>
  <c r="AV241" i="9"/>
  <c r="AV268" i="9"/>
  <c r="AW268" i="9" s="1"/>
  <c r="BA268" i="9" s="1"/>
  <c r="BE268" i="9" s="1"/>
  <c r="AV295" i="9"/>
  <c r="AW295" i="9" s="1"/>
  <c r="BA295" i="9" s="1"/>
  <c r="BE295" i="9" s="1"/>
  <c r="AV163" i="9"/>
  <c r="AV25" i="9"/>
  <c r="AV187" i="9"/>
  <c r="AV223" i="9"/>
  <c r="AV250" i="9"/>
  <c r="AV277" i="9"/>
  <c r="AW277" i="9" s="1"/>
  <c r="BA277" i="9" s="1"/>
  <c r="BE277" i="9" s="1"/>
  <c r="AV304" i="9"/>
  <c r="AW304" i="9" s="1"/>
  <c r="BA304" i="9" s="1"/>
  <c r="BE304" i="9" s="1"/>
  <c r="AV103" i="9"/>
  <c r="AV210" i="9"/>
  <c r="AV236" i="9"/>
  <c r="AV264" i="9"/>
  <c r="AW264" i="9" s="1"/>
  <c r="BA264" i="9" s="1"/>
  <c r="BE264" i="9" s="1"/>
  <c r="AV290" i="9"/>
  <c r="AW290" i="9" s="1"/>
  <c r="BA290" i="9" s="1"/>
  <c r="BE290" i="9" s="1"/>
  <c r="AV6" i="9"/>
  <c r="AV228" i="9"/>
  <c r="AV282" i="9"/>
  <c r="AW282" i="9" s="1"/>
  <c r="BA282" i="9" s="1"/>
  <c r="BE282" i="9" s="1"/>
  <c r="AV55" i="9"/>
  <c r="AV232" i="9"/>
  <c r="AV286" i="9"/>
  <c r="AW286" i="9" s="1"/>
  <c r="BA286" i="9" s="1"/>
  <c r="BE286" i="9" s="1"/>
  <c r="AV79" i="9"/>
  <c r="AV246" i="9"/>
  <c r="AV300" i="9"/>
  <c r="AW300" i="9" s="1"/>
  <c r="BA300" i="9" s="1"/>
  <c r="BE300" i="9" s="1"/>
  <c r="AV200" i="9"/>
  <c r="AV254" i="9"/>
  <c r="AV308" i="9"/>
  <c r="AW308" i="9" s="1"/>
  <c r="BA308" i="9" s="1"/>
  <c r="BE308" i="9" s="1"/>
  <c r="AV205" i="9"/>
  <c r="AV259" i="9"/>
  <c r="AW259" i="9" s="1"/>
  <c r="BA259" i="9" s="1"/>
  <c r="BE259" i="9" s="1"/>
  <c r="AV313" i="9"/>
  <c r="AW313" i="9" s="1"/>
  <c r="BA313" i="9" s="1"/>
  <c r="BE313" i="9" s="1"/>
  <c r="AV218" i="9"/>
  <c r="AV272" i="9"/>
  <c r="AW272" i="9" s="1"/>
  <c r="BA272" i="9" s="1"/>
  <c r="BE272" i="9" s="1"/>
  <c r="P87" i="9"/>
  <c r="U87" i="9" s="1"/>
  <c r="P86" i="9"/>
  <c r="U86" i="9" s="1"/>
  <c r="B18" i="9"/>
  <c r="AD17" i="9"/>
  <c r="C18" i="9"/>
  <c r="BP18" i="9" s="1"/>
  <c r="AC6" i="9"/>
  <c r="AC7" i="9"/>
  <c r="AD7" i="9" s="1"/>
  <c r="AC8" i="9"/>
  <c r="AC9" i="9"/>
  <c r="AC10" i="9"/>
  <c r="AC11" i="9"/>
  <c r="AC12" i="9"/>
  <c r="AC13" i="9"/>
  <c r="AC14" i="9"/>
  <c r="AC15" i="9"/>
  <c r="Q17" i="9"/>
  <c r="S17" i="9" s="1"/>
  <c r="V17" i="9" s="1"/>
  <c r="AC17" i="9"/>
  <c r="N6" i="8"/>
  <c r="AI6" i="8"/>
  <c r="W6" i="8"/>
  <c r="E16" i="3"/>
  <c r="F15" i="3"/>
  <c r="G15" i="3" s="1"/>
  <c r="H15" i="3" s="1"/>
  <c r="D19" i="3"/>
  <c r="AC6" i="8"/>
  <c r="AV12" i="8"/>
  <c r="AV15" i="8"/>
  <c r="AV18" i="8"/>
  <c r="AV21" i="8"/>
  <c r="AV24" i="8"/>
  <c r="AV27" i="8"/>
  <c r="AV30" i="8"/>
  <c r="AV33" i="8"/>
  <c r="AV36" i="8"/>
  <c r="AV39" i="8"/>
  <c r="AV42" i="8"/>
  <c r="AV45" i="8"/>
  <c r="AV48" i="8"/>
  <c r="AV51" i="8"/>
  <c r="AV54" i="8"/>
  <c r="AV57" i="8"/>
  <c r="AV60" i="8"/>
  <c r="AV63" i="8"/>
  <c r="AV66" i="8"/>
  <c r="AV69" i="8"/>
  <c r="AV72" i="8"/>
  <c r="AV75" i="8"/>
  <c r="AV78" i="8"/>
  <c r="AV81" i="8"/>
  <c r="AV84" i="8"/>
  <c r="AV87" i="8"/>
  <c r="AV90" i="8"/>
  <c r="AV93" i="8"/>
  <c r="AV96" i="8"/>
  <c r="AV99" i="8"/>
  <c r="AV102" i="8"/>
  <c r="AV105" i="8"/>
  <c r="AV108" i="8"/>
  <c r="AV111" i="8"/>
  <c r="AV114" i="8"/>
  <c r="AV117" i="8"/>
  <c r="AV120" i="8"/>
  <c r="AV123" i="8"/>
  <c r="AV126" i="8"/>
  <c r="AV129" i="8"/>
  <c r="AV132" i="8"/>
  <c r="AV135" i="8"/>
  <c r="AV138" i="8"/>
  <c r="AV141" i="8"/>
  <c r="AV144" i="8"/>
  <c r="AV147" i="8"/>
  <c r="AV150" i="8"/>
  <c r="AV153" i="8"/>
  <c r="AV156" i="8"/>
  <c r="AV159" i="8"/>
  <c r="AV162" i="8"/>
  <c r="AV165" i="8"/>
  <c r="AV168" i="8"/>
  <c r="AV171" i="8"/>
  <c r="AV174" i="8"/>
  <c r="AV177" i="8"/>
  <c r="AV180" i="8"/>
  <c r="AV183" i="8"/>
  <c r="AV186" i="8"/>
  <c r="AV189" i="8"/>
  <c r="AV192" i="8"/>
  <c r="AV195" i="8"/>
  <c r="AV14" i="8"/>
  <c r="AV20" i="8"/>
  <c r="AV26" i="8"/>
  <c r="AV32" i="8"/>
  <c r="AV38" i="8"/>
  <c r="AV44" i="8"/>
  <c r="AV50" i="8"/>
  <c r="AV56" i="8"/>
  <c r="AV62" i="8"/>
  <c r="AV68" i="8"/>
  <c r="AV74" i="8"/>
  <c r="AV80" i="8"/>
  <c r="AV86" i="8"/>
  <c r="AV92" i="8"/>
  <c r="AV98" i="8"/>
  <c r="AV104" i="8"/>
  <c r="AV112" i="8"/>
  <c r="AV119" i="8"/>
  <c r="AV130" i="8"/>
  <c r="AV137" i="8"/>
  <c r="AV148" i="8"/>
  <c r="AV155" i="8"/>
  <c r="AV166" i="8"/>
  <c r="AV173" i="8"/>
  <c r="AV184" i="8"/>
  <c r="AV191" i="8"/>
  <c r="AV198" i="8"/>
  <c r="AV201" i="8"/>
  <c r="AV204" i="8"/>
  <c r="AV207" i="8"/>
  <c r="AV210" i="8"/>
  <c r="AV213" i="8"/>
  <c r="AV216" i="8"/>
  <c r="AV219" i="8"/>
  <c r="AV222" i="8"/>
  <c r="AV225" i="8"/>
  <c r="AV228" i="8"/>
  <c r="AV231" i="8"/>
  <c r="AV234" i="8"/>
  <c r="AV237" i="8"/>
  <c r="AV240" i="8"/>
  <c r="AV243" i="8"/>
  <c r="AV246" i="8"/>
  <c r="AV249" i="8"/>
  <c r="AV252" i="8"/>
  <c r="AV255" i="8"/>
  <c r="AV109" i="8"/>
  <c r="AV116" i="8"/>
  <c r="AV127" i="8"/>
  <c r="AV134" i="8"/>
  <c r="AV145" i="8"/>
  <c r="AV152" i="8"/>
  <c r="AV163" i="8"/>
  <c r="AV170" i="8"/>
  <c r="AV181" i="8"/>
  <c r="AV188" i="8"/>
  <c r="AV16" i="8"/>
  <c r="AV22" i="8"/>
  <c r="AV28" i="8"/>
  <c r="AV34" i="8"/>
  <c r="AV40" i="8"/>
  <c r="AV46" i="8"/>
  <c r="AV52" i="8"/>
  <c r="AV17" i="8"/>
  <c r="AV23" i="8"/>
  <c r="AV29" i="8"/>
  <c r="AV35" i="8"/>
  <c r="AV41" i="8"/>
  <c r="AV47" i="8"/>
  <c r="AV53" i="8"/>
  <c r="AV59" i="8"/>
  <c r="AV65" i="8"/>
  <c r="AV71" i="8"/>
  <c r="AV77" i="8"/>
  <c r="AV83" i="8"/>
  <c r="AV89" i="8"/>
  <c r="AV95" i="8"/>
  <c r="AV101" i="8"/>
  <c r="AV110" i="8"/>
  <c r="AV121" i="8"/>
  <c r="AV128" i="8"/>
  <c r="AV139" i="8"/>
  <c r="AV13" i="8"/>
  <c r="AV19" i="8"/>
  <c r="AV25" i="8"/>
  <c r="AV31" i="8"/>
  <c r="AV37" i="8"/>
  <c r="AV43" i="8"/>
  <c r="AV49" i="8"/>
  <c r="AV55" i="8"/>
  <c r="AV61" i="8"/>
  <c r="AV67" i="8"/>
  <c r="AV73" i="8"/>
  <c r="AV79" i="8"/>
  <c r="AV85" i="8"/>
  <c r="AV91" i="8"/>
  <c r="AV97" i="8"/>
  <c r="AV103" i="8"/>
  <c r="AV115" i="8"/>
  <c r="AV122" i="8"/>
  <c r="AV133" i="8"/>
  <c r="AV140" i="8"/>
  <c r="AV151" i="8"/>
  <c r="AV158" i="8"/>
  <c r="AV169" i="8"/>
  <c r="AV176" i="8"/>
  <c r="AV187" i="8"/>
  <c r="AV194" i="8"/>
  <c r="AV6" i="8"/>
  <c r="AV64" i="8"/>
  <c r="AV82" i="8"/>
  <c r="AV100" i="8"/>
  <c r="AV113" i="8"/>
  <c r="AV124" i="8"/>
  <c r="AV143" i="8"/>
  <c r="AV172" i="8"/>
  <c r="AV179" i="8"/>
  <c r="AV200" i="8"/>
  <c r="AV206" i="8"/>
  <c r="AV212" i="8"/>
  <c r="AV218" i="8"/>
  <c r="AV224" i="8"/>
  <c r="AV230" i="8"/>
  <c r="AV236" i="8"/>
  <c r="AV242" i="8"/>
  <c r="AV248" i="8"/>
  <c r="AV254" i="8"/>
  <c r="AV259" i="8"/>
  <c r="AV266" i="8"/>
  <c r="AV270" i="8"/>
  <c r="AV277" i="8"/>
  <c r="AV284" i="8"/>
  <c r="AV288" i="8"/>
  <c r="AV295" i="8"/>
  <c r="AV302" i="8"/>
  <c r="AV306" i="8"/>
  <c r="AV313" i="8"/>
  <c r="AV9" i="8"/>
  <c r="AV88" i="8"/>
  <c r="AV107" i="8"/>
  <c r="AV161" i="8"/>
  <c r="AV203" i="8"/>
  <c r="AV211" i="8"/>
  <c r="AV226" i="8"/>
  <c r="AV239" i="8"/>
  <c r="AV247" i="8"/>
  <c r="AV264" i="8"/>
  <c r="AV268" i="8"/>
  <c r="AV272" i="8"/>
  <c r="AV281" i="8"/>
  <c r="AV294" i="8"/>
  <c r="AV298" i="8"/>
  <c r="AV303" i="8"/>
  <c r="AV307" i="8"/>
  <c r="AV311" i="8"/>
  <c r="AV70" i="8"/>
  <c r="AV136" i="8"/>
  <c r="AV146" i="8"/>
  <c r="AV154" i="8"/>
  <c r="AV197" i="8"/>
  <c r="AV205" i="8"/>
  <c r="AV220" i="8"/>
  <c r="AV233" i="8"/>
  <c r="AV241" i="8"/>
  <c r="AV256" i="8"/>
  <c r="AV260" i="8"/>
  <c r="AV273" i="8"/>
  <c r="AV282" i="8"/>
  <c r="AV286" i="8"/>
  <c r="AV290" i="8"/>
  <c r="AV299" i="8"/>
  <c r="AV312" i="8"/>
  <c r="AV316" i="8"/>
  <c r="AV10" i="8"/>
  <c r="AV76" i="8"/>
  <c r="AV149" i="8"/>
  <c r="AV157" i="8"/>
  <c r="AV167" i="8"/>
  <c r="AV175" i="8"/>
  <c r="AV208" i="8"/>
  <c r="AV221" i="8"/>
  <c r="AV229" i="8"/>
  <c r="AV244" i="8"/>
  <c r="AV257" i="8"/>
  <c r="AV279" i="8"/>
  <c r="AV283" i="8"/>
  <c r="AV287" i="8"/>
  <c r="AV292" i="8"/>
  <c r="AV296" i="8"/>
  <c r="AV309" i="8"/>
  <c r="AV7" i="8"/>
  <c r="AV11" i="8"/>
  <c r="AV58" i="8"/>
  <c r="AV142" i="8"/>
  <c r="AV160" i="8"/>
  <c r="AV185" i="8"/>
  <c r="AV193" i="8"/>
  <c r="AV202" i="8"/>
  <c r="AV215" i="8"/>
  <c r="AV223" i="8"/>
  <c r="AV238" i="8"/>
  <c r="AV251" i="8"/>
  <c r="AV258" i="8"/>
  <c r="AV262" i="8"/>
  <c r="AV267" i="8"/>
  <c r="AV271" i="8"/>
  <c r="AV275" i="8"/>
  <c r="AV297" i="8"/>
  <c r="AV301" i="8"/>
  <c r="AV305" i="8"/>
  <c r="AV310" i="8"/>
  <c r="AV314" i="8"/>
  <c r="AV125" i="8"/>
  <c r="AV182" i="8"/>
  <c r="AV227" i="8"/>
  <c r="AV250" i="8"/>
  <c r="AV265" i="8"/>
  <c r="AV278" i="8"/>
  <c r="AV291" i="8"/>
  <c r="AV304" i="8"/>
  <c r="AV317" i="8"/>
  <c r="AV285" i="8"/>
  <c r="AV199" i="8"/>
  <c r="AV261" i="8"/>
  <c r="AV131" i="8"/>
  <c r="AV209" i="8"/>
  <c r="AV232" i="8"/>
  <c r="AV253" i="8"/>
  <c r="AV280" i="8"/>
  <c r="AV293" i="8"/>
  <c r="AV8" i="8"/>
  <c r="AV106" i="8"/>
  <c r="AV196" i="8"/>
  <c r="AV274" i="8"/>
  <c r="AV94" i="8"/>
  <c r="AV164" i="8"/>
  <c r="AV190" i="8"/>
  <c r="AV214" i="8"/>
  <c r="AV235" i="8"/>
  <c r="AV269" i="8"/>
  <c r="AV308" i="8"/>
  <c r="AV217" i="8"/>
  <c r="AV300" i="8"/>
  <c r="AV118" i="8"/>
  <c r="AV178" i="8"/>
  <c r="AV245" i="8"/>
  <c r="AV263" i="8"/>
  <c r="AV276" i="8"/>
  <c r="AV289" i="8"/>
  <c r="AV315" i="8"/>
  <c r="K7" i="8"/>
  <c r="AY12" i="8"/>
  <c r="AY15" i="8"/>
  <c r="AY18" i="8"/>
  <c r="AY21" i="8"/>
  <c r="AY24" i="8"/>
  <c r="AY27" i="8"/>
  <c r="AY30" i="8"/>
  <c r="AY33" i="8"/>
  <c r="AY36" i="8"/>
  <c r="AY39" i="8"/>
  <c r="AY42" i="8"/>
  <c r="AY45" i="8"/>
  <c r="AY48" i="8"/>
  <c r="AY51" i="8"/>
  <c r="AY54" i="8"/>
  <c r="AY57" i="8"/>
  <c r="AY60" i="8"/>
  <c r="AY63" i="8"/>
  <c r="AY66" i="8"/>
  <c r="AY69" i="8"/>
  <c r="AY72" i="8"/>
  <c r="AY75" i="8"/>
  <c r="AY78" i="8"/>
  <c r="AY81" i="8"/>
  <c r="AY84" i="8"/>
  <c r="AY87" i="8"/>
  <c r="AY90" i="8"/>
  <c r="AY93" i="8"/>
  <c r="AY96" i="8"/>
  <c r="AY99" i="8"/>
  <c r="AY102" i="8"/>
  <c r="AY105" i="8"/>
  <c r="AY13" i="8"/>
  <c r="AY16" i="8"/>
  <c r="AY19" i="8"/>
  <c r="AY22" i="8"/>
  <c r="AY25" i="8"/>
  <c r="AY28" i="8"/>
  <c r="AY31" i="8"/>
  <c r="AY34" i="8"/>
  <c r="AY37" i="8"/>
  <c r="AY40" i="8"/>
  <c r="AY43" i="8"/>
  <c r="AY46" i="8"/>
  <c r="AY49" i="8"/>
  <c r="AY52" i="8"/>
  <c r="AY55" i="8"/>
  <c r="AY58" i="8"/>
  <c r="AY61" i="8"/>
  <c r="AY64" i="8"/>
  <c r="AY67" i="8"/>
  <c r="AY70" i="8"/>
  <c r="AY73" i="8"/>
  <c r="AY76" i="8"/>
  <c r="AY79" i="8"/>
  <c r="AY82" i="8"/>
  <c r="AY85" i="8"/>
  <c r="AY88" i="8"/>
  <c r="AY91" i="8"/>
  <c r="AY94" i="8"/>
  <c r="AY97" i="8"/>
  <c r="AY100" i="8"/>
  <c r="AY103" i="8"/>
  <c r="AY108" i="8"/>
  <c r="AY115" i="8"/>
  <c r="AY122" i="8"/>
  <c r="AY126" i="8"/>
  <c r="AY133" i="8"/>
  <c r="AY140" i="8"/>
  <c r="AY144" i="8"/>
  <c r="AY151" i="8"/>
  <c r="AY158" i="8"/>
  <c r="AY162" i="8"/>
  <c r="AY169" i="8"/>
  <c r="AY176" i="8"/>
  <c r="AY180" i="8"/>
  <c r="AY187" i="8"/>
  <c r="AY194" i="8"/>
  <c r="AY14" i="8"/>
  <c r="AY20" i="8"/>
  <c r="AY26" i="8"/>
  <c r="AY32" i="8"/>
  <c r="AY38" i="8"/>
  <c r="AY44" i="8"/>
  <c r="AY50" i="8"/>
  <c r="AY56" i="8"/>
  <c r="AY62" i="8"/>
  <c r="AY68" i="8"/>
  <c r="AY74" i="8"/>
  <c r="AY80" i="8"/>
  <c r="AY86" i="8"/>
  <c r="AY92" i="8"/>
  <c r="AY98" i="8"/>
  <c r="AY104" i="8"/>
  <c r="AY112" i="8"/>
  <c r="AY119" i="8"/>
  <c r="AY123" i="8"/>
  <c r="AY130" i="8"/>
  <c r="AY137" i="8"/>
  <c r="AY141" i="8"/>
  <c r="AY148" i="8"/>
  <c r="AY155" i="8"/>
  <c r="AY159" i="8"/>
  <c r="AY166" i="8"/>
  <c r="AY173" i="8"/>
  <c r="AY177" i="8"/>
  <c r="AY184" i="8"/>
  <c r="AY191" i="8"/>
  <c r="AY195" i="8"/>
  <c r="AY198" i="8"/>
  <c r="AY201" i="8"/>
  <c r="AY204" i="8"/>
  <c r="AY207" i="8"/>
  <c r="AY210" i="8"/>
  <c r="AY213" i="8"/>
  <c r="AY216" i="8"/>
  <c r="AY219" i="8"/>
  <c r="AY222" i="8"/>
  <c r="AY225" i="8"/>
  <c r="AY228" i="8"/>
  <c r="AY231" i="8"/>
  <c r="AY234" i="8"/>
  <c r="AY237" i="8"/>
  <c r="AY240" i="8"/>
  <c r="AY243" i="8"/>
  <c r="AY246" i="8"/>
  <c r="AY249" i="8"/>
  <c r="AY252" i="8"/>
  <c r="AY255" i="8"/>
  <c r="AY106" i="8"/>
  <c r="AY113" i="8"/>
  <c r="AY117" i="8"/>
  <c r="AY124" i="8"/>
  <c r="AY131" i="8"/>
  <c r="AY135" i="8"/>
  <c r="AY107" i="8"/>
  <c r="AY111" i="8"/>
  <c r="AY118" i="8"/>
  <c r="AY125" i="8"/>
  <c r="AY129" i="8"/>
  <c r="AY136" i="8"/>
  <c r="AY143" i="8"/>
  <c r="AY147" i="8"/>
  <c r="AY154" i="8"/>
  <c r="AY161" i="8"/>
  <c r="AY165" i="8"/>
  <c r="AY172" i="8"/>
  <c r="AY179" i="8"/>
  <c r="AY183" i="8"/>
  <c r="AY190" i="8"/>
  <c r="AY197" i="8"/>
  <c r="AY200" i="8"/>
  <c r="AY203" i="8"/>
  <c r="AY206" i="8"/>
  <c r="AY209" i="8"/>
  <c r="AY212" i="8"/>
  <c r="AY215" i="8"/>
  <c r="AY218" i="8"/>
  <c r="AY221" i="8"/>
  <c r="AY224" i="8"/>
  <c r="AY227" i="8"/>
  <c r="AY230" i="8"/>
  <c r="AY233" i="8"/>
  <c r="AY236" i="8"/>
  <c r="AY239" i="8"/>
  <c r="AY242" i="8"/>
  <c r="AY245" i="8"/>
  <c r="AY248" i="8"/>
  <c r="AY251" i="8"/>
  <c r="AY254" i="8"/>
  <c r="AY257" i="8"/>
  <c r="AY260" i="8"/>
  <c r="AY263" i="8"/>
  <c r="AY266" i="8"/>
  <c r="AY269" i="8"/>
  <c r="AY272" i="8"/>
  <c r="AY275" i="8"/>
  <c r="AY278" i="8"/>
  <c r="AY281" i="8"/>
  <c r="AY284" i="8"/>
  <c r="AY287" i="8"/>
  <c r="AY290" i="8"/>
  <c r="AY293" i="8"/>
  <c r="AY296" i="8"/>
  <c r="AY299" i="8"/>
  <c r="AY302" i="8"/>
  <c r="AY305" i="8"/>
  <c r="AY308" i="8"/>
  <c r="AY311" i="8"/>
  <c r="AY314" i="8"/>
  <c r="AY317" i="8"/>
  <c r="AY9" i="8"/>
  <c r="AY35" i="8"/>
  <c r="AY134" i="8"/>
  <c r="AY150" i="8"/>
  <c r="AY157" i="8"/>
  <c r="AY164" i="8"/>
  <c r="AY186" i="8"/>
  <c r="AY193" i="8"/>
  <c r="AY262" i="8"/>
  <c r="AY273" i="8"/>
  <c r="AY280" i="8"/>
  <c r="AY291" i="8"/>
  <c r="AY298" i="8"/>
  <c r="AY309" i="8"/>
  <c r="AY316" i="8"/>
  <c r="AY29" i="8"/>
  <c r="AY65" i="8"/>
  <c r="AY120" i="8"/>
  <c r="AY132" i="8"/>
  <c r="AY145" i="8"/>
  <c r="AY153" i="8"/>
  <c r="AY170" i="8"/>
  <c r="AY178" i="8"/>
  <c r="AY188" i="8"/>
  <c r="AY196" i="8"/>
  <c r="AY217" i="8"/>
  <c r="AY232" i="8"/>
  <c r="AY253" i="8"/>
  <c r="AY259" i="8"/>
  <c r="AY276" i="8"/>
  <c r="AY285" i="8"/>
  <c r="AY289" i="8"/>
  <c r="AY315" i="8"/>
  <c r="AY8" i="8"/>
  <c r="AY41" i="8"/>
  <c r="AY89" i="8"/>
  <c r="AY109" i="8"/>
  <c r="AY121" i="8"/>
  <c r="AY163" i="8"/>
  <c r="AY171" i="8"/>
  <c r="AY181" i="8"/>
  <c r="AY189" i="8"/>
  <c r="AY211" i="8"/>
  <c r="AY226" i="8"/>
  <c r="AY247" i="8"/>
  <c r="AY264" i="8"/>
  <c r="AY268" i="8"/>
  <c r="AY277" i="8"/>
  <c r="AY294" i="8"/>
  <c r="AY303" i="8"/>
  <c r="AY307" i="8"/>
  <c r="AY53" i="8"/>
  <c r="AY95" i="8"/>
  <c r="AY114" i="8"/>
  <c r="AY127" i="8"/>
  <c r="AY139" i="8"/>
  <c r="AY182" i="8"/>
  <c r="AY192" i="8"/>
  <c r="AY199" i="8"/>
  <c r="AY214" i="8"/>
  <c r="AY235" i="8"/>
  <c r="AY250" i="8"/>
  <c r="AY261" i="8"/>
  <c r="AY265" i="8"/>
  <c r="AY270" i="8"/>
  <c r="AY274" i="8"/>
  <c r="AY300" i="8"/>
  <c r="AY304" i="8"/>
  <c r="AY313" i="8"/>
  <c r="AY17" i="8"/>
  <c r="AY77" i="8"/>
  <c r="AY101" i="8"/>
  <c r="AY116" i="8"/>
  <c r="AY128" i="8"/>
  <c r="AY149" i="8"/>
  <c r="AY167" i="8"/>
  <c r="AY175" i="8"/>
  <c r="AY208" i="8"/>
  <c r="AY229" i="8"/>
  <c r="AY244" i="8"/>
  <c r="AY279" i="8"/>
  <c r="AY283" i="8"/>
  <c r="AY288" i="8"/>
  <c r="AY292" i="8"/>
  <c r="AY7" i="8"/>
  <c r="AY11" i="8"/>
  <c r="AY71" i="8"/>
  <c r="AY156" i="8"/>
  <c r="AY205" i="8"/>
  <c r="AY142" i="8"/>
  <c r="AY238" i="8"/>
  <c r="AY6" i="8"/>
  <c r="AY110" i="8"/>
  <c r="AY286" i="8"/>
  <c r="AY83" i="8"/>
  <c r="AY160" i="8"/>
  <c r="AY185" i="8"/>
  <c r="AY267" i="8"/>
  <c r="AY306" i="8"/>
  <c r="AY258" i="8"/>
  <c r="AY297" i="8"/>
  <c r="AY47" i="8"/>
  <c r="AY146" i="8"/>
  <c r="AY220" i="8"/>
  <c r="AY312" i="8"/>
  <c r="AY138" i="8"/>
  <c r="AY256" i="8"/>
  <c r="AY282" i="8"/>
  <c r="AY295" i="8"/>
  <c r="AY10" i="8"/>
  <c r="AY23" i="8"/>
  <c r="AY168" i="8"/>
  <c r="AY271" i="8"/>
  <c r="AY310" i="8"/>
  <c r="AY174" i="8"/>
  <c r="AY241" i="8"/>
  <c r="AY59" i="8"/>
  <c r="AY152" i="8"/>
  <c r="AY202" i="8"/>
  <c r="AY223" i="8"/>
  <c r="AY301" i="8"/>
  <c r="K9" i="8"/>
  <c r="L8" i="8"/>
  <c r="L10" i="8"/>
  <c r="L12" i="8"/>
  <c r="L14" i="8"/>
  <c r="L16" i="8"/>
  <c r="L18" i="8"/>
  <c r="L20" i="8"/>
  <c r="L22" i="8"/>
  <c r="L24" i="8"/>
  <c r="L26" i="8"/>
  <c r="L28" i="8"/>
  <c r="L30" i="8"/>
  <c r="L32" i="8"/>
  <c r="L34" i="8"/>
  <c r="L36" i="8"/>
  <c r="L38" i="8"/>
  <c r="L40" i="8"/>
  <c r="L42" i="8"/>
  <c r="L44" i="8"/>
  <c r="L46" i="8"/>
  <c r="L48" i="8"/>
  <c r="L50" i="8"/>
  <c r="L52" i="8"/>
  <c r="L54" i="8"/>
  <c r="L56" i="8"/>
  <c r="L58" i="8"/>
  <c r="L60" i="8"/>
  <c r="L62" i="8"/>
  <c r="L64" i="8"/>
  <c r="L66" i="8"/>
  <c r="L68" i="8"/>
  <c r="L70" i="8"/>
  <c r="L72" i="8"/>
  <c r="L74" i="8"/>
  <c r="L76" i="8"/>
  <c r="L78" i="8"/>
  <c r="L80" i="8"/>
  <c r="L82" i="8"/>
  <c r="L84" i="8"/>
  <c r="L86" i="8"/>
  <c r="L11" i="8"/>
  <c r="L23" i="8"/>
  <c r="L35" i="8"/>
  <c r="L47" i="8"/>
  <c r="L59" i="8"/>
  <c r="L71" i="8"/>
  <c r="L83" i="8"/>
  <c r="L7" i="8"/>
  <c r="L27" i="8"/>
  <c r="L33" i="8"/>
  <c r="L53" i="8"/>
  <c r="L73" i="8"/>
  <c r="L79" i="8"/>
  <c r="L90" i="8"/>
  <c r="L13" i="8"/>
  <c r="L19" i="8"/>
  <c r="L39" i="8"/>
  <c r="L45" i="8"/>
  <c r="L65" i="8"/>
  <c r="L85" i="8"/>
  <c r="L88" i="8"/>
  <c r="L95" i="8"/>
  <c r="L97" i="8"/>
  <c r="L99" i="8"/>
  <c r="L101" i="8"/>
  <c r="L103" i="8"/>
  <c r="L105" i="8"/>
  <c r="L107" i="8"/>
  <c r="L109" i="8"/>
  <c r="L111" i="8"/>
  <c r="L113" i="8"/>
  <c r="L115" i="8"/>
  <c r="L117" i="8"/>
  <c r="L119" i="8"/>
  <c r="L121" i="8"/>
  <c r="L123" i="8"/>
  <c r="L125" i="8"/>
  <c r="L127" i="8"/>
  <c r="L129" i="8"/>
  <c r="L131" i="8"/>
  <c r="L133" i="8"/>
  <c r="L135" i="8"/>
  <c r="L137" i="8"/>
  <c r="L139" i="8"/>
  <c r="L141" i="8"/>
  <c r="L143" i="8"/>
  <c r="L145" i="8"/>
  <c r="L147" i="8"/>
  <c r="L149" i="8"/>
  <c r="L151" i="8"/>
  <c r="L153" i="8"/>
  <c r="L155" i="8"/>
  <c r="L157" i="8"/>
  <c r="L159" i="8"/>
  <c r="L161" i="8"/>
  <c r="L163" i="8"/>
  <c r="L165" i="8"/>
  <c r="L167" i="8"/>
  <c r="L169" i="8"/>
  <c r="L171" i="8"/>
  <c r="L173" i="8"/>
  <c r="L175" i="8"/>
  <c r="L177" i="8"/>
  <c r="L179" i="8"/>
  <c r="L181" i="8"/>
  <c r="L183" i="8"/>
  <c r="L185" i="8"/>
  <c r="L187" i="8"/>
  <c r="L189" i="8"/>
  <c r="L191" i="8"/>
  <c r="L193" i="8"/>
  <c r="L195" i="8"/>
  <c r="L197" i="8"/>
  <c r="L199" i="8"/>
  <c r="L201" i="8"/>
  <c r="L203" i="8"/>
  <c r="L205" i="8"/>
  <c r="L207" i="8"/>
  <c r="L209" i="8"/>
  <c r="L211" i="8"/>
  <c r="L213" i="8"/>
  <c r="L17" i="8"/>
  <c r="L37" i="8"/>
  <c r="L43" i="8"/>
  <c r="L63" i="8"/>
  <c r="L69" i="8"/>
  <c r="L91" i="8"/>
  <c r="L9" i="8"/>
  <c r="L29" i="8"/>
  <c r="L49" i="8"/>
  <c r="L55" i="8"/>
  <c r="L75" i="8"/>
  <c r="L81" i="8"/>
  <c r="L89" i="8"/>
  <c r="L94" i="8"/>
  <c r="L96" i="8"/>
  <c r="L98" i="8"/>
  <c r="L100" i="8"/>
  <c r="L102" i="8"/>
  <c r="L104" i="8"/>
  <c r="L106" i="8"/>
  <c r="L108" i="8"/>
  <c r="L110" i="8"/>
  <c r="L112" i="8"/>
  <c r="L114" i="8"/>
  <c r="L116" i="8"/>
  <c r="L118" i="8"/>
  <c r="L120" i="8"/>
  <c r="L122" i="8"/>
  <c r="L124" i="8"/>
  <c r="L126" i="8"/>
  <c r="L128" i="8"/>
  <c r="L130" i="8"/>
  <c r="L132" i="8"/>
  <c r="L134" i="8"/>
  <c r="L136" i="8"/>
  <c r="L138" i="8"/>
  <c r="L140" i="8"/>
  <c r="L142" i="8"/>
  <c r="L144" i="8"/>
  <c r="L146" i="8"/>
  <c r="L148" i="8"/>
  <c r="L150" i="8"/>
  <c r="L152" i="8"/>
  <c r="L154" i="8"/>
  <c r="L156" i="8"/>
  <c r="L158" i="8"/>
  <c r="L160" i="8"/>
  <c r="L162" i="8"/>
  <c r="L164" i="8"/>
  <c r="L166" i="8"/>
  <c r="L168" i="8"/>
  <c r="L31" i="8"/>
  <c r="L57" i="8"/>
  <c r="L230" i="8"/>
  <c r="L242" i="8"/>
  <c r="L247" i="8"/>
  <c r="L172" i="8"/>
  <c r="L184" i="8"/>
  <c r="L196" i="8"/>
  <c r="L208" i="8"/>
  <c r="L234" i="8"/>
  <c r="L246" i="8"/>
  <c r="L275" i="8"/>
  <c r="L287" i="8"/>
  <c r="L295" i="8"/>
  <c r="L303" i="8"/>
  <c r="L313" i="8"/>
  <c r="L15" i="8"/>
  <c r="L41" i="8"/>
  <c r="L67" i="8"/>
  <c r="L92" i="8"/>
  <c r="L170" i="8"/>
  <c r="L174" i="8"/>
  <c r="L178" i="8"/>
  <c r="L182" i="8"/>
  <c r="L186" i="8"/>
  <c r="L190" i="8"/>
  <c r="L194" i="8"/>
  <c r="L198" i="8"/>
  <c r="L202" i="8"/>
  <c r="L206" i="8"/>
  <c r="L210" i="8"/>
  <c r="L216" i="8"/>
  <c r="L221" i="8"/>
  <c r="L228" i="8"/>
  <c r="L233" i="8"/>
  <c r="L240" i="8"/>
  <c r="L245" i="8"/>
  <c r="L252" i="8"/>
  <c r="L257" i="8"/>
  <c r="L264" i="8"/>
  <c r="L269" i="8"/>
  <c r="L276" i="8"/>
  <c r="L281" i="8"/>
  <c r="L288" i="8"/>
  <c r="L290" i="8"/>
  <c r="L292" i="8"/>
  <c r="L294" i="8"/>
  <c r="L296" i="8"/>
  <c r="L298" i="8"/>
  <c r="L300" i="8"/>
  <c r="L302" i="8"/>
  <c r="L304" i="8"/>
  <c r="L306" i="8"/>
  <c r="L308" i="8"/>
  <c r="L310" i="8"/>
  <c r="L312" i="8"/>
  <c r="L314" i="8"/>
  <c r="L316" i="8"/>
  <c r="L6" i="8"/>
  <c r="L286" i="8"/>
  <c r="L229" i="8"/>
  <c r="L236" i="8"/>
  <c r="L241" i="8"/>
  <c r="L248" i="8"/>
  <c r="L277" i="8"/>
  <c r="L180" i="8"/>
  <c r="L192" i="8"/>
  <c r="L204" i="8"/>
  <c r="L215" i="8"/>
  <c r="L222" i="8"/>
  <c r="L227" i="8"/>
  <c r="L263" i="8"/>
  <c r="L293" i="8"/>
  <c r="L299" i="8"/>
  <c r="L305" i="8"/>
  <c r="L311" i="8"/>
  <c r="L25" i="8"/>
  <c r="L51" i="8"/>
  <c r="L77" i="8"/>
  <c r="L93" i="8"/>
  <c r="L214" i="8"/>
  <c r="L219" i="8"/>
  <c r="L226" i="8"/>
  <c r="L231" i="8"/>
  <c r="L238" i="8"/>
  <c r="L243" i="8"/>
  <c r="L250" i="8"/>
  <c r="L255" i="8"/>
  <c r="L262" i="8"/>
  <c r="L267" i="8"/>
  <c r="L274" i="8"/>
  <c r="L279" i="8"/>
  <c r="L61" i="8"/>
  <c r="L87" i="8"/>
  <c r="L217" i="8"/>
  <c r="L224" i="8"/>
  <c r="L253" i="8"/>
  <c r="L260" i="8"/>
  <c r="L265" i="8"/>
  <c r="L272" i="8"/>
  <c r="L284" i="8"/>
  <c r="L176" i="8"/>
  <c r="L188" i="8"/>
  <c r="L200" i="8"/>
  <c r="L212" i="8"/>
  <c r="L239" i="8"/>
  <c r="L258" i="8"/>
  <c r="L270" i="8"/>
  <c r="L282" i="8"/>
  <c r="L289" i="8"/>
  <c r="L297" i="8"/>
  <c r="L307" i="8"/>
  <c r="L315" i="8"/>
  <c r="L251" i="8"/>
  <c r="L291" i="8"/>
  <c r="L301" i="8"/>
  <c r="L309" i="8"/>
  <c r="L317" i="8"/>
  <c r="L21" i="8"/>
  <c r="L220" i="8"/>
  <c r="L225" i="8"/>
  <c r="L232" i="8"/>
  <c r="L237" i="8"/>
  <c r="L244" i="8"/>
  <c r="L249" i="8"/>
  <c r="L256" i="8"/>
  <c r="L261" i="8"/>
  <c r="L268" i="8"/>
  <c r="L273" i="8"/>
  <c r="L280" i="8"/>
  <c r="L285" i="8"/>
  <c r="L218" i="8"/>
  <c r="L223" i="8"/>
  <c r="L235" i="8"/>
  <c r="L254" i="8"/>
  <c r="L259" i="8"/>
  <c r="L266" i="8"/>
  <c r="L271" i="8"/>
  <c r="L278" i="8"/>
  <c r="L283" i="8"/>
  <c r="O13" i="8"/>
  <c r="O18" i="8"/>
  <c r="O25" i="8"/>
  <c r="O30" i="8"/>
  <c r="O37" i="8"/>
  <c r="O42" i="8"/>
  <c r="O49" i="8"/>
  <c r="O54" i="8"/>
  <c r="O61" i="8"/>
  <c r="O66" i="8"/>
  <c r="O73" i="8"/>
  <c r="O78" i="8"/>
  <c r="O85" i="8"/>
  <c r="O15" i="8"/>
  <c r="O21" i="8"/>
  <c r="O24" i="8"/>
  <c r="O41" i="8"/>
  <c r="O44" i="8"/>
  <c r="O47" i="8"/>
  <c r="O50" i="8"/>
  <c r="O67" i="8"/>
  <c r="O70" i="8"/>
  <c r="O76" i="8"/>
  <c r="O87" i="8"/>
  <c r="O92" i="8"/>
  <c r="O7" i="8"/>
  <c r="O10" i="8"/>
  <c r="O16" i="8"/>
  <c r="O27" i="8"/>
  <c r="O33" i="8"/>
  <c r="O36" i="8"/>
  <c r="O53" i="8"/>
  <c r="O56" i="8"/>
  <c r="O59" i="8"/>
  <c r="O62" i="8"/>
  <c r="O79" i="8"/>
  <c r="O82" i="8"/>
  <c r="O90" i="8"/>
  <c r="O8" i="8"/>
  <c r="O11" i="8"/>
  <c r="O14" i="8"/>
  <c r="O31" i="8"/>
  <c r="O34" i="8"/>
  <c r="O40" i="8"/>
  <c r="O51" i="8"/>
  <c r="O57" i="8"/>
  <c r="O60" i="8"/>
  <c r="O77" i="8"/>
  <c r="O80" i="8"/>
  <c r="O83" i="8"/>
  <c r="O86" i="8"/>
  <c r="O93" i="8"/>
  <c r="O17" i="8"/>
  <c r="O20" i="8"/>
  <c r="O23" i="8"/>
  <c r="O26" i="8"/>
  <c r="O43" i="8"/>
  <c r="O46" i="8"/>
  <c r="O52" i="8"/>
  <c r="O63" i="8"/>
  <c r="O69" i="8"/>
  <c r="O72" i="8"/>
  <c r="O91" i="8"/>
  <c r="O22" i="8"/>
  <c r="O39" i="8"/>
  <c r="O48" i="8"/>
  <c r="O65" i="8"/>
  <c r="O74" i="8"/>
  <c r="O97" i="8"/>
  <c r="O103" i="8"/>
  <c r="O109" i="8"/>
  <c r="O115" i="8"/>
  <c r="O127" i="8"/>
  <c r="O133" i="8"/>
  <c r="O139" i="8"/>
  <c r="O145" i="8"/>
  <c r="O151" i="8"/>
  <c r="O157" i="8"/>
  <c r="O163" i="8"/>
  <c r="O169" i="8"/>
  <c r="O173" i="8"/>
  <c r="O177" i="8"/>
  <c r="O181" i="8"/>
  <c r="O185" i="8"/>
  <c r="O189" i="8"/>
  <c r="O193" i="8"/>
  <c r="O201" i="8"/>
  <c r="O205" i="8"/>
  <c r="O213" i="8"/>
  <c r="O220" i="8"/>
  <c r="O225" i="8"/>
  <c r="O237" i="8"/>
  <c r="O256" i="8"/>
  <c r="O261" i="8"/>
  <c r="O268" i="8"/>
  <c r="O273" i="8"/>
  <c r="O280" i="8"/>
  <c r="O285" i="8"/>
  <c r="O100" i="8"/>
  <c r="O118" i="8"/>
  <c r="O136" i="8"/>
  <c r="O171" i="8"/>
  <c r="O183" i="8"/>
  <c r="O199" i="8"/>
  <c r="O211" i="8"/>
  <c r="O219" i="8"/>
  <c r="O226" i="8"/>
  <c r="O243" i="8"/>
  <c r="O250" i="8"/>
  <c r="O267" i="8"/>
  <c r="O274" i="8"/>
  <c r="O19" i="8"/>
  <c r="O45" i="8"/>
  <c r="O71" i="8"/>
  <c r="O95" i="8"/>
  <c r="O113" i="8"/>
  <c r="O131" i="8"/>
  <c r="O149" i="8"/>
  <c r="O217" i="8"/>
  <c r="O224" i="8"/>
  <c r="O241" i="8"/>
  <c r="O260" i="8"/>
  <c r="O265" i="8"/>
  <c r="O277" i="8"/>
  <c r="O32" i="8"/>
  <c r="O58" i="8"/>
  <c r="O75" i="8"/>
  <c r="O84" i="8"/>
  <c r="O98" i="8"/>
  <c r="O104" i="8"/>
  <c r="O110" i="8"/>
  <c r="O116" i="8"/>
  <c r="O122" i="8"/>
  <c r="O128" i="8"/>
  <c r="O134" i="8"/>
  <c r="O140" i="8"/>
  <c r="O146" i="8"/>
  <c r="O152" i="8"/>
  <c r="O158" i="8"/>
  <c r="O164" i="8"/>
  <c r="O218" i="8"/>
  <c r="O223" i="8"/>
  <c r="O230" i="8"/>
  <c r="O235" i="8"/>
  <c r="O242" i="8"/>
  <c r="O247" i="8"/>
  <c r="O254" i="8"/>
  <c r="O259" i="8"/>
  <c r="O266" i="8"/>
  <c r="O271" i="8"/>
  <c r="O278" i="8"/>
  <c r="O283" i="8"/>
  <c r="O269" i="8"/>
  <c r="O276" i="8"/>
  <c r="O281" i="8"/>
  <c r="O288" i="8"/>
  <c r="O292" i="8"/>
  <c r="O294" i="8"/>
  <c r="O298" i="8"/>
  <c r="O300" i="8"/>
  <c r="O304" i="8"/>
  <c r="O306" i="8"/>
  <c r="O310" i="8"/>
  <c r="O312" i="8"/>
  <c r="O316" i="8"/>
  <c r="O94" i="8"/>
  <c r="O112" i="8"/>
  <c r="O130" i="8"/>
  <c r="O148" i="8"/>
  <c r="O154" i="8"/>
  <c r="O166" i="8"/>
  <c r="O179" i="8"/>
  <c r="O191" i="8"/>
  <c r="O203" i="8"/>
  <c r="O214" i="8"/>
  <c r="O255" i="8"/>
  <c r="O262" i="8"/>
  <c r="O286" i="8"/>
  <c r="O28" i="8"/>
  <c r="O101" i="8"/>
  <c r="O119" i="8"/>
  <c r="O137" i="8"/>
  <c r="O155" i="8"/>
  <c r="O236" i="8"/>
  <c r="O253" i="8"/>
  <c r="O272" i="8"/>
  <c r="O284" i="8"/>
  <c r="O6" i="8"/>
  <c r="O68" i="8"/>
  <c r="O99" i="8"/>
  <c r="O105" i="8"/>
  <c r="O111" i="8"/>
  <c r="O117" i="8"/>
  <c r="O123" i="8"/>
  <c r="O129" i="8"/>
  <c r="O135" i="8"/>
  <c r="O141" i="8"/>
  <c r="O147" i="8"/>
  <c r="O153" i="8"/>
  <c r="O159" i="8"/>
  <c r="O165" i="8"/>
  <c r="O170" i="8"/>
  <c r="O174" i="8"/>
  <c r="O178" i="8"/>
  <c r="O182" i="8"/>
  <c r="O186" i="8"/>
  <c r="O190" i="8"/>
  <c r="O194" i="8"/>
  <c r="O198" i="8"/>
  <c r="O202" i="8"/>
  <c r="O206" i="8"/>
  <c r="O210" i="8"/>
  <c r="O216" i="8"/>
  <c r="O221" i="8"/>
  <c r="O228" i="8"/>
  <c r="O233" i="8"/>
  <c r="O240" i="8"/>
  <c r="O245" i="8"/>
  <c r="O252" i="8"/>
  <c r="O257" i="8"/>
  <c r="O264" i="8"/>
  <c r="O290" i="8"/>
  <c r="O296" i="8"/>
  <c r="O302" i="8"/>
  <c r="O308" i="8"/>
  <c r="O314" i="8"/>
  <c r="O9" i="8"/>
  <c r="O35" i="8"/>
  <c r="O106" i="8"/>
  <c r="O124" i="8"/>
  <c r="O142" i="8"/>
  <c r="O175" i="8"/>
  <c r="O187" i="8"/>
  <c r="O195" i="8"/>
  <c r="O207" i="8"/>
  <c r="O231" i="8"/>
  <c r="O238" i="8"/>
  <c r="O279" i="8"/>
  <c r="O88" i="8"/>
  <c r="O107" i="8"/>
  <c r="O125" i="8"/>
  <c r="O143" i="8"/>
  <c r="O161" i="8"/>
  <c r="O229" i="8"/>
  <c r="O248" i="8"/>
  <c r="O160" i="8"/>
  <c r="O167" i="8"/>
  <c r="O12" i="8"/>
  <c r="O29" i="8"/>
  <c r="O38" i="8"/>
  <c r="O55" i="8"/>
  <c r="O64" i="8"/>
  <c r="O81" i="8"/>
  <c r="O89" i="8"/>
  <c r="O96" i="8"/>
  <c r="O102" i="8"/>
  <c r="O108" i="8"/>
  <c r="O114" i="8"/>
  <c r="O120" i="8"/>
  <c r="O126" i="8"/>
  <c r="O132" i="8"/>
  <c r="O138" i="8"/>
  <c r="O144" i="8"/>
  <c r="O150" i="8"/>
  <c r="O156" i="8"/>
  <c r="O162" i="8"/>
  <c r="O168" i="8"/>
  <c r="O172" i="8"/>
  <c r="O176" i="8"/>
  <c r="O180" i="8"/>
  <c r="O184" i="8"/>
  <c r="O188" i="8"/>
  <c r="O192" i="8"/>
  <c r="O196" i="8"/>
  <c r="O200" i="8"/>
  <c r="O204" i="8"/>
  <c r="O208" i="8"/>
  <c r="O212" i="8"/>
  <c r="O215" i="8"/>
  <c r="O222" i="8"/>
  <c r="O227" i="8"/>
  <c r="O234" i="8"/>
  <c r="O239" i="8"/>
  <c r="O246" i="8"/>
  <c r="O251" i="8"/>
  <c r="O258" i="8"/>
  <c r="O263" i="8"/>
  <c r="O270" i="8"/>
  <c r="O275" i="8"/>
  <c r="O282" i="8"/>
  <c r="O287" i="8"/>
  <c r="O289" i="8"/>
  <c r="O291" i="8"/>
  <c r="O293" i="8"/>
  <c r="O295" i="8"/>
  <c r="O297" i="8"/>
  <c r="O299" i="8"/>
  <c r="O301" i="8"/>
  <c r="O303" i="8"/>
  <c r="O305" i="8"/>
  <c r="O307" i="8"/>
  <c r="O309" i="8"/>
  <c r="O311" i="8"/>
  <c r="O313" i="8"/>
  <c r="O315" i="8"/>
  <c r="O317" i="8"/>
  <c r="O121" i="8"/>
  <c r="O197" i="8"/>
  <c r="O209" i="8"/>
  <c r="O232" i="8"/>
  <c r="O244" i="8"/>
  <c r="O249" i="8"/>
  <c r="R8" i="8"/>
  <c r="R15" i="8"/>
  <c r="R20" i="8"/>
  <c r="R27" i="8"/>
  <c r="R32" i="8"/>
  <c r="R39" i="8"/>
  <c r="R44" i="8"/>
  <c r="R51" i="8"/>
  <c r="R56" i="8"/>
  <c r="R63" i="8"/>
  <c r="R68" i="8"/>
  <c r="R75" i="8"/>
  <c r="R80" i="8"/>
  <c r="R87" i="8"/>
  <c r="R89" i="8"/>
  <c r="R91" i="8"/>
  <c r="R93" i="8"/>
  <c r="R9" i="8"/>
  <c r="R12" i="8"/>
  <c r="R18" i="8"/>
  <c r="R29" i="8"/>
  <c r="R35" i="8"/>
  <c r="R38" i="8"/>
  <c r="R55" i="8"/>
  <c r="R58" i="8"/>
  <c r="R61" i="8"/>
  <c r="R64" i="8"/>
  <c r="R81" i="8"/>
  <c r="R84" i="8"/>
  <c r="R94" i="8"/>
  <c r="R96" i="8"/>
  <c r="R98" i="8"/>
  <c r="R100" i="8"/>
  <c r="R102" i="8"/>
  <c r="R104" i="8"/>
  <c r="R106" i="8"/>
  <c r="R108" i="8"/>
  <c r="R110" i="8"/>
  <c r="R112" i="8"/>
  <c r="R114" i="8"/>
  <c r="R116" i="8"/>
  <c r="R118" i="8"/>
  <c r="R120" i="8"/>
  <c r="R122" i="8"/>
  <c r="R124" i="8"/>
  <c r="R126" i="8"/>
  <c r="R128" i="8"/>
  <c r="R130" i="8"/>
  <c r="R132" i="8"/>
  <c r="R134" i="8"/>
  <c r="R136" i="8"/>
  <c r="R138" i="8"/>
  <c r="R140" i="8"/>
  <c r="R142" i="8"/>
  <c r="R144" i="8"/>
  <c r="R146" i="8"/>
  <c r="R148" i="8"/>
  <c r="R150" i="8"/>
  <c r="R152" i="8"/>
  <c r="R154" i="8"/>
  <c r="R156" i="8"/>
  <c r="R158" i="8"/>
  <c r="R160" i="8"/>
  <c r="R162" i="8"/>
  <c r="R164" i="8"/>
  <c r="R166" i="8"/>
  <c r="R168" i="8"/>
  <c r="R170" i="8"/>
  <c r="R172" i="8"/>
  <c r="R174" i="8"/>
  <c r="R176" i="8"/>
  <c r="R178" i="8"/>
  <c r="R180" i="8"/>
  <c r="R182" i="8"/>
  <c r="R184" i="8"/>
  <c r="R186" i="8"/>
  <c r="R188" i="8"/>
  <c r="R190" i="8"/>
  <c r="R192" i="8"/>
  <c r="R194" i="8"/>
  <c r="R196" i="8"/>
  <c r="R198" i="8"/>
  <c r="R200" i="8"/>
  <c r="R202" i="8"/>
  <c r="R204" i="8"/>
  <c r="R206" i="8"/>
  <c r="R208" i="8"/>
  <c r="R210" i="8"/>
  <c r="R212" i="8"/>
  <c r="R214" i="8"/>
  <c r="R216" i="8"/>
  <c r="R218" i="8"/>
  <c r="R220" i="8"/>
  <c r="R222" i="8"/>
  <c r="R224" i="8"/>
  <c r="R226" i="8"/>
  <c r="R228" i="8"/>
  <c r="R230" i="8"/>
  <c r="R232" i="8"/>
  <c r="R234" i="8"/>
  <c r="R236" i="8"/>
  <c r="R238" i="8"/>
  <c r="R240" i="8"/>
  <c r="R242" i="8"/>
  <c r="R244" i="8"/>
  <c r="R246" i="8"/>
  <c r="R248" i="8"/>
  <c r="R250" i="8"/>
  <c r="R252" i="8"/>
  <c r="R254" i="8"/>
  <c r="R256" i="8"/>
  <c r="R258" i="8"/>
  <c r="R260" i="8"/>
  <c r="R262" i="8"/>
  <c r="R264" i="8"/>
  <c r="R266" i="8"/>
  <c r="R268" i="8"/>
  <c r="R270" i="8"/>
  <c r="R272" i="8"/>
  <c r="R274" i="8"/>
  <c r="R276" i="8"/>
  <c r="R278" i="8"/>
  <c r="R280" i="8"/>
  <c r="R282" i="8"/>
  <c r="R284" i="8"/>
  <c r="R286" i="8"/>
  <c r="R21" i="8"/>
  <c r="R24" i="8"/>
  <c r="R30" i="8"/>
  <c r="R41" i="8"/>
  <c r="R47" i="8"/>
  <c r="R50" i="8"/>
  <c r="R67" i="8"/>
  <c r="R70" i="8"/>
  <c r="R73" i="8"/>
  <c r="R76" i="8"/>
  <c r="R92" i="8"/>
  <c r="R19" i="8"/>
  <c r="R22" i="8"/>
  <c r="R25" i="8"/>
  <c r="R28" i="8"/>
  <c r="R45" i="8"/>
  <c r="R48" i="8"/>
  <c r="R54" i="8"/>
  <c r="R65" i="8"/>
  <c r="R71" i="8"/>
  <c r="R74" i="8"/>
  <c r="R88" i="8"/>
  <c r="R95" i="8"/>
  <c r="R97" i="8"/>
  <c r="R99" i="8"/>
  <c r="R101" i="8"/>
  <c r="R103" i="8"/>
  <c r="R105" i="8"/>
  <c r="R107" i="8"/>
  <c r="R109" i="8"/>
  <c r="R111" i="8"/>
  <c r="R113" i="8"/>
  <c r="R115" i="8"/>
  <c r="R117" i="8"/>
  <c r="R119" i="8"/>
  <c r="R121" i="8"/>
  <c r="R123" i="8"/>
  <c r="R125" i="8"/>
  <c r="R127" i="8"/>
  <c r="R129" i="8"/>
  <c r="R131" i="8"/>
  <c r="R133" i="8"/>
  <c r="R135" i="8"/>
  <c r="R137" i="8"/>
  <c r="R139" i="8"/>
  <c r="R141" i="8"/>
  <c r="R143" i="8"/>
  <c r="R145" i="8"/>
  <c r="R147" i="8"/>
  <c r="R149" i="8"/>
  <c r="R151" i="8"/>
  <c r="R153" i="8"/>
  <c r="R155" i="8"/>
  <c r="R157" i="8"/>
  <c r="R159" i="8"/>
  <c r="R161" i="8"/>
  <c r="R163" i="8"/>
  <c r="R165" i="8"/>
  <c r="R167" i="8"/>
  <c r="R169" i="8"/>
  <c r="R171" i="8"/>
  <c r="R173" i="8"/>
  <c r="R175" i="8"/>
  <c r="R177" i="8"/>
  <c r="R179" i="8"/>
  <c r="R181" i="8"/>
  <c r="R183" i="8"/>
  <c r="R185" i="8"/>
  <c r="R187" i="8"/>
  <c r="R189" i="8"/>
  <c r="R191" i="8"/>
  <c r="R193" i="8"/>
  <c r="R195" i="8"/>
  <c r="R197" i="8"/>
  <c r="R199" i="8"/>
  <c r="R201" i="8"/>
  <c r="R203" i="8"/>
  <c r="R205" i="8"/>
  <c r="R207" i="8"/>
  <c r="R209" i="8"/>
  <c r="R211" i="8"/>
  <c r="R11" i="8"/>
  <c r="R14" i="8"/>
  <c r="R31" i="8"/>
  <c r="R34" i="8"/>
  <c r="R37" i="8"/>
  <c r="R40" i="8"/>
  <c r="R57" i="8"/>
  <c r="R60" i="8"/>
  <c r="R66" i="8"/>
  <c r="R77" i="8"/>
  <c r="R83" i="8"/>
  <c r="R86" i="8"/>
  <c r="R13" i="8"/>
  <c r="R82" i="8"/>
  <c r="R90" i="8"/>
  <c r="R215" i="8"/>
  <c r="R251" i="8"/>
  <c r="R289" i="8"/>
  <c r="R293" i="8"/>
  <c r="R299" i="8"/>
  <c r="R303" i="8"/>
  <c r="R307" i="8"/>
  <c r="R313" i="8"/>
  <c r="R317" i="8"/>
  <c r="R26" i="8"/>
  <c r="R52" i="8"/>
  <c r="R78" i="8"/>
  <c r="R233" i="8"/>
  <c r="R257" i="8"/>
  <c r="R281" i="8"/>
  <c r="R288" i="8"/>
  <c r="R294" i="8"/>
  <c r="R300" i="8"/>
  <c r="R306" i="8"/>
  <c r="R312" i="8"/>
  <c r="R6" i="8"/>
  <c r="S6" i="8" s="1"/>
  <c r="V6" i="8" s="1"/>
  <c r="R255" i="8"/>
  <c r="R23" i="8"/>
  <c r="R49" i="8"/>
  <c r="R213" i="8"/>
  <c r="R225" i="8"/>
  <c r="R237" i="8"/>
  <c r="R249" i="8"/>
  <c r="R261" i="8"/>
  <c r="R273" i="8"/>
  <c r="R285" i="8"/>
  <c r="R17" i="8"/>
  <c r="R43" i="8"/>
  <c r="R69" i="8"/>
  <c r="R221" i="8"/>
  <c r="R269" i="8"/>
  <c r="R292" i="8"/>
  <c r="R298" i="8"/>
  <c r="R304" i="8"/>
  <c r="R310" i="8"/>
  <c r="R316" i="8"/>
  <c r="R53" i="8"/>
  <c r="R79" i="8"/>
  <c r="R243" i="8"/>
  <c r="R7" i="8"/>
  <c r="R16" i="8"/>
  <c r="R33" i="8"/>
  <c r="R42" i="8"/>
  <c r="R59" i="8"/>
  <c r="R85" i="8"/>
  <c r="R223" i="8"/>
  <c r="R235" i="8"/>
  <c r="R247" i="8"/>
  <c r="R259" i="8"/>
  <c r="R271" i="8"/>
  <c r="R283" i="8"/>
  <c r="R245" i="8"/>
  <c r="R290" i="8"/>
  <c r="R296" i="8"/>
  <c r="R302" i="8"/>
  <c r="R308" i="8"/>
  <c r="R314" i="8"/>
  <c r="R10" i="8"/>
  <c r="R36" i="8"/>
  <c r="R62" i="8"/>
  <c r="R219" i="8"/>
  <c r="R231" i="8"/>
  <c r="R267" i="8"/>
  <c r="R279" i="8"/>
  <c r="R46" i="8"/>
  <c r="R72" i="8"/>
  <c r="R217" i="8"/>
  <c r="R229" i="8"/>
  <c r="R241" i="8"/>
  <c r="R253" i="8"/>
  <c r="R265" i="8"/>
  <c r="R277" i="8"/>
  <c r="R227" i="8"/>
  <c r="R239" i="8"/>
  <c r="R263" i="8"/>
  <c r="R275" i="8"/>
  <c r="R287" i="8"/>
  <c r="R291" i="8"/>
  <c r="R295" i="8"/>
  <c r="R297" i="8"/>
  <c r="R301" i="8"/>
  <c r="R305" i="8"/>
  <c r="R309" i="8"/>
  <c r="R311" i="8"/>
  <c r="R315" i="8"/>
  <c r="K8" i="8"/>
  <c r="Q7" i="8"/>
  <c r="AC7" i="8"/>
  <c r="AD7" i="8"/>
  <c r="Q8" i="8"/>
  <c r="D10" i="8"/>
  <c r="E10" i="8" s="1"/>
  <c r="D11" i="8"/>
  <c r="E11" i="8" s="1"/>
  <c r="C44" i="5"/>
  <c r="C43" i="5"/>
  <c r="C45" i="5"/>
  <c r="C41" i="5"/>
  <c r="B51" i="4"/>
  <c r="B11" i="4"/>
  <c r="B17" i="4"/>
  <c r="B23" i="4"/>
  <c r="B30" i="4"/>
  <c r="B31" i="4"/>
  <c r="B37" i="4"/>
  <c r="B43" i="4"/>
  <c r="B49" i="4"/>
  <c r="B55" i="4"/>
  <c r="B22" i="4"/>
  <c r="B29" i="4"/>
  <c r="B36" i="4"/>
  <c r="B42" i="4"/>
  <c r="B48" i="4"/>
  <c r="B54" i="4"/>
  <c r="B60" i="4"/>
  <c r="B13" i="4"/>
  <c r="B45" i="4"/>
  <c r="B15" i="4"/>
  <c r="B21" i="4"/>
  <c r="B28" i="4"/>
  <c r="B35" i="4"/>
  <c r="B41" i="4"/>
  <c r="B47" i="4"/>
  <c r="B53" i="4"/>
  <c r="B59" i="4"/>
  <c r="B19" i="4"/>
  <c r="B57" i="4"/>
  <c r="B16" i="4"/>
  <c r="B14" i="4"/>
  <c r="B20" i="4"/>
  <c r="B26" i="4"/>
  <c r="B27" i="4"/>
  <c r="B34" i="4"/>
  <c r="B40" i="4"/>
  <c r="B46" i="4"/>
  <c r="B52" i="4"/>
  <c r="B58" i="4"/>
  <c r="B25" i="4"/>
  <c r="B33" i="4"/>
  <c r="B39" i="4"/>
  <c r="B12" i="4"/>
  <c r="B18" i="4"/>
  <c r="B24" i="4"/>
  <c r="B32" i="4"/>
  <c r="B44" i="4"/>
  <c r="B50" i="4"/>
  <c r="D12" i="4" l="1"/>
  <c r="AJ12" i="9"/>
  <c r="AJ13" i="9"/>
  <c r="AJ8" i="9"/>
  <c r="AJ17" i="9"/>
  <c r="AJ11" i="9"/>
  <c r="AJ10" i="9"/>
  <c r="AJ15" i="9"/>
  <c r="AJ7" i="9"/>
  <c r="AJ14" i="9"/>
  <c r="AJ9" i="9"/>
  <c r="AJ16" i="9"/>
  <c r="AU7" i="9"/>
  <c r="AW7" i="9" s="1"/>
  <c r="AU13" i="9"/>
  <c r="AW13" i="9" s="1"/>
  <c r="AU19" i="9"/>
  <c r="AW19" i="9" s="1"/>
  <c r="AU25" i="9"/>
  <c r="AW25" i="9" s="1"/>
  <c r="AU31" i="9"/>
  <c r="AW31" i="9" s="1"/>
  <c r="AU37" i="9"/>
  <c r="AW37" i="9" s="1"/>
  <c r="AU43" i="9"/>
  <c r="AW43" i="9" s="1"/>
  <c r="AU49" i="9"/>
  <c r="AW49" i="9" s="1"/>
  <c r="AU55" i="9"/>
  <c r="AW55" i="9" s="1"/>
  <c r="AU61" i="9"/>
  <c r="AW61" i="9" s="1"/>
  <c r="AU67" i="9"/>
  <c r="AW67" i="9" s="1"/>
  <c r="AU73" i="9"/>
  <c r="AW73" i="9" s="1"/>
  <c r="AU79" i="9"/>
  <c r="AW79" i="9" s="1"/>
  <c r="AU85" i="9"/>
  <c r="AW85" i="9" s="1"/>
  <c r="AU91" i="9"/>
  <c r="AW91" i="9" s="1"/>
  <c r="AU97" i="9"/>
  <c r="AW97" i="9" s="1"/>
  <c r="AU103" i="9"/>
  <c r="AW103" i="9" s="1"/>
  <c r="AU109" i="9"/>
  <c r="AW109" i="9" s="1"/>
  <c r="AU115" i="9"/>
  <c r="AW115" i="9" s="1"/>
  <c r="AU121" i="9"/>
  <c r="AW121" i="9" s="1"/>
  <c r="AU127" i="9"/>
  <c r="AW127" i="9" s="1"/>
  <c r="AU133" i="9"/>
  <c r="AW133" i="9" s="1"/>
  <c r="AU139" i="9"/>
  <c r="AW139" i="9" s="1"/>
  <c r="AU145" i="9"/>
  <c r="AW145" i="9" s="1"/>
  <c r="AU151" i="9"/>
  <c r="AW151" i="9" s="1"/>
  <c r="AU157" i="9"/>
  <c r="AW157" i="9" s="1"/>
  <c r="AU163" i="9"/>
  <c r="AW163" i="9" s="1"/>
  <c r="AU169" i="9"/>
  <c r="AW169" i="9" s="1"/>
  <c r="AU175" i="9"/>
  <c r="AW175" i="9" s="1"/>
  <c r="AU181" i="9"/>
  <c r="AW181" i="9" s="1"/>
  <c r="AU187" i="9"/>
  <c r="AW187" i="9" s="1"/>
  <c r="AU193" i="9"/>
  <c r="AW193" i="9" s="1"/>
  <c r="AU199" i="9"/>
  <c r="AW199" i="9" s="1"/>
  <c r="AU205" i="9"/>
  <c r="AW205" i="9" s="1"/>
  <c r="AU211" i="9"/>
  <c r="AW211" i="9" s="1"/>
  <c r="AU217" i="9"/>
  <c r="AW217" i="9" s="1"/>
  <c r="AU223" i="9"/>
  <c r="AW223" i="9" s="1"/>
  <c r="AU229" i="9"/>
  <c r="AW229" i="9" s="1"/>
  <c r="AU235" i="9"/>
  <c r="AW235" i="9" s="1"/>
  <c r="AU241" i="9"/>
  <c r="AW241" i="9" s="1"/>
  <c r="AU247" i="9"/>
  <c r="AW247" i="9" s="1"/>
  <c r="AU158" i="9"/>
  <c r="AW158" i="9" s="1"/>
  <c r="AU188" i="9"/>
  <c r="AW188" i="9" s="1"/>
  <c r="AU212" i="9"/>
  <c r="AW212" i="9" s="1"/>
  <c r="AU230" i="9"/>
  <c r="AW230" i="9" s="1"/>
  <c r="AU249" i="9"/>
  <c r="AW249" i="9" s="1"/>
  <c r="AU23" i="9"/>
  <c r="AW23" i="9" s="1"/>
  <c r="AU47" i="9"/>
  <c r="AW47" i="9" s="1"/>
  <c r="AU77" i="9"/>
  <c r="AW77" i="9" s="1"/>
  <c r="AU107" i="9"/>
  <c r="AW107" i="9" s="1"/>
  <c r="AU137" i="9"/>
  <c r="AW137" i="9" s="1"/>
  <c r="AU173" i="9"/>
  <c r="AW173" i="9" s="1"/>
  <c r="AU203" i="9"/>
  <c r="AW203" i="9" s="1"/>
  <c r="AU239" i="9"/>
  <c r="AW239" i="9" s="1"/>
  <c r="AU8" i="9"/>
  <c r="AW8" i="9" s="1"/>
  <c r="AU14" i="9"/>
  <c r="AW14" i="9" s="1"/>
  <c r="AU20" i="9"/>
  <c r="AW20" i="9" s="1"/>
  <c r="AU26" i="9"/>
  <c r="AW26" i="9" s="1"/>
  <c r="AU32" i="9"/>
  <c r="AW32" i="9" s="1"/>
  <c r="AU38" i="9"/>
  <c r="AW38" i="9" s="1"/>
  <c r="AU44" i="9"/>
  <c r="AW44" i="9" s="1"/>
  <c r="AU50" i="9"/>
  <c r="AW50" i="9" s="1"/>
  <c r="AU56" i="9"/>
  <c r="AW56" i="9" s="1"/>
  <c r="AU62" i="9"/>
  <c r="AW62" i="9" s="1"/>
  <c r="AU68" i="9"/>
  <c r="AW68" i="9" s="1"/>
  <c r="AU74" i="9"/>
  <c r="AW74" i="9" s="1"/>
  <c r="AU80" i="9"/>
  <c r="AW80" i="9" s="1"/>
  <c r="AU86" i="9"/>
  <c r="AW86" i="9" s="1"/>
  <c r="AU92" i="9"/>
  <c r="AW92" i="9" s="1"/>
  <c r="AU98" i="9"/>
  <c r="AW98" i="9" s="1"/>
  <c r="AU104" i="9"/>
  <c r="AW104" i="9" s="1"/>
  <c r="AU110" i="9"/>
  <c r="AW110" i="9" s="1"/>
  <c r="AU116" i="9"/>
  <c r="AW116" i="9" s="1"/>
  <c r="AU122" i="9"/>
  <c r="AW122" i="9" s="1"/>
  <c r="AU128" i="9"/>
  <c r="AW128" i="9" s="1"/>
  <c r="AU134" i="9"/>
  <c r="AW134" i="9" s="1"/>
  <c r="AU140" i="9"/>
  <c r="AW140" i="9" s="1"/>
  <c r="AU146" i="9"/>
  <c r="AW146" i="9" s="1"/>
  <c r="AU152" i="9"/>
  <c r="AW152" i="9" s="1"/>
  <c r="AU170" i="9"/>
  <c r="AW170" i="9" s="1"/>
  <c r="AU176" i="9"/>
  <c r="AW176" i="9" s="1"/>
  <c r="AU182" i="9"/>
  <c r="AW182" i="9" s="1"/>
  <c r="AU200" i="9"/>
  <c r="AW200" i="9" s="1"/>
  <c r="AU218" i="9"/>
  <c r="AW218" i="9" s="1"/>
  <c r="AU236" i="9"/>
  <c r="AW236" i="9" s="1"/>
  <c r="AU248" i="9"/>
  <c r="AW248" i="9" s="1"/>
  <c r="AU17" i="9"/>
  <c r="AW17" i="9" s="1"/>
  <c r="AU41" i="9"/>
  <c r="AW41" i="9" s="1"/>
  <c r="AU65" i="9"/>
  <c r="AW65" i="9" s="1"/>
  <c r="AU95" i="9"/>
  <c r="AW95" i="9" s="1"/>
  <c r="AU119" i="9"/>
  <c r="AW119" i="9" s="1"/>
  <c r="AU149" i="9"/>
  <c r="AW149" i="9" s="1"/>
  <c r="AU179" i="9"/>
  <c r="AW179" i="9" s="1"/>
  <c r="AU209" i="9"/>
  <c r="AW209" i="9" s="1"/>
  <c r="AU233" i="9"/>
  <c r="AW233" i="9" s="1"/>
  <c r="AU9" i="9"/>
  <c r="AW9" i="9" s="1"/>
  <c r="AU15" i="9"/>
  <c r="AW15" i="9" s="1"/>
  <c r="AU21" i="9"/>
  <c r="AW21" i="9" s="1"/>
  <c r="AU27" i="9"/>
  <c r="AW27" i="9" s="1"/>
  <c r="AU33" i="9"/>
  <c r="AW33" i="9" s="1"/>
  <c r="AU39" i="9"/>
  <c r="AW39" i="9" s="1"/>
  <c r="AU45" i="9"/>
  <c r="AW45" i="9" s="1"/>
  <c r="AU51" i="9"/>
  <c r="AW51" i="9" s="1"/>
  <c r="AU57" i="9"/>
  <c r="AW57" i="9" s="1"/>
  <c r="AU63" i="9"/>
  <c r="AW63" i="9" s="1"/>
  <c r="AU69" i="9"/>
  <c r="AW69" i="9" s="1"/>
  <c r="AU75" i="9"/>
  <c r="AW75" i="9" s="1"/>
  <c r="AU81" i="9"/>
  <c r="AW81" i="9" s="1"/>
  <c r="AU87" i="9"/>
  <c r="AW87" i="9" s="1"/>
  <c r="AU93" i="9"/>
  <c r="AW93" i="9" s="1"/>
  <c r="AU99" i="9"/>
  <c r="AW99" i="9" s="1"/>
  <c r="AU105" i="9"/>
  <c r="AW105" i="9" s="1"/>
  <c r="AU111" i="9"/>
  <c r="AW111" i="9" s="1"/>
  <c r="AU117" i="9"/>
  <c r="AW117" i="9" s="1"/>
  <c r="AU123" i="9"/>
  <c r="AW123" i="9" s="1"/>
  <c r="AU129" i="9"/>
  <c r="AW129" i="9" s="1"/>
  <c r="AU135" i="9"/>
  <c r="AW135" i="9" s="1"/>
  <c r="AU141" i="9"/>
  <c r="AW141" i="9" s="1"/>
  <c r="AU147" i="9"/>
  <c r="AW147" i="9" s="1"/>
  <c r="AU153" i="9"/>
  <c r="AW153" i="9" s="1"/>
  <c r="AU159" i="9"/>
  <c r="AW159" i="9" s="1"/>
  <c r="AU165" i="9"/>
  <c r="AW165" i="9" s="1"/>
  <c r="AU171" i="9"/>
  <c r="AW171" i="9" s="1"/>
  <c r="AU177" i="9"/>
  <c r="AW177" i="9" s="1"/>
  <c r="AU183" i="9"/>
  <c r="AW183" i="9" s="1"/>
  <c r="AU189" i="9"/>
  <c r="AW189" i="9" s="1"/>
  <c r="AU195" i="9"/>
  <c r="AW195" i="9" s="1"/>
  <c r="AU201" i="9"/>
  <c r="AW201" i="9" s="1"/>
  <c r="AU207" i="9"/>
  <c r="AW207" i="9" s="1"/>
  <c r="AU213" i="9"/>
  <c r="AW213" i="9" s="1"/>
  <c r="AU219" i="9"/>
  <c r="AW219" i="9" s="1"/>
  <c r="AU225" i="9"/>
  <c r="AW225" i="9" s="1"/>
  <c r="AU231" i="9"/>
  <c r="AW231" i="9" s="1"/>
  <c r="AU237" i="9"/>
  <c r="AW237" i="9" s="1"/>
  <c r="AU243" i="9"/>
  <c r="AW243" i="9" s="1"/>
  <c r="AU29" i="9"/>
  <c r="AW29" i="9" s="1"/>
  <c r="AU59" i="9"/>
  <c r="AW59" i="9" s="1"/>
  <c r="AU83" i="9"/>
  <c r="AW83" i="9" s="1"/>
  <c r="AU113" i="9"/>
  <c r="AW113" i="9" s="1"/>
  <c r="AU143" i="9"/>
  <c r="AW143" i="9" s="1"/>
  <c r="AU161" i="9"/>
  <c r="AW161" i="9" s="1"/>
  <c r="AU191" i="9"/>
  <c r="AW191" i="9" s="1"/>
  <c r="AU221" i="9"/>
  <c r="AW221" i="9" s="1"/>
  <c r="AU245" i="9"/>
  <c r="AW245" i="9" s="1"/>
  <c r="AU10" i="9"/>
  <c r="AW10" i="9" s="1"/>
  <c r="AU16" i="9"/>
  <c r="AW16" i="9" s="1"/>
  <c r="AU22" i="9"/>
  <c r="AW22" i="9" s="1"/>
  <c r="AU28" i="9"/>
  <c r="AW28" i="9" s="1"/>
  <c r="AU34" i="9"/>
  <c r="AW34" i="9" s="1"/>
  <c r="AU40" i="9"/>
  <c r="AW40" i="9" s="1"/>
  <c r="AU46" i="9"/>
  <c r="AW46" i="9" s="1"/>
  <c r="AU52" i="9"/>
  <c r="AW52" i="9" s="1"/>
  <c r="AU58" i="9"/>
  <c r="AW58" i="9" s="1"/>
  <c r="AU64" i="9"/>
  <c r="AW64" i="9" s="1"/>
  <c r="AU70" i="9"/>
  <c r="AW70" i="9" s="1"/>
  <c r="AU76" i="9"/>
  <c r="AW76" i="9" s="1"/>
  <c r="AU82" i="9"/>
  <c r="AW82" i="9" s="1"/>
  <c r="AU88" i="9"/>
  <c r="AW88" i="9" s="1"/>
  <c r="AU94" i="9"/>
  <c r="AW94" i="9" s="1"/>
  <c r="AU100" i="9"/>
  <c r="AW100" i="9" s="1"/>
  <c r="AU106" i="9"/>
  <c r="AW106" i="9" s="1"/>
  <c r="AU112" i="9"/>
  <c r="AW112" i="9" s="1"/>
  <c r="AU118" i="9"/>
  <c r="AW118" i="9" s="1"/>
  <c r="AU124" i="9"/>
  <c r="AW124" i="9" s="1"/>
  <c r="AU130" i="9"/>
  <c r="AW130" i="9" s="1"/>
  <c r="AU136" i="9"/>
  <c r="AW136" i="9" s="1"/>
  <c r="AU142" i="9"/>
  <c r="AW142" i="9" s="1"/>
  <c r="AU148" i="9"/>
  <c r="AW148" i="9" s="1"/>
  <c r="AU154" i="9"/>
  <c r="AW154" i="9" s="1"/>
  <c r="AU160" i="9"/>
  <c r="AW160" i="9" s="1"/>
  <c r="AU166" i="9"/>
  <c r="AW166" i="9" s="1"/>
  <c r="AU172" i="9"/>
  <c r="AW172" i="9" s="1"/>
  <c r="AU178" i="9"/>
  <c r="AW178" i="9" s="1"/>
  <c r="AU184" i="9"/>
  <c r="AW184" i="9" s="1"/>
  <c r="AU190" i="9"/>
  <c r="AW190" i="9" s="1"/>
  <c r="AU196" i="9"/>
  <c r="AW196" i="9" s="1"/>
  <c r="AU202" i="9"/>
  <c r="AW202" i="9" s="1"/>
  <c r="AU208" i="9"/>
  <c r="AW208" i="9" s="1"/>
  <c r="AU214" i="9"/>
  <c r="AW214" i="9" s="1"/>
  <c r="AU220" i="9"/>
  <c r="AW220" i="9" s="1"/>
  <c r="AU226" i="9"/>
  <c r="AW226" i="9" s="1"/>
  <c r="AU232" i="9"/>
  <c r="AW232" i="9" s="1"/>
  <c r="AU238" i="9"/>
  <c r="AW238" i="9" s="1"/>
  <c r="AU244" i="9"/>
  <c r="AW244" i="9" s="1"/>
  <c r="AU250" i="9"/>
  <c r="AW250" i="9" s="1"/>
  <c r="AU35" i="9"/>
  <c r="AW35" i="9" s="1"/>
  <c r="AU71" i="9"/>
  <c r="AW71" i="9" s="1"/>
  <c r="AU101" i="9"/>
  <c r="AW101" i="9" s="1"/>
  <c r="AU131" i="9"/>
  <c r="AW131" i="9" s="1"/>
  <c r="AU167" i="9"/>
  <c r="AW167" i="9" s="1"/>
  <c r="AU197" i="9"/>
  <c r="AW197" i="9" s="1"/>
  <c r="AU227" i="9"/>
  <c r="AW227" i="9" s="1"/>
  <c r="AU12" i="9"/>
  <c r="AW12" i="9" s="1"/>
  <c r="AU18" i="9"/>
  <c r="AW18" i="9" s="1"/>
  <c r="AU24" i="9"/>
  <c r="AW24" i="9" s="1"/>
  <c r="AU30" i="9"/>
  <c r="AW30" i="9" s="1"/>
  <c r="AU36" i="9"/>
  <c r="AW36" i="9" s="1"/>
  <c r="AU42" i="9"/>
  <c r="AW42" i="9" s="1"/>
  <c r="AU48" i="9"/>
  <c r="AW48" i="9" s="1"/>
  <c r="AU54" i="9"/>
  <c r="AW54" i="9" s="1"/>
  <c r="AU60" i="9"/>
  <c r="AW60" i="9" s="1"/>
  <c r="AU66" i="9"/>
  <c r="AW66" i="9" s="1"/>
  <c r="AU72" i="9"/>
  <c r="AW72" i="9" s="1"/>
  <c r="AU78" i="9"/>
  <c r="AW78" i="9" s="1"/>
  <c r="AU84" i="9"/>
  <c r="AW84" i="9" s="1"/>
  <c r="AU90" i="9"/>
  <c r="AW90" i="9" s="1"/>
  <c r="AU96" i="9"/>
  <c r="AW96" i="9" s="1"/>
  <c r="AU102" i="9"/>
  <c r="AW102" i="9" s="1"/>
  <c r="AU108" i="9"/>
  <c r="AW108" i="9" s="1"/>
  <c r="AU114" i="9"/>
  <c r="AW114" i="9" s="1"/>
  <c r="AU120" i="9"/>
  <c r="AW120" i="9" s="1"/>
  <c r="AU126" i="9"/>
  <c r="AW126" i="9" s="1"/>
  <c r="AU132" i="9"/>
  <c r="AW132" i="9" s="1"/>
  <c r="AU138" i="9"/>
  <c r="AW138" i="9" s="1"/>
  <c r="AU144" i="9"/>
  <c r="AW144" i="9" s="1"/>
  <c r="AU150" i="9"/>
  <c r="AW150" i="9" s="1"/>
  <c r="AU156" i="9"/>
  <c r="AW156" i="9" s="1"/>
  <c r="AU162" i="9"/>
  <c r="AW162" i="9" s="1"/>
  <c r="AU168" i="9"/>
  <c r="AW168" i="9" s="1"/>
  <c r="AU174" i="9"/>
  <c r="AW174" i="9" s="1"/>
  <c r="AU180" i="9"/>
  <c r="AW180" i="9" s="1"/>
  <c r="AU186" i="9"/>
  <c r="AW186" i="9" s="1"/>
  <c r="AU192" i="9"/>
  <c r="AW192" i="9" s="1"/>
  <c r="AU198" i="9"/>
  <c r="AW198" i="9" s="1"/>
  <c r="AU204" i="9"/>
  <c r="AW204" i="9" s="1"/>
  <c r="AU210" i="9"/>
  <c r="AW210" i="9" s="1"/>
  <c r="AU216" i="9"/>
  <c r="AW216" i="9" s="1"/>
  <c r="AU222" i="9"/>
  <c r="AW222" i="9" s="1"/>
  <c r="AU228" i="9"/>
  <c r="AW228" i="9" s="1"/>
  <c r="AU234" i="9"/>
  <c r="AW234" i="9" s="1"/>
  <c r="AU240" i="9"/>
  <c r="AW240" i="9" s="1"/>
  <c r="AU246" i="9"/>
  <c r="AW246" i="9" s="1"/>
  <c r="AU6" i="9"/>
  <c r="AW6" i="9" s="1"/>
  <c r="BA6" i="9" s="1"/>
  <c r="BE6" i="9" s="1"/>
  <c r="AU164" i="9"/>
  <c r="AW164" i="9" s="1"/>
  <c r="AU194" i="9"/>
  <c r="AW194" i="9" s="1"/>
  <c r="AU206" i="9"/>
  <c r="AW206" i="9" s="1"/>
  <c r="AU224" i="9"/>
  <c r="AW224" i="9" s="1"/>
  <c r="AU242" i="9"/>
  <c r="AW242" i="9" s="1"/>
  <c r="AU11" i="9"/>
  <c r="AW11" i="9" s="1"/>
  <c r="AU53" i="9"/>
  <c r="AW53" i="9" s="1"/>
  <c r="AU89" i="9"/>
  <c r="AW89" i="9" s="1"/>
  <c r="AU125" i="9"/>
  <c r="AW125" i="9" s="1"/>
  <c r="AU155" i="9"/>
  <c r="AW155" i="9" s="1"/>
  <c r="AU185" i="9"/>
  <c r="AW185" i="9" s="1"/>
  <c r="AU215" i="9"/>
  <c r="AW215" i="9" s="1"/>
  <c r="D34" i="4"/>
  <c r="D22" i="4"/>
  <c r="D59" i="4"/>
  <c r="D52" i="4"/>
  <c r="D20" i="4"/>
  <c r="D53" i="4"/>
  <c r="D15" i="4"/>
  <c r="D42" i="4"/>
  <c r="D43" i="4"/>
  <c r="D11" i="4"/>
  <c r="D58" i="4"/>
  <c r="D18" i="4"/>
  <c r="D46" i="4"/>
  <c r="D14" i="4"/>
  <c r="D47" i="4"/>
  <c r="D45" i="4"/>
  <c r="D36" i="4"/>
  <c r="D37" i="4"/>
  <c r="D51" i="4"/>
  <c r="D57" i="4"/>
  <c r="D24" i="4"/>
  <c r="D21" i="4"/>
  <c r="D50" i="4"/>
  <c r="D39" i="4"/>
  <c r="D40" i="4"/>
  <c r="D16" i="4"/>
  <c r="D41" i="4"/>
  <c r="D13" i="4"/>
  <c r="D29" i="4"/>
  <c r="D31" i="4"/>
  <c r="D38" i="4"/>
  <c r="D35" i="4"/>
  <c r="D44" i="4"/>
  <c r="D60" i="4"/>
  <c r="D32" i="4"/>
  <c r="D25" i="4"/>
  <c r="D27" i="4"/>
  <c r="D19" i="4"/>
  <c r="D28" i="4"/>
  <c r="D54" i="4"/>
  <c r="D55" i="4"/>
  <c r="D23" i="4"/>
  <c r="D56" i="4"/>
  <c r="D33" i="4"/>
  <c r="D30" i="4"/>
  <c r="D26" i="4"/>
  <c r="D48" i="4"/>
  <c r="D49" i="4"/>
  <c r="D17" i="4"/>
  <c r="P95" i="9"/>
  <c r="U95" i="9" s="1"/>
  <c r="P85" i="9"/>
  <c r="U85" i="9" s="1"/>
  <c r="S8" i="8"/>
  <c r="V8" i="8" s="1"/>
  <c r="P94" i="9"/>
  <c r="U94" i="9" s="1"/>
  <c r="P91" i="9"/>
  <c r="U91" i="9" s="1"/>
  <c r="P92" i="9"/>
  <c r="U92" i="9" s="1"/>
  <c r="Y305" i="9"/>
  <c r="AL305" i="9" s="1"/>
  <c r="X305" i="9"/>
  <c r="Y285" i="9"/>
  <c r="AL285" i="9" s="1"/>
  <c r="X285" i="9"/>
  <c r="X297" i="9"/>
  <c r="Y297" i="9"/>
  <c r="AL297" i="9" s="1"/>
  <c r="Y313" i="9"/>
  <c r="AL313" i="9" s="1"/>
  <c r="X313" i="9"/>
  <c r="X275" i="9"/>
  <c r="Y275" i="9"/>
  <c r="AL275" i="9" s="1"/>
  <c r="Y301" i="9"/>
  <c r="AL301" i="9" s="1"/>
  <c r="X301" i="9"/>
  <c r="Y290" i="9"/>
  <c r="AL290" i="9" s="1"/>
  <c r="X290" i="9"/>
  <c r="X296" i="9"/>
  <c r="Y296" i="9"/>
  <c r="AL296" i="9" s="1"/>
  <c r="Y288" i="9"/>
  <c r="AL288" i="9" s="1"/>
  <c r="X288" i="9"/>
  <c r="X310" i="9"/>
  <c r="Y310" i="9"/>
  <c r="AL310" i="9" s="1"/>
  <c r="X274" i="9"/>
  <c r="Y274" i="9"/>
  <c r="AL274" i="9" s="1"/>
  <c r="Y303" i="9"/>
  <c r="AL303" i="9" s="1"/>
  <c r="X303" i="9"/>
  <c r="Y302" i="9"/>
  <c r="AL302" i="9" s="1"/>
  <c r="X302" i="9"/>
  <c r="X257" i="9"/>
  <c r="Y257" i="9"/>
  <c r="AL257" i="9" s="1"/>
  <c r="Y280" i="9"/>
  <c r="AL280" i="9" s="1"/>
  <c r="X280" i="9"/>
  <c r="P90" i="9"/>
  <c r="U90" i="9" s="1"/>
  <c r="Y267" i="9"/>
  <c r="AL267" i="9" s="1"/>
  <c r="X267" i="9"/>
  <c r="X261" i="9"/>
  <c r="Y261" i="9"/>
  <c r="AL261" i="9" s="1"/>
  <c r="Y277" i="9"/>
  <c r="AL277" i="9" s="1"/>
  <c r="X277" i="9"/>
  <c r="Y309" i="9"/>
  <c r="AL309" i="9" s="1"/>
  <c r="X309" i="9"/>
  <c r="Y283" i="9"/>
  <c r="AL283" i="9" s="1"/>
  <c r="X283" i="9"/>
  <c r="X281" i="9"/>
  <c r="Y281" i="9"/>
  <c r="AL281" i="9" s="1"/>
  <c r="Y287" i="9"/>
  <c r="AL287" i="9" s="1"/>
  <c r="X287" i="9"/>
  <c r="Y6" i="9"/>
  <c r="AL6" i="9" s="1"/>
  <c r="X6" i="9"/>
  <c r="Z6" i="9"/>
  <c r="Y282" i="9"/>
  <c r="AL282" i="9" s="1"/>
  <c r="X282" i="9"/>
  <c r="Y304" i="9"/>
  <c r="AL304" i="9" s="1"/>
  <c r="X304" i="9"/>
  <c r="Y268" i="9"/>
  <c r="AL268" i="9" s="1"/>
  <c r="X268" i="9"/>
  <c r="X299" i="9"/>
  <c r="Y299" i="9"/>
  <c r="AL299" i="9" s="1"/>
  <c r="Y258" i="9"/>
  <c r="AL258" i="9" s="1"/>
  <c r="X258" i="9"/>
  <c r="X316" i="9"/>
  <c r="Y316" i="9"/>
  <c r="AL316" i="9" s="1"/>
  <c r="X311" i="9"/>
  <c r="Y311" i="9"/>
  <c r="AL311" i="9" s="1"/>
  <c r="Y291" i="9"/>
  <c r="AL291" i="9" s="1"/>
  <c r="X291" i="9"/>
  <c r="Y279" i="9"/>
  <c r="AL279" i="9" s="1"/>
  <c r="X279" i="9"/>
  <c r="Y265" i="9"/>
  <c r="AL265" i="9" s="1"/>
  <c r="X265" i="9"/>
  <c r="X272" i="9"/>
  <c r="Y272" i="9"/>
  <c r="AL272" i="9" s="1"/>
  <c r="X278" i="9"/>
  <c r="Y278" i="9"/>
  <c r="AL278" i="9" s="1"/>
  <c r="X312" i="9"/>
  <c r="Y312" i="9"/>
  <c r="AL312" i="9" s="1"/>
  <c r="Y276" i="9"/>
  <c r="AL276" i="9" s="1"/>
  <c r="X276" i="9"/>
  <c r="X298" i="9"/>
  <c r="Y298" i="9"/>
  <c r="AL298" i="9" s="1"/>
  <c r="Y262" i="9"/>
  <c r="AL262" i="9" s="1"/>
  <c r="X262" i="9"/>
  <c r="Y271" i="9"/>
  <c r="AL271" i="9" s="1"/>
  <c r="X271" i="9"/>
  <c r="Y294" i="9"/>
  <c r="AL294" i="9" s="1"/>
  <c r="X294" i="9"/>
  <c r="X284" i="9"/>
  <c r="Y284" i="9"/>
  <c r="AL284" i="9" s="1"/>
  <c r="X295" i="9"/>
  <c r="Y295" i="9"/>
  <c r="AL295" i="9" s="1"/>
  <c r="X273" i="9"/>
  <c r="Y273" i="9"/>
  <c r="AL273" i="9" s="1"/>
  <c r="X317" i="9"/>
  <c r="Y317" i="9"/>
  <c r="AL317" i="9" s="1"/>
  <c r="X263" i="9"/>
  <c r="Y263" i="9"/>
  <c r="AL263" i="9" s="1"/>
  <c r="Y315" i="9"/>
  <c r="AL315" i="9" s="1"/>
  <c r="X315" i="9"/>
  <c r="Y269" i="9"/>
  <c r="AL269" i="9" s="1"/>
  <c r="X269" i="9"/>
  <c r="X306" i="9"/>
  <c r="Y306" i="9"/>
  <c r="AL306" i="9" s="1"/>
  <c r="Y270" i="9"/>
  <c r="AL270" i="9" s="1"/>
  <c r="X270" i="9"/>
  <c r="X292" i="9"/>
  <c r="Y292" i="9"/>
  <c r="AL292" i="9" s="1"/>
  <c r="Y307" i="9"/>
  <c r="AL307" i="9" s="1"/>
  <c r="X307" i="9"/>
  <c r="Y266" i="9"/>
  <c r="AL266" i="9" s="1"/>
  <c r="X266" i="9"/>
  <c r="X259" i="9"/>
  <c r="Y259" i="9"/>
  <c r="AL259" i="9" s="1"/>
  <c r="X293" i="9"/>
  <c r="Y293" i="9"/>
  <c r="AL293" i="9" s="1"/>
  <c r="Y308" i="9"/>
  <c r="AL308" i="9" s="1"/>
  <c r="X308" i="9"/>
  <c r="X289" i="9"/>
  <c r="Y289" i="9"/>
  <c r="AL289" i="9" s="1"/>
  <c r="Y314" i="9"/>
  <c r="AL314" i="9" s="1"/>
  <c r="X314" i="9"/>
  <c r="Y260" i="9"/>
  <c r="AL260" i="9" s="1"/>
  <c r="X260" i="9"/>
  <c r="Y300" i="9"/>
  <c r="AL300" i="9" s="1"/>
  <c r="X300" i="9"/>
  <c r="X264" i="9"/>
  <c r="Y264" i="9"/>
  <c r="AL264" i="9" s="1"/>
  <c r="Y286" i="9"/>
  <c r="AL286" i="9" s="1"/>
  <c r="X286" i="9"/>
  <c r="AX253" i="9"/>
  <c r="AZ253" i="9" s="1"/>
  <c r="AX251" i="9"/>
  <c r="AZ251" i="9" s="1"/>
  <c r="AX255" i="9"/>
  <c r="AZ255" i="9" s="1"/>
  <c r="AX254" i="9"/>
  <c r="AZ254" i="9" s="1"/>
  <c r="AX256" i="9"/>
  <c r="AZ256" i="9" s="1"/>
  <c r="AX252" i="9"/>
  <c r="AZ252" i="9" s="1"/>
  <c r="AW255" i="9"/>
  <c r="AW254" i="9"/>
  <c r="AW252" i="9"/>
  <c r="AW251" i="9"/>
  <c r="AW253" i="9"/>
  <c r="AW256" i="9"/>
  <c r="M6" i="8"/>
  <c r="T6" i="8" s="1"/>
  <c r="AJ7" i="8"/>
  <c r="P98" i="9"/>
  <c r="U98" i="9" s="1"/>
  <c r="P97" i="9"/>
  <c r="U97" i="9" s="1"/>
  <c r="P100" i="9"/>
  <c r="U100" i="9" s="1"/>
  <c r="P99" i="9"/>
  <c r="U99" i="9" s="1"/>
  <c r="P103" i="9"/>
  <c r="U103" i="9" s="1"/>
  <c r="P107" i="9"/>
  <c r="U107" i="9" s="1"/>
  <c r="P96" i="9"/>
  <c r="U96" i="9" s="1"/>
  <c r="P106" i="9"/>
  <c r="U106" i="9" s="1"/>
  <c r="P104" i="9"/>
  <c r="U104" i="9" s="1"/>
  <c r="P101" i="9"/>
  <c r="U101" i="9" s="1"/>
  <c r="P105" i="9"/>
  <c r="U105" i="9" s="1"/>
  <c r="P102" i="9"/>
  <c r="U102" i="9" s="1"/>
  <c r="AX12" i="9"/>
  <c r="AZ12" i="9" s="1"/>
  <c r="AX18" i="9"/>
  <c r="AZ18" i="9" s="1"/>
  <c r="AX24" i="9"/>
  <c r="AZ24" i="9" s="1"/>
  <c r="AX30" i="9"/>
  <c r="AZ30" i="9" s="1"/>
  <c r="AX36" i="9"/>
  <c r="AZ36" i="9" s="1"/>
  <c r="AX42" i="9"/>
  <c r="AZ42" i="9" s="1"/>
  <c r="AX48" i="9"/>
  <c r="AZ48" i="9" s="1"/>
  <c r="AX54" i="9"/>
  <c r="AZ54" i="9" s="1"/>
  <c r="AX60" i="9"/>
  <c r="AZ60" i="9" s="1"/>
  <c r="AX66" i="9"/>
  <c r="AZ66" i="9" s="1"/>
  <c r="AX72" i="9"/>
  <c r="AZ72" i="9" s="1"/>
  <c r="AX78" i="9"/>
  <c r="AZ78" i="9" s="1"/>
  <c r="AX84" i="9"/>
  <c r="AZ84" i="9" s="1"/>
  <c r="AX90" i="9"/>
  <c r="AZ90" i="9" s="1"/>
  <c r="AX96" i="9"/>
  <c r="AZ96" i="9" s="1"/>
  <c r="AX102" i="9"/>
  <c r="AZ102" i="9" s="1"/>
  <c r="AX108" i="9"/>
  <c r="AZ108" i="9" s="1"/>
  <c r="AX114" i="9"/>
  <c r="AZ114" i="9" s="1"/>
  <c r="AX120" i="9"/>
  <c r="AZ120" i="9" s="1"/>
  <c r="AX126" i="9"/>
  <c r="AZ126" i="9" s="1"/>
  <c r="AX132" i="9"/>
  <c r="AZ132" i="9" s="1"/>
  <c r="AX138" i="9"/>
  <c r="AZ138" i="9" s="1"/>
  <c r="AX144" i="9"/>
  <c r="AZ144" i="9" s="1"/>
  <c r="AX150" i="9"/>
  <c r="AZ150" i="9" s="1"/>
  <c r="AX156" i="9"/>
  <c r="AZ156" i="9" s="1"/>
  <c r="AX162" i="9"/>
  <c r="AZ162" i="9" s="1"/>
  <c r="AX168" i="9"/>
  <c r="AZ168" i="9" s="1"/>
  <c r="AX174" i="9"/>
  <c r="AZ174" i="9" s="1"/>
  <c r="AX180" i="9"/>
  <c r="AZ180" i="9" s="1"/>
  <c r="AX186" i="9"/>
  <c r="AZ186" i="9" s="1"/>
  <c r="AX192" i="9"/>
  <c r="AZ192" i="9" s="1"/>
  <c r="AX198" i="9"/>
  <c r="AZ198" i="9" s="1"/>
  <c r="AX204" i="9"/>
  <c r="AZ204" i="9" s="1"/>
  <c r="AX210" i="9"/>
  <c r="AZ210" i="9" s="1"/>
  <c r="AX216" i="9"/>
  <c r="AZ216" i="9" s="1"/>
  <c r="AX222" i="9"/>
  <c r="AZ222" i="9" s="1"/>
  <c r="AX228" i="9"/>
  <c r="AZ228" i="9" s="1"/>
  <c r="AX234" i="9"/>
  <c r="AZ234" i="9" s="1"/>
  <c r="AX240" i="9"/>
  <c r="AZ240" i="9" s="1"/>
  <c r="AX246" i="9"/>
  <c r="AZ246" i="9" s="1"/>
  <c r="AX6" i="9"/>
  <c r="AZ6" i="9" s="1"/>
  <c r="AX7" i="9"/>
  <c r="AZ7" i="9" s="1"/>
  <c r="AX13" i="9"/>
  <c r="AZ13" i="9" s="1"/>
  <c r="AX19" i="9"/>
  <c r="AZ19" i="9" s="1"/>
  <c r="AX25" i="9"/>
  <c r="AZ25" i="9" s="1"/>
  <c r="AX31" i="9"/>
  <c r="AZ31" i="9" s="1"/>
  <c r="AX37" i="9"/>
  <c r="AZ37" i="9" s="1"/>
  <c r="AX43" i="9"/>
  <c r="AZ43" i="9" s="1"/>
  <c r="AX49" i="9"/>
  <c r="AZ49" i="9" s="1"/>
  <c r="AX55" i="9"/>
  <c r="AZ55" i="9" s="1"/>
  <c r="AX61" i="9"/>
  <c r="AZ61" i="9" s="1"/>
  <c r="AX67" i="9"/>
  <c r="AZ67" i="9" s="1"/>
  <c r="AX73" i="9"/>
  <c r="AZ73" i="9" s="1"/>
  <c r="AX79" i="9"/>
  <c r="AZ79" i="9" s="1"/>
  <c r="AX85" i="9"/>
  <c r="AZ85" i="9" s="1"/>
  <c r="AX91" i="9"/>
  <c r="AZ91" i="9" s="1"/>
  <c r="AX97" i="9"/>
  <c r="AZ97" i="9" s="1"/>
  <c r="AX103" i="9"/>
  <c r="AZ103" i="9" s="1"/>
  <c r="AX109" i="9"/>
  <c r="AZ109" i="9" s="1"/>
  <c r="AX115" i="9"/>
  <c r="AZ115" i="9" s="1"/>
  <c r="AX121" i="9"/>
  <c r="AZ121" i="9" s="1"/>
  <c r="AX127" i="9"/>
  <c r="AZ127" i="9" s="1"/>
  <c r="AX133" i="9"/>
  <c r="AZ133" i="9" s="1"/>
  <c r="AX139" i="9"/>
  <c r="AZ139" i="9" s="1"/>
  <c r="AX145" i="9"/>
  <c r="AZ145" i="9" s="1"/>
  <c r="AX151" i="9"/>
  <c r="AZ151" i="9" s="1"/>
  <c r="AX157" i="9"/>
  <c r="AZ157" i="9" s="1"/>
  <c r="AX163" i="9"/>
  <c r="AZ163" i="9" s="1"/>
  <c r="AX169" i="9"/>
  <c r="AZ169" i="9" s="1"/>
  <c r="AX175" i="9"/>
  <c r="AZ175" i="9" s="1"/>
  <c r="AX181" i="9"/>
  <c r="AZ181" i="9" s="1"/>
  <c r="AX187" i="9"/>
  <c r="AZ187" i="9" s="1"/>
  <c r="AX193" i="9"/>
  <c r="AZ193" i="9" s="1"/>
  <c r="AX199" i="9"/>
  <c r="AZ199" i="9" s="1"/>
  <c r="AX205" i="9"/>
  <c r="AZ205" i="9" s="1"/>
  <c r="AX211" i="9"/>
  <c r="AZ211" i="9" s="1"/>
  <c r="AX217" i="9"/>
  <c r="AZ217" i="9" s="1"/>
  <c r="AX223" i="9"/>
  <c r="AZ223" i="9" s="1"/>
  <c r="AX229" i="9"/>
  <c r="AZ229" i="9" s="1"/>
  <c r="AX235" i="9"/>
  <c r="AZ235" i="9" s="1"/>
  <c r="AX241" i="9"/>
  <c r="AZ241" i="9" s="1"/>
  <c r="AX247" i="9"/>
  <c r="AZ247" i="9" s="1"/>
  <c r="AX8" i="9"/>
  <c r="AZ8" i="9" s="1"/>
  <c r="AX14" i="9"/>
  <c r="AZ14" i="9" s="1"/>
  <c r="AX20" i="9"/>
  <c r="AZ20" i="9" s="1"/>
  <c r="AX26" i="9"/>
  <c r="AZ26" i="9" s="1"/>
  <c r="AX32" i="9"/>
  <c r="AZ32" i="9" s="1"/>
  <c r="AX38" i="9"/>
  <c r="AZ38" i="9" s="1"/>
  <c r="AX44" i="9"/>
  <c r="AZ44" i="9" s="1"/>
  <c r="AX50" i="9"/>
  <c r="AZ50" i="9" s="1"/>
  <c r="AX56" i="9"/>
  <c r="AZ56" i="9" s="1"/>
  <c r="AX62" i="9"/>
  <c r="AZ62" i="9" s="1"/>
  <c r="AX68" i="9"/>
  <c r="AZ68" i="9" s="1"/>
  <c r="AX74" i="9"/>
  <c r="AZ74" i="9" s="1"/>
  <c r="AX80" i="9"/>
  <c r="AZ80" i="9" s="1"/>
  <c r="AX86" i="9"/>
  <c r="AZ86" i="9" s="1"/>
  <c r="AX92" i="9"/>
  <c r="AZ92" i="9" s="1"/>
  <c r="AX98" i="9"/>
  <c r="AZ98" i="9" s="1"/>
  <c r="AX104" i="9"/>
  <c r="AZ104" i="9" s="1"/>
  <c r="AX110" i="9"/>
  <c r="AZ110" i="9" s="1"/>
  <c r="AX116" i="9"/>
  <c r="AZ116" i="9" s="1"/>
  <c r="AX122" i="9"/>
  <c r="AZ122" i="9" s="1"/>
  <c r="AX128" i="9"/>
  <c r="AZ128" i="9" s="1"/>
  <c r="AX134" i="9"/>
  <c r="AZ134" i="9" s="1"/>
  <c r="AX140" i="9"/>
  <c r="AZ140" i="9" s="1"/>
  <c r="AX146" i="9"/>
  <c r="AZ146" i="9" s="1"/>
  <c r="AX152" i="9"/>
  <c r="AZ152" i="9" s="1"/>
  <c r="AX158" i="9"/>
  <c r="AZ158" i="9" s="1"/>
  <c r="AX164" i="9"/>
  <c r="AZ164" i="9" s="1"/>
  <c r="AX170" i="9"/>
  <c r="AZ170" i="9" s="1"/>
  <c r="AX176" i="9"/>
  <c r="AZ176" i="9" s="1"/>
  <c r="AX182" i="9"/>
  <c r="AZ182" i="9" s="1"/>
  <c r="AX188" i="9"/>
  <c r="AZ188" i="9" s="1"/>
  <c r="AX194" i="9"/>
  <c r="AZ194" i="9" s="1"/>
  <c r="AX200" i="9"/>
  <c r="AZ200" i="9" s="1"/>
  <c r="AX206" i="9"/>
  <c r="AZ206" i="9" s="1"/>
  <c r="AX212" i="9"/>
  <c r="AZ212" i="9" s="1"/>
  <c r="AX218" i="9"/>
  <c r="AZ218" i="9" s="1"/>
  <c r="AX224" i="9"/>
  <c r="AZ224" i="9" s="1"/>
  <c r="AX230" i="9"/>
  <c r="AZ230" i="9" s="1"/>
  <c r="AX236" i="9"/>
  <c r="AZ236" i="9" s="1"/>
  <c r="AX242" i="9"/>
  <c r="AZ242" i="9" s="1"/>
  <c r="AX248" i="9"/>
  <c r="AZ248" i="9" s="1"/>
  <c r="AX9" i="9"/>
  <c r="AZ9" i="9" s="1"/>
  <c r="AX15" i="9"/>
  <c r="AZ15" i="9" s="1"/>
  <c r="AX21" i="9"/>
  <c r="AZ21" i="9" s="1"/>
  <c r="AX27" i="9"/>
  <c r="AZ27" i="9" s="1"/>
  <c r="AX33" i="9"/>
  <c r="AZ33" i="9" s="1"/>
  <c r="AX39" i="9"/>
  <c r="AZ39" i="9" s="1"/>
  <c r="AX45" i="9"/>
  <c r="AZ45" i="9" s="1"/>
  <c r="AX51" i="9"/>
  <c r="AZ51" i="9" s="1"/>
  <c r="AX57" i="9"/>
  <c r="AZ57" i="9" s="1"/>
  <c r="AX63" i="9"/>
  <c r="AZ63" i="9" s="1"/>
  <c r="AX69" i="9"/>
  <c r="AZ69" i="9" s="1"/>
  <c r="AX75" i="9"/>
  <c r="AZ75" i="9" s="1"/>
  <c r="AX81" i="9"/>
  <c r="AZ81" i="9" s="1"/>
  <c r="AX87" i="9"/>
  <c r="AZ87" i="9" s="1"/>
  <c r="AX93" i="9"/>
  <c r="AZ93" i="9" s="1"/>
  <c r="AX99" i="9"/>
  <c r="AZ99" i="9" s="1"/>
  <c r="AX105" i="9"/>
  <c r="AZ105" i="9" s="1"/>
  <c r="AX111" i="9"/>
  <c r="AZ111" i="9" s="1"/>
  <c r="AX117" i="9"/>
  <c r="AZ117" i="9" s="1"/>
  <c r="AX123" i="9"/>
  <c r="AZ123" i="9" s="1"/>
  <c r="AX129" i="9"/>
  <c r="AZ129" i="9" s="1"/>
  <c r="AX135" i="9"/>
  <c r="AZ135" i="9" s="1"/>
  <c r="AX141" i="9"/>
  <c r="AZ141" i="9" s="1"/>
  <c r="AX147" i="9"/>
  <c r="AZ147" i="9" s="1"/>
  <c r="AX153" i="9"/>
  <c r="AZ153" i="9" s="1"/>
  <c r="AX159" i="9"/>
  <c r="AZ159" i="9" s="1"/>
  <c r="AX165" i="9"/>
  <c r="AZ165" i="9" s="1"/>
  <c r="AX171" i="9"/>
  <c r="AZ171" i="9" s="1"/>
  <c r="AX177" i="9"/>
  <c r="AZ177" i="9" s="1"/>
  <c r="AX183" i="9"/>
  <c r="AZ183" i="9" s="1"/>
  <c r="AX189" i="9"/>
  <c r="AZ189" i="9" s="1"/>
  <c r="AX195" i="9"/>
  <c r="AZ195" i="9" s="1"/>
  <c r="AX201" i="9"/>
  <c r="AZ201" i="9" s="1"/>
  <c r="AX207" i="9"/>
  <c r="AZ207" i="9" s="1"/>
  <c r="AX213" i="9"/>
  <c r="AZ213" i="9" s="1"/>
  <c r="AX219" i="9"/>
  <c r="AZ219" i="9" s="1"/>
  <c r="AX225" i="9"/>
  <c r="AZ225" i="9" s="1"/>
  <c r="AX231" i="9"/>
  <c r="AZ231" i="9" s="1"/>
  <c r="AX237" i="9"/>
  <c r="AZ237" i="9" s="1"/>
  <c r="AX243" i="9"/>
  <c r="AZ243" i="9" s="1"/>
  <c r="AX249" i="9"/>
  <c r="AZ249" i="9" s="1"/>
  <c r="AX10" i="9"/>
  <c r="AZ10" i="9" s="1"/>
  <c r="AX16" i="9"/>
  <c r="AZ16" i="9" s="1"/>
  <c r="AX22" i="9"/>
  <c r="AZ22" i="9" s="1"/>
  <c r="AX28" i="9"/>
  <c r="AZ28" i="9" s="1"/>
  <c r="AX34" i="9"/>
  <c r="AZ34" i="9" s="1"/>
  <c r="AX40" i="9"/>
  <c r="AZ40" i="9" s="1"/>
  <c r="AX46" i="9"/>
  <c r="AZ46" i="9" s="1"/>
  <c r="AX52" i="9"/>
  <c r="AZ52" i="9" s="1"/>
  <c r="AX58" i="9"/>
  <c r="AZ58" i="9" s="1"/>
  <c r="AX64" i="9"/>
  <c r="AZ64" i="9" s="1"/>
  <c r="AX70" i="9"/>
  <c r="AZ70" i="9" s="1"/>
  <c r="AX76" i="9"/>
  <c r="AZ76" i="9" s="1"/>
  <c r="AX82" i="9"/>
  <c r="AZ82" i="9" s="1"/>
  <c r="AX88" i="9"/>
  <c r="AZ88" i="9" s="1"/>
  <c r="AX94" i="9"/>
  <c r="AZ94" i="9" s="1"/>
  <c r="AX100" i="9"/>
  <c r="AZ100" i="9" s="1"/>
  <c r="AX106" i="9"/>
  <c r="AZ106" i="9" s="1"/>
  <c r="AX112" i="9"/>
  <c r="AZ112" i="9" s="1"/>
  <c r="AX118" i="9"/>
  <c r="AZ118" i="9" s="1"/>
  <c r="AX124" i="9"/>
  <c r="AZ124" i="9" s="1"/>
  <c r="AX130" i="9"/>
  <c r="AZ130" i="9" s="1"/>
  <c r="AX136" i="9"/>
  <c r="AZ136" i="9" s="1"/>
  <c r="AX142" i="9"/>
  <c r="AZ142" i="9" s="1"/>
  <c r="AX148" i="9"/>
  <c r="AZ148" i="9" s="1"/>
  <c r="AX154" i="9"/>
  <c r="AZ154" i="9" s="1"/>
  <c r="AX160" i="9"/>
  <c r="AZ160" i="9" s="1"/>
  <c r="AX166" i="9"/>
  <c r="AZ166" i="9" s="1"/>
  <c r="AX172" i="9"/>
  <c r="AZ172" i="9" s="1"/>
  <c r="AX178" i="9"/>
  <c r="AZ178" i="9" s="1"/>
  <c r="AX184" i="9"/>
  <c r="AZ184" i="9" s="1"/>
  <c r="AX190" i="9"/>
  <c r="AZ190" i="9" s="1"/>
  <c r="AX196" i="9"/>
  <c r="AZ196" i="9" s="1"/>
  <c r="AX202" i="9"/>
  <c r="AZ202" i="9" s="1"/>
  <c r="AX208" i="9"/>
  <c r="AZ208" i="9" s="1"/>
  <c r="AX214" i="9"/>
  <c r="AZ214" i="9" s="1"/>
  <c r="AX220" i="9"/>
  <c r="AZ220" i="9" s="1"/>
  <c r="AX226" i="9"/>
  <c r="AZ226" i="9" s="1"/>
  <c r="AX232" i="9"/>
  <c r="AZ232" i="9" s="1"/>
  <c r="AX238" i="9"/>
  <c r="AZ238" i="9" s="1"/>
  <c r="AX244" i="9"/>
  <c r="AZ244" i="9" s="1"/>
  <c r="AX250" i="9"/>
  <c r="AZ250" i="9" s="1"/>
  <c r="AX11" i="9"/>
  <c r="AZ11" i="9" s="1"/>
  <c r="AX17" i="9"/>
  <c r="AZ17" i="9" s="1"/>
  <c r="AX23" i="9"/>
  <c r="AZ23" i="9" s="1"/>
  <c r="AX29" i="9"/>
  <c r="AZ29" i="9" s="1"/>
  <c r="AX35" i="9"/>
  <c r="AZ35" i="9" s="1"/>
  <c r="AX41" i="9"/>
  <c r="AZ41" i="9" s="1"/>
  <c r="AX47" i="9"/>
  <c r="AZ47" i="9" s="1"/>
  <c r="AX53" i="9"/>
  <c r="AZ53" i="9" s="1"/>
  <c r="AX59" i="9"/>
  <c r="AZ59" i="9" s="1"/>
  <c r="AX65" i="9"/>
  <c r="AZ65" i="9" s="1"/>
  <c r="AX71" i="9"/>
  <c r="AZ71" i="9" s="1"/>
  <c r="AX77" i="9"/>
  <c r="AZ77" i="9" s="1"/>
  <c r="AX83" i="9"/>
  <c r="AZ83" i="9" s="1"/>
  <c r="AX89" i="9"/>
  <c r="AZ89" i="9" s="1"/>
  <c r="AX95" i="9"/>
  <c r="AZ95" i="9" s="1"/>
  <c r="AX101" i="9"/>
  <c r="AZ101" i="9" s="1"/>
  <c r="AX107" i="9"/>
  <c r="AZ107" i="9" s="1"/>
  <c r="AX113" i="9"/>
  <c r="AZ113" i="9" s="1"/>
  <c r="AX119" i="9"/>
  <c r="AZ119" i="9" s="1"/>
  <c r="AX125" i="9"/>
  <c r="AZ125" i="9" s="1"/>
  <c r="AX131" i="9"/>
  <c r="AZ131" i="9" s="1"/>
  <c r="AX137" i="9"/>
  <c r="AZ137" i="9" s="1"/>
  <c r="AX143" i="9"/>
  <c r="AZ143" i="9" s="1"/>
  <c r="AX149" i="9"/>
  <c r="AZ149" i="9" s="1"/>
  <c r="AX155" i="9"/>
  <c r="AZ155" i="9" s="1"/>
  <c r="AX161" i="9"/>
  <c r="AZ161" i="9" s="1"/>
  <c r="AX167" i="9"/>
  <c r="AZ167" i="9" s="1"/>
  <c r="AX173" i="9"/>
  <c r="AZ173" i="9" s="1"/>
  <c r="AX179" i="9"/>
  <c r="AZ179" i="9" s="1"/>
  <c r="AX185" i="9"/>
  <c r="AZ185" i="9" s="1"/>
  <c r="AX191" i="9"/>
  <c r="AZ191" i="9" s="1"/>
  <c r="AX197" i="9"/>
  <c r="AZ197" i="9" s="1"/>
  <c r="AX203" i="9"/>
  <c r="AZ203" i="9" s="1"/>
  <c r="AX209" i="9"/>
  <c r="AZ209" i="9" s="1"/>
  <c r="AX215" i="9"/>
  <c r="AZ215" i="9" s="1"/>
  <c r="AX221" i="9"/>
  <c r="AZ221" i="9" s="1"/>
  <c r="AX227" i="9"/>
  <c r="AZ227" i="9" s="1"/>
  <c r="AX233" i="9"/>
  <c r="AZ233" i="9" s="1"/>
  <c r="AX239" i="9"/>
  <c r="AZ239" i="9" s="1"/>
  <c r="AX245" i="9"/>
  <c r="AZ245" i="9" s="1"/>
  <c r="AC18" i="9"/>
  <c r="AD18" i="9" s="1"/>
  <c r="Q18" i="9"/>
  <c r="S18" i="9" s="1"/>
  <c r="V18" i="9" s="1"/>
  <c r="AR5" i="8"/>
  <c r="BF5" i="8" s="1"/>
  <c r="BK5" i="8" s="1"/>
  <c r="AR5" i="9"/>
  <c r="BF5" i="9" s="1"/>
  <c r="BK5" i="9" s="1"/>
  <c r="C19" i="9"/>
  <c r="BP19" i="9" s="1"/>
  <c r="B19" i="9"/>
  <c r="P6" i="8"/>
  <c r="U6" i="8" s="1"/>
  <c r="AX7" i="8"/>
  <c r="AZ7" i="8" s="1"/>
  <c r="AU7" i="8"/>
  <c r="AW7" i="8" s="1"/>
  <c r="N7" i="8"/>
  <c r="P7" i="8" s="1"/>
  <c r="U7" i="8" s="1"/>
  <c r="AI7" i="8"/>
  <c r="AU6" i="8"/>
  <c r="AW6" i="8" s="1"/>
  <c r="BA6" i="8" s="1"/>
  <c r="AX8" i="8"/>
  <c r="AZ8" i="8" s="1"/>
  <c r="AU8" i="8"/>
  <c r="AW8" i="8" s="1"/>
  <c r="N8" i="8"/>
  <c r="P8" i="8" s="1"/>
  <c r="U8" i="8" s="1"/>
  <c r="AI8" i="8"/>
  <c r="AX9" i="8"/>
  <c r="AU9" i="8"/>
  <c r="AW9" i="8" s="1"/>
  <c r="AI9" i="8"/>
  <c r="N9" i="8"/>
  <c r="P9" i="8" s="1"/>
  <c r="U9" i="8" s="1"/>
  <c r="AX6" i="8"/>
  <c r="AZ6" i="8" s="1"/>
  <c r="E17" i="3"/>
  <c r="F16" i="3"/>
  <c r="G16" i="3" s="1"/>
  <c r="H16" i="3" s="1"/>
  <c r="AC8" i="8"/>
  <c r="D20" i="3"/>
  <c r="M9" i="8"/>
  <c r="T9" i="8" s="1"/>
  <c r="M7" i="8"/>
  <c r="T7" i="8" s="1"/>
  <c r="M8" i="8"/>
  <c r="T8" i="8" s="1"/>
  <c r="K10" i="8"/>
  <c r="K11" i="8"/>
  <c r="S7" i="8"/>
  <c r="V7" i="8" s="1"/>
  <c r="AD8" i="8"/>
  <c r="AJ8" i="8" s="1"/>
  <c r="D12" i="8"/>
  <c r="E12" i="8" s="1"/>
  <c r="G175" i="8" l="1"/>
  <c r="G181" i="8"/>
  <c r="G176" i="8"/>
  <c r="G182" i="8"/>
  <c r="G177" i="8"/>
  <c r="G183" i="8"/>
  <c r="G178" i="8"/>
  <c r="G184" i="8"/>
  <c r="G179" i="8"/>
  <c r="G185" i="8"/>
  <c r="G174" i="8"/>
  <c r="G180" i="8"/>
  <c r="G79" i="8"/>
  <c r="G85" i="8"/>
  <c r="G80" i="8"/>
  <c r="G86" i="8"/>
  <c r="G81" i="8"/>
  <c r="G87" i="8"/>
  <c r="G82" i="8"/>
  <c r="G88" i="8"/>
  <c r="G83" i="8"/>
  <c r="G89" i="8"/>
  <c r="G78" i="8"/>
  <c r="G84" i="8"/>
  <c r="G199" i="8"/>
  <c r="G205" i="8"/>
  <c r="G206" i="8"/>
  <c r="G201" i="8"/>
  <c r="G207" i="8"/>
  <c r="G208" i="8"/>
  <c r="G202" i="8"/>
  <c r="G203" i="8"/>
  <c r="G209" i="8"/>
  <c r="G200" i="8"/>
  <c r="G198" i="8"/>
  <c r="G204" i="8"/>
  <c r="G55" i="8"/>
  <c r="G61" i="8"/>
  <c r="G56" i="8"/>
  <c r="G62" i="8"/>
  <c r="G57" i="8"/>
  <c r="G63" i="8"/>
  <c r="G58" i="8"/>
  <c r="G64" i="8"/>
  <c r="G59" i="8"/>
  <c r="G65" i="8"/>
  <c r="G54" i="8"/>
  <c r="G60" i="8"/>
  <c r="G290" i="8"/>
  <c r="G285" i="8"/>
  <c r="G291" i="8"/>
  <c r="G286" i="8"/>
  <c r="G287" i="8"/>
  <c r="G293" i="8"/>
  <c r="G289" i="8"/>
  <c r="G292" i="8"/>
  <c r="G282" i="8"/>
  <c r="G288" i="8"/>
  <c r="G283" i="8"/>
  <c r="G284" i="8"/>
  <c r="G247" i="8"/>
  <c r="G253" i="8"/>
  <c r="G254" i="8"/>
  <c r="G249" i="8"/>
  <c r="G255" i="8"/>
  <c r="G250" i="8"/>
  <c r="G256" i="8"/>
  <c r="G251" i="8"/>
  <c r="G257" i="8"/>
  <c r="G248" i="8"/>
  <c r="G246" i="8"/>
  <c r="G252" i="8"/>
  <c r="G259" i="8"/>
  <c r="G265" i="8"/>
  <c r="G266" i="8"/>
  <c r="G261" i="8"/>
  <c r="G267" i="8"/>
  <c r="G262" i="8"/>
  <c r="G268" i="8"/>
  <c r="G263" i="8"/>
  <c r="G269" i="8"/>
  <c r="G258" i="8"/>
  <c r="G264" i="8"/>
  <c r="G260" i="8"/>
  <c r="G223" i="8"/>
  <c r="G229" i="8"/>
  <c r="G230" i="8"/>
  <c r="G225" i="8"/>
  <c r="G231" i="8"/>
  <c r="G226" i="8"/>
  <c r="G232" i="8"/>
  <c r="G227" i="8"/>
  <c r="G233" i="8"/>
  <c r="G224" i="8"/>
  <c r="G222" i="8"/>
  <c r="G228" i="8"/>
  <c r="G313" i="8"/>
  <c r="G314" i="8"/>
  <c r="G316" i="8"/>
  <c r="G309" i="8"/>
  <c r="G315" i="8"/>
  <c r="G311" i="8"/>
  <c r="G317" i="8"/>
  <c r="G307" i="8"/>
  <c r="G306" i="8"/>
  <c r="G312" i="8"/>
  <c r="G308" i="8"/>
  <c r="G310" i="8"/>
  <c r="G115" i="8"/>
  <c r="G121" i="8"/>
  <c r="G116" i="8"/>
  <c r="G122" i="8"/>
  <c r="G117" i="8"/>
  <c r="G123" i="8"/>
  <c r="G118" i="8"/>
  <c r="G124" i="8"/>
  <c r="G119" i="8"/>
  <c r="G125" i="8"/>
  <c r="G114" i="8"/>
  <c r="G120" i="8"/>
  <c r="G151" i="8"/>
  <c r="G157" i="8"/>
  <c r="G152" i="8"/>
  <c r="G158" i="8"/>
  <c r="G153" i="8"/>
  <c r="G159" i="8"/>
  <c r="G154" i="8"/>
  <c r="G160" i="8"/>
  <c r="G155" i="8"/>
  <c r="G161" i="8"/>
  <c r="G150" i="8"/>
  <c r="G156" i="8"/>
  <c r="G91" i="8"/>
  <c r="G97" i="8"/>
  <c r="G92" i="8"/>
  <c r="G98" i="8"/>
  <c r="G93" i="8"/>
  <c r="G99" i="8"/>
  <c r="G94" i="8"/>
  <c r="G100" i="8"/>
  <c r="G95" i="8"/>
  <c r="G101" i="8"/>
  <c r="G90" i="8"/>
  <c r="G96" i="8"/>
  <c r="G187" i="8"/>
  <c r="G193" i="8"/>
  <c r="G188" i="8"/>
  <c r="G189" i="8"/>
  <c r="G195" i="8"/>
  <c r="G190" i="8"/>
  <c r="G196" i="8"/>
  <c r="G191" i="8"/>
  <c r="G197" i="8"/>
  <c r="G186" i="8"/>
  <c r="G192" i="8"/>
  <c r="G194" i="8"/>
  <c r="G31" i="8"/>
  <c r="G37" i="8"/>
  <c r="G32" i="8"/>
  <c r="G38" i="8"/>
  <c r="G33" i="8"/>
  <c r="G39" i="8"/>
  <c r="G34" i="8"/>
  <c r="G40" i="8"/>
  <c r="G35" i="8"/>
  <c r="G41" i="8"/>
  <c r="G30" i="8"/>
  <c r="G36" i="8"/>
  <c r="G127" i="8"/>
  <c r="G133" i="8"/>
  <c r="G128" i="8"/>
  <c r="G134" i="8"/>
  <c r="G129" i="8"/>
  <c r="G135" i="8"/>
  <c r="G130" i="8"/>
  <c r="G136" i="8"/>
  <c r="G131" i="8"/>
  <c r="G137" i="8"/>
  <c r="G126" i="8"/>
  <c r="G132" i="8"/>
  <c r="G7" i="8"/>
  <c r="H7" i="8" s="1"/>
  <c r="G13" i="8"/>
  <c r="G8" i="8"/>
  <c r="H8" i="8" s="1"/>
  <c r="G14" i="8"/>
  <c r="G9" i="8"/>
  <c r="H9" i="8" s="1"/>
  <c r="G15" i="8"/>
  <c r="G10" i="8"/>
  <c r="G16" i="8"/>
  <c r="G11" i="8"/>
  <c r="G17" i="8"/>
  <c r="G12" i="8"/>
  <c r="G6" i="8"/>
  <c r="H6" i="8" s="1"/>
  <c r="I6" i="8" s="1"/>
  <c r="G235" i="8"/>
  <c r="G241" i="8"/>
  <c r="G242" i="8"/>
  <c r="G237" i="8"/>
  <c r="G243" i="8"/>
  <c r="G238" i="8"/>
  <c r="G244" i="8"/>
  <c r="G239" i="8"/>
  <c r="G245" i="8"/>
  <c r="G234" i="8"/>
  <c r="G240" i="8"/>
  <c r="G236" i="8"/>
  <c r="G211" i="8"/>
  <c r="G217" i="8"/>
  <c r="G212" i="8"/>
  <c r="G213" i="8"/>
  <c r="G219" i="8"/>
  <c r="G214" i="8"/>
  <c r="G220" i="8"/>
  <c r="G215" i="8"/>
  <c r="G221" i="8"/>
  <c r="G210" i="8"/>
  <c r="G216" i="8"/>
  <c r="G218" i="8"/>
  <c r="G163" i="8"/>
  <c r="G169" i="8"/>
  <c r="G164" i="8"/>
  <c r="G170" i="8"/>
  <c r="G165" i="8"/>
  <c r="G171" i="8"/>
  <c r="G166" i="8"/>
  <c r="G172" i="8"/>
  <c r="G167" i="8"/>
  <c r="G173" i="8"/>
  <c r="G162" i="8"/>
  <c r="G168" i="8"/>
  <c r="G277" i="8"/>
  <c r="G278" i="8"/>
  <c r="G273" i="8"/>
  <c r="G279" i="8"/>
  <c r="G274" i="8"/>
  <c r="G280" i="8"/>
  <c r="G275" i="8"/>
  <c r="G281" i="8"/>
  <c r="G271" i="8"/>
  <c r="G272" i="8"/>
  <c r="G270" i="8"/>
  <c r="G276" i="8"/>
  <c r="G103" i="8"/>
  <c r="G109" i="8"/>
  <c r="G104" i="8"/>
  <c r="G110" i="8"/>
  <c r="G105" i="8"/>
  <c r="G111" i="8"/>
  <c r="G106" i="8"/>
  <c r="G112" i="8"/>
  <c r="G107" i="8"/>
  <c r="G113" i="8"/>
  <c r="G102" i="8"/>
  <c r="G108" i="8"/>
  <c r="G295" i="8"/>
  <c r="G302" i="8"/>
  <c r="G304" i="8"/>
  <c r="G297" i="8"/>
  <c r="G303" i="8"/>
  <c r="G298" i="8"/>
  <c r="G299" i="8"/>
  <c r="G305" i="8"/>
  <c r="G296" i="8"/>
  <c r="G294" i="8"/>
  <c r="G300" i="8"/>
  <c r="G301" i="8"/>
  <c r="G67" i="8"/>
  <c r="G73" i="8"/>
  <c r="G68" i="8"/>
  <c r="G74" i="8"/>
  <c r="G69" i="8"/>
  <c r="G75" i="8"/>
  <c r="G70" i="8"/>
  <c r="G76" i="8"/>
  <c r="G71" i="8"/>
  <c r="G77" i="8"/>
  <c r="G66" i="8"/>
  <c r="G72" i="8"/>
  <c r="G43" i="8"/>
  <c r="G49" i="8"/>
  <c r="G44" i="8"/>
  <c r="G50" i="8"/>
  <c r="G45" i="8"/>
  <c r="G51" i="8"/>
  <c r="G46" i="8"/>
  <c r="G52" i="8"/>
  <c r="G47" i="8"/>
  <c r="G53" i="8"/>
  <c r="G42" i="8"/>
  <c r="G48" i="8"/>
  <c r="G139" i="8"/>
  <c r="G145" i="8"/>
  <c r="G140" i="8"/>
  <c r="G146" i="8"/>
  <c r="G141" i="8"/>
  <c r="G147" i="8"/>
  <c r="G142" i="8"/>
  <c r="G148" i="8"/>
  <c r="G143" i="8"/>
  <c r="G149" i="8"/>
  <c r="G138" i="8"/>
  <c r="G144" i="8"/>
  <c r="G19" i="8"/>
  <c r="G25" i="8"/>
  <c r="G20" i="8"/>
  <c r="G26" i="8"/>
  <c r="G21" i="8"/>
  <c r="G27" i="8"/>
  <c r="G22" i="8"/>
  <c r="G28" i="8"/>
  <c r="G23" i="8"/>
  <c r="G29" i="8"/>
  <c r="G18" i="8"/>
  <c r="G24" i="8"/>
  <c r="AJ18" i="9"/>
  <c r="BE6" i="8"/>
  <c r="BC6" i="8" s="1"/>
  <c r="X6" i="8"/>
  <c r="G19" i="9"/>
  <c r="H19" i="9" s="1"/>
  <c r="G18" i="9"/>
  <c r="H18" i="9" s="1"/>
  <c r="G8" i="9"/>
  <c r="H8" i="9" s="1"/>
  <c r="G11" i="9"/>
  <c r="H11" i="9" s="1"/>
  <c r="G7" i="9"/>
  <c r="H7" i="9" s="1"/>
  <c r="G6" i="9"/>
  <c r="H6" i="9" s="1"/>
  <c r="I6" i="9" s="1"/>
  <c r="G13" i="9"/>
  <c r="H13" i="9" s="1"/>
  <c r="G16" i="9"/>
  <c r="H16" i="9" s="1"/>
  <c r="G15" i="9"/>
  <c r="H15" i="9" s="1"/>
  <c r="G14" i="9"/>
  <c r="H14" i="9" s="1"/>
  <c r="G12" i="9"/>
  <c r="H12" i="9" s="1"/>
  <c r="G17" i="9"/>
  <c r="H17" i="9" s="1"/>
  <c r="G10" i="9"/>
  <c r="H10" i="9" s="1"/>
  <c r="G9" i="9"/>
  <c r="H9" i="9" s="1"/>
  <c r="BQ19" i="9"/>
  <c r="BQ18" i="9"/>
  <c r="BQ6" i="9"/>
  <c r="BR6" i="9" s="1"/>
  <c r="BQ15" i="9"/>
  <c r="BQ8" i="9"/>
  <c r="BQ11" i="9"/>
  <c r="BQ7" i="9"/>
  <c r="BQ14" i="9"/>
  <c r="BQ17" i="9"/>
  <c r="BQ13" i="9"/>
  <c r="BQ10" i="9"/>
  <c r="BQ16" i="9"/>
  <c r="BQ12" i="9"/>
  <c r="BQ9" i="9"/>
  <c r="Y6" i="8"/>
  <c r="BB282" i="9"/>
  <c r="BF282" i="9" s="1"/>
  <c r="BB302" i="9"/>
  <c r="BF302" i="9" s="1"/>
  <c r="BB305" i="9"/>
  <c r="BF305" i="9" s="1"/>
  <c r="BB271" i="9"/>
  <c r="BF271" i="9" s="1"/>
  <c r="BB309" i="9"/>
  <c r="BF309" i="9" s="1"/>
  <c r="BB287" i="9"/>
  <c r="BF287" i="9" s="1"/>
  <c r="BB290" i="9"/>
  <c r="BF290" i="9" s="1"/>
  <c r="BB314" i="9"/>
  <c r="BF314" i="9" s="1"/>
  <c r="BB307" i="9"/>
  <c r="BF307" i="9" s="1"/>
  <c r="BB279" i="9"/>
  <c r="BF279" i="9" s="1"/>
  <c r="BB268" i="9"/>
  <c r="BF268" i="9" s="1"/>
  <c r="BB280" i="9"/>
  <c r="BF280" i="9" s="1"/>
  <c r="BB303" i="9"/>
  <c r="BF303" i="9" s="1"/>
  <c r="BB288" i="9"/>
  <c r="BF288" i="9" s="1"/>
  <c r="BB301" i="9"/>
  <c r="BF301" i="9" s="1"/>
  <c r="BB296" i="9"/>
  <c r="BF296" i="9" s="1"/>
  <c r="BB275" i="9"/>
  <c r="BF275" i="9" s="1"/>
  <c r="BB6" i="9"/>
  <c r="BF6" i="9" s="1"/>
  <c r="BD6" i="9" s="1"/>
  <c r="BB292" i="9"/>
  <c r="BF292" i="9" s="1"/>
  <c r="BB267" i="9"/>
  <c r="BF267" i="9" s="1"/>
  <c r="BB312" i="9"/>
  <c r="BF312" i="9" s="1"/>
  <c r="BB317" i="9"/>
  <c r="BF317" i="9" s="1"/>
  <c r="BB266" i="9"/>
  <c r="BF266" i="9" s="1"/>
  <c r="BB262" i="9"/>
  <c r="BF262" i="9" s="1"/>
  <c r="BB294" i="9"/>
  <c r="BF294" i="9" s="1"/>
  <c r="BB311" i="9"/>
  <c r="BF311" i="9" s="1"/>
  <c r="BB286" i="9"/>
  <c r="BF286" i="9" s="1"/>
  <c r="BB260" i="9"/>
  <c r="BF260" i="9" s="1"/>
  <c r="BB308" i="9"/>
  <c r="BF308" i="9" s="1"/>
  <c r="BB265" i="9"/>
  <c r="BF265" i="9" s="1"/>
  <c r="BB269" i="9"/>
  <c r="BF269" i="9" s="1"/>
  <c r="BB285" i="9"/>
  <c r="BF285" i="9" s="1"/>
  <c r="BB273" i="9"/>
  <c r="BF273" i="9" s="1"/>
  <c r="BB300" i="9"/>
  <c r="BF300" i="9" s="1"/>
  <c r="BB298" i="9"/>
  <c r="BF298" i="9" s="1"/>
  <c r="BB276" i="9"/>
  <c r="BF276" i="9" s="1"/>
  <c r="BB291" i="9"/>
  <c r="BF291" i="9" s="1"/>
  <c r="BB304" i="9"/>
  <c r="BF304" i="9" s="1"/>
  <c r="BB261" i="9"/>
  <c r="BF261" i="9" s="1"/>
  <c r="BB258" i="9"/>
  <c r="BF258" i="9" s="1"/>
  <c r="BB289" i="9"/>
  <c r="BF289" i="9" s="1"/>
  <c r="BB259" i="9"/>
  <c r="BF259" i="9" s="1"/>
  <c r="BB310" i="9"/>
  <c r="BF310" i="9" s="1"/>
  <c r="BB306" i="9"/>
  <c r="BF306" i="9" s="1"/>
  <c r="BB263" i="9"/>
  <c r="BF263" i="9" s="1"/>
  <c r="BB299" i="9"/>
  <c r="BF299" i="9" s="1"/>
  <c r="BB284" i="9"/>
  <c r="BF284" i="9" s="1"/>
  <c r="BB281" i="9"/>
  <c r="BF281" i="9" s="1"/>
  <c r="BB297" i="9"/>
  <c r="BF297" i="9" s="1"/>
  <c r="BB264" i="9"/>
  <c r="BF264" i="9" s="1"/>
  <c r="BB293" i="9"/>
  <c r="BF293" i="9" s="1"/>
  <c r="BB283" i="9"/>
  <c r="BF283" i="9" s="1"/>
  <c r="BB272" i="9"/>
  <c r="BF272" i="9" s="1"/>
  <c r="BB316" i="9"/>
  <c r="BF316" i="9" s="1"/>
  <c r="BB274" i="9"/>
  <c r="BF274" i="9" s="1"/>
  <c r="BB257" i="9"/>
  <c r="BF257" i="9" s="1"/>
  <c r="BB270" i="9"/>
  <c r="BF270" i="9" s="1"/>
  <c r="BB277" i="9"/>
  <c r="BF277" i="9" s="1"/>
  <c r="AA6" i="9"/>
  <c r="W7" i="9" s="1"/>
  <c r="AK6" i="9"/>
  <c r="AN6" i="9" s="1"/>
  <c r="AM6" i="9" s="1"/>
  <c r="BB313" i="9"/>
  <c r="BF313" i="9" s="1"/>
  <c r="BB295" i="9"/>
  <c r="BF295" i="9" s="1"/>
  <c r="BB278" i="9"/>
  <c r="BF278" i="9" s="1"/>
  <c r="BB315" i="9"/>
  <c r="BF315" i="9" s="1"/>
  <c r="P109" i="9"/>
  <c r="U109" i="9" s="1"/>
  <c r="P111" i="9"/>
  <c r="U111" i="9" s="1"/>
  <c r="P112" i="9"/>
  <c r="U112" i="9" s="1"/>
  <c r="P115" i="9"/>
  <c r="U115" i="9" s="1"/>
  <c r="P110" i="9"/>
  <c r="U110" i="9" s="1"/>
  <c r="P118" i="9"/>
  <c r="U118" i="9" s="1"/>
  <c r="P116" i="9"/>
  <c r="U116" i="9" s="1"/>
  <c r="P113" i="9"/>
  <c r="U113" i="9" s="1"/>
  <c r="P114" i="9"/>
  <c r="U114" i="9" s="1"/>
  <c r="P117" i="9"/>
  <c r="U117" i="9" s="1"/>
  <c r="P108" i="9"/>
  <c r="U108" i="9" s="1"/>
  <c r="Q19" i="9"/>
  <c r="S19" i="9" s="1"/>
  <c r="V19" i="9" s="1"/>
  <c r="AC19" i="9"/>
  <c r="AD19" i="9" s="1"/>
  <c r="B20" i="9"/>
  <c r="C20" i="9"/>
  <c r="BP20" i="9" s="1"/>
  <c r="BC6" i="9"/>
  <c r="BJ6" i="9"/>
  <c r="Z6" i="8"/>
  <c r="AX10" i="8"/>
  <c r="AU10" i="8"/>
  <c r="AW10" i="8" s="1"/>
  <c r="AI10" i="8"/>
  <c r="N10" i="8"/>
  <c r="P10" i="8" s="1"/>
  <c r="U10" i="8" s="1"/>
  <c r="AX11" i="8"/>
  <c r="AU11" i="8"/>
  <c r="AI11" i="8"/>
  <c r="N11" i="8"/>
  <c r="P11" i="8" s="1"/>
  <c r="U11" i="8" s="1"/>
  <c r="AE6" i="8"/>
  <c r="E18" i="3"/>
  <c r="F17" i="3"/>
  <c r="G17" i="3" s="1"/>
  <c r="H17" i="3" s="1"/>
  <c r="AZ9" i="8"/>
  <c r="Q9" i="8"/>
  <c r="S9" i="8" s="1"/>
  <c r="V9" i="8" s="1"/>
  <c r="D21" i="3"/>
  <c r="M10" i="8"/>
  <c r="T10" i="8" s="1"/>
  <c r="M11" i="8"/>
  <c r="T11" i="8" s="1"/>
  <c r="K12" i="8"/>
  <c r="AC9" i="8"/>
  <c r="AD9" i="8"/>
  <c r="AJ9" i="8" s="1"/>
  <c r="D13" i="8"/>
  <c r="E13" i="8" s="1"/>
  <c r="G20" i="9" l="1"/>
  <c r="H20" i="9" s="1"/>
  <c r="AK6" i="8"/>
  <c r="AL6" i="8"/>
  <c r="BJ6" i="8"/>
  <c r="I7" i="9"/>
  <c r="I8" i="9" s="1"/>
  <c r="I9" i="9" s="1"/>
  <c r="I10" i="9" s="1"/>
  <c r="I11" i="9" s="1"/>
  <c r="I12" i="9" s="1"/>
  <c r="I13" i="9" s="1"/>
  <c r="I14" i="9" s="1"/>
  <c r="I15" i="9" s="1"/>
  <c r="I16" i="9" s="1"/>
  <c r="I17" i="9" s="1"/>
  <c r="I18" i="9" s="1"/>
  <c r="I19" i="9" s="1"/>
  <c r="I7" i="8"/>
  <c r="BB6" i="8"/>
  <c r="BF6" i="8" s="1"/>
  <c r="BD6" i="8" s="1"/>
  <c r="AJ19" i="9"/>
  <c r="BQ20" i="9"/>
  <c r="BK6" i="9"/>
  <c r="BR7" i="9"/>
  <c r="BR8" i="9" s="1"/>
  <c r="BR9" i="9" s="1"/>
  <c r="BR10" i="9" s="1"/>
  <c r="BR11" i="9" s="1"/>
  <c r="BR12" i="9" s="1"/>
  <c r="BR13" i="9" s="1"/>
  <c r="BR14" i="9" s="1"/>
  <c r="BR15" i="9" s="1"/>
  <c r="BR16" i="9" s="1"/>
  <c r="BR17" i="9" s="1"/>
  <c r="BR18" i="9" s="1"/>
  <c r="BR19" i="9" s="1"/>
  <c r="Z7" i="9"/>
  <c r="X7" i="9"/>
  <c r="Y7" i="9"/>
  <c r="AL7" i="9" s="1"/>
  <c r="AE7" i="9"/>
  <c r="BA7" i="9"/>
  <c r="BE7" i="9" s="1"/>
  <c r="BC7" i="9" s="1"/>
  <c r="P120" i="9"/>
  <c r="U120" i="9" s="1"/>
  <c r="P127" i="9"/>
  <c r="U127" i="9" s="1"/>
  <c r="P123" i="9"/>
  <c r="U123" i="9" s="1"/>
  <c r="P122" i="9"/>
  <c r="U122" i="9" s="1"/>
  <c r="P128" i="9"/>
  <c r="U128" i="9" s="1"/>
  <c r="P124" i="9"/>
  <c r="U124" i="9" s="1"/>
  <c r="P129" i="9"/>
  <c r="U129" i="9" s="1"/>
  <c r="P130" i="9"/>
  <c r="U130" i="9" s="1"/>
  <c r="P121" i="9"/>
  <c r="U121" i="9" s="1"/>
  <c r="P126" i="9"/>
  <c r="U126" i="9" s="1"/>
  <c r="P119" i="9"/>
  <c r="U119" i="9" s="1"/>
  <c r="P125" i="9"/>
  <c r="U125" i="9" s="1"/>
  <c r="AC20" i="9"/>
  <c r="Q20" i="9"/>
  <c r="S20" i="9" s="1"/>
  <c r="V20" i="9" s="1"/>
  <c r="C21" i="9"/>
  <c r="B21" i="9"/>
  <c r="AD20" i="9"/>
  <c r="AA6" i="8"/>
  <c r="W7" i="8" s="1"/>
  <c r="BA7" i="8" s="1"/>
  <c r="BE7" i="8" s="1"/>
  <c r="BC7" i="8" s="1"/>
  <c r="AX12" i="8"/>
  <c r="AU12" i="8"/>
  <c r="AI12" i="8"/>
  <c r="N12" i="8"/>
  <c r="P12" i="8" s="1"/>
  <c r="U12" i="8" s="1"/>
  <c r="E19" i="3"/>
  <c r="F18" i="3"/>
  <c r="G18" i="3" s="1"/>
  <c r="H18" i="3" s="1"/>
  <c r="AZ10" i="8"/>
  <c r="H10" i="8"/>
  <c r="AC10" i="8"/>
  <c r="Q10" i="8"/>
  <c r="S10" i="8" s="1"/>
  <c r="V10" i="8" s="1"/>
  <c r="D22" i="3"/>
  <c r="M12" i="8"/>
  <c r="T12" i="8" s="1"/>
  <c r="K13" i="8"/>
  <c r="AD10" i="8"/>
  <c r="AJ10" i="8" s="1"/>
  <c r="H11" i="8"/>
  <c r="D14" i="8"/>
  <c r="E14" i="8" s="1"/>
  <c r="BP21" i="9" l="1"/>
  <c r="BQ21" i="9" s="1"/>
  <c r="G21" i="9"/>
  <c r="H21" i="9" s="1"/>
  <c r="AN6" i="8"/>
  <c r="AM6" i="8" s="1"/>
  <c r="I8" i="8"/>
  <c r="I9" i="8" s="1"/>
  <c r="I10" i="8" s="1"/>
  <c r="I11" i="8" s="1"/>
  <c r="BJ7" i="9"/>
  <c r="AJ20" i="9"/>
  <c r="BR20" i="9"/>
  <c r="AA7" i="9"/>
  <c r="BB7" i="9"/>
  <c r="BF7" i="9" s="1"/>
  <c r="BD7" i="9" s="1"/>
  <c r="AK7" i="9"/>
  <c r="AN7" i="9" s="1"/>
  <c r="P137" i="9"/>
  <c r="U137" i="9" s="1"/>
  <c r="P134" i="9"/>
  <c r="U134" i="9" s="1"/>
  <c r="P131" i="9"/>
  <c r="U131" i="9" s="1"/>
  <c r="P140" i="9"/>
  <c r="U140" i="9" s="1"/>
  <c r="P132" i="9"/>
  <c r="U132" i="9" s="1"/>
  <c r="P135" i="9"/>
  <c r="U135" i="9" s="1"/>
  <c r="P136" i="9"/>
  <c r="U136" i="9" s="1"/>
  <c r="P139" i="9"/>
  <c r="U139" i="9" s="1"/>
  <c r="P138" i="9"/>
  <c r="U138" i="9" s="1"/>
  <c r="P133" i="9"/>
  <c r="U133" i="9" s="1"/>
  <c r="P142" i="9"/>
  <c r="U142" i="9" s="1"/>
  <c r="P141" i="9"/>
  <c r="U141" i="9" s="1"/>
  <c r="B22" i="9"/>
  <c r="AD21" i="9"/>
  <c r="C22" i="9"/>
  <c r="I20" i="9"/>
  <c r="Q21" i="9"/>
  <c r="S21" i="9" s="1"/>
  <c r="V21" i="9" s="1"/>
  <c r="AC21" i="9"/>
  <c r="AU13" i="8"/>
  <c r="AX13" i="8"/>
  <c r="AI13" i="8"/>
  <c r="N13" i="8"/>
  <c r="P13" i="8" s="1"/>
  <c r="U13" i="8" s="1"/>
  <c r="E20" i="3"/>
  <c r="F19" i="3"/>
  <c r="G19" i="3" s="1"/>
  <c r="H19" i="3" s="1"/>
  <c r="D23" i="3"/>
  <c r="M13" i="8"/>
  <c r="T13" i="8" s="1"/>
  <c r="X7" i="8"/>
  <c r="AE7" i="8"/>
  <c r="K14" i="8"/>
  <c r="Y7" i="8"/>
  <c r="Z7" i="8"/>
  <c r="AW11" i="8"/>
  <c r="AZ11" i="8"/>
  <c r="AD11" i="8"/>
  <c r="AJ11" i="8" s="1"/>
  <c r="H12" i="8"/>
  <c r="Q11" i="8"/>
  <c r="S11" i="8" s="1"/>
  <c r="V11" i="8" s="1"/>
  <c r="AC11" i="8"/>
  <c r="D15" i="8"/>
  <c r="E15" i="8" s="1"/>
  <c r="BP22" i="9" l="1"/>
  <c r="BQ22" i="9" s="1"/>
  <c r="G22" i="9"/>
  <c r="H22" i="9" s="1"/>
  <c r="BR21" i="9"/>
  <c r="BK6" i="8"/>
  <c r="W8" i="9"/>
  <c r="AE8" i="9" s="1"/>
  <c r="AK7" i="8"/>
  <c r="AL7" i="8"/>
  <c r="AJ21" i="9"/>
  <c r="AM7" i="9"/>
  <c r="BK7" i="9"/>
  <c r="P145" i="9"/>
  <c r="U145" i="9" s="1"/>
  <c r="P153" i="9"/>
  <c r="U153" i="9" s="1"/>
  <c r="P143" i="9"/>
  <c r="U143" i="9" s="1"/>
  <c r="P150" i="9"/>
  <c r="U150" i="9" s="1"/>
  <c r="P151" i="9"/>
  <c r="U151" i="9" s="1"/>
  <c r="P149" i="9"/>
  <c r="U149" i="9" s="1"/>
  <c r="P152" i="9"/>
  <c r="U152" i="9" s="1"/>
  <c r="P146" i="9"/>
  <c r="U146" i="9" s="1"/>
  <c r="P147" i="9"/>
  <c r="U147" i="9" s="1"/>
  <c r="P154" i="9"/>
  <c r="U154" i="9" s="1"/>
  <c r="P148" i="9"/>
  <c r="U148" i="9" s="1"/>
  <c r="P144" i="9"/>
  <c r="U144" i="9" s="1"/>
  <c r="C23" i="9"/>
  <c r="B23" i="9"/>
  <c r="AD22" i="9"/>
  <c r="AJ22" i="9" s="1"/>
  <c r="I21" i="9"/>
  <c r="AC22" i="9"/>
  <c r="Q22" i="9"/>
  <c r="S22" i="9" s="1"/>
  <c r="V22" i="9" s="1"/>
  <c r="AX14" i="8"/>
  <c r="AU14" i="8"/>
  <c r="AI14" i="8"/>
  <c r="N14" i="8"/>
  <c r="P14" i="8" s="1"/>
  <c r="U14" i="8" s="1"/>
  <c r="E21" i="3"/>
  <c r="F20" i="3"/>
  <c r="G20" i="3" s="1"/>
  <c r="H20" i="3" s="1"/>
  <c r="D24" i="3"/>
  <c r="M14" i="8"/>
  <c r="T14" i="8" s="1"/>
  <c r="AA7" i="8"/>
  <c r="BB7" i="8"/>
  <c r="BF7" i="8" s="1"/>
  <c r="BD7" i="8" s="1"/>
  <c r="BJ7" i="8"/>
  <c r="K15" i="8"/>
  <c r="I12" i="8"/>
  <c r="AZ13" i="8"/>
  <c r="AW13" i="8"/>
  <c r="AZ12" i="8"/>
  <c r="AW12" i="8"/>
  <c r="AD12" i="8"/>
  <c r="Q13" i="8"/>
  <c r="S13" i="8" s="1"/>
  <c r="V13" i="8" s="1"/>
  <c r="AC13" i="8"/>
  <c r="Q12" i="8"/>
  <c r="S12" i="8" s="1"/>
  <c r="V12" i="8" s="1"/>
  <c r="AC12" i="8"/>
  <c r="H13" i="8"/>
  <c r="D16" i="8"/>
  <c r="E16" i="8" s="1"/>
  <c r="BR22" i="9" l="1"/>
  <c r="BP23" i="9"/>
  <c r="BQ23" i="9" s="1"/>
  <c r="G23" i="9"/>
  <c r="H23" i="9" s="1"/>
  <c r="Y8" i="9"/>
  <c r="AL8" i="9" s="1"/>
  <c r="X8" i="9"/>
  <c r="AK8" i="9" s="1"/>
  <c r="BA8" i="9"/>
  <c r="BE8" i="9" s="1"/>
  <c r="BC8" i="9" s="1"/>
  <c r="Z8" i="9"/>
  <c r="AN7" i="8"/>
  <c r="AM7" i="8" s="1"/>
  <c r="AJ12" i="8"/>
  <c r="P164" i="9"/>
  <c r="U164" i="9" s="1"/>
  <c r="P155" i="9"/>
  <c r="U155" i="9" s="1"/>
  <c r="P165" i="9"/>
  <c r="U165" i="9" s="1"/>
  <c r="P156" i="9"/>
  <c r="U156" i="9" s="1"/>
  <c r="P159" i="9"/>
  <c r="U159" i="9" s="1"/>
  <c r="P161" i="9"/>
  <c r="U161" i="9" s="1"/>
  <c r="P157" i="9"/>
  <c r="U157" i="9" s="1"/>
  <c r="P166" i="9"/>
  <c r="U166" i="9" s="1"/>
  <c r="P160" i="9"/>
  <c r="U160" i="9" s="1"/>
  <c r="P163" i="9"/>
  <c r="U163" i="9" s="1"/>
  <c r="P158" i="9"/>
  <c r="U158" i="9" s="1"/>
  <c r="P162" i="9"/>
  <c r="U162" i="9" s="1"/>
  <c r="B24" i="9"/>
  <c r="C24" i="9"/>
  <c r="AD23" i="9"/>
  <c r="AJ23" i="9" s="1"/>
  <c r="I22" i="9"/>
  <c r="Q23" i="9"/>
  <c r="S23" i="9" s="1"/>
  <c r="V23" i="9" s="1"/>
  <c r="AC23" i="9"/>
  <c r="AX15" i="8"/>
  <c r="AU15" i="8"/>
  <c r="AI15" i="8"/>
  <c r="N15" i="8"/>
  <c r="P15" i="8" s="1"/>
  <c r="U15" i="8" s="1"/>
  <c r="E22" i="3"/>
  <c r="F21" i="3"/>
  <c r="G21" i="3" s="1"/>
  <c r="H21" i="3" s="1"/>
  <c r="W8" i="8"/>
  <c r="Y8" i="8" s="1"/>
  <c r="D25" i="3"/>
  <c r="M15" i="8"/>
  <c r="T15" i="8" s="1"/>
  <c r="K16" i="8"/>
  <c r="I13" i="8"/>
  <c r="AZ14" i="8"/>
  <c r="AW14" i="8"/>
  <c r="Q14" i="8"/>
  <c r="S14" i="8" s="1"/>
  <c r="V14" i="8" s="1"/>
  <c r="AC14" i="8"/>
  <c r="AD13" i="8"/>
  <c r="H14" i="8"/>
  <c r="D17" i="8"/>
  <c r="E17" i="8" s="1"/>
  <c r="BR23" i="9" l="1"/>
  <c r="BP24" i="9"/>
  <c r="BQ24" i="9" s="1"/>
  <c r="G24" i="9"/>
  <c r="H24" i="9" s="1"/>
  <c r="AN8" i="9"/>
  <c r="AM8" i="9" s="1"/>
  <c r="AA8" i="9"/>
  <c r="W9" i="9" s="1"/>
  <c r="AE9" i="9" s="1"/>
  <c r="BJ8" i="9"/>
  <c r="BK7" i="8"/>
  <c r="BB8" i="9"/>
  <c r="BF8" i="9" s="1"/>
  <c r="BD8" i="9" s="1"/>
  <c r="AL8" i="8"/>
  <c r="AJ13" i="8"/>
  <c r="P175" i="9"/>
  <c r="U175" i="9" s="1"/>
  <c r="P178" i="9"/>
  <c r="U178" i="9" s="1"/>
  <c r="P171" i="9"/>
  <c r="U171" i="9" s="1"/>
  <c r="P168" i="9"/>
  <c r="U168" i="9" s="1"/>
  <c r="P170" i="9"/>
  <c r="U170" i="9" s="1"/>
  <c r="P172" i="9"/>
  <c r="U172" i="9" s="1"/>
  <c r="P176" i="9"/>
  <c r="U176" i="9" s="1"/>
  <c r="P177" i="9"/>
  <c r="U177" i="9" s="1"/>
  <c r="P169" i="9"/>
  <c r="U169" i="9" s="1"/>
  <c r="P173" i="9"/>
  <c r="U173" i="9" s="1"/>
  <c r="P167" i="9"/>
  <c r="U167" i="9" s="1"/>
  <c r="P174" i="9"/>
  <c r="U174" i="9" s="1"/>
  <c r="I23" i="9"/>
  <c r="AC24" i="9"/>
  <c r="Q24" i="9"/>
  <c r="S24" i="9" s="1"/>
  <c r="V24" i="9" s="1"/>
  <c r="AD24" i="9"/>
  <c r="AJ24" i="9" s="1"/>
  <c r="C25" i="9"/>
  <c r="B25" i="9"/>
  <c r="AX16" i="8"/>
  <c r="AU16" i="8"/>
  <c r="AI16" i="8"/>
  <c r="N16" i="8"/>
  <c r="P16" i="8" s="1"/>
  <c r="U16" i="8" s="1"/>
  <c r="E23" i="3"/>
  <c r="F22" i="3"/>
  <c r="G22" i="3" s="1"/>
  <c r="H22" i="3" s="1"/>
  <c r="X8" i="8"/>
  <c r="BA8" i="8"/>
  <c r="BE8" i="8" s="1"/>
  <c r="BC8" i="8" s="1"/>
  <c r="AE8" i="8"/>
  <c r="Z8" i="8"/>
  <c r="D26" i="3"/>
  <c r="M16" i="8"/>
  <c r="T16" i="8" s="1"/>
  <c r="K17" i="8"/>
  <c r="I14" i="8"/>
  <c r="AZ15" i="8"/>
  <c r="AW15" i="8"/>
  <c r="Q15" i="8"/>
  <c r="S15" i="8" s="1"/>
  <c r="V15" i="8" s="1"/>
  <c r="AC15" i="8"/>
  <c r="AD14" i="8"/>
  <c r="AJ14" i="8" s="1"/>
  <c r="H15" i="8"/>
  <c r="D18" i="8"/>
  <c r="E18" i="8" s="1"/>
  <c r="BR24" i="9" l="1"/>
  <c r="BP25" i="9"/>
  <c r="BQ25" i="9" s="1"/>
  <c r="G25" i="9"/>
  <c r="H25" i="9" s="1"/>
  <c r="BA9" i="9"/>
  <c r="BE9" i="9" s="1"/>
  <c r="BC9" i="9" s="1"/>
  <c r="Z9" i="9"/>
  <c r="Y9" i="9"/>
  <c r="AL9" i="9" s="1"/>
  <c r="X9" i="9"/>
  <c r="BK8" i="9"/>
  <c r="AK8" i="8"/>
  <c r="AN8" i="8" s="1"/>
  <c r="AM8" i="8" s="1"/>
  <c r="P190" i="9"/>
  <c r="U190" i="9" s="1"/>
  <c r="P184" i="9"/>
  <c r="U184" i="9" s="1"/>
  <c r="P187" i="9"/>
  <c r="U187" i="9" s="1"/>
  <c r="P181" i="9"/>
  <c r="U181" i="9" s="1"/>
  <c r="P186" i="9"/>
  <c r="U186" i="9" s="1"/>
  <c r="P183" i="9"/>
  <c r="U183" i="9" s="1"/>
  <c r="P179" i="9"/>
  <c r="U179" i="9" s="1"/>
  <c r="P182" i="9"/>
  <c r="U182" i="9" s="1"/>
  <c r="P188" i="9"/>
  <c r="U188" i="9" s="1"/>
  <c r="P189" i="9"/>
  <c r="U189" i="9" s="1"/>
  <c r="P185" i="9"/>
  <c r="U185" i="9" s="1"/>
  <c r="P180" i="9"/>
  <c r="U180" i="9" s="1"/>
  <c r="B26" i="9"/>
  <c r="AD25" i="9"/>
  <c r="AJ25" i="9" s="1"/>
  <c r="C26" i="9"/>
  <c r="I24" i="9"/>
  <c r="Q25" i="9"/>
  <c r="S25" i="9" s="1"/>
  <c r="V25" i="9" s="1"/>
  <c r="AC25" i="9"/>
  <c r="AX17" i="8"/>
  <c r="AU17" i="8"/>
  <c r="AI17" i="8"/>
  <c r="N17" i="8"/>
  <c r="P17" i="8" s="1"/>
  <c r="U17" i="8" s="1"/>
  <c r="BJ8" i="8"/>
  <c r="E24" i="3"/>
  <c r="F23" i="3"/>
  <c r="G23" i="3" s="1"/>
  <c r="H23" i="3" s="1"/>
  <c r="AA8" i="8"/>
  <c r="W9" i="8" s="1"/>
  <c r="BB8" i="8"/>
  <c r="BF8" i="8" s="1"/>
  <c r="BD8" i="8" s="1"/>
  <c r="D27" i="3"/>
  <c r="M17" i="8"/>
  <c r="T17" i="8" s="1"/>
  <c r="K18" i="8"/>
  <c r="I15" i="8"/>
  <c r="AW16" i="8"/>
  <c r="AZ16" i="8"/>
  <c r="Q16" i="8"/>
  <c r="S16" i="8" s="1"/>
  <c r="V16" i="8" s="1"/>
  <c r="AC16" i="8"/>
  <c r="AD15" i="8"/>
  <c r="AJ15" i="8" s="1"/>
  <c r="H16" i="8"/>
  <c r="D19" i="8"/>
  <c r="E19" i="8" s="1"/>
  <c r="BR25" i="9" l="1"/>
  <c r="BP26" i="9"/>
  <c r="BQ26" i="9" s="1"/>
  <c r="G26" i="9"/>
  <c r="H26" i="9" s="1"/>
  <c r="BB9" i="9"/>
  <c r="BF9" i="9" s="1"/>
  <c r="BD9" i="9" s="1"/>
  <c r="AA9" i="9"/>
  <c r="W10" i="9" s="1"/>
  <c r="BA10" i="9" s="1"/>
  <c r="BE10" i="9" s="1"/>
  <c r="BC10" i="9" s="1"/>
  <c r="AK9" i="9"/>
  <c r="AN9" i="9" s="1"/>
  <c r="AM9" i="9" s="1"/>
  <c r="BJ9" i="9"/>
  <c r="P194" i="9"/>
  <c r="U194" i="9" s="1"/>
  <c r="P193" i="9"/>
  <c r="U193" i="9" s="1"/>
  <c r="P201" i="9"/>
  <c r="U201" i="9" s="1"/>
  <c r="P200" i="9"/>
  <c r="U200" i="9" s="1"/>
  <c r="P199" i="9"/>
  <c r="U199" i="9" s="1"/>
  <c r="P192" i="9"/>
  <c r="U192" i="9" s="1"/>
  <c r="P196" i="9"/>
  <c r="U196" i="9" s="1"/>
  <c r="P195" i="9"/>
  <c r="U195" i="9" s="1"/>
  <c r="P202" i="9"/>
  <c r="U202" i="9" s="1"/>
  <c r="P197" i="9"/>
  <c r="U197" i="9" s="1"/>
  <c r="P198" i="9"/>
  <c r="U198" i="9" s="1"/>
  <c r="P191" i="9"/>
  <c r="U191" i="9" s="1"/>
  <c r="AC26" i="9"/>
  <c r="Q26" i="9"/>
  <c r="S26" i="9" s="1"/>
  <c r="V26" i="9" s="1"/>
  <c r="I25" i="9"/>
  <c r="C27" i="9"/>
  <c r="B27" i="9"/>
  <c r="AD26" i="9"/>
  <c r="AJ26" i="9" s="1"/>
  <c r="AX18" i="8"/>
  <c r="AU18" i="8"/>
  <c r="AI18" i="8"/>
  <c r="N18" i="8"/>
  <c r="P18" i="8" s="1"/>
  <c r="U18" i="8" s="1"/>
  <c r="BA9" i="8"/>
  <c r="BE9" i="8" s="1"/>
  <c r="BC9" i="8" s="1"/>
  <c r="Y9" i="8"/>
  <c r="E25" i="3"/>
  <c r="F24" i="3"/>
  <c r="G24" i="3" s="1"/>
  <c r="H24" i="3" s="1"/>
  <c r="BK8" i="8"/>
  <c r="Z9" i="8"/>
  <c r="X9" i="8"/>
  <c r="AE9" i="8"/>
  <c r="M18" i="8"/>
  <c r="T18" i="8" s="1"/>
  <c r="K19" i="8"/>
  <c r="I16" i="8"/>
  <c r="AW17" i="8"/>
  <c r="AZ17" i="8"/>
  <c r="AD16" i="8"/>
  <c r="Q17" i="8"/>
  <c r="S17" i="8" s="1"/>
  <c r="V17" i="8" s="1"/>
  <c r="AC17" i="8"/>
  <c r="H17" i="8"/>
  <c r="D20" i="8"/>
  <c r="E20" i="8" s="1"/>
  <c r="BR26" i="9" l="1"/>
  <c r="BP27" i="9"/>
  <c r="BQ27" i="9" s="1"/>
  <c r="G27" i="9"/>
  <c r="H27" i="9" s="1"/>
  <c r="BK9" i="9"/>
  <c r="Z10" i="9"/>
  <c r="X10" i="9"/>
  <c r="AK10" i="9" s="1"/>
  <c r="AE10" i="9"/>
  <c r="BJ10" i="9" s="1"/>
  <c r="Y10" i="9"/>
  <c r="AL10" i="9" s="1"/>
  <c r="AK9" i="8"/>
  <c r="AL9" i="8"/>
  <c r="AJ16" i="8"/>
  <c r="P207" i="9"/>
  <c r="U207" i="9" s="1"/>
  <c r="P208" i="9"/>
  <c r="U208" i="9" s="1"/>
  <c r="P206" i="9"/>
  <c r="U206" i="9" s="1"/>
  <c r="P214" i="9"/>
  <c r="U214" i="9" s="1"/>
  <c r="P212" i="9"/>
  <c r="U212" i="9" s="1"/>
  <c r="P213" i="9"/>
  <c r="U213" i="9" s="1"/>
  <c r="P204" i="9"/>
  <c r="U204" i="9" s="1"/>
  <c r="P203" i="9"/>
  <c r="U203" i="9" s="1"/>
  <c r="P209" i="9"/>
  <c r="U209" i="9" s="1"/>
  <c r="P205" i="9"/>
  <c r="U205" i="9" s="1"/>
  <c r="P210" i="9"/>
  <c r="U210" i="9" s="1"/>
  <c r="P211" i="9"/>
  <c r="U211" i="9" s="1"/>
  <c r="C28" i="9"/>
  <c r="B28" i="9"/>
  <c r="AD27" i="9"/>
  <c r="AJ27" i="9" s="1"/>
  <c r="Q27" i="9"/>
  <c r="S27" i="9" s="1"/>
  <c r="V27" i="9" s="1"/>
  <c r="AC27" i="9"/>
  <c r="I26" i="9"/>
  <c r="BJ9" i="8"/>
  <c r="AX19" i="8"/>
  <c r="AU19" i="8"/>
  <c r="AI19" i="8"/>
  <c r="N19" i="8"/>
  <c r="P19" i="8" s="1"/>
  <c r="U19" i="8" s="1"/>
  <c r="E26" i="3"/>
  <c r="F25" i="3"/>
  <c r="G25" i="3" s="1"/>
  <c r="H25" i="3" s="1"/>
  <c r="BB9" i="8"/>
  <c r="BF9" i="8" s="1"/>
  <c r="BD9" i="8" s="1"/>
  <c r="AA9" i="8"/>
  <c r="W10" i="8" s="1"/>
  <c r="Y10" i="8" s="1"/>
  <c r="AL10" i="8" s="1"/>
  <c r="M19" i="8"/>
  <c r="T19" i="8" s="1"/>
  <c r="K20" i="8"/>
  <c r="I17" i="8"/>
  <c r="AW18" i="8"/>
  <c r="AZ18" i="8"/>
  <c r="AD17" i="8"/>
  <c r="AJ17" i="8" s="1"/>
  <c r="Q18" i="8"/>
  <c r="S18" i="8" s="1"/>
  <c r="V18" i="8" s="1"/>
  <c r="AC18" i="8"/>
  <c r="H18" i="8"/>
  <c r="D21" i="8"/>
  <c r="E21" i="8" s="1"/>
  <c r="BR27" i="9" l="1"/>
  <c r="BP28" i="9"/>
  <c r="BQ28" i="9" s="1"/>
  <c r="G28" i="9"/>
  <c r="H28" i="9" s="1"/>
  <c r="AN10" i="9"/>
  <c r="AM10" i="9" s="1"/>
  <c r="AA10" i="9"/>
  <c r="W11" i="9" s="1"/>
  <c r="BA11" i="9" s="1"/>
  <c r="BE11" i="9" s="1"/>
  <c r="BC11" i="9" s="1"/>
  <c r="BB10" i="9"/>
  <c r="BF10" i="9" s="1"/>
  <c r="BD10" i="9" s="1"/>
  <c r="AN9" i="8"/>
  <c r="AM9" i="8" s="1"/>
  <c r="P225" i="9"/>
  <c r="U225" i="9" s="1"/>
  <c r="P217" i="9"/>
  <c r="U217" i="9" s="1"/>
  <c r="P222" i="9"/>
  <c r="U222" i="9" s="1"/>
  <c r="P221" i="9"/>
  <c r="U221" i="9" s="1"/>
  <c r="P223" i="9"/>
  <c r="U223" i="9" s="1"/>
  <c r="P224" i="9"/>
  <c r="U224" i="9" s="1"/>
  <c r="P218" i="9"/>
  <c r="U218" i="9" s="1"/>
  <c r="P226" i="9"/>
  <c r="U226" i="9" s="1"/>
  <c r="P220" i="9"/>
  <c r="U220" i="9" s="1"/>
  <c r="P215" i="9"/>
  <c r="U215" i="9" s="1"/>
  <c r="P216" i="9"/>
  <c r="U216" i="9" s="1"/>
  <c r="P219" i="9"/>
  <c r="U219" i="9" s="1"/>
  <c r="AD28" i="9"/>
  <c r="AJ28" i="9" s="1"/>
  <c r="B29" i="9"/>
  <c r="C29" i="9"/>
  <c r="I27" i="9"/>
  <c r="Q28" i="9"/>
  <c r="S28" i="9" s="1"/>
  <c r="V28" i="9" s="1"/>
  <c r="AC28" i="9"/>
  <c r="AX20" i="8"/>
  <c r="AU20" i="8"/>
  <c r="AI20" i="8"/>
  <c r="N20" i="8"/>
  <c r="P20" i="8" s="1"/>
  <c r="U20" i="8" s="1"/>
  <c r="E27" i="3"/>
  <c r="F27" i="3" s="1"/>
  <c r="G27" i="3" s="1"/>
  <c r="F26" i="3"/>
  <c r="G26" i="3" s="1"/>
  <c r="H26" i="3" s="1"/>
  <c r="BA10" i="8"/>
  <c r="BE10" i="8" s="1"/>
  <c r="BC10" i="8" s="1"/>
  <c r="X10" i="8"/>
  <c r="Z10" i="8"/>
  <c r="AE10" i="8"/>
  <c r="M20" i="8"/>
  <c r="T20" i="8" s="1"/>
  <c r="K21" i="8"/>
  <c r="I18" i="8"/>
  <c r="AW19" i="8"/>
  <c r="AZ19" i="8"/>
  <c r="Q19" i="8"/>
  <c r="S19" i="8" s="1"/>
  <c r="V19" i="8" s="1"/>
  <c r="AC19" i="8"/>
  <c r="AD18" i="8"/>
  <c r="AJ18" i="8" s="1"/>
  <c r="H19" i="8"/>
  <c r="D22" i="8"/>
  <c r="E22" i="8" s="1"/>
  <c r="BR28" i="9" l="1"/>
  <c r="BP29" i="9"/>
  <c r="BQ29" i="9" s="1"/>
  <c r="G29" i="9"/>
  <c r="H29" i="9" s="1"/>
  <c r="Y11" i="9"/>
  <c r="AL11" i="9" s="1"/>
  <c r="Z11" i="9"/>
  <c r="AE11" i="9"/>
  <c r="BJ11" i="9" s="1"/>
  <c r="X11" i="9"/>
  <c r="AK11" i="9" s="1"/>
  <c r="BK10" i="9"/>
  <c r="BK9" i="8"/>
  <c r="AK10" i="8"/>
  <c r="AN10" i="8" s="1"/>
  <c r="AM10" i="8" s="1"/>
  <c r="H27" i="3"/>
  <c r="P228" i="9"/>
  <c r="U228" i="9" s="1"/>
  <c r="P232" i="9"/>
  <c r="U232" i="9" s="1"/>
  <c r="P231" i="9"/>
  <c r="U231" i="9" s="1"/>
  <c r="P237" i="9"/>
  <c r="U237" i="9" s="1"/>
  <c r="P235" i="9"/>
  <c r="U235" i="9" s="1"/>
  <c r="P238" i="9"/>
  <c r="U238" i="9" s="1"/>
  <c r="P229" i="9"/>
  <c r="U229" i="9" s="1"/>
  <c r="P233" i="9"/>
  <c r="U233" i="9" s="1"/>
  <c r="P227" i="9"/>
  <c r="U227" i="9" s="1"/>
  <c r="P236" i="9"/>
  <c r="U236" i="9" s="1"/>
  <c r="P234" i="9"/>
  <c r="U234" i="9" s="1"/>
  <c r="P230" i="9"/>
  <c r="U230" i="9" s="1"/>
  <c r="C30" i="9"/>
  <c r="B30" i="9"/>
  <c r="AD29" i="9"/>
  <c r="AJ29" i="9" s="1"/>
  <c r="I28" i="9"/>
  <c r="Q29" i="9"/>
  <c r="S29" i="9" s="1"/>
  <c r="V29" i="9" s="1"/>
  <c r="AC29" i="9"/>
  <c r="AU21" i="8"/>
  <c r="AX21" i="8"/>
  <c r="AI21" i="8"/>
  <c r="N21" i="8"/>
  <c r="P21" i="8" s="1"/>
  <c r="U21" i="8" s="1"/>
  <c r="BB10" i="8"/>
  <c r="BF10" i="8" s="1"/>
  <c r="BD10" i="8" s="1"/>
  <c r="AA10" i="8"/>
  <c r="W11" i="8" s="1"/>
  <c r="BA11" i="8" s="1"/>
  <c r="BE11" i="8" s="1"/>
  <c r="BC11" i="8" s="1"/>
  <c r="BJ10" i="8"/>
  <c r="M21" i="8"/>
  <c r="T21" i="8" s="1"/>
  <c r="K22" i="8"/>
  <c r="I19" i="8"/>
  <c r="AZ20" i="8"/>
  <c r="AW20" i="8"/>
  <c r="Q20" i="8"/>
  <c r="S20" i="8" s="1"/>
  <c r="V20" i="8" s="1"/>
  <c r="AC20" i="8"/>
  <c r="AD19" i="8"/>
  <c r="AJ19" i="8" s="1"/>
  <c r="H20" i="8"/>
  <c r="D23" i="8"/>
  <c r="E23" i="8" s="1"/>
  <c r="BR29" i="9" l="1"/>
  <c r="BP30" i="9"/>
  <c r="BQ30" i="9" s="1"/>
  <c r="G30" i="9"/>
  <c r="H30" i="9" s="1"/>
  <c r="AN11" i="9"/>
  <c r="AM11" i="9" s="1"/>
  <c r="BB11" i="9"/>
  <c r="BF11" i="9" s="1"/>
  <c r="BD11" i="9" s="1"/>
  <c r="AA11" i="9"/>
  <c r="W12" i="9" s="1"/>
  <c r="BA12" i="9" s="1"/>
  <c r="BE12" i="9" s="1"/>
  <c r="BC12" i="9" s="1"/>
  <c r="P252" i="9"/>
  <c r="U252" i="9" s="1"/>
  <c r="P254" i="9"/>
  <c r="U254" i="9" s="1"/>
  <c r="P255" i="9"/>
  <c r="U255" i="9" s="1"/>
  <c r="P253" i="9"/>
  <c r="U253" i="9" s="1"/>
  <c r="P256" i="9"/>
  <c r="U256" i="9" s="1"/>
  <c r="P251" i="9"/>
  <c r="U251" i="9" s="1"/>
  <c r="P242" i="9"/>
  <c r="U242" i="9" s="1"/>
  <c r="P244" i="9"/>
  <c r="U244" i="9" s="1"/>
  <c r="P250" i="9"/>
  <c r="U250" i="9" s="1"/>
  <c r="P245" i="9"/>
  <c r="U245" i="9" s="1"/>
  <c r="P249" i="9"/>
  <c r="U249" i="9" s="1"/>
  <c r="P243" i="9"/>
  <c r="U243" i="9" s="1"/>
  <c r="P247" i="9"/>
  <c r="U247" i="9" s="1"/>
  <c r="P241" i="9"/>
  <c r="U241" i="9" s="1"/>
  <c r="P240" i="9"/>
  <c r="U240" i="9" s="1"/>
  <c r="P246" i="9"/>
  <c r="U246" i="9" s="1"/>
  <c r="P239" i="9"/>
  <c r="U239" i="9" s="1"/>
  <c r="P248" i="9"/>
  <c r="U248" i="9" s="1"/>
  <c r="C31" i="9"/>
  <c r="B31" i="9"/>
  <c r="Q30" i="9"/>
  <c r="S30" i="9" s="1"/>
  <c r="V30" i="9" s="1"/>
  <c r="AC30" i="9"/>
  <c r="AD30" i="9" s="1"/>
  <c r="AJ30" i="9" s="1"/>
  <c r="I29" i="9"/>
  <c r="Y11" i="8"/>
  <c r="AL11" i="8" s="1"/>
  <c r="Z11" i="8"/>
  <c r="X11" i="8"/>
  <c r="AK11" i="8" s="1"/>
  <c r="AE11" i="8"/>
  <c r="BJ11" i="8" s="1"/>
  <c r="AX22" i="8"/>
  <c r="AU22" i="8"/>
  <c r="AI22" i="8"/>
  <c r="N22" i="8"/>
  <c r="P22" i="8" s="1"/>
  <c r="U22" i="8" s="1"/>
  <c r="BK10" i="8"/>
  <c r="M22" i="8"/>
  <c r="T22" i="8" s="1"/>
  <c r="K23" i="8"/>
  <c r="I20" i="8"/>
  <c r="AW21" i="8"/>
  <c r="AZ21" i="8"/>
  <c r="Q21" i="8"/>
  <c r="S21" i="8" s="1"/>
  <c r="V21" i="8" s="1"/>
  <c r="AC21" i="8"/>
  <c r="AD20" i="8"/>
  <c r="H21" i="8"/>
  <c r="D24" i="8"/>
  <c r="E24" i="8" s="1"/>
  <c r="BR30" i="9" l="1"/>
  <c r="BP31" i="9"/>
  <c r="BQ31" i="9" s="1"/>
  <c r="G31" i="9"/>
  <c r="H31" i="9" s="1"/>
  <c r="BK11" i="9"/>
  <c r="Z12" i="9"/>
  <c r="X12" i="9"/>
  <c r="AK12" i="9" s="1"/>
  <c r="AE12" i="9"/>
  <c r="BJ12" i="9" s="1"/>
  <c r="Y12" i="9"/>
  <c r="AL12" i="9" s="1"/>
  <c r="AJ20" i="8"/>
  <c r="I30" i="9"/>
  <c r="C32" i="9"/>
  <c r="B32" i="9"/>
  <c r="AD31" i="9"/>
  <c r="AJ31" i="9" s="1"/>
  <c r="AC31" i="9"/>
  <c r="Q31" i="9"/>
  <c r="S31" i="9" s="1"/>
  <c r="V31" i="9" s="1"/>
  <c r="AN11" i="8"/>
  <c r="AM11" i="8" s="1"/>
  <c r="AA11" i="8"/>
  <c r="W12" i="8" s="1"/>
  <c r="BB11" i="8"/>
  <c r="BF11" i="8" s="1"/>
  <c r="BD11" i="8" s="1"/>
  <c r="AX23" i="8"/>
  <c r="AU23" i="8"/>
  <c r="AI23" i="8"/>
  <c r="N23" i="8"/>
  <c r="P23" i="8" s="1"/>
  <c r="U23" i="8" s="1"/>
  <c r="M23" i="8"/>
  <c r="T23" i="8" s="1"/>
  <c r="K24" i="8"/>
  <c r="I21" i="8"/>
  <c r="AW22" i="8"/>
  <c r="AZ22" i="8"/>
  <c r="Q22" i="8"/>
  <c r="S22" i="8" s="1"/>
  <c r="V22" i="8" s="1"/>
  <c r="AC22" i="8"/>
  <c r="AD21" i="8"/>
  <c r="AJ21" i="8" s="1"/>
  <c r="H22" i="8"/>
  <c r="D25" i="8"/>
  <c r="E25" i="8" s="1"/>
  <c r="BR31" i="9" l="1"/>
  <c r="BP32" i="9"/>
  <c r="BQ32" i="9" s="1"/>
  <c r="G32" i="9"/>
  <c r="H32" i="9" s="1"/>
  <c r="BB12" i="9"/>
  <c r="BF12" i="9" s="1"/>
  <c r="BD12" i="9" s="1"/>
  <c r="AN12" i="9"/>
  <c r="AM12" i="9" s="1"/>
  <c r="AA12" i="9"/>
  <c r="W13" i="9" s="1"/>
  <c r="Y13" i="9" s="1"/>
  <c r="AL13" i="9" s="1"/>
  <c r="Q32" i="9"/>
  <c r="S32" i="9" s="1"/>
  <c r="V32" i="9" s="1"/>
  <c r="AC32" i="9"/>
  <c r="AD32" i="9"/>
  <c r="AJ32" i="9" s="1"/>
  <c r="C33" i="9"/>
  <c r="B33" i="9"/>
  <c r="I31" i="9"/>
  <c r="BK11" i="8"/>
  <c r="AX24" i="8"/>
  <c r="AU24" i="8"/>
  <c r="AI24" i="8"/>
  <c r="N24" i="8"/>
  <c r="P24" i="8" s="1"/>
  <c r="U24" i="8" s="1"/>
  <c r="M24" i="8"/>
  <c r="T24" i="8" s="1"/>
  <c r="K25" i="8"/>
  <c r="BA12" i="8"/>
  <c r="BE12" i="8" s="1"/>
  <c r="BC12" i="8" s="1"/>
  <c r="Y12" i="8"/>
  <c r="AL12" i="8" s="1"/>
  <c r="X12" i="8"/>
  <c r="AK12" i="8" s="1"/>
  <c r="AE12" i="8"/>
  <c r="Z12" i="8"/>
  <c r="I22" i="8"/>
  <c r="AW23" i="8"/>
  <c r="AZ23" i="8"/>
  <c r="Q23" i="8"/>
  <c r="S23" i="8" s="1"/>
  <c r="V23" i="8" s="1"/>
  <c r="AC23" i="8"/>
  <c r="AD22" i="8"/>
  <c r="AJ22" i="8" s="1"/>
  <c r="H23" i="8"/>
  <c r="D26" i="8"/>
  <c r="E26" i="8" s="1"/>
  <c r="BR32" i="9" l="1"/>
  <c r="BP33" i="9"/>
  <c r="BQ33" i="9" s="1"/>
  <c r="G33" i="9"/>
  <c r="H33" i="9" s="1"/>
  <c r="BK12" i="9"/>
  <c r="AE13" i="9"/>
  <c r="BA13" i="9"/>
  <c r="BE13" i="9" s="1"/>
  <c r="BC13" i="9" s="1"/>
  <c r="X13" i="9"/>
  <c r="Z13" i="9"/>
  <c r="C34" i="9"/>
  <c r="AD33" i="9"/>
  <c r="AJ33" i="9" s="1"/>
  <c r="B34" i="9"/>
  <c r="Q33" i="9"/>
  <c r="S33" i="9" s="1"/>
  <c r="V33" i="9" s="1"/>
  <c r="AC33" i="9"/>
  <c r="I32" i="9"/>
  <c r="AX25" i="8"/>
  <c r="AU25" i="8"/>
  <c r="AI25" i="8"/>
  <c r="N25" i="8"/>
  <c r="P25" i="8" s="1"/>
  <c r="U25" i="8" s="1"/>
  <c r="M25" i="8"/>
  <c r="T25" i="8" s="1"/>
  <c r="AA12" i="8"/>
  <c r="W13" i="8" s="1"/>
  <c r="BJ12" i="8"/>
  <c r="K26" i="8"/>
  <c r="AN12" i="8"/>
  <c r="BB12" i="8"/>
  <c r="BF12" i="8" s="1"/>
  <c r="BD12" i="8" s="1"/>
  <c r="I23" i="8"/>
  <c r="AZ24" i="8"/>
  <c r="AW24" i="8"/>
  <c r="AD23" i="8"/>
  <c r="Q24" i="8"/>
  <c r="S24" i="8" s="1"/>
  <c r="V24" i="8" s="1"/>
  <c r="AC24" i="8"/>
  <c r="H24" i="8"/>
  <c r="D27" i="8"/>
  <c r="E27" i="8" s="1"/>
  <c r="BR33" i="9" l="1"/>
  <c r="BP34" i="9"/>
  <c r="BQ34" i="9" s="1"/>
  <c r="G34" i="9"/>
  <c r="H34" i="9" s="1"/>
  <c r="BJ13" i="9"/>
  <c r="AA13" i="9"/>
  <c r="W14" i="9" s="1"/>
  <c r="BA14" i="9" s="1"/>
  <c r="BE14" i="9" s="1"/>
  <c r="BC14" i="9" s="1"/>
  <c r="AK13" i="9"/>
  <c r="AN13" i="9" s="1"/>
  <c r="AM13" i="9" s="1"/>
  <c r="BB13" i="9"/>
  <c r="BF13" i="9" s="1"/>
  <c r="BD13" i="9" s="1"/>
  <c r="AJ23" i="8"/>
  <c r="I33" i="9"/>
  <c r="AD34" i="9"/>
  <c r="AJ34" i="9" s="1"/>
  <c r="C35" i="9"/>
  <c r="B35" i="9"/>
  <c r="Q34" i="9"/>
  <c r="S34" i="9" s="1"/>
  <c r="V34" i="9" s="1"/>
  <c r="AC34" i="9"/>
  <c r="AX26" i="8"/>
  <c r="AU26" i="8"/>
  <c r="AI26" i="8"/>
  <c r="N26" i="8"/>
  <c r="P26" i="8" s="1"/>
  <c r="U26" i="8" s="1"/>
  <c r="M26" i="8"/>
  <c r="T26" i="8" s="1"/>
  <c r="K27" i="8"/>
  <c r="BK12" i="8"/>
  <c r="AM12" i="8"/>
  <c r="Z13" i="8"/>
  <c r="Y13" i="8"/>
  <c r="AL13" i="8" s="1"/>
  <c r="X13" i="8"/>
  <c r="AK13" i="8" s="1"/>
  <c r="BA13" i="8"/>
  <c r="BE13" i="8" s="1"/>
  <c r="BC13" i="8" s="1"/>
  <c r="AE13" i="8"/>
  <c r="I24" i="8"/>
  <c r="AW25" i="8"/>
  <c r="AZ25" i="8"/>
  <c r="Q25" i="8"/>
  <c r="S25" i="8" s="1"/>
  <c r="V25" i="8" s="1"/>
  <c r="AC25" i="8"/>
  <c r="AD24" i="8"/>
  <c r="H25" i="8"/>
  <c r="D28" i="8"/>
  <c r="E28" i="8" s="1"/>
  <c r="BR34" i="9" l="1"/>
  <c r="BP35" i="9"/>
  <c r="BQ35" i="9" s="1"/>
  <c r="G35" i="9"/>
  <c r="H35" i="9" s="1"/>
  <c r="Z14" i="9"/>
  <c r="AE14" i="9"/>
  <c r="BJ14" i="9" s="1"/>
  <c r="Y14" i="9"/>
  <c r="AL14" i="9" s="1"/>
  <c r="BK13" i="9"/>
  <c r="X14" i="9"/>
  <c r="AK14" i="9" s="1"/>
  <c r="AJ24" i="8"/>
  <c r="I34" i="9"/>
  <c r="C36" i="9"/>
  <c r="AD35" i="9"/>
  <c r="AJ35" i="9" s="1"/>
  <c r="B36" i="9"/>
  <c r="Q35" i="9"/>
  <c r="S35" i="9" s="1"/>
  <c r="V35" i="9" s="1"/>
  <c r="AC35" i="9"/>
  <c r="AX27" i="8"/>
  <c r="AU27" i="8"/>
  <c r="AI27" i="8"/>
  <c r="N27" i="8"/>
  <c r="P27" i="8" s="1"/>
  <c r="U27" i="8" s="1"/>
  <c r="M27" i="8"/>
  <c r="T27" i="8" s="1"/>
  <c r="AA13" i="8"/>
  <c r="BJ13" i="8"/>
  <c r="BB13" i="8"/>
  <c r="BF13" i="8" s="1"/>
  <c r="BD13" i="8" s="1"/>
  <c r="AN13" i="8"/>
  <c r="K28" i="8"/>
  <c r="I25" i="8"/>
  <c r="AW26" i="8"/>
  <c r="AZ26" i="8"/>
  <c r="Q26" i="8"/>
  <c r="S26" i="8" s="1"/>
  <c r="V26" i="8" s="1"/>
  <c r="AC26" i="8"/>
  <c r="AD25" i="8"/>
  <c r="AJ25" i="8" s="1"/>
  <c r="H26" i="8"/>
  <c r="D29" i="8"/>
  <c r="E29" i="8" s="1"/>
  <c r="BR35" i="9" l="1"/>
  <c r="BP36" i="9"/>
  <c r="BQ36" i="9" s="1"/>
  <c r="G36" i="9"/>
  <c r="H36" i="9" s="1"/>
  <c r="AN14" i="9"/>
  <c r="AM14" i="9" s="1"/>
  <c r="BB14" i="9"/>
  <c r="BF14" i="9" s="1"/>
  <c r="BD14" i="9" s="1"/>
  <c r="AA14" i="9"/>
  <c r="W15" i="9" s="1"/>
  <c r="AE15" i="9" s="1"/>
  <c r="I35" i="9"/>
  <c r="AD36" i="9"/>
  <c r="AJ36" i="9" s="1"/>
  <c r="C37" i="9"/>
  <c r="B37" i="9"/>
  <c r="Q36" i="9"/>
  <c r="S36" i="9" s="1"/>
  <c r="V36" i="9" s="1"/>
  <c r="AC36" i="9"/>
  <c r="AX28" i="8"/>
  <c r="AU28" i="8"/>
  <c r="AI28" i="8"/>
  <c r="N28" i="8"/>
  <c r="P28" i="8" s="1"/>
  <c r="U28" i="8" s="1"/>
  <c r="W14" i="8"/>
  <c r="Z14" i="8" s="1"/>
  <c r="M28" i="8"/>
  <c r="T28" i="8" s="1"/>
  <c r="BK13" i="8"/>
  <c r="AM13" i="8"/>
  <c r="K29" i="8"/>
  <c r="I26" i="8"/>
  <c r="AW27" i="8"/>
  <c r="AZ27" i="8"/>
  <c r="Q27" i="8"/>
  <c r="S27" i="8" s="1"/>
  <c r="V27" i="8" s="1"/>
  <c r="AC27" i="8"/>
  <c r="AD26" i="8"/>
  <c r="AJ26" i="8" s="1"/>
  <c r="H27" i="8"/>
  <c r="D30" i="8"/>
  <c r="E30" i="8" s="1"/>
  <c r="BR36" i="9" l="1"/>
  <c r="BP37" i="9"/>
  <c r="BQ37" i="9" s="1"/>
  <c r="G37" i="9"/>
  <c r="H37" i="9" s="1"/>
  <c r="BK14" i="9"/>
  <c r="Z15" i="9"/>
  <c r="BA15" i="9"/>
  <c r="BE15" i="9" s="1"/>
  <c r="BC15" i="9" s="1"/>
  <c r="Y15" i="9"/>
  <c r="AL15" i="9" s="1"/>
  <c r="X15" i="9"/>
  <c r="AK15" i="9" s="1"/>
  <c r="Q37" i="9"/>
  <c r="S37" i="9" s="1"/>
  <c r="V37" i="9" s="1"/>
  <c r="AC37" i="9"/>
  <c r="I36" i="9"/>
  <c r="C38" i="9"/>
  <c r="AD37" i="9"/>
  <c r="AJ37" i="9" s="1"/>
  <c r="B38" i="9"/>
  <c r="AU29" i="8"/>
  <c r="AI29" i="8"/>
  <c r="AX29" i="8"/>
  <c r="N29" i="8"/>
  <c r="P29" i="8" s="1"/>
  <c r="U29" i="8" s="1"/>
  <c r="Y14" i="8"/>
  <c r="AL14" i="8" s="1"/>
  <c r="X14" i="8"/>
  <c r="AK14" i="8" s="1"/>
  <c r="M29" i="8"/>
  <c r="T29" i="8" s="1"/>
  <c r="BA14" i="8"/>
  <c r="BE14" i="8" s="1"/>
  <c r="BC14" i="8" s="1"/>
  <c r="AE14" i="8"/>
  <c r="K30" i="8"/>
  <c r="I27" i="8"/>
  <c r="AD27" i="8"/>
  <c r="H28" i="8"/>
  <c r="D31" i="8"/>
  <c r="E31" i="8" s="1"/>
  <c r="BR37" i="9" l="1"/>
  <c r="BP38" i="9"/>
  <c r="BQ38" i="9" s="1"/>
  <c r="G38" i="9"/>
  <c r="H38" i="9" s="1"/>
  <c r="AN15" i="9"/>
  <c r="AM15" i="9" s="1"/>
  <c r="AA15" i="9"/>
  <c r="W16" i="9" s="1"/>
  <c r="BA16" i="9" s="1"/>
  <c r="BE16" i="9" s="1"/>
  <c r="BC16" i="9" s="1"/>
  <c r="BJ15" i="9"/>
  <c r="BB15" i="9"/>
  <c r="BF15" i="9" s="1"/>
  <c r="BD15" i="9" s="1"/>
  <c r="AJ27" i="8"/>
  <c r="AD38" i="9"/>
  <c r="AJ38" i="9" s="1"/>
  <c r="C39" i="9"/>
  <c r="B39" i="9"/>
  <c r="Q38" i="9"/>
  <c r="S38" i="9" s="1"/>
  <c r="V38" i="9" s="1"/>
  <c r="AC38" i="9"/>
  <c r="I37" i="9"/>
  <c r="AX30" i="8"/>
  <c r="AU30" i="8"/>
  <c r="AI30" i="8"/>
  <c r="N30" i="8"/>
  <c r="P30" i="8" s="1"/>
  <c r="U30" i="8" s="1"/>
  <c r="BB14" i="8"/>
  <c r="BF14" i="8" s="1"/>
  <c r="BD14" i="8" s="1"/>
  <c r="AA14" i="8"/>
  <c r="W15" i="8" s="1"/>
  <c r="AN14" i="8"/>
  <c r="AM14" i="8" s="1"/>
  <c r="BJ14" i="8"/>
  <c r="M30" i="8"/>
  <c r="T30" i="8" s="1"/>
  <c r="K31" i="8"/>
  <c r="I28" i="8"/>
  <c r="AW28" i="8"/>
  <c r="AZ28" i="8"/>
  <c r="Q28" i="8"/>
  <c r="S28" i="8" s="1"/>
  <c r="V28" i="8" s="1"/>
  <c r="AC28" i="8"/>
  <c r="AD28" i="8"/>
  <c r="AJ28" i="8" s="1"/>
  <c r="D32" i="8"/>
  <c r="E32" i="8" s="1"/>
  <c r="BR38" i="9" l="1"/>
  <c r="BP39" i="9"/>
  <c r="BQ39" i="9" s="1"/>
  <c r="G39" i="9"/>
  <c r="H39" i="9" s="1"/>
  <c r="Y16" i="9"/>
  <c r="AL16" i="9" s="1"/>
  <c r="Z16" i="9"/>
  <c r="AE16" i="9"/>
  <c r="BJ16" i="9" s="1"/>
  <c r="X16" i="9"/>
  <c r="AK16" i="9" s="1"/>
  <c r="BK15" i="9"/>
  <c r="C40" i="9"/>
  <c r="AD39" i="9"/>
  <c r="AJ39" i="9" s="1"/>
  <c r="B40" i="9"/>
  <c r="Q39" i="9"/>
  <c r="S39" i="9" s="1"/>
  <c r="V39" i="9" s="1"/>
  <c r="AC39" i="9"/>
  <c r="I38" i="9"/>
  <c r="AX31" i="8"/>
  <c r="AU31" i="8"/>
  <c r="AI31" i="8"/>
  <c r="N31" i="8"/>
  <c r="P31" i="8" s="1"/>
  <c r="U31" i="8" s="1"/>
  <c r="BK14" i="8"/>
  <c r="M31" i="8"/>
  <c r="T31" i="8" s="1"/>
  <c r="K32" i="8"/>
  <c r="X15" i="8"/>
  <c r="AK15" i="8" s="1"/>
  <c r="BA15" i="8"/>
  <c r="BE15" i="8" s="1"/>
  <c r="BC15" i="8" s="1"/>
  <c r="Z15" i="8"/>
  <c r="Y15" i="8"/>
  <c r="AL15" i="8" s="1"/>
  <c r="AE15" i="8"/>
  <c r="AZ30" i="8"/>
  <c r="H29" i="8"/>
  <c r="AZ29" i="8"/>
  <c r="AW29" i="8"/>
  <c r="Q29" i="8"/>
  <c r="S29" i="8" s="1"/>
  <c r="V29" i="8" s="1"/>
  <c r="AC29" i="8"/>
  <c r="AD29" i="8"/>
  <c r="D33" i="8"/>
  <c r="E33" i="8" s="1"/>
  <c r="BR39" i="9" l="1"/>
  <c r="BP40" i="9"/>
  <c r="BQ40" i="9" s="1"/>
  <c r="G40" i="9"/>
  <c r="H40" i="9" s="1"/>
  <c r="AN16" i="9"/>
  <c r="AM16" i="9" s="1"/>
  <c r="BB16" i="9"/>
  <c r="BF16" i="9" s="1"/>
  <c r="BD16" i="9" s="1"/>
  <c r="AA16" i="9"/>
  <c r="W17" i="9" s="1"/>
  <c r="BA17" i="9" s="1"/>
  <c r="BE17" i="9" s="1"/>
  <c r="BC17" i="9" s="1"/>
  <c r="AJ29" i="8"/>
  <c r="I39" i="9"/>
  <c r="AD40" i="9"/>
  <c r="AJ40" i="9" s="1"/>
  <c r="C41" i="9"/>
  <c r="B41" i="9"/>
  <c r="Q40" i="9"/>
  <c r="S40" i="9" s="1"/>
  <c r="V40" i="9" s="1"/>
  <c r="AC40" i="9"/>
  <c r="AX32" i="8"/>
  <c r="AU32" i="8"/>
  <c r="AI32" i="8"/>
  <c r="N32" i="8"/>
  <c r="P32" i="8" s="1"/>
  <c r="U32" i="8" s="1"/>
  <c r="M32" i="8"/>
  <c r="T32" i="8" s="1"/>
  <c r="AA15" i="8"/>
  <c r="AN15" i="8"/>
  <c r="BB15" i="8"/>
  <c r="BF15" i="8" s="1"/>
  <c r="BD15" i="8" s="1"/>
  <c r="K33" i="8"/>
  <c r="BJ15" i="8"/>
  <c r="I29" i="8"/>
  <c r="Q30" i="8"/>
  <c r="S30" i="8" s="1"/>
  <c r="V30" i="8" s="1"/>
  <c r="AW30" i="8"/>
  <c r="H30" i="8"/>
  <c r="AC30" i="8"/>
  <c r="AD30" i="8" s="1"/>
  <c r="AJ30" i="8" s="1"/>
  <c r="D34" i="8"/>
  <c r="E34" i="8" s="1"/>
  <c r="BR40" i="9" l="1"/>
  <c r="BP41" i="9"/>
  <c r="BQ41" i="9" s="1"/>
  <c r="G41" i="9"/>
  <c r="H41" i="9" s="1"/>
  <c r="X17" i="9"/>
  <c r="AK17" i="9" s="1"/>
  <c r="Z17" i="9"/>
  <c r="BK16" i="9"/>
  <c r="AE17" i="9"/>
  <c r="BJ17" i="9" s="1"/>
  <c r="Y17" i="9"/>
  <c r="AL17" i="9" s="1"/>
  <c r="C42" i="9"/>
  <c r="AD41" i="9"/>
  <c r="AJ41" i="9" s="1"/>
  <c r="B42" i="9"/>
  <c r="Q41" i="9"/>
  <c r="S41" i="9" s="1"/>
  <c r="V41" i="9" s="1"/>
  <c r="AC41" i="9"/>
  <c r="I40" i="9"/>
  <c r="AX33" i="8"/>
  <c r="AU33" i="8"/>
  <c r="AI33" i="8"/>
  <c r="N33" i="8"/>
  <c r="P33" i="8" s="1"/>
  <c r="U33" i="8" s="1"/>
  <c r="W16" i="8"/>
  <c r="Z16" i="8" s="1"/>
  <c r="M33" i="8"/>
  <c r="T33" i="8" s="1"/>
  <c r="K34" i="8"/>
  <c r="BK15" i="8"/>
  <c r="AM15" i="8"/>
  <c r="I30" i="8"/>
  <c r="AZ32" i="8"/>
  <c r="AW32" i="8"/>
  <c r="AW31" i="8"/>
  <c r="AZ31" i="8"/>
  <c r="H31" i="8"/>
  <c r="AC32" i="8"/>
  <c r="Q31" i="8"/>
  <c r="S31" i="8" s="1"/>
  <c r="V31" i="8" s="1"/>
  <c r="AC31" i="8"/>
  <c r="AD31" i="8"/>
  <c r="AJ31" i="8" s="1"/>
  <c r="H32" i="8"/>
  <c r="D35" i="8"/>
  <c r="E35" i="8" s="1"/>
  <c r="BR41" i="9" l="1"/>
  <c r="BP42" i="9"/>
  <c r="BQ42" i="9" s="1"/>
  <c r="G42" i="9"/>
  <c r="H42" i="9" s="1"/>
  <c r="AN17" i="9"/>
  <c r="AM17" i="9" s="1"/>
  <c r="AA17" i="9"/>
  <c r="W18" i="9" s="1"/>
  <c r="Y18" i="9" s="1"/>
  <c r="AL18" i="9" s="1"/>
  <c r="BB17" i="9"/>
  <c r="BF17" i="9" s="1"/>
  <c r="BD17" i="9" s="1"/>
  <c r="I41" i="9"/>
  <c r="C43" i="9"/>
  <c r="B43" i="9"/>
  <c r="Q42" i="9"/>
  <c r="S42" i="9" s="1"/>
  <c r="V42" i="9" s="1"/>
  <c r="AC42" i="9"/>
  <c r="AD42" i="9" s="1"/>
  <c r="AJ42" i="9" s="1"/>
  <c r="AX34" i="8"/>
  <c r="AU34" i="8"/>
  <c r="AI34" i="8"/>
  <c r="N34" i="8"/>
  <c r="P34" i="8" s="1"/>
  <c r="U34" i="8" s="1"/>
  <c r="M34" i="8"/>
  <c r="T34" i="8" s="1"/>
  <c r="AE16" i="8"/>
  <c r="Y16" i="8"/>
  <c r="AL16" i="8" s="1"/>
  <c r="X16" i="8"/>
  <c r="AK16" i="8" s="1"/>
  <c r="BA16" i="8"/>
  <c r="BE16" i="8" s="1"/>
  <c r="BC16" i="8" s="1"/>
  <c r="K35" i="8"/>
  <c r="I31" i="8"/>
  <c r="I32" i="8" s="1"/>
  <c r="Q32" i="8"/>
  <c r="S32" i="8" s="1"/>
  <c r="V32" i="8" s="1"/>
  <c r="AD32" i="8"/>
  <c r="H33" i="8"/>
  <c r="D36" i="8"/>
  <c r="E36" i="8" s="1"/>
  <c r="BR42" i="9" l="1"/>
  <c r="BP43" i="9"/>
  <c r="BQ43" i="9" s="1"/>
  <c r="G43" i="9"/>
  <c r="H43" i="9" s="1"/>
  <c r="BK17" i="9"/>
  <c r="X18" i="9"/>
  <c r="AK18" i="9" s="1"/>
  <c r="AN18" i="9" s="1"/>
  <c r="AM18" i="9" s="1"/>
  <c r="BA18" i="9"/>
  <c r="BE18" i="9" s="1"/>
  <c r="BC18" i="9" s="1"/>
  <c r="AE18" i="9"/>
  <c r="Z18" i="9"/>
  <c r="AJ32" i="8"/>
  <c r="C44" i="9"/>
  <c r="AD43" i="9"/>
  <c r="AJ43" i="9" s="1"/>
  <c r="B44" i="9"/>
  <c r="Q43" i="9"/>
  <c r="S43" i="9" s="1"/>
  <c r="V43" i="9" s="1"/>
  <c r="AC43" i="9"/>
  <c r="I42" i="9"/>
  <c r="AX35" i="8"/>
  <c r="AU35" i="8"/>
  <c r="AI35" i="8"/>
  <c r="N35" i="8"/>
  <c r="P35" i="8" s="1"/>
  <c r="U35" i="8" s="1"/>
  <c r="M35" i="8"/>
  <c r="T35" i="8" s="1"/>
  <c r="AA16" i="8"/>
  <c r="BB16" i="8"/>
  <c r="BF16" i="8" s="1"/>
  <c r="BD16" i="8" s="1"/>
  <c r="AN16" i="8"/>
  <c r="AM16" i="8" s="1"/>
  <c r="BJ16" i="8"/>
  <c r="K36" i="8"/>
  <c r="I33" i="8"/>
  <c r="AW34" i="8"/>
  <c r="AZ34" i="8"/>
  <c r="AW33" i="8"/>
  <c r="AZ33" i="8"/>
  <c r="Q33" i="8"/>
  <c r="S33" i="8" s="1"/>
  <c r="V33" i="8" s="1"/>
  <c r="AC33" i="8"/>
  <c r="AD33" i="8"/>
  <c r="AJ33" i="8" s="1"/>
  <c r="D37" i="8"/>
  <c r="E37" i="8" s="1"/>
  <c r="BR43" i="9" l="1"/>
  <c r="BB18" i="9"/>
  <c r="BF18" i="9" s="1"/>
  <c r="BD18" i="9" s="1"/>
  <c r="BP44" i="9"/>
  <c r="BQ44" i="9" s="1"/>
  <c r="G44" i="9"/>
  <c r="H44" i="9" s="1"/>
  <c r="AA18" i="9"/>
  <c r="W19" i="9" s="1"/>
  <c r="Y19" i="9" s="1"/>
  <c r="AL19" i="9" s="1"/>
  <c r="BJ18" i="9"/>
  <c r="AD44" i="9"/>
  <c r="AJ44" i="9" s="1"/>
  <c r="C45" i="9"/>
  <c r="B45" i="9"/>
  <c r="Q44" i="9"/>
  <c r="S44" i="9" s="1"/>
  <c r="V44" i="9" s="1"/>
  <c r="AC44" i="9"/>
  <c r="I43" i="9"/>
  <c r="AX36" i="8"/>
  <c r="AU36" i="8"/>
  <c r="AI36" i="8"/>
  <c r="N36" i="8"/>
  <c r="P36" i="8" s="1"/>
  <c r="U36" i="8" s="1"/>
  <c r="W17" i="8"/>
  <c r="Z17" i="8" s="1"/>
  <c r="H34" i="8"/>
  <c r="I34" i="8" s="1"/>
  <c r="AC34" i="8"/>
  <c r="AC35" i="8"/>
  <c r="Q34" i="8"/>
  <c r="S34" i="8" s="1"/>
  <c r="V34" i="8" s="1"/>
  <c r="M36" i="8"/>
  <c r="T36" i="8" s="1"/>
  <c r="BK16" i="8"/>
  <c r="K37" i="8"/>
  <c r="AW35" i="8"/>
  <c r="AZ35" i="8"/>
  <c r="Q35" i="8"/>
  <c r="S35" i="8" s="1"/>
  <c r="V35" i="8" s="1"/>
  <c r="AD34" i="8"/>
  <c r="AJ34" i="8" s="1"/>
  <c r="H35" i="8"/>
  <c r="D38" i="8"/>
  <c r="E38" i="8" s="1"/>
  <c r="BR44" i="9" l="1"/>
  <c r="BK18" i="9"/>
  <c r="BA19" i="9"/>
  <c r="BE19" i="9" s="1"/>
  <c r="BC19" i="9" s="1"/>
  <c r="Z19" i="9"/>
  <c r="AE19" i="9"/>
  <c r="X19" i="9"/>
  <c r="AK19" i="9" s="1"/>
  <c r="AN19" i="9" s="1"/>
  <c r="AM19" i="9" s="1"/>
  <c r="BP45" i="9"/>
  <c r="BQ45" i="9" s="1"/>
  <c r="BR45" i="9" s="1"/>
  <c r="G45" i="9"/>
  <c r="H45" i="9" s="1"/>
  <c r="Q45" i="9"/>
  <c r="S45" i="9" s="1"/>
  <c r="V45" i="9" s="1"/>
  <c r="AC45" i="9"/>
  <c r="I44" i="9"/>
  <c r="C46" i="9"/>
  <c r="B46" i="9"/>
  <c r="AD45" i="9"/>
  <c r="AJ45" i="9" s="1"/>
  <c r="AI37" i="8"/>
  <c r="AU37" i="8"/>
  <c r="AX37" i="8"/>
  <c r="N37" i="8"/>
  <c r="P37" i="8" s="1"/>
  <c r="U37" i="8" s="1"/>
  <c r="AE17" i="8"/>
  <c r="X17" i="8"/>
  <c r="AK17" i="8" s="1"/>
  <c r="BA17" i="8"/>
  <c r="BE17" i="8" s="1"/>
  <c r="BC17" i="8" s="1"/>
  <c r="Y17" i="8"/>
  <c r="AL17" i="8" s="1"/>
  <c r="M37" i="8"/>
  <c r="T37" i="8" s="1"/>
  <c r="K38" i="8"/>
  <c r="I35" i="8"/>
  <c r="AW36" i="8"/>
  <c r="AZ36" i="8"/>
  <c r="Q36" i="8"/>
  <c r="S36" i="8" s="1"/>
  <c r="V36" i="8" s="1"/>
  <c r="AC36" i="8"/>
  <c r="AD35" i="8"/>
  <c r="AJ35" i="8" s="1"/>
  <c r="H36" i="8"/>
  <c r="D39" i="8"/>
  <c r="E39" i="8" s="1"/>
  <c r="BJ19" i="9" l="1"/>
  <c r="AA19" i="9"/>
  <c r="W20" i="9" s="1"/>
  <c r="Y20" i="9" s="1"/>
  <c r="AL20" i="9" s="1"/>
  <c r="BB19" i="9"/>
  <c r="BF19" i="9" s="1"/>
  <c r="BD19" i="9" s="1"/>
  <c r="BP46" i="9"/>
  <c r="BQ46" i="9" s="1"/>
  <c r="BR46" i="9" s="1"/>
  <c r="G46" i="9"/>
  <c r="H46" i="9" s="1"/>
  <c r="AD46" i="9"/>
  <c r="AJ46" i="9" s="1"/>
  <c r="C47" i="9"/>
  <c r="B47" i="9"/>
  <c r="I45" i="9"/>
  <c r="Q46" i="9"/>
  <c r="S46" i="9" s="1"/>
  <c r="V46" i="9" s="1"/>
  <c r="AC46" i="9"/>
  <c r="AX38" i="8"/>
  <c r="AU38" i="8"/>
  <c r="AI38" i="8"/>
  <c r="N38" i="8"/>
  <c r="P38" i="8" s="1"/>
  <c r="U38" i="8" s="1"/>
  <c r="BB17" i="8"/>
  <c r="BF17" i="8" s="1"/>
  <c r="BD17" i="8" s="1"/>
  <c r="AN17" i="8"/>
  <c r="AA17" i="8"/>
  <c r="W18" i="8" s="1"/>
  <c r="AE18" i="8" s="1"/>
  <c r="BJ17" i="8"/>
  <c r="M38" i="8"/>
  <c r="T38" i="8" s="1"/>
  <c r="K39" i="8"/>
  <c r="I36" i="8"/>
  <c r="AW37" i="8"/>
  <c r="AZ37" i="8"/>
  <c r="Q37" i="8"/>
  <c r="S37" i="8" s="1"/>
  <c r="V37" i="8" s="1"/>
  <c r="AC37" i="8"/>
  <c r="AD36" i="8"/>
  <c r="AJ36" i="8" s="1"/>
  <c r="H37" i="8"/>
  <c r="D40" i="8"/>
  <c r="E40" i="8" s="1"/>
  <c r="BK19" i="9" l="1"/>
  <c r="Z20" i="9"/>
  <c r="AE20" i="9"/>
  <c r="X20" i="9"/>
  <c r="BB20" i="9" s="1"/>
  <c r="BF20" i="9" s="1"/>
  <c r="BD20" i="9" s="1"/>
  <c r="BA20" i="9"/>
  <c r="BE20" i="9" s="1"/>
  <c r="BC20" i="9" s="1"/>
  <c r="BP47" i="9"/>
  <c r="BQ47" i="9" s="1"/>
  <c r="BR47" i="9" s="1"/>
  <c r="G47" i="9"/>
  <c r="H47" i="9" s="1"/>
  <c r="I46" i="9"/>
  <c r="C48" i="9"/>
  <c r="B48" i="9"/>
  <c r="AD47" i="9"/>
  <c r="AJ47" i="9" s="1"/>
  <c r="Q47" i="9"/>
  <c r="S47" i="9" s="1"/>
  <c r="V47" i="9" s="1"/>
  <c r="AC47" i="9"/>
  <c r="BK17" i="8"/>
  <c r="AM17" i="8"/>
  <c r="AX39" i="8"/>
  <c r="AU39" i="8"/>
  <c r="AI39" i="8"/>
  <c r="N39" i="8"/>
  <c r="P39" i="8" s="1"/>
  <c r="U39" i="8" s="1"/>
  <c r="X18" i="8"/>
  <c r="AK18" i="8" s="1"/>
  <c r="Z18" i="8"/>
  <c r="Y18" i="8"/>
  <c r="AL18" i="8" s="1"/>
  <c r="BA18" i="8"/>
  <c r="BE18" i="8" s="1"/>
  <c r="BC18" i="8" s="1"/>
  <c r="M39" i="8"/>
  <c r="T39" i="8" s="1"/>
  <c r="K40" i="8"/>
  <c r="I37" i="8"/>
  <c r="AD37" i="8"/>
  <c r="H38" i="8"/>
  <c r="D41" i="8"/>
  <c r="E41" i="8" s="1"/>
  <c r="AA20" i="9" l="1"/>
  <c r="W21" i="9" s="1"/>
  <c r="BA21" i="9" s="1"/>
  <c r="BE21" i="9" s="1"/>
  <c r="BC21" i="9" s="1"/>
  <c r="BJ20" i="9"/>
  <c r="AK20" i="9"/>
  <c r="AN20" i="9" s="1"/>
  <c r="BK20" i="9" s="1"/>
  <c r="BP48" i="9"/>
  <c r="BQ48" i="9" s="1"/>
  <c r="BR48" i="9" s="1"/>
  <c r="G48" i="9"/>
  <c r="H48" i="9" s="1"/>
  <c r="AJ37" i="8"/>
  <c r="AD48" i="9"/>
  <c r="AJ48" i="9" s="1"/>
  <c r="C49" i="9"/>
  <c r="B49" i="9"/>
  <c r="Q48" i="9"/>
  <c r="S48" i="9" s="1"/>
  <c r="V48" i="9" s="1"/>
  <c r="AC48" i="9"/>
  <c r="I47" i="9"/>
  <c r="AN18" i="8"/>
  <c r="AM18" i="8" s="1"/>
  <c r="BB18" i="8"/>
  <c r="BF18" i="8" s="1"/>
  <c r="BD18" i="8" s="1"/>
  <c r="AX40" i="8"/>
  <c r="AU40" i="8"/>
  <c r="AI40" i="8"/>
  <c r="N40" i="8"/>
  <c r="P40" i="8" s="1"/>
  <c r="U40" i="8" s="1"/>
  <c r="AA18" i="8"/>
  <c r="W19" i="8" s="1"/>
  <c r="Y19" i="8" s="1"/>
  <c r="AL19" i="8" s="1"/>
  <c r="BJ18" i="8"/>
  <c r="M40" i="8"/>
  <c r="T40" i="8" s="1"/>
  <c r="K41" i="8"/>
  <c r="I38" i="8"/>
  <c r="AW39" i="8"/>
  <c r="AZ38" i="8"/>
  <c r="AW38" i="8"/>
  <c r="AZ39" i="8"/>
  <c r="Q38" i="8"/>
  <c r="S38" i="8" s="1"/>
  <c r="V38" i="8" s="1"/>
  <c r="AC38" i="8"/>
  <c r="AD38" i="8"/>
  <c r="AJ38" i="8" s="1"/>
  <c r="D42" i="8"/>
  <c r="E42" i="8" s="1"/>
  <c r="AE21" i="9" l="1"/>
  <c r="BJ21" i="9" s="1"/>
  <c r="AM20" i="9"/>
  <c r="Y21" i="9"/>
  <c r="AL21" i="9" s="1"/>
  <c r="Z21" i="9"/>
  <c r="X21" i="9"/>
  <c r="AK21" i="9" s="1"/>
  <c r="BP49" i="9"/>
  <c r="BQ49" i="9" s="1"/>
  <c r="BR49" i="9" s="1"/>
  <c r="G49" i="9"/>
  <c r="H49" i="9" s="1"/>
  <c r="Q49" i="9"/>
  <c r="S49" i="9" s="1"/>
  <c r="V49" i="9" s="1"/>
  <c r="AC49" i="9"/>
  <c r="I48" i="9"/>
  <c r="C50" i="9"/>
  <c r="B50" i="9"/>
  <c r="AD49" i="9"/>
  <c r="AJ49" i="9" s="1"/>
  <c r="BK18" i="8"/>
  <c r="AX41" i="8"/>
  <c r="AU41" i="8"/>
  <c r="AI41" i="8"/>
  <c r="N41" i="8"/>
  <c r="P41" i="8" s="1"/>
  <c r="U41" i="8" s="1"/>
  <c r="X19" i="8"/>
  <c r="AK19" i="8" s="1"/>
  <c r="AN19" i="8" s="1"/>
  <c r="AM19" i="8" s="1"/>
  <c r="BA19" i="8"/>
  <c r="BE19" i="8" s="1"/>
  <c r="BC19" i="8" s="1"/>
  <c r="AE19" i="8"/>
  <c r="Z19" i="8"/>
  <c r="H39" i="8"/>
  <c r="I39" i="8" s="1"/>
  <c r="AC39" i="8"/>
  <c r="Q39" i="8"/>
  <c r="S39" i="8" s="1"/>
  <c r="V39" i="8" s="1"/>
  <c r="M41" i="8"/>
  <c r="T41" i="8" s="1"/>
  <c r="K42" i="8"/>
  <c r="AW40" i="8"/>
  <c r="AZ40" i="8"/>
  <c r="AD39" i="8"/>
  <c r="Q40" i="8"/>
  <c r="S40" i="8" s="1"/>
  <c r="V40" i="8" s="1"/>
  <c r="AC40" i="8"/>
  <c r="H40" i="8"/>
  <c r="D43" i="8"/>
  <c r="E43" i="8" s="1"/>
  <c r="AN21" i="9" l="1"/>
  <c r="AM21" i="9" s="1"/>
  <c r="BB21" i="9"/>
  <c r="BF21" i="9" s="1"/>
  <c r="BD21" i="9" s="1"/>
  <c r="AA21" i="9"/>
  <c r="W22" i="9" s="1"/>
  <c r="Y22" i="9" s="1"/>
  <c r="AL22" i="9" s="1"/>
  <c r="BP50" i="9"/>
  <c r="BQ50" i="9" s="1"/>
  <c r="BR50" i="9" s="1"/>
  <c r="G50" i="9"/>
  <c r="H50" i="9" s="1"/>
  <c r="AJ39" i="8"/>
  <c r="AD50" i="9"/>
  <c r="AJ50" i="9" s="1"/>
  <c r="C51" i="9"/>
  <c r="B51" i="9"/>
  <c r="Q50" i="9"/>
  <c r="S50" i="9" s="1"/>
  <c r="V50" i="9" s="1"/>
  <c r="AC50" i="9"/>
  <c r="I49" i="9"/>
  <c r="BB19" i="8"/>
  <c r="BF19" i="8" s="1"/>
  <c r="BD19" i="8" s="1"/>
  <c r="AX42" i="8"/>
  <c r="AU42" i="8"/>
  <c r="AI42" i="8"/>
  <c r="N42" i="8"/>
  <c r="P42" i="8" s="1"/>
  <c r="U42" i="8" s="1"/>
  <c r="AA19" i="8"/>
  <c r="W20" i="8" s="1"/>
  <c r="BA20" i="8" s="1"/>
  <c r="BE20" i="8" s="1"/>
  <c r="BC20" i="8" s="1"/>
  <c r="BJ19" i="8"/>
  <c r="M42" i="8"/>
  <c r="T42" i="8" s="1"/>
  <c r="K43" i="8"/>
  <c r="I40" i="8"/>
  <c r="AW41" i="8"/>
  <c r="AZ41" i="8"/>
  <c r="Q41" i="8"/>
  <c r="S41" i="8" s="1"/>
  <c r="V41" i="8" s="1"/>
  <c r="AC41" i="8"/>
  <c r="AD40" i="8"/>
  <c r="H41" i="8"/>
  <c r="D44" i="8"/>
  <c r="E44" i="8" s="1"/>
  <c r="X22" i="9" l="1"/>
  <c r="BB22" i="9" s="1"/>
  <c r="BF22" i="9" s="1"/>
  <c r="BD22" i="9" s="1"/>
  <c r="BA22" i="9"/>
  <c r="BE22" i="9" s="1"/>
  <c r="BC22" i="9" s="1"/>
  <c r="AE22" i="9"/>
  <c r="Z22" i="9"/>
  <c r="BK21" i="9"/>
  <c r="BP51" i="9"/>
  <c r="BQ51" i="9" s="1"/>
  <c r="BR51" i="9" s="1"/>
  <c r="G51" i="9"/>
  <c r="H51" i="9" s="1"/>
  <c r="AJ40" i="8"/>
  <c r="I50" i="9"/>
  <c r="C52" i="9"/>
  <c r="B52" i="9"/>
  <c r="AD51" i="9"/>
  <c r="AJ51" i="9" s="1"/>
  <c r="Q51" i="9"/>
  <c r="S51" i="9" s="1"/>
  <c r="V51" i="9" s="1"/>
  <c r="AC51" i="9"/>
  <c r="BK19" i="8"/>
  <c r="AX43" i="8"/>
  <c r="AU43" i="8"/>
  <c r="AI43" i="8"/>
  <c r="N43" i="8"/>
  <c r="P43" i="8" s="1"/>
  <c r="U43" i="8" s="1"/>
  <c r="Y20" i="8"/>
  <c r="AL20" i="8" s="1"/>
  <c r="AE20" i="8"/>
  <c r="BJ20" i="8" s="1"/>
  <c r="Z20" i="8"/>
  <c r="X20" i="8"/>
  <c r="AK20" i="8" s="1"/>
  <c r="M43" i="8"/>
  <c r="T43" i="8" s="1"/>
  <c r="K44" i="8"/>
  <c r="I41" i="8"/>
  <c r="AW42" i="8"/>
  <c r="AZ42" i="8"/>
  <c r="Q42" i="8"/>
  <c r="S42" i="8" s="1"/>
  <c r="V42" i="8" s="1"/>
  <c r="AC42" i="8"/>
  <c r="AD41" i="8"/>
  <c r="H42" i="8"/>
  <c r="D45" i="8"/>
  <c r="E45" i="8" s="1"/>
  <c r="AK22" i="9" l="1"/>
  <c r="AN22" i="9" s="1"/>
  <c r="BK22" i="9" s="1"/>
  <c r="AA22" i="9"/>
  <c r="W23" i="9" s="1"/>
  <c r="Y23" i="9" s="1"/>
  <c r="AL23" i="9" s="1"/>
  <c r="BJ22" i="9"/>
  <c r="BP52" i="9"/>
  <c r="BQ52" i="9" s="1"/>
  <c r="BR52" i="9" s="1"/>
  <c r="G52" i="9"/>
  <c r="H52" i="9" s="1"/>
  <c r="AJ41" i="8"/>
  <c r="Q52" i="9"/>
  <c r="S52" i="9" s="1"/>
  <c r="V52" i="9" s="1"/>
  <c r="AC52" i="9"/>
  <c r="I51" i="9"/>
  <c r="AD52" i="9"/>
  <c r="AJ52" i="9" s="1"/>
  <c r="C53" i="9"/>
  <c r="B53" i="9"/>
  <c r="AN20" i="8"/>
  <c r="AM20" i="8" s="1"/>
  <c r="AX44" i="8"/>
  <c r="AU44" i="8"/>
  <c r="AI44" i="8"/>
  <c r="N44" i="8"/>
  <c r="P44" i="8" s="1"/>
  <c r="U44" i="8" s="1"/>
  <c r="AA20" i="8"/>
  <c r="BB20" i="8"/>
  <c r="BF20" i="8" s="1"/>
  <c r="BD20" i="8" s="1"/>
  <c r="M44" i="8"/>
  <c r="T44" i="8" s="1"/>
  <c r="K45" i="8"/>
  <c r="I42" i="8"/>
  <c r="AZ43" i="8"/>
  <c r="AW43" i="8"/>
  <c r="Q43" i="8"/>
  <c r="S43" i="8" s="1"/>
  <c r="V43" i="8" s="1"/>
  <c r="AC43" i="8"/>
  <c r="AD42" i="8"/>
  <c r="AJ42" i="8" s="1"/>
  <c r="H43" i="8"/>
  <c r="D46" i="8"/>
  <c r="E46" i="8" s="1"/>
  <c r="AM22" i="9" l="1"/>
  <c r="Z23" i="9"/>
  <c r="BA23" i="9"/>
  <c r="BE23" i="9" s="1"/>
  <c r="BC23" i="9" s="1"/>
  <c r="X23" i="9"/>
  <c r="AK23" i="9" s="1"/>
  <c r="AN23" i="9" s="1"/>
  <c r="AM23" i="9" s="1"/>
  <c r="AE23" i="9"/>
  <c r="BP53" i="9"/>
  <c r="BQ53" i="9" s="1"/>
  <c r="BR53" i="9" s="1"/>
  <c r="G53" i="9"/>
  <c r="H53" i="9" s="1"/>
  <c r="Q53" i="9"/>
  <c r="S53" i="9" s="1"/>
  <c r="V53" i="9" s="1"/>
  <c r="AC53" i="9"/>
  <c r="I52" i="9"/>
  <c r="C54" i="9"/>
  <c r="B54" i="9"/>
  <c r="AD53" i="9"/>
  <c r="AJ53" i="9" s="1"/>
  <c r="BK20" i="8"/>
  <c r="AI45" i="8"/>
  <c r="AU45" i="8"/>
  <c r="AX45" i="8"/>
  <c r="N45" i="8"/>
  <c r="P45" i="8" s="1"/>
  <c r="U45" i="8" s="1"/>
  <c r="W21" i="8"/>
  <c r="M45" i="8"/>
  <c r="T45" i="8" s="1"/>
  <c r="K46" i="8"/>
  <c r="I43" i="8"/>
  <c r="AD43" i="8"/>
  <c r="D47" i="8"/>
  <c r="E47" i="8" s="1"/>
  <c r="BJ23" i="9" l="1"/>
  <c r="BB23" i="9"/>
  <c r="BF23" i="9" s="1"/>
  <c r="BD23" i="9" s="1"/>
  <c r="AA23" i="9"/>
  <c r="W24" i="9" s="1"/>
  <c r="Y24" i="9" s="1"/>
  <c r="AL24" i="9" s="1"/>
  <c r="BP54" i="9"/>
  <c r="BQ54" i="9" s="1"/>
  <c r="BR54" i="9" s="1"/>
  <c r="G54" i="9"/>
  <c r="H54" i="9" s="1"/>
  <c r="AJ43" i="8"/>
  <c r="C55" i="9"/>
  <c r="B55" i="9"/>
  <c r="Q54" i="9"/>
  <c r="S54" i="9" s="1"/>
  <c r="V54" i="9" s="1"/>
  <c r="AC54" i="9"/>
  <c r="AD54" i="9" s="1"/>
  <c r="AJ54" i="9" s="1"/>
  <c r="I53" i="9"/>
  <c r="AX46" i="8"/>
  <c r="AU46" i="8"/>
  <c r="AI46" i="8"/>
  <c r="N46" i="8"/>
  <c r="P46" i="8" s="1"/>
  <c r="U46" i="8" s="1"/>
  <c r="Y21" i="8"/>
  <c r="AL21" i="8" s="1"/>
  <c r="X21" i="8"/>
  <c r="AK21" i="8" s="1"/>
  <c r="BA21" i="8"/>
  <c r="BE21" i="8" s="1"/>
  <c r="BC21" i="8" s="1"/>
  <c r="AE21" i="8"/>
  <c r="Z21" i="8"/>
  <c r="M46" i="8"/>
  <c r="T46" i="8" s="1"/>
  <c r="K47" i="8"/>
  <c r="AZ44" i="8"/>
  <c r="AW44" i="8"/>
  <c r="H44" i="8"/>
  <c r="Q44" i="8"/>
  <c r="S44" i="8" s="1"/>
  <c r="V44" i="8" s="1"/>
  <c r="AC44" i="8"/>
  <c r="AD44" i="8"/>
  <c r="AJ44" i="8" s="1"/>
  <c r="D48" i="8"/>
  <c r="E48" i="8" s="1"/>
  <c r="BK23" i="9" l="1"/>
  <c r="BA24" i="9"/>
  <c r="BE24" i="9" s="1"/>
  <c r="BC24" i="9" s="1"/>
  <c r="AE24" i="9"/>
  <c r="Z24" i="9"/>
  <c r="X24" i="9"/>
  <c r="BB24" i="9" s="1"/>
  <c r="BF24" i="9" s="1"/>
  <c r="BD24" i="9" s="1"/>
  <c r="BP55" i="9"/>
  <c r="BQ55" i="9" s="1"/>
  <c r="BR55" i="9" s="1"/>
  <c r="G55" i="9"/>
  <c r="H55" i="9" s="1"/>
  <c r="I54" i="9"/>
  <c r="C56" i="9"/>
  <c r="B56" i="9"/>
  <c r="AD55" i="9"/>
  <c r="AJ55" i="9" s="1"/>
  <c r="Q55" i="9"/>
  <c r="S55" i="9" s="1"/>
  <c r="V55" i="9" s="1"/>
  <c r="AC55" i="9"/>
  <c r="AX47" i="8"/>
  <c r="AU47" i="8"/>
  <c r="AI47" i="8"/>
  <c r="N47" i="8"/>
  <c r="P47" i="8" s="1"/>
  <c r="U47" i="8" s="1"/>
  <c r="BJ21" i="8"/>
  <c r="BB21" i="8"/>
  <c r="BF21" i="8" s="1"/>
  <c r="BD21" i="8" s="1"/>
  <c r="AN21" i="8"/>
  <c r="AA21" i="8"/>
  <c r="M47" i="8"/>
  <c r="T47" i="8" s="1"/>
  <c r="K48" i="8"/>
  <c r="I44" i="8"/>
  <c r="AC46" i="8"/>
  <c r="AZ45" i="8"/>
  <c r="AW45" i="8"/>
  <c r="H45" i="8"/>
  <c r="Q45" i="8"/>
  <c r="S45" i="8" s="1"/>
  <c r="V45" i="8" s="1"/>
  <c r="AC45" i="8"/>
  <c r="AD45" i="8"/>
  <c r="D49" i="8"/>
  <c r="E49" i="8" s="1"/>
  <c r="BJ24" i="9" l="1"/>
  <c r="AA24" i="9"/>
  <c r="W25" i="9" s="1"/>
  <c r="AE25" i="9" s="1"/>
  <c r="AK24" i="9"/>
  <c r="AN24" i="9" s="1"/>
  <c r="BK24" i="9" s="1"/>
  <c r="BP56" i="9"/>
  <c r="BQ56" i="9" s="1"/>
  <c r="BR56" i="9" s="1"/>
  <c r="G56" i="9"/>
  <c r="H56" i="9" s="1"/>
  <c r="AJ45" i="8"/>
  <c r="AD56" i="9"/>
  <c r="AJ56" i="9" s="1"/>
  <c r="C57" i="9"/>
  <c r="B57" i="9"/>
  <c r="Q56" i="9"/>
  <c r="S56" i="9" s="1"/>
  <c r="V56" i="9" s="1"/>
  <c r="AC56" i="9"/>
  <c r="I55" i="9"/>
  <c r="AX48" i="8"/>
  <c r="AU48" i="8"/>
  <c r="AI48" i="8"/>
  <c r="N48" i="8"/>
  <c r="P48" i="8" s="1"/>
  <c r="U48" i="8" s="1"/>
  <c r="W22" i="8"/>
  <c r="BK21" i="8"/>
  <c r="AM21" i="8"/>
  <c r="H46" i="8"/>
  <c r="Q46" i="8"/>
  <c r="S46" i="8" s="1"/>
  <c r="V46" i="8" s="1"/>
  <c r="M48" i="8"/>
  <c r="T48" i="8" s="1"/>
  <c r="K49" i="8"/>
  <c r="I45" i="8"/>
  <c r="AW47" i="8"/>
  <c r="AZ47" i="8"/>
  <c r="AW46" i="8"/>
  <c r="AZ46" i="8"/>
  <c r="Q47" i="8"/>
  <c r="S47" i="8" s="1"/>
  <c r="V47" i="8" s="1"/>
  <c r="AC47" i="8"/>
  <c r="AD46" i="8"/>
  <c r="AJ46" i="8" s="1"/>
  <c r="H47" i="8"/>
  <c r="D50" i="8"/>
  <c r="E50" i="8" s="1"/>
  <c r="BA25" i="9" l="1"/>
  <c r="BE25" i="9" s="1"/>
  <c r="BC25" i="9" s="1"/>
  <c r="AM24" i="9"/>
  <c r="Z25" i="9"/>
  <c r="Y25" i="9"/>
  <c r="AL25" i="9" s="1"/>
  <c r="X25" i="9"/>
  <c r="AK25" i="9" s="1"/>
  <c r="BP57" i="9"/>
  <c r="BQ57" i="9" s="1"/>
  <c r="BR57" i="9" s="1"/>
  <c r="G57" i="9"/>
  <c r="H57" i="9" s="1"/>
  <c r="I56" i="9"/>
  <c r="C58" i="9"/>
  <c r="B58" i="9"/>
  <c r="AD57" i="9"/>
  <c r="AJ57" i="9" s="1"/>
  <c r="Q57" i="9"/>
  <c r="S57" i="9" s="1"/>
  <c r="V57" i="9" s="1"/>
  <c r="AC57" i="9"/>
  <c r="I46" i="8"/>
  <c r="I47" i="8" s="1"/>
  <c r="AX49" i="8"/>
  <c r="AU49" i="8"/>
  <c r="AI49" i="8"/>
  <c r="N49" i="8"/>
  <c r="P49" i="8" s="1"/>
  <c r="U49" i="8" s="1"/>
  <c r="Y22" i="8"/>
  <c r="AL22" i="8" s="1"/>
  <c r="AE22" i="8"/>
  <c r="BA22" i="8"/>
  <c r="BE22" i="8" s="1"/>
  <c r="BC22" i="8" s="1"/>
  <c r="X22" i="8"/>
  <c r="AK22" i="8" s="1"/>
  <c r="Z22" i="8"/>
  <c r="M49" i="8"/>
  <c r="T49" i="8" s="1"/>
  <c r="K50" i="8"/>
  <c r="AW48" i="8"/>
  <c r="AZ48" i="8"/>
  <c r="Q48" i="8"/>
  <c r="S48" i="8" s="1"/>
  <c r="V48" i="8" s="1"/>
  <c r="AC48" i="8"/>
  <c r="AD47" i="8"/>
  <c r="AJ47" i="8" s="1"/>
  <c r="H48" i="8"/>
  <c r="D51" i="8"/>
  <c r="E51" i="8" s="1"/>
  <c r="BJ25" i="9" l="1"/>
  <c r="AN25" i="9"/>
  <c r="AM25" i="9" s="1"/>
  <c r="AA25" i="9"/>
  <c r="W26" i="9" s="1"/>
  <c r="BA26" i="9" s="1"/>
  <c r="BE26" i="9" s="1"/>
  <c r="BC26" i="9" s="1"/>
  <c r="BB25" i="9"/>
  <c r="BF25" i="9" s="1"/>
  <c r="BD25" i="9" s="1"/>
  <c r="BP58" i="9"/>
  <c r="BQ58" i="9" s="1"/>
  <c r="BR58" i="9" s="1"/>
  <c r="G58" i="9"/>
  <c r="H58" i="9" s="1"/>
  <c r="I57" i="9"/>
  <c r="AD58" i="9"/>
  <c r="AJ58" i="9" s="1"/>
  <c r="C59" i="9"/>
  <c r="B59" i="9"/>
  <c r="Q58" i="9"/>
  <c r="S58" i="9" s="1"/>
  <c r="V58" i="9" s="1"/>
  <c r="AC58" i="9"/>
  <c r="AX50" i="8"/>
  <c r="AU50" i="8"/>
  <c r="AI50" i="8"/>
  <c r="N50" i="8"/>
  <c r="P50" i="8" s="1"/>
  <c r="U50" i="8" s="1"/>
  <c r="BJ22" i="8"/>
  <c r="AN22" i="8"/>
  <c r="BB22" i="8"/>
  <c r="BF22" i="8" s="1"/>
  <c r="BD22" i="8" s="1"/>
  <c r="AA22" i="8"/>
  <c r="M50" i="8"/>
  <c r="T50" i="8" s="1"/>
  <c r="K51" i="8"/>
  <c r="I48" i="8"/>
  <c r="AW49" i="8"/>
  <c r="AZ49" i="8"/>
  <c r="Q49" i="8"/>
  <c r="S49" i="8" s="1"/>
  <c r="V49" i="8" s="1"/>
  <c r="AC49" i="8"/>
  <c r="AD48" i="8"/>
  <c r="AJ48" i="8" s="1"/>
  <c r="H49" i="8"/>
  <c r="D52" i="8"/>
  <c r="E52" i="8" s="1"/>
  <c r="X26" i="9" l="1"/>
  <c r="Y26" i="9"/>
  <c r="AL26" i="9" s="1"/>
  <c r="Z26" i="9"/>
  <c r="AE26" i="9"/>
  <c r="BJ26" i="9" s="1"/>
  <c r="BK25" i="9"/>
  <c r="BP59" i="9"/>
  <c r="BQ59" i="9" s="1"/>
  <c r="BR59" i="9" s="1"/>
  <c r="G59" i="9"/>
  <c r="H59" i="9" s="1"/>
  <c r="C60" i="9"/>
  <c r="B60" i="9"/>
  <c r="AD59" i="9"/>
  <c r="AJ59" i="9" s="1"/>
  <c r="Q59" i="9"/>
  <c r="S59" i="9" s="1"/>
  <c r="V59" i="9" s="1"/>
  <c r="AC59" i="9"/>
  <c r="I58" i="9"/>
  <c r="AX51" i="8"/>
  <c r="AU51" i="8"/>
  <c r="AI51" i="8"/>
  <c r="N51" i="8"/>
  <c r="P51" i="8" s="1"/>
  <c r="U51" i="8" s="1"/>
  <c r="BK22" i="8"/>
  <c r="AM22" i="8"/>
  <c r="W23" i="8"/>
  <c r="X23" i="8" s="1"/>
  <c r="AK23" i="8" s="1"/>
  <c r="M51" i="8"/>
  <c r="T51" i="8" s="1"/>
  <c r="K52" i="8"/>
  <c r="I49" i="8"/>
  <c r="AD49" i="8"/>
  <c r="D53" i="8"/>
  <c r="E53" i="8" s="1"/>
  <c r="BB26" i="9" l="1"/>
  <c r="BF26" i="9" s="1"/>
  <c r="BD26" i="9" s="1"/>
  <c r="AK26" i="9"/>
  <c r="AN26" i="9" s="1"/>
  <c r="AA26" i="9"/>
  <c r="W27" i="9" s="1"/>
  <c r="Z27" i="9" s="1"/>
  <c r="BP60" i="9"/>
  <c r="BQ60" i="9" s="1"/>
  <c r="BR60" i="9" s="1"/>
  <c r="G60" i="9"/>
  <c r="H60" i="9" s="1"/>
  <c r="AJ49" i="8"/>
  <c r="AD60" i="9"/>
  <c r="AJ60" i="9" s="1"/>
  <c r="C61" i="9"/>
  <c r="B61" i="9"/>
  <c r="Q60" i="9"/>
  <c r="S60" i="9" s="1"/>
  <c r="V60" i="9" s="1"/>
  <c r="AC60" i="9"/>
  <c r="I59" i="9"/>
  <c r="AX52" i="8"/>
  <c r="AU52" i="8"/>
  <c r="AI52" i="8"/>
  <c r="N52" i="8"/>
  <c r="P52" i="8" s="1"/>
  <c r="U52" i="8" s="1"/>
  <c r="BA23" i="8"/>
  <c r="BE23" i="8" s="1"/>
  <c r="BC23" i="8" s="1"/>
  <c r="AE23" i="8"/>
  <c r="Y23" i="8"/>
  <c r="AL23" i="8" s="1"/>
  <c r="Z23" i="8"/>
  <c r="M52" i="8"/>
  <c r="T52" i="8" s="1"/>
  <c r="K53" i="8"/>
  <c r="AW51" i="8"/>
  <c r="AW50" i="8"/>
  <c r="AZ50" i="8"/>
  <c r="AD50" i="8"/>
  <c r="AJ50" i="8" s="1"/>
  <c r="Q50" i="8"/>
  <c r="S50" i="8" s="1"/>
  <c r="V50" i="8" s="1"/>
  <c r="AC50" i="8"/>
  <c r="H50" i="8"/>
  <c r="D54" i="8"/>
  <c r="E54" i="8" s="1"/>
  <c r="BK26" i="9" l="1"/>
  <c r="AE27" i="9"/>
  <c r="X27" i="9"/>
  <c r="AK27" i="9" s="1"/>
  <c r="Y27" i="9"/>
  <c r="AL27" i="9" s="1"/>
  <c r="BA27" i="9"/>
  <c r="BE27" i="9" s="1"/>
  <c r="BC27" i="9" s="1"/>
  <c r="AM26" i="9"/>
  <c r="BP61" i="9"/>
  <c r="BQ61" i="9" s="1"/>
  <c r="BR61" i="9" s="1"/>
  <c r="G61" i="9"/>
  <c r="H61" i="9" s="1"/>
  <c r="I60" i="9"/>
  <c r="C62" i="9"/>
  <c r="B62" i="9"/>
  <c r="AD61" i="9"/>
  <c r="AJ61" i="9" s="1"/>
  <c r="Q61" i="9"/>
  <c r="S61" i="9" s="1"/>
  <c r="V61" i="9" s="1"/>
  <c r="AC61" i="9"/>
  <c r="AX53" i="8"/>
  <c r="AI53" i="8"/>
  <c r="AU53" i="8"/>
  <c r="N53" i="8"/>
  <c r="P53" i="8" s="1"/>
  <c r="U53" i="8" s="1"/>
  <c r="BJ23" i="8"/>
  <c r="BB23" i="8"/>
  <c r="BF23" i="8" s="1"/>
  <c r="BD23" i="8" s="1"/>
  <c r="AA23" i="8"/>
  <c r="AN23" i="8"/>
  <c r="AZ51" i="8"/>
  <c r="AC51" i="8"/>
  <c r="H51" i="8"/>
  <c r="Q51" i="8"/>
  <c r="S51" i="8" s="1"/>
  <c r="V51" i="8" s="1"/>
  <c r="M53" i="8"/>
  <c r="T53" i="8" s="1"/>
  <c r="K54" i="8"/>
  <c r="I50" i="8"/>
  <c r="AD51" i="8"/>
  <c r="D55" i="8"/>
  <c r="E55" i="8" s="1"/>
  <c r="AA27" i="9" l="1"/>
  <c r="W28" i="9" s="1"/>
  <c r="BJ27" i="9"/>
  <c r="AN27" i="9"/>
  <c r="AM27" i="9" s="1"/>
  <c r="BB27" i="9"/>
  <c r="BF27" i="9" s="1"/>
  <c r="BD27" i="9" s="1"/>
  <c r="BP62" i="9"/>
  <c r="BQ62" i="9" s="1"/>
  <c r="BR62" i="9" s="1"/>
  <c r="G62" i="9"/>
  <c r="H62" i="9" s="1"/>
  <c r="AJ51" i="8"/>
  <c r="AD62" i="9"/>
  <c r="AJ62" i="9" s="1"/>
  <c r="C63" i="9"/>
  <c r="B63" i="9"/>
  <c r="Q62" i="9"/>
  <c r="S62" i="9" s="1"/>
  <c r="V62" i="9" s="1"/>
  <c r="AC62" i="9"/>
  <c r="I61" i="9"/>
  <c r="AX54" i="8"/>
  <c r="AU54" i="8"/>
  <c r="AI54" i="8"/>
  <c r="N54" i="8"/>
  <c r="P54" i="8" s="1"/>
  <c r="U54" i="8" s="1"/>
  <c r="BK23" i="8"/>
  <c r="AM23" i="8"/>
  <c r="W24" i="8"/>
  <c r="I51" i="8"/>
  <c r="M54" i="8"/>
  <c r="T54" i="8" s="1"/>
  <c r="K55" i="8"/>
  <c r="AZ52" i="8"/>
  <c r="AW52" i="8"/>
  <c r="H52" i="8"/>
  <c r="Q52" i="8"/>
  <c r="S52" i="8" s="1"/>
  <c r="V52" i="8" s="1"/>
  <c r="AC52" i="8"/>
  <c r="AD52" i="8"/>
  <c r="AJ52" i="8" s="1"/>
  <c r="D56" i="8"/>
  <c r="E56" i="8" s="1"/>
  <c r="BK27" i="9" l="1"/>
  <c r="BP63" i="9"/>
  <c r="BQ63" i="9" s="1"/>
  <c r="BR63" i="9" s="1"/>
  <c r="G63" i="9"/>
  <c r="H63" i="9" s="1"/>
  <c r="AE28" i="9"/>
  <c r="X28" i="9"/>
  <c r="BA28" i="9"/>
  <c r="BE28" i="9" s="1"/>
  <c r="BC28" i="9" s="1"/>
  <c r="Y28" i="9"/>
  <c r="AL28" i="9" s="1"/>
  <c r="Z28" i="9"/>
  <c r="C64" i="9"/>
  <c r="B64" i="9"/>
  <c r="AD63" i="9"/>
  <c r="AJ63" i="9" s="1"/>
  <c r="I62" i="9"/>
  <c r="Q63" i="9"/>
  <c r="S63" i="9" s="1"/>
  <c r="V63" i="9" s="1"/>
  <c r="AC63" i="9"/>
  <c r="AX55" i="8"/>
  <c r="AU55" i="8"/>
  <c r="AI55" i="8"/>
  <c r="N55" i="8"/>
  <c r="P55" i="8" s="1"/>
  <c r="U55" i="8" s="1"/>
  <c r="Y24" i="8"/>
  <c r="AL24" i="8" s="1"/>
  <c r="X24" i="8"/>
  <c r="AK24" i="8" s="1"/>
  <c r="AE24" i="8"/>
  <c r="BA24" i="8"/>
  <c r="BE24" i="8" s="1"/>
  <c r="BC24" i="8" s="1"/>
  <c r="Z24" i="8"/>
  <c r="AZ53" i="8"/>
  <c r="H53" i="8"/>
  <c r="AC53" i="8"/>
  <c r="AW53" i="8"/>
  <c r="Q53" i="8"/>
  <c r="S53" i="8" s="1"/>
  <c r="V53" i="8" s="1"/>
  <c r="M55" i="8"/>
  <c r="T55" i="8" s="1"/>
  <c r="K56" i="8"/>
  <c r="I52" i="8"/>
  <c r="AZ54" i="8"/>
  <c r="AW54" i="8"/>
  <c r="Q54" i="8"/>
  <c r="S54" i="8" s="1"/>
  <c r="V54" i="8" s="1"/>
  <c r="AC54" i="8"/>
  <c r="AD53" i="8"/>
  <c r="AJ53" i="8" s="1"/>
  <c r="H54" i="8"/>
  <c r="D57" i="8"/>
  <c r="E57" i="8" s="1"/>
  <c r="BP64" i="9" l="1"/>
  <c r="BQ64" i="9" s="1"/>
  <c r="BR64" i="9" s="1"/>
  <c r="G64" i="9"/>
  <c r="H64" i="9" s="1"/>
  <c r="I53" i="8"/>
  <c r="I54" i="8" s="1"/>
  <c r="AK28" i="9"/>
  <c r="AN28" i="9" s="1"/>
  <c r="BB28" i="9"/>
  <c r="BF28" i="9" s="1"/>
  <c r="BD28" i="9" s="1"/>
  <c r="AA28" i="9"/>
  <c r="BJ28" i="9"/>
  <c r="AD64" i="9"/>
  <c r="AJ64" i="9" s="1"/>
  <c r="C65" i="9"/>
  <c r="B65" i="9"/>
  <c r="Q64" i="9"/>
  <c r="S64" i="9" s="1"/>
  <c r="V64" i="9" s="1"/>
  <c r="AC64" i="9"/>
  <c r="I63" i="9"/>
  <c r="AX56" i="8"/>
  <c r="AU56" i="8"/>
  <c r="AI56" i="8"/>
  <c r="N56" i="8"/>
  <c r="P56" i="8" s="1"/>
  <c r="U56" i="8" s="1"/>
  <c r="AA24" i="8"/>
  <c r="W25" i="8" s="1"/>
  <c r="BJ24" i="8"/>
  <c r="AN24" i="8"/>
  <c r="BB24" i="8"/>
  <c r="BF24" i="8" s="1"/>
  <c r="BD24" i="8" s="1"/>
  <c r="M56" i="8"/>
  <c r="T56" i="8" s="1"/>
  <c r="K57" i="8"/>
  <c r="AZ55" i="8"/>
  <c r="AW55" i="8"/>
  <c r="Q55" i="8"/>
  <c r="S55" i="8" s="1"/>
  <c r="V55" i="8" s="1"/>
  <c r="AC55" i="8"/>
  <c r="AD54" i="8"/>
  <c r="H55" i="8"/>
  <c r="D58" i="8"/>
  <c r="E58" i="8" s="1"/>
  <c r="BP65" i="9" l="1"/>
  <c r="BQ65" i="9" s="1"/>
  <c r="BR65" i="9" s="1"/>
  <c r="G65" i="9"/>
  <c r="H65" i="9" s="1"/>
  <c r="AJ54" i="8"/>
  <c r="W29" i="9"/>
  <c r="BK28" i="9"/>
  <c r="AM28" i="9"/>
  <c r="I64" i="9"/>
  <c r="C66" i="9"/>
  <c r="B66" i="9"/>
  <c r="AD65" i="9"/>
  <c r="AJ65" i="9" s="1"/>
  <c r="Q65" i="9"/>
  <c r="S65" i="9" s="1"/>
  <c r="V65" i="9" s="1"/>
  <c r="AC65" i="9"/>
  <c r="AX57" i="8"/>
  <c r="AU57" i="8"/>
  <c r="AI57" i="8"/>
  <c r="N57" i="8"/>
  <c r="P57" i="8" s="1"/>
  <c r="U57" i="8" s="1"/>
  <c r="AM24" i="8"/>
  <c r="BK24" i="8"/>
  <c r="Y25" i="8"/>
  <c r="AL25" i="8" s="1"/>
  <c r="BA25" i="8"/>
  <c r="BE25" i="8" s="1"/>
  <c r="BC25" i="8" s="1"/>
  <c r="Z25" i="8"/>
  <c r="AE25" i="8"/>
  <c r="X25" i="8"/>
  <c r="AK25" i="8" s="1"/>
  <c r="M57" i="8"/>
  <c r="T57" i="8" s="1"/>
  <c r="K58" i="8"/>
  <c r="I55" i="8"/>
  <c r="AD55" i="8"/>
  <c r="H56" i="8"/>
  <c r="D59" i="8"/>
  <c r="E59" i="8" s="1"/>
  <c r="BP66" i="9" l="1"/>
  <c r="BQ66" i="9" s="1"/>
  <c r="BR66" i="9" s="1"/>
  <c r="G66" i="9"/>
  <c r="H66" i="9" s="1"/>
  <c r="AJ55" i="8"/>
  <c r="X29" i="9"/>
  <c r="BA29" i="9"/>
  <c r="BE29" i="9" s="1"/>
  <c r="BC29" i="9" s="1"/>
  <c r="AE29" i="9"/>
  <c r="Z29" i="9"/>
  <c r="Y29" i="9"/>
  <c r="AL29" i="9" s="1"/>
  <c r="C67" i="9"/>
  <c r="B67" i="9"/>
  <c r="Q66" i="9"/>
  <c r="S66" i="9" s="1"/>
  <c r="V66" i="9" s="1"/>
  <c r="AC66" i="9"/>
  <c r="AD66" i="9" s="1"/>
  <c r="AJ66" i="9" s="1"/>
  <c r="I65" i="9"/>
  <c r="AX58" i="8"/>
  <c r="AU58" i="8"/>
  <c r="AI58" i="8"/>
  <c r="N58" i="8"/>
  <c r="P58" i="8" s="1"/>
  <c r="U58" i="8" s="1"/>
  <c r="BJ25" i="8"/>
  <c r="AA25" i="8"/>
  <c r="BB25" i="8"/>
  <c r="BF25" i="8" s="1"/>
  <c r="BD25" i="8" s="1"/>
  <c r="AN25" i="8"/>
  <c r="M58" i="8"/>
  <c r="T58" i="8" s="1"/>
  <c r="K59" i="8"/>
  <c r="I56" i="8"/>
  <c r="AW56" i="8"/>
  <c r="AZ56" i="8"/>
  <c r="AD56" i="8"/>
  <c r="AJ56" i="8" s="1"/>
  <c r="H57" i="8"/>
  <c r="Q56" i="8"/>
  <c r="S56" i="8" s="1"/>
  <c r="V56" i="8" s="1"/>
  <c r="AC56" i="8"/>
  <c r="D60" i="8"/>
  <c r="E60" i="8" s="1"/>
  <c r="BP67" i="9" l="1"/>
  <c r="BQ67" i="9" s="1"/>
  <c r="BR67" i="9" s="1"/>
  <c r="G67" i="9"/>
  <c r="H67" i="9" s="1"/>
  <c r="BJ29" i="9"/>
  <c r="AA29" i="9"/>
  <c r="BB29" i="9"/>
  <c r="BF29" i="9" s="1"/>
  <c r="BD29" i="9" s="1"/>
  <c r="AK29" i="9"/>
  <c r="AN29" i="9" s="1"/>
  <c r="I66" i="9"/>
  <c r="C68" i="9"/>
  <c r="B68" i="9"/>
  <c r="AD67" i="9"/>
  <c r="AJ67" i="9" s="1"/>
  <c r="Q67" i="9"/>
  <c r="S67" i="9" s="1"/>
  <c r="V67" i="9" s="1"/>
  <c r="AC67" i="9"/>
  <c r="AX59" i="8"/>
  <c r="AU59" i="8"/>
  <c r="AI59" i="8"/>
  <c r="N59" i="8"/>
  <c r="P59" i="8" s="1"/>
  <c r="U59" i="8" s="1"/>
  <c r="W26" i="8"/>
  <c r="AM25" i="8"/>
  <c r="BK25" i="8"/>
  <c r="M59" i="8"/>
  <c r="T59" i="8" s="1"/>
  <c r="K60" i="8"/>
  <c r="I57" i="8"/>
  <c r="Q58" i="8"/>
  <c r="S58" i="8" s="1"/>
  <c r="V58" i="8" s="1"/>
  <c r="AW57" i="8"/>
  <c r="AZ57" i="8"/>
  <c r="AC58" i="8"/>
  <c r="AD57" i="8"/>
  <c r="Q57" i="8"/>
  <c r="S57" i="8" s="1"/>
  <c r="V57" i="8" s="1"/>
  <c r="AC57" i="8"/>
  <c r="D61" i="8"/>
  <c r="E61" i="8" s="1"/>
  <c r="BP68" i="9" l="1"/>
  <c r="BQ68" i="9" s="1"/>
  <c r="BR68" i="9" s="1"/>
  <c r="G68" i="9"/>
  <c r="H68" i="9" s="1"/>
  <c r="AJ57" i="8"/>
  <c r="BK29" i="9"/>
  <c r="AM29" i="9"/>
  <c r="W30" i="9"/>
  <c r="Q68" i="9"/>
  <c r="S68" i="9" s="1"/>
  <c r="V68" i="9" s="1"/>
  <c r="AC68" i="9"/>
  <c r="I67" i="9"/>
  <c r="AD68" i="9"/>
  <c r="AJ68" i="9" s="1"/>
  <c r="C69" i="9"/>
  <c r="B69" i="9"/>
  <c r="AX60" i="8"/>
  <c r="AU60" i="8"/>
  <c r="AI60" i="8"/>
  <c r="N60" i="8"/>
  <c r="P60" i="8" s="1"/>
  <c r="U60" i="8" s="1"/>
  <c r="Y26" i="8"/>
  <c r="AL26" i="8" s="1"/>
  <c r="AE26" i="8"/>
  <c r="Z26" i="8"/>
  <c r="BA26" i="8"/>
  <c r="BE26" i="8" s="1"/>
  <c r="BC26" i="8" s="1"/>
  <c r="X26" i="8"/>
  <c r="AK26" i="8" s="1"/>
  <c r="M60" i="8"/>
  <c r="T60" i="8" s="1"/>
  <c r="K61" i="8"/>
  <c r="H58" i="8"/>
  <c r="AW59" i="8"/>
  <c r="AZ59" i="8"/>
  <c r="AW58" i="8"/>
  <c r="AZ58" i="8"/>
  <c r="Q59" i="8"/>
  <c r="S59" i="8" s="1"/>
  <c r="V59" i="8" s="1"/>
  <c r="AC59" i="8"/>
  <c r="AD58" i="8"/>
  <c r="AJ58" i="8" s="1"/>
  <c r="H59" i="8"/>
  <c r="D62" i="8"/>
  <c r="E62" i="8" s="1"/>
  <c r="BP69" i="9" l="1"/>
  <c r="BQ69" i="9" s="1"/>
  <c r="BR69" i="9" s="1"/>
  <c r="G69" i="9"/>
  <c r="H69" i="9" s="1"/>
  <c r="X30" i="9"/>
  <c r="BA30" i="9"/>
  <c r="BE30" i="9" s="1"/>
  <c r="BC30" i="9" s="1"/>
  <c r="AE30" i="9"/>
  <c r="Y30" i="9"/>
  <c r="AL30" i="9" s="1"/>
  <c r="Z30" i="9"/>
  <c r="C70" i="9"/>
  <c r="B70" i="9"/>
  <c r="AD69" i="9"/>
  <c r="AJ69" i="9" s="1"/>
  <c r="Q69" i="9"/>
  <c r="S69" i="9" s="1"/>
  <c r="V69" i="9" s="1"/>
  <c r="AC69" i="9"/>
  <c r="I68" i="9"/>
  <c r="AU61" i="8"/>
  <c r="AX61" i="8"/>
  <c r="AI61" i="8"/>
  <c r="N61" i="8"/>
  <c r="P61" i="8" s="1"/>
  <c r="U61" i="8" s="1"/>
  <c r="AA26" i="8"/>
  <c r="W27" i="8" s="1"/>
  <c r="BJ26" i="8"/>
  <c r="AN26" i="8"/>
  <c r="BB26" i="8"/>
  <c r="BF26" i="8" s="1"/>
  <c r="BD26" i="8" s="1"/>
  <c r="M61" i="8"/>
  <c r="T61" i="8" s="1"/>
  <c r="K62" i="8"/>
  <c r="I58" i="8"/>
  <c r="I59" i="8" s="1"/>
  <c r="AZ60" i="8"/>
  <c r="AW60" i="8"/>
  <c r="Q60" i="8"/>
  <c r="S60" i="8" s="1"/>
  <c r="V60" i="8" s="1"/>
  <c r="AC60" i="8"/>
  <c r="AD59" i="8"/>
  <c r="H60" i="8"/>
  <c r="D63" i="8"/>
  <c r="E63" i="8" s="1"/>
  <c r="BP70" i="9" l="1"/>
  <c r="BQ70" i="9" s="1"/>
  <c r="BR70" i="9" s="1"/>
  <c r="G70" i="9"/>
  <c r="H70" i="9" s="1"/>
  <c r="AJ59" i="8"/>
  <c r="AA30" i="9"/>
  <c r="W31" i="9" s="1"/>
  <c r="BJ30" i="9"/>
  <c r="BB30" i="9"/>
  <c r="BF30" i="9" s="1"/>
  <c r="BD30" i="9" s="1"/>
  <c r="AK30" i="9"/>
  <c r="AN30" i="9" s="1"/>
  <c r="Q70" i="9"/>
  <c r="S70" i="9" s="1"/>
  <c r="V70" i="9" s="1"/>
  <c r="AC70" i="9"/>
  <c r="I69" i="9"/>
  <c r="AD70" i="9"/>
  <c r="AJ70" i="9" s="1"/>
  <c r="C71" i="9"/>
  <c r="B71" i="9"/>
  <c r="AX62" i="8"/>
  <c r="AU62" i="8"/>
  <c r="AI62" i="8"/>
  <c r="N62" i="8"/>
  <c r="P62" i="8" s="1"/>
  <c r="U62" i="8" s="1"/>
  <c r="BK26" i="8"/>
  <c r="AM26" i="8"/>
  <c r="Z27" i="8"/>
  <c r="Y27" i="8"/>
  <c r="AL27" i="8" s="1"/>
  <c r="AE27" i="8"/>
  <c r="X27" i="8"/>
  <c r="AK27" i="8" s="1"/>
  <c r="BA27" i="8"/>
  <c r="BE27" i="8" s="1"/>
  <c r="BC27" i="8" s="1"/>
  <c r="M62" i="8"/>
  <c r="T62" i="8" s="1"/>
  <c r="K63" i="8"/>
  <c r="I60" i="8"/>
  <c r="AW61" i="8"/>
  <c r="AZ61" i="8"/>
  <c r="Q61" i="8"/>
  <c r="S61" i="8" s="1"/>
  <c r="V61" i="8" s="1"/>
  <c r="AC61" i="8"/>
  <c r="AD60" i="8"/>
  <c r="H61" i="8"/>
  <c r="D64" i="8"/>
  <c r="E64" i="8" s="1"/>
  <c r="BP71" i="9" l="1"/>
  <c r="BQ71" i="9" s="1"/>
  <c r="BR71" i="9" s="1"/>
  <c r="G71" i="9"/>
  <c r="H71" i="9" s="1"/>
  <c r="AJ60" i="8"/>
  <c r="BK30" i="9"/>
  <c r="AM30" i="9"/>
  <c r="Z31" i="9"/>
  <c r="X31" i="9"/>
  <c r="BA31" i="9"/>
  <c r="BE31" i="9" s="1"/>
  <c r="BC31" i="9" s="1"/>
  <c r="AE31" i="9"/>
  <c r="Y31" i="9"/>
  <c r="AL31" i="9" s="1"/>
  <c r="Q71" i="9"/>
  <c r="S71" i="9" s="1"/>
  <c r="V71" i="9" s="1"/>
  <c r="AC71" i="9"/>
  <c r="C72" i="9"/>
  <c r="B72" i="9"/>
  <c r="AD71" i="9"/>
  <c r="AJ71" i="9" s="1"/>
  <c r="I70" i="9"/>
  <c r="AX63" i="8"/>
  <c r="AU63" i="8"/>
  <c r="AI63" i="8"/>
  <c r="N63" i="8"/>
  <c r="P63" i="8" s="1"/>
  <c r="U63" i="8" s="1"/>
  <c r="BB27" i="8"/>
  <c r="BF27" i="8" s="1"/>
  <c r="BD27" i="8" s="1"/>
  <c r="AN27" i="8"/>
  <c r="AA27" i="8"/>
  <c r="BJ27" i="8"/>
  <c r="M63" i="8"/>
  <c r="T63" i="8" s="1"/>
  <c r="K64" i="8"/>
  <c r="I61" i="8"/>
  <c r="AW62" i="8"/>
  <c r="AZ62" i="8"/>
  <c r="Q62" i="8"/>
  <c r="S62" i="8" s="1"/>
  <c r="V62" i="8" s="1"/>
  <c r="AC62" i="8"/>
  <c r="AD61" i="8"/>
  <c r="AJ61" i="8" s="1"/>
  <c r="H62" i="8"/>
  <c r="D65" i="8"/>
  <c r="E65" i="8" s="1"/>
  <c r="BP72" i="9" l="1"/>
  <c r="BQ72" i="9" s="1"/>
  <c r="BR72" i="9" s="1"/>
  <c r="G72" i="9"/>
  <c r="H72" i="9" s="1"/>
  <c r="BJ31" i="9"/>
  <c r="AK31" i="9"/>
  <c r="AN31" i="9" s="1"/>
  <c r="BB31" i="9"/>
  <c r="BF31" i="9" s="1"/>
  <c r="BD31" i="9" s="1"/>
  <c r="AA31" i="9"/>
  <c r="AD72" i="9"/>
  <c r="AJ72" i="9" s="1"/>
  <c r="C73" i="9"/>
  <c r="B73" i="9"/>
  <c r="Q72" i="9"/>
  <c r="S72" i="9" s="1"/>
  <c r="V72" i="9" s="1"/>
  <c r="AC72" i="9"/>
  <c r="I71" i="9"/>
  <c r="AX64" i="8"/>
  <c r="AU64" i="8"/>
  <c r="AI64" i="8"/>
  <c r="N64" i="8"/>
  <c r="P64" i="8" s="1"/>
  <c r="U64" i="8" s="1"/>
  <c r="W28" i="8"/>
  <c r="BK27" i="8"/>
  <c r="AM27" i="8"/>
  <c r="M64" i="8"/>
  <c r="T64" i="8" s="1"/>
  <c r="K65" i="8"/>
  <c r="I62" i="8"/>
  <c r="AW63" i="8"/>
  <c r="AZ63" i="8"/>
  <c r="Q63" i="8"/>
  <c r="S63" i="8" s="1"/>
  <c r="V63" i="8" s="1"/>
  <c r="AC63" i="8"/>
  <c r="AD62" i="8"/>
  <c r="H63" i="8"/>
  <c r="D66" i="8"/>
  <c r="E66" i="8" s="1"/>
  <c r="BP73" i="9" l="1"/>
  <c r="BQ73" i="9" s="1"/>
  <c r="BR73" i="9" s="1"/>
  <c r="G73" i="9"/>
  <c r="H73" i="9" s="1"/>
  <c r="AJ62" i="8"/>
  <c r="W32" i="9"/>
  <c r="BK31" i="9"/>
  <c r="AM31" i="9"/>
  <c r="I72" i="9"/>
  <c r="C74" i="9"/>
  <c r="B74" i="9"/>
  <c r="AD73" i="9"/>
  <c r="AJ73" i="9" s="1"/>
  <c r="AC73" i="9"/>
  <c r="Q73" i="9"/>
  <c r="S73" i="9" s="1"/>
  <c r="V73" i="9" s="1"/>
  <c r="AX65" i="8"/>
  <c r="AU65" i="8"/>
  <c r="AI65" i="8"/>
  <c r="N65" i="8"/>
  <c r="P65" i="8" s="1"/>
  <c r="U65" i="8" s="1"/>
  <c r="AE28" i="8"/>
  <c r="Y28" i="8"/>
  <c r="AL28" i="8" s="1"/>
  <c r="X28" i="8"/>
  <c r="AK28" i="8" s="1"/>
  <c r="BA28" i="8"/>
  <c r="BE28" i="8" s="1"/>
  <c r="BC28" i="8" s="1"/>
  <c r="Z28" i="8"/>
  <c r="M65" i="8"/>
  <c r="T65" i="8" s="1"/>
  <c r="K66" i="8"/>
  <c r="I63" i="8"/>
  <c r="AZ64" i="8"/>
  <c r="AW64" i="8"/>
  <c r="AD63" i="8"/>
  <c r="AJ63" i="8" s="1"/>
  <c r="Q64" i="8"/>
  <c r="S64" i="8" s="1"/>
  <c r="V64" i="8" s="1"/>
  <c r="AC64" i="8"/>
  <c r="H64" i="8"/>
  <c r="D67" i="8"/>
  <c r="E67" i="8" s="1"/>
  <c r="BP74" i="9" l="1"/>
  <c r="BQ74" i="9" s="1"/>
  <c r="BR74" i="9" s="1"/>
  <c r="G74" i="9"/>
  <c r="H74" i="9" s="1"/>
  <c r="Y32" i="9"/>
  <c r="AL32" i="9" s="1"/>
  <c r="BA32" i="9"/>
  <c r="BE32" i="9" s="1"/>
  <c r="BC32" i="9" s="1"/>
  <c r="AE32" i="9"/>
  <c r="X32" i="9"/>
  <c r="Z32" i="9"/>
  <c r="I73" i="9"/>
  <c r="AD74" i="9"/>
  <c r="AJ74" i="9" s="1"/>
  <c r="C75" i="9"/>
  <c r="B75" i="9"/>
  <c r="Q74" i="9"/>
  <c r="S74" i="9" s="1"/>
  <c r="V74" i="9" s="1"/>
  <c r="AC74" i="9"/>
  <c r="AX66" i="8"/>
  <c r="AU66" i="8"/>
  <c r="AI66" i="8"/>
  <c r="N66" i="8"/>
  <c r="P66" i="8" s="1"/>
  <c r="U66" i="8" s="1"/>
  <c r="BJ28" i="8"/>
  <c r="BB28" i="8"/>
  <c r="BF28" i="8" s="1"/>
  <c r="BD28" i="8" s="1"/>
  <c r="AN28" i="8"/>
  <c r="AA28" i="8"/>
  <c r="M66" i="8"/>
  <c r="T66" i="8" s="1"/>
  <c r="K67" i="8"/>
  <c r="I64" i="8"/>
  <c r="AZ65" i="8"/>
  <c r="AW65" i="8"/>
  <c r="AD64" i="8"/>
  <c r="AJ64" i="8" s="1"/>
  <c r="Q65" i="8"/>
  <c r="S65" i="8" s="1"/>
  <c r="V65" i="8" s="1"/>
  <c r="AC65" i="8"/>
  <c r="H65" i="8"/>
  <c r="D68" i="8"/>
  <c r="E68" i="8" s="1"/>
  <c r="BP75" i="9" l="1"/>
  <c r="BQ75" i="9" s="1"/>
  <c r="BR75" i="9" s="1"/>
  <c r="G75" i="9"/>
  <c r="H75" i="9" s="1"/>
  <c r="AA32" i="9"/>
  <c r="W33" i="9" s="1"/>
  <c r="BJ32" i="9"/>
  <c r="BB32" i="9"/>
  <c r="BF32" i="9" s="1"/>
  <c r="BD32" i="9" s="1"/>
  <c r="AK32" i="9"/>
  <c r="AN32" i="9" s="1"/>
  <c r="I74" i="9"/>
  <c r="C76" i="9"/>
  <c r="B76" i="9"/>
  <c r="AD75" i="9"/>
  <c r="AJ75" i="9" s="1"/>
  <c r="AC75" i="9"/>
  <c r="Q75" i="9"/>
  <c r="S75" i="9" s="1"/>
  <c r="V75" i="9" s="1"/>
  <c r="AX67" i="8"/>
  <c r="AU67" i="8"/>
  <c r="AI67" i="8"/>
  <c r="N67" i="8"/>
  <c r="P67" i="8" s="1"/>
  <c r="U67" i="8" s="1"/>
  <c r="W29" i="8"/>
  <c r="BK28" i="8"/>
  <c r="AM28" i="8"/>
  <c r="M67" i="8"/>
  <c r="T67" i="8" s="1"/>
  <c r="K68" i="8"/>
  <c r="I65" i="8"/>
  <c r="AW66" i="8"/>
  <c r="AZ66" i="8"/>
  <c r="Q66" i="8"/>
  <c r="S66" i="8" s="1"/>
  <c r="V66" i="8" s="1"/>
  <c r="AC66" i="8"/>
  <c r="AD65" i="8"/>
  <c r="H66" i="8"/>
  <c r="D69" i="8"/>
  <c r="E69" i="8" s="1"/>
  <c r="BP76" i="9" l="1"/>
  <c r="BQ76" i="9" s="1"/>
  <c r="BR76" i="9" s="1"/>
  <c r="G76" i="9"/>
  <c r="H76" i="9" s="1"/>
  <c r="AJ65" i="8"/>
  <c r="BK32" i="9"/>
  <c r="AM32" i="9"/>
  <c r="Z33" i="9"/>
  <c r="Y33" i="9"/>
  <c r="AL33" i="9" s="1"/>
  <c r="X33" i="9"/>
  <c r="BA33" i="9"/>
  <c r="BE33" i="9" s="1"/>
  <c r="BC33" i="9" s="1"/>
  <c r="AE33" i="9"/>
  <c r="Q76" i="9"/>
  <c r="S76" i="9" s="1"/>
  <c r="V76" i="9" s="1"/>
  <c r="AC76" i="9"/>
  <c r="AD76" i="9"/>
  <c r="AJ76" i="9" s="1"/>
  <c r="C77" i="9"/>
  <c r="B77" i="9"/>
  <c r="I75" i="9"/>
  <c r="AX68" i="8"/>
  <c r="AU68" i="8"/>
  <c r="AI68" i="8"/>
  <c r="N68" i="8"/>
  <c r="P68" i="8" s="1"/>
  <c r="U68" i="8" s="1"/>
  <c r="AE29" i="8"/>
  <c r="Y29" i="8"/>
  <c r="AL29" i="8" s="1"/>
  <c r="Z29" i="8"/>
  <c r="BA29" i="8"/>
  <c r="BE29" i="8" s="1"/>
  <c r="BC29" i="8" s="1"/>
  <c r="X29" i="8"/>
  <c r="AK29" i="8" s="1"/>
  <c r="M68" i="8"/>
  <c r="T68" i="8" s="1"/>
  <c r="K69" i="8"/>
  <c r="I66" i="8"/>
  <c r="AW67" i="8"/>
  <c r="AZ67" i="8"/>
  <c r="AD66" i="8"/>
  <c r="AJ66" i="8" s="1"/>
  <c r="Q67" i="8"/>
  <c r="S67" i="8" s="1"/>
  <c r="V67" i="8" s="1"/>
  <c r="AC67" i="8"/>
  <c r="H67" i="8"/>
  <c r="D70" i="8"/>
  <c r="E70" i="8" s="1"/>
  <c r="BP77" i="9" l="1"/>
  <c r="BQ77" i="9" s="1"/>
  <c r="BR77" i="9" s="1"/>
  <c r="G77" i="9"/>
  <c r="H77" i="9" s="1"/>
  <c r="AA33" i="9"/>
  <c r="W34" i="9" s="1"/>
  <c r="BJ33" i="9"/>
  <c r="BB33" i="9"/>
  <c r="BF33" i="9" s="1"/>
  <c r="BD33" i="9" s="1"/>
  <c r="AK33" i="9"/>
  <c r="AN33" i="9" s="1"/>
  <c r="AC77" i="9"/>
  <c r="Q77" i="9"/>
  <c r="S77" i="9" s="1"/>
  <c r="V77" i="9" s="1"/>
  <c r="I76" i="9"/>
  <c r="C78" i="9"/>
  <c r="B78" i="9"/>
  <c r="AD77" i="9"/>
  <c r="AJ77" i="9" s="1"/>
  <c r="AU69" i="8"/>
  <c r="AX69" i="8"/>
  <c r="AI69" i="8"/>
  <c r="N69" i="8"/>
  <c r="P69" i="8" s="1"/>
  <c r="U69" i="8" s="1"/>
  <c r="BJ29" i="8"/>
  <c r="BB29" i="8"/>
  <c r="BF29" i="8" s="1"/>
  <c r="BD29" i="8" s="1"/>
  <c r="AN29" i="8"/>
  <c r="AA29" i="8"/>
  <c r="M69" i="8"/>
  <c r="T69" i="8" s="1"/>
  <c r="K70" i="8"/>
  <c r="I67" i="8"/>
  <c r="AW68" i="8"/>
  <c r="AZ68" i="8"/>
  <c r="Q68" i="8"/>
  <c r="S68" i="8" s="1"/>
  <c r="V68" i="8" s="1"/>
  <c r="AC68" i="8"/>
  <c r="AD67" i="8"/>
  <c r="H68" i="8"/>
  <c r="D71" i="8"/>
  <c r="E71" i="8" s="1"/>
  <c r="BP78" i="9" l="1"/>
  <c r="BQ78" i="9" s="1"/>
  <c r="BR78" i="9" s="1"/>
  <c r="G78" i="9"/>
  <c r="H78" i="9" s="1"/>
  <c r="AJ67" i="8"/>
  <c r="BK33" i="9"/>
  <c r="AM33" i="9"/>
  <c r="AE34" i="9"/>
  <c r="Y34" i="9"/>
  <c r="AL34" i="9" s="1"/>
  <c r="Z34" i="9"/>
  <c r="X34" i="9"/>
  <c r="BA34" i="9"/>
  <c r="BE34" i="9" s="1"/>
  <c r="BC34" i="9" s="1"/>
  <c r="B79" i="9"/>
  <c r="C79" i="9"/>
  <c r="Q78" i="9"/>
  <c r="S78" i="9" s="1"/>
  <c r="V78" i="9" s="1"/>
  <c r="AC78" i="9"/>
  <c r="AD78" i="9" s="1"/>
  <c r="AJ78" i="9" s="1"/>
  <c r="I77" i="9"/>
  <c r="AX70" i="8"/>
  <c r="AU70" i="8"/>
  <c r="AI70" i="8"/>
  <c r="N70" i="8"/>
  <c r="P70" i="8" s="1"/>
  <c r="U70" i="8" s="1"/>
  <c r="BK29" i="8"/>
  <c r="AM29" i="8"/>
  <c r="W30" i="8"/>
  <c r="M70" i="8"/>
  <c r="T70" i="8" s="1"/>
  <c r="K71" i="8"/>
  <c r="I68" i="8"/>
  <c r="AZ69" i="8"/>
  <c r="AW69" i="8"/>
  <c r="Q69" i="8"/>
  <c r="S69" i="8" s="1"/>
  <c r="V69" i="8" s="1"/>
  <c r="AC69" i="8"/>
  <c r="AD68" i="8"/>
  <c r="H69" i="8"/>
  <c r="D72" i="8"/>
  <c r="E72" i="8" s="1"/>
  <c r="BP79" i="9" l="1"/>
  <c r="BQ79" i="9" s="1"/>
  <c r="BR79" i="9" s="1"/>
  <c r="G79" i="9"/>
  <c r="H79" i="9" s="1"/>
  <c r="AJ68" i="8"/>
  <c r="BJ34" i="9"/>
  <c r="AA34" i="9"/>
  <c r="W35" i="9" s="1"/>
  <c r="AK34" i="9"/>
  <c r="AN34" i="9" s="1"/>
  <c r="BB34" i="9"/>
  <c r="BF34" i="9" s="1"/>
  <c r="BD34" i="9" s="1"/>
  <c r="Q79" i="9"/>
  <c r="S79" i="9" s="1"/>
  <c r="V79" i="9" s="1"/>
  <c r="AC79" i="9"/>
  <c r="C80" i="9"/>
  <c r="B80" i="9"/>
  <c r="AD79" i="9"/>
  <c r="AJ79" i="9" s="1"/>
  <c r="I78" i="9"/>
  <c r="AX71" i="8"/>
  <c r="AU71" i="8"/>
  <c r="AI71" i="8"/>
  <c r="N71" i="8"/>
  <c r="P71" i="8" s="1"/>
  <c r="U71" i="8" s="1"/>
  <c r="Z30" i="8"/>
  <c r="X30" i="8"/>
  <c r="AK30" i="8" s="1"/>
  <c r="AE30" i="8"/>
  <c r="BA30" i="8"/>
  <c r="BE30" i="8" s="1"/>
  <c r="BC30" i="8" s="1"/>
  <c r="Y30" i="8"/>
  <c r="AL30" i="8" s="1"/>
  <c r="M71" i="8"/>
  <c r="T71" i="8" s="1"/>
  <c r="K72" i="8"/>
  <c r="I69" i="8"/>
  <c r="AZ70" i="8"/>
  <c r="AW70" i="8"/>
  <c r="AD69" i="8"/>
  <c r="Q70" i="8"/>
  <c r="S70" i="8" s="1"/>
  <c r="V70" i="8" s="1"/>
  <c r="AC70" i="8"/>
  <c r="H70" i="8"/>
  <c r="D73" i="8"/>
  <c r="E73" i="8" s="1"/>
  <c r="BP80" i="9" l="1"/>
  <c r="BQ80" i="9" s="1"/>
  <c r="BR80" i="9" s="1"/>
  <c r="G80" i="9"/>
  <c r="H80" i="9" s="1"/>
  <c r="AJ69" i="8"/>
  <c r="BK34" i="9"/>
  <c r="AM34" i="9"/>
  <c r="Z35" i="9"/>
  <c r="X35" i="9"/>
  <c r="BA35" i="9"/>
  <c r="BE35" i="9" s="1"/>
  <c r="BC35" i="9" s="1"/>
  <c r="AE35" i="9"/>
  <c r="Y35" i="9"/>
  <c r="AL35" i="9" s="1"/>
  <c r="Q80" i="9"/>
  <c r="S80" i="9" s="1"/>
  <c r="V80" i="9" s="1"/>
  <c r="AC80" i="9"/>
  <c r="I79" i="9"/>
  <c r="AD80" i="9"/>
  <c r="AJ80" i="9" s="1"/>
  <c r="C81" i="9"/>
  <c r="B81" i="9"/>
  <c r="AX72" i="8"/>
  <c r="AU72" i="8"/>
  <c r="AI72" i="8"/>
  <c r="N72" i="8"/>
  <c r="P72" i="8" s="1"/>
  <c r="U72" i="8" s="1"/>
  <c r="AN30" i="8"/>
  <c r="BB30" i="8"/>
  <c r="BF30" i="8" s="1"/>
  <c r="BD30" i="8" s="1"/>
  <c r="AA30" i="8"/>
  <c r="BJ30" i="8"/>
  <c r="M72" i="8"/>
  <c r="T72" i="8" s="1"/>
  <c r="K73" i="8"/>
  <c r="I70" i="8"/>
  <c r="AZ71" i="8"/>
  <c r="AW71" i="8"/>
  <c r="Q71" i="8"/>
  <c r="S71" i="8" s="1"/>
  <c r="V71" i="8" s="1"/>
  <c r="AC71" i="8"/>
  <c r="AD70" i="8"/>
  <c r="H71" i="8"/>
  <c r="D74" i="8"/>
  <c r="E74" i="8" s="1"/>
  <c r="BP81" i="9" l="1"/>
  <c r="BQ81" i="9" s="1"/>
  <c r="BR81" i="9" s="1"/>
  <c r="G81" i="9"/>
  <c r="H81" i="9" s="1"/>
  <c r="AJ70" i="8"/>
  <c r="BB35" i="9"/>
  <c r="BF35" i="9" s="1"/>
  <c r="BD35" i="9" s="1"/>
  <c r="AK35" i="9"/>
  <c r="AN35" i="9" s="1"/>
  <c r="BJ35" i="9"/>
  <c r="AA35" i="9"/>
  <c r="C82" i="9"/>
  <c r="B82" i="9"/>
  <c r="AD81" i="9"/>
  <c r="AJ81" i="9" s="1"/>
  <c r="Q81" i="9"/>
  <c r="S81" i="9" s="1"/>
  <c r="V81" i="9" s="1"/>
  <c r="AC81" i="9"/>
  <c r="I80" i="9"/>
  <c r="AX73" i="8"/>
  <c r="AU73" i="8"/>
  <c r="AI73" i="8"/>
  <c r="N73" i="8"/>
  <c r="P73" i="8" s="1"/>
  <c r="U73" i="8" s="1"/>
  <c r="W31" i="8"/>
  <c r="BK30" i="8"/>
  <c r="AM30" i="8"/>
  <c r="M73" i="8"/>
  <c r="T73" i="8" s="1"/>
  <c r="K74" i="8"/>
  <c r="I71" i="8"/>
  <c r="AD71" i="8"/>
  <c r="AJ71" i="8" s="1"/>
  <c r="D75" i="8"/>
  <c r="E75" i="8" s="1"/>
  <c r="BP82" i="9" l="1"/>
  <c r="BQ82" i="9" s="1"/>
  <c r="BR82" i="9" s="1"/>
  <c r="G82" i="9"/>
  <c r="H82" i="9" s="1"/>
  <c r="W36" i="9"/>
  <c r="BK35" i="9"/>
  <c r="AM35" i="9"/>
  <c r="I81" i="9"/>
  <c r="AD82" i="9"/>
  <c r="AJ82" i="9" s="1"/>
  <c r="B83" i="9"/>
  <c r="C83" i="9"/>
  <c r="Q82" i="9"/>
  <c r="S82" i="9" s="1"/>
  <c r="V82" i="9" s="1"/>
  <c r="AC82" i="9"/>
  <c r="AX74" i="8"/>
  <c r="AU74" i="8"/>
  <c r="AI74" i="8"/>
  <c r="N74" i="8"/>
  <c r="P74" i="8" s="1"/>
  <c r="U74" i="8" s="1"/>
  <c r="Z31" i="8"/>
  <c r="X31" i="8"/>
  <c r="AK31" i="8" s="1"/>
  <c r="AE31" i="8"/>
  <c r="BA31" i="8"/>
  <c r="BE31" i="8" s="1"/>
  <c r="BC31" i="8" s="1"/>
  <c r="Y31" i="8"/>
  <c r="AL31" i="8" s="1"/>
  <c r="M74" i="8"/>
  <c r="T74" i="8" s="1"/>
  <c r="K75" i="8"/>
  <c r="AW73" i="8"/>
  <c r="AW72" i="8"/>
  <c r="AZ72" i="8"/>
  <c r="H72" i="8"/>
  <c r="Q73" i="8"/>
  <c r="S73" i="8" s="1"/>
  <c r="V73" i="8" s="1"/>
  <c r="Q72" i="8"/>
  <c r="S72" i="8" s="1"/>
  <c r="V72" i="8" s="1"/>
  <c r="AC72" i="8"/>
  <c r="AD72" i="8"/>
  <c r="AJ72" i="8" s="1"/>
  <c r="D76" i="8"/>
  <c r="E76" i="8" s="1"/>
  <c r="BP83" i="9" l="1"/>
  <c r="BQ83" i="9" s="1"/>
  <c r="BR83" i="9" s="1"/>
  <c r="G83" i="9"/>
  <c r="H83" i="9" s="1"/>
  <c r="Z36" i="9"/>
  <c r="Y36" i="9"/>
  <c r="AL36" i="9" s="1"/>
  <c r="BA36" i="9"/>
  <c r="BE36" i="9" s="1"/>
  <c r="BC36" i="9" s="1"/>
  <c r="AE36" i="9"/>
  <c r="X36" i="9"/>
  <c r="AC83" i="9"/>
  <c r="Q83" i="9"/>
  <c r="S83" i="9" s="1"/>
  <c r="V83" i="9" s="1"/>
  <c r="C84" i="9"/>
  <c r="B84" i="9"/>
  <c r="AD83" i="9"/>
  <c r="AJ83" i="9" s="1"/>
  <c r="I82" i="9"/>
  <c r="AX75" i="8"/>
  <c r="AU75" i="8"/>
  <c r="AI75" i="8"/>
  <c r="N75" i="8"/>
  <c r="P75" i="8" s="1"/>
  <c r="U75" i="8" s="1"/>
  <c r="AA31" i="8"/>
  <c r="BJ31" i="8"/>
  <c r="AN31" i="8"/>
  <c r="BB31" i="8"/>
  <c r="BF31" i="8" s="1"/>
  <c r="BD31" i="8" s="1"/>
  <c r="AZ73" i="8"/>
  <c r="H73" i="8"/>
  <c r="AC73" i="8"/>
  <c r="M75" i="8"/>
  <c r="T75" i="8" s="1"/>
  <c r="K76" i="8"/>
  <c r="I72" i="8"/>
  <c r="AZ74" i="8"/>
  <c r="AW74" i="8"/>
  <c r="Q74" i="8"/>
  <c r="S74" i="8" s="1"/>
  <c r="V74" i="8" s="1"/>
  <c r="AC74" i="8"/>
  <c r="AD73" i="8"/>
  <c r="H74" i="8"/>
  <c r="D77" i="8"/>
  <c r="E77" i="8" s="1"/>
  <c r="BP84" i="9" l="1"/>
  <c r="BQ84" i="9" s="1"/>
  <c r="BR84" i="9" s="1"/>
  <c r="G84" i="9"/>
  <c r="H84" i="9" s="1"/>
  <c r="AJ73" i="8"/>
  <c r="BJ36" i="9"/>
  <c r="BB36" i="9"/>
  <c r="BF36" i="9" s="1"/>
  <c r="BD36" i="9" s="1"/>
  <c r="AK36" i="9"/>
  <c r="AN36" i="9" s="1"/>
  <c r="AA36" i="9"/>
  <c r="AD84" i="9"/>
  <c r="AJ84" i="9" s="1"/>
  <c r="B85" i="9"/>
  <c r="C85" i="9"/>
  <c r="Q84" i="9"/>
  <c r="S84" i="9" s="1"/>
  <c r="V84" i="9" s="1"/>
  <c r="AC84" i="9"/>
  <c r="I83" i="9"/>
  <c r="W32" i="8"/>
  <c r="AE32" i="8" s="1"/>
  <c r="AX76" i="8"/>
  <c r="AU76" i="8"/>
  <c r="AI76" i="8"/>
  <c r="N76" i="8"/>
  <c r="P76" i="8" s="1"/>
  <c r="U76" i="8" s="1"/>
  <c r="BK31" i="8"/>
  <c r="AM31" i="8"/>
  <c r="I73" i="8"/>
  <c r="I74" i="8" s="1"/>
  <c r="M76" i="8"/>
  <c r="T76" i="8" s="1"/>
  <c r="K77" i="8"/>
  <c r="AW75" i="8"/>
  <c r="AZ75" i="8"/>
  <c r="Q75" i="8"/>
  <c r="S75" i="8" s="1"/>
  <c r="V75" i="8" s="1"/>
  <c r="AC75" i="8"/>
  <c r="AD74" i="8"/>
  <c r="H75" i="8"/>
  <c r="D78" i="8"/>
  <c r="E78" i="8" s="1"/>
  <c r="BP85" i="9" l="1"/>
  <c r="BQ85" i="9" s="1"/>
  <c r="BR85" i="9" s="1"/>
  <c r="G85" i="9"/>
  <c r="H85" i="9" s="1"/>
  <c r="AJ74" i="8"/>
  <c r="BA32" i="8"/>
  <c r="BE32" i="8" s="1"/>
  <c r="BC32" i="8" s="1"/>
  <c r="Y32" i="8"/>
  <c r="AL32" i="8" s="1"/>
  <c r="BK36" i="9"/>
  <c r="AM36" i="9"/>
  <c r="W37" i="9"/>
  <c r="AC85" i="9"/>
  <c r="Q85" i="9"/>
  <c r="S85" i="9" s="1"/>
  <c r="V85" i="9" s="1"/>
  <c r="C86" i="9"/>
  <c r="B86" i="9"/>
  <c r="AD85" i="9"/>
  <c r="AJ85" i="9" s="1"/>
  <c r="I84" i="9"/>
  <c r="X32" i="8"/>
  <c r="AK32" i="8" s="1"/>
  <c r="Z32" i="8"/>
  <c r="AU77" i="8"/>
  <c r="AX77" i="8"/>
  <c r="AI77" i="8"/>
  <c r="N77" i="8"/>
  <c r="P77" i="8" s="1"/>
  <c r="U77" i="8" s="1"/>
  <c r="M77" i="8"/>
  <c r="T77" i="8" s="1"/>
  <c r="K78" i="8"/>
  <c r="I75" i="8"/>
  <c r="AZ76" i="8"/>
  <c r="AW76" i="8"/>
  <c r="Q76" i="8"/>
  <c r="S76" i="8" s="1"/>
  <c r="V76" i="8" s="1"/>
  <c r="AC76" i="8"/>
  <c r="AD75" i="8"/>
  <c r="AJ75" i="8" s="1"/>
  <c r="H76" i="8"/>
  <c r="D79" i="8"/>
  <c r="E79" i="8" s="1"/>
  <c r="BP86" i="9" l="1"/>
  <c r="BQ86" i="9" s="1"/>
  <c r="BR86" i="9" s="1"/>
  <c r="G86" i="9"/>
  <c r="H86" i="9" s="1"/>
  <c r="AA32" i="8"/>
  <c r="W33" i="8" s="1"/>
  <c r="AN32" i="8"/>
  <c r="AM32" i="8" s="1"/>
  <c r="BB32" i="8"/>
  <c r="BF32" i="8" s="1"/>
  <c r="BD32" i="8" s="1"/>
  <c r="BJ32" i="8"/>
  <c r="Y37" i="9"/>
  <c r="AL37" i="9" s="1"/>
  <c r="X37" i="9"/>
  <c r="AE37" i="9"/>
  <c r="Z37" i="9"/>
  <c r="BA37" i="9"/>
  <c r="BE37" i="9" s="1"/>
  <c r="BC37" i="9" s="1"/>
  <c r="I85" i="9"/>
  <c r="AD86" i="9"/>
  <c r="AJ86" i="9" s="1"/>
  <c r="B87" i="9"/>
  <c r="C87" i="9"/>
  <c r="Q86" i="9"/>
  <c r="S86" i="9" s="1"/>
  <c r="V86" i="9" s="1"/>
  <c r="AC86" i="9"/>
  <c r="AX78" i="8"/>
  <c r="AU78" i="8"/>
  <c r="AI78" i="8"/>
  <c r="N78" i="8"/>
  <c r="P78" i="8" s="1"/>
  <c r="U78" i="8" s="1"/>
  <c r="M78" i="8"/>
  <c r="T78" i="8" s="1"/>
  <c r="K79" i="8"/>
  <c r="I76" i="8"/>
  <c r="AZ77" i="8"/>
  <c r="AW77" i="8"/>
  <c r="Q77" i="8"/>
  <c r="S77" i="8" s="1"/>
  <c r="V77" i="8" s="1"/>
  <c r="AC77" i="8"/>
  <c r="AD76" i="8"/>
  <c r="AJ76" i="8" s="1"/>
  <c r="H77" i="8"/>
  <c r="D80" i="8"/>
  <c r="E80" i="8" s="1"/>
  <c r="BP87" i="9" l="1"/>
  <c r="BQ87" i="9" s="1"/>
  <c r="BR87" i="9" s="1"/>
  <c r="G87" i="9"/>
  <c r="H87" i="9" s="1"/>
  <c r="BK32" i="8"/>
  <c r="BJ37" i="9"/>
  <c r="AA37" i="9"/>
  <c r="AK37" i="9"/>
  <c r="AN37" i="9" s="1"/>
  <c r="BB37" i="9"/>
  <c r="BF37" i="9" s="1"/>
  <c r="BD37" i="9" s="1"/>
  <c r="AC87" i="9"/>
  <c r="Q87" i="9"/>
  <c r="S87" i="9" s="1"/>
  <c r="V87" i="9" s="1"/>
  <c r="C88" i="9"/>
  <c r="B88" i="9"/>
  <c r="AD87" i="9"/>
  <c r="AJ87" i="9" s="1"/>
  <c r="I86" i="9"/>
  <c r="AX79" i="8"/>
  <c r="AU79" i="8"/>
  <c r="AI79" i="8"/>
  <c r="N79" i="8"/>
  <c r="P79" i="8" s="1"/>
  <c r="U79" i="8" s="1"/>
  <c r="BA33" i="8"/>
  <c r="BE33" i="8" s="1"/>
  <c r="BC33" i="8" s="1"/>
  <c r="Z33" i="8"/>
  <c r="X33" i="8"/>
  <c r="AK33" i="8" s="1"/>
  <c r="AE33" i="8"/>
  <c r="Y33" i="8"/>
  <c r="AL33" i="8" s="1"/>
  <c r="M79" i="8"/>
  <c r="T79" i="8" s="1"/>
  <c r="K80" i="8"/>
  <c r="I77" i="8"/>
  <c r="AZ78" i="8"/>
  <c r="AW78" i="8"/>
  <c r="Q78" i="8"/>
  <c r="S78" i="8" s="1"/>
  <c r="V78" i="8" s="1"/>
  <c r="AC78" i="8"/>
  <c r="AD77" i="8"/>
  <c r="AJ77" i="8" s="1"/>
  <c r="H78" i="8"/>
  <c r="D81" i="8"/>
  <c r="E81" i="8" s="1"/>
  <c r="BP88" i="9" l="1"/>
  <c r="BQ88" i="9" s="1"/>
  <c r="BR88" i="9" s="1"/>
  <c r="G88" i="9"/>
  <c r="H88" i="9" s="1"/>
  <c r="BK37" i="9"/>
  <c r="AM37" i="9"/>
  <c r="W38" i="9"/>
  <c r="Q88" i="9"/>
  <c r="S88" i="9" s="1"/>
  <c r="V88" i="9" s="1"/>
  <c r="AC88" i="9"/>
  <c r="I87" i="9"/>
  <c r="AD88" i="9"/>
  <c r="AJ88" i="9" s="1"/>
  <c r="B89" i="9"/>
  <c r="C89" i="9"/>
  <c r="AX80" i="8"/>
  <c r="AU80" i="8"/>
  <c r="AI80" i="8"/>
  <c r="N80" i="8"/>
  <c r="P80" i="8" s="1"/>
  <c r="U80" i="8" s="1"/>
  <c r="AA33" i="8"/>
  <c r="W34" i="8" s="1"/>
  <c r="BJ33" i="8"/>
  <c r="BB33" i="8"/>
  <c r="BF33" i="8" s="1"/>
  <c r="BD33" i="8" s="1"/>
  <c r="AN33" i="8"/>
  <c r="M80" i="8"/>
  <c r="T80" i="8" s="1"/>
  <c r="K81" i="8"/>
  <c r="I78" i="8"/>
  <c r="AZ79" i="8"/>
  <c r="AW79" i="8"/>
  <c r="AD78" i="8"/>
  <c r="Q79" i="8"/>
  <c r="S79" i="8" s="1"/>
  <c r="V79" i="8" s="1"/>
  <c r="AC79" i="8"/>
  <c r="H79" i="8"/>
  <c r="D82" i="8"/>
  <c r="E82" i="8" s="1"/>
  <c r="BP89" i="9" l="1"/>
  <c r="BQ89" i="9" s="1"/>
  <c r="BR89" i="9" s="1"/>
  <c r="G89" i="9"/>
  <c r="H89" i="9" s="1"/>
  <c r="AJ78" i="8"/>
  <c r="AE38" i="9"/>
  <c r="BA38" i="9"/>
  <c r="BE38" i="9" s="1"/>
  <c r="BC38" i="9" s="1"/>
  <c r="Y38" i="9"/>
  <c r="AL38" i="9" s="1"/>
  <c r="X38" i="9"/>
  <c r="Z38" i="9"/>
  <c r="AC89" i="9"/>
  <c r="Q89" i="9"/>
  <c r="S89" i="9" s="1"/>
  <c r="V89" i="9" s="1"/>
  <c r="I88" i="9"/>
  <c r="C90" i="9"/>
  <c r="B90" i="9"/>
  <c r="AD89" i="9"/>
  <c r="AJ89" i="9" s="1"/>
  <c r="AX81" i="8"/>
  <c r="AU81" i="8"/>
  <c r="AI81" i="8"/>
  <c r="N81" i="8"/>
  <c r="P81" i="8" s="1"/>
  <c r="U81" i="8" s="1"/>
  <c r="BK33" i="8"/>
  <c r="AM33" i="8"/>
  <c r="BA34" i="8"/>
  <c r="BE34" i="8" s="1"/>
  <c r="BC34" i="8" s="1"/>
  <c r="X34" i="8"/>
  <c r="AK34" i="8" s="1"/>
  <c r="Y34" i="8"/>
  <c r="AL34" i="8" s="1"/>
  <c r="AE34" i="8"/>
  <c r="Z34" i="8"/>
  <c r="M81" i="8"/>
  <c r="T81" i="8" s="1"/>
  <c r="K82" i="8"/>
  <c r="I79" i="8"/>
  <c r="AZ80" i="8"/>
  <c r="AW80" i="8"/>
  <c r="Q80" i="8"/>
  <c r="S80" i="8" s="1"/>
  <c r="V80" i="8" s="1"/>
  <c r="AC80" i="8"/>
  <c r="AD79" i="8"/>
  <c r="AJ79" i="8" s="1"/>
  <c r="H80" i="8"/>
  <c r="D83" i="8"/>
  <c r="E83" i="8" s="1"/>
  <c r="BP90" i="9" l="1"/>
  <c r="BQ90" i="9" s="1"/>
  <c r="BR90" i="9" s="1"/>
  <c r="G90" i="9"/>
  <c r="H90" i="9" s="1"/>
  <c r="AA38" i="9"/>
  <c r="W39" i="9" s="1"/>
  <c r="BB38" i="9"/>
  <c r="BF38" i="9" s="1"/>
  <c r="BD38" i="9" s="1"/>
  <c r="AK38" i="9"/>
  <c r="AN38" i="9" s="1"/>
  <c r="BJ38" i="9"/>
  <c r="B91" i="9"/>
  <c r="C91" i="9"/>
  <c r="Q90" i="9"/>
  <c r="S90" i="9" s="1"/>
  <c r="V90" i="9" s="1"/>
  <c r="AC90" i="9"/>
  <c r="AD90" i="9" s="1"/>
  <c r="AJ90" i="9" s="1"/>
  <c r="I89" i="9"/>
  <c r="AX82" i="8"/>
  <c r="AU82" i="8"/>
  <c r="AI82" i="8"/>
  <c r="N82" i="8"/>
  <c r="P82" i="8" s="1"/>
  <c r="U82" i="8" s="1"/>
  <c r="BB34" i="8"/>
  <c r="BF34" i="8" s="1"/>
  <c r="BD34" i="8" s="1"/>
  <c r="AN34" i="8"/>
  <c r="AA34" i="8"/>
  <c r="BJ34" i="8"/>
  <c r="M82" i="8"/>
  <c r="T82" i="8" s="1"/>
  <c r="K83" i="8"/>
  <c r="I80" i="8"/>
  <c r="AZ81" i="8"/>
  <c r="AW81" i="8"/>
  <c r="Q81" i="8"/>
  <c r="S81" i="8" s="1"/>
  <c r="V81" i="8" s="1"/>
  <c r="AC81" i="8"/>
  <c r="AD80" i="8"/>
  <c r="AJ80" i="8" s="1"/>
  <c r="H81" i="8"/>
  <c r="D84" i="8"/>
  <c r="E84" i="8" s="1"/>
  <c r="BP91" i="9" l="1"/>
  <c r="BQ91" i="9" s="1"/>
  <c r="BR91" i="9" s="1"/>
  <c r="G91" i="9"/>
  <c r="H91" i="9" s="1"/>
  <c r="BK38" i="9"/>
  <c r="AM38" i="9"/>
  <c r="Y39" i="9"/>
  <c r="AL39" i="9" s="1"/>
  <c r="BA39" i="9"/>
  <c r="BE39" i="9" s="1"/>
  <c r="BC39" i="9" s="1"/>
  <c r="AE39" i="9"/>
  <c r="X39" i="9"/>
  <c r="Z39" i="9"/>
  <c r="AC91" i="9"/>
  <c r="AD91" i="9" s="1"/>
  <c r="AJ91" i="9" s="1"/>
  <c r="Q91" i="9"/>
  <c r="S91" i="9" s="1"/>
  <c r="V91" i="9" s="1"/>
  <c r="I90" i="9"/>
  <c r="C92" i="9"/>
  <c r="B92" i="9"/>
  <c r="AX83" i="8"/>
  <c r="AU83" i="8"/>
  <c r="AI83" i="8"/>
  <c r="N83" i="8"/>
  <c r="P83" i="8" s="1"/>
  <c r="U83" i="8" s="1"/>
  <c r="W35" i="8"/>
  <c r="BK34" i="8"/>
  <c r="AM34" i="8"/>
  <c r="M83" i="8"/>
  <c r="T83" i="8" s="1"/>
  <c r="K84" i="8"/>
  <c r="I81" i="8"/>
  <c r="AW82" i="8"/>
  <c r="AZ82" i="8"/>
  <c r="Q82" i="8"/>
  <c r="S82" i="8" s="1"/>
  <c r="V82" i="8" s="1"/>
  <c r="AC82" i="8"/>
  <c r="AD81" i="8"/>
  <c r="H82" i="8"/>
  <c r="D85" i="8"/>
  <c r="E85" i="8" s="1"/>
  <c r="BP92" i="9" l="1"/>
  <c r="BQ92" i="9" s="1"/>
  <c r="BR92" i="9" s="1"/>
  <c r="G92" i="9"/>
  <c r="H92" i="9" s="1"/>
  <c r="AJ81" i="8"/>
  <c r="AA39" i="9"/>
  <c r="W40" i="9" s="1"/>
  <c r="AK39" i="9"/>
  <c r="AN39" i="9" s="1"/>
  <c r="BB39" i="9"/>
  <c r="BF39" i="9" s="1"/>
  <c r="BD39" i="9" s="1"/>
  <c r="BJ39" i="9"/>
  <c r="AD92" i="9"/>
  <c r="AJ92" i="9" s="1"/>
  <c r="B93" i="9"/>
  <c r="C93" i="9"/>
  <c r="Q92" i="9"/>
  <c r="S92" i="9" s="1"/>
  <c r="V92" i="9" s="1"/>
  <c r="AC92" i="9"/>
  <c r="I91" i="9"/>
  <c r="AX84" i="8"/>
  <c r="AU84" i="8"/>
  <c r="AI84" i="8"/>
  <c r="N84" i="8"/>
  <c r="P84" i="8" s="1"/>
  <c r="U84" i="8" s="1"/>
  <c r="AE35" i="8"/>
  <c r="X35" i="8"/>
  <c r="AK35" i="8" s="1"/>
  <c r="Z35" i="8"/>
  <c r="Y35" i="8"/>
  <c r="AL35" i="8" s="1"/>
  <c r="BA35" i="8"/>
  <c r="BE35" i="8" s="1"/>
  <c r="BC35" i="8" s="1"/>
  <c r="M84" i="8"/>
  <c r="T84" i="8" s="1"/>
  <c r="K85" i="8"/>
  <c r="I82" i="8"/>
  <c r="AZ83" i="8"/>
  <c r="AW83" i="8"/>
  <c r="Q83" i="8"/>
  <c r="S83" i="8" s="1"/>
  <c r="V83" i="8" s="1"/>
  <c r="AC83" i="8"/>
  <c r="AD82" i="8"/>
  <c r="AJ82" i="8" s="1"/>
  <c r="H83" i="8"/>
  <c r="D86" i="8"/>
  <c r="E86" i="8" s="1"/>
  <c r="BP93" i="9" l="1"/>
  <c r="BQ93" i="9" s="1"/>
  <c r="BR93" i="9" s="1"/>
  <c r="G93" i="9"/>
  <c r="H93" i="9" s="1"/>
  <c r="BK39" i="9"/>
  <c r="AM39" i="9"/>
  <c r="X40" i="9"/>
  <c r="Z40" i="9"/>
  <c r="Y40" i="9"/>
  <c r="AL40" i="9" s="1"/>
  <c r="AE40" i="9"/>
  <c r="BA40" i="9"/>
  <c r="BE40" i="9" s="1"/>
  <c r="BC40" i="9" s="1"/>
  <c r="AC93" i="9"/>
  <c r="Q93" i="9"/>
  <c r="S93" i="9" s="1"/>
  <c r="V93" i="9" s="1"/>
  <c r="C94" i="9"/>
  <c r="B94" i="9"/>
  <c r="AD93" i="9"/>
  <c r="AJ93" i="9" s="1"/>
  <c r="I92" i="9"/>
  <c r="AU85" i="8"/>
  <c r="AX85" i="8"/>
  <c r="AI85" i="8"/>
  <c r="N85" i="8"/>
  <c r="P85" i="8" s="1"/>
  <c r="U85" i="8" s="1"/>
  <c r="BJ35" i="8"/>
  <c r="BB35" i="8"/>
  <c r="BF35" i="8" s="1"/>
  <c r="BD35" i="8" s="1"/>
  <c r="AN35" i="8"/>
  <c r="AA35" i="8"/>
  <c r="M85" i="8"/>
  <c r="T85" i="8" s="1"/>
  <c r="K86" i="8"/>
  <c r="I83" i="8"/>
  <c r="AD83" i="8"/>
  <c r="AJ83" i="8" s="1"/>
  <c r="H84" i="8"/>
  <c r="D87" i="8"/>
  <c r="E87" i="8" s="1"/>
  <c r="BP94" i="9" l="1"/>
  <c r="BQ94" i="9" s="1"/>
  <c r="BR94" i="9" s="1"/>
  <c r="G94" i="9"/>
  <c r="H94" i="9" s="1"/>
  <c r="AA40" i="9"/>
  <c r="BB40" i="9"/>
  <c r="BF40" i="9" s="1"/>
  <c r="BD40" i="9" s="1"/>
  <c r="AK40" i="9"/>
  <c r="AN40" i="9" s="1"/>
  <c r="BJ40" i="9"/>
  <c r="Q94" i="9"/>
  <c r="S94" i="9" s="1"/>
  <c r="V94" i="9" s="1"/>
  <c r="AC94" i="9"/>
  <c r="I93" i="9"/>
  <c r="AD94" i="9"/>
  <c r="AJ94" i="9" s="1"/>
  <c r="B95" i="9"/>
  <c r="C95" i="9"/>
  <c r="AX86" i="8"/>
  <c r="AU86" i="8"/>
  <c r="AI86" i="8"/>
  <c r="N86" i="8"/>
  <c r="P86" i="8" s="1"/>
  <c r="U86" i="8" s="1"/>
  <c r="AM35" i="8"/>
  <c r="BK35" i="8"/>
  <c r="W36" i="8"/>
  <c r="AZ85" i="8"/>
  <c r="M86" i="8"/>
  <c r="T86" i="8" s="1"/>
  <c r="K87" i="8"/>
  <c r="I84" i="8"/>
  <c r="AW84" i="8"/>
  <c r="AZ84" i="8"/>
  <c r="AD84" i="8"/>
  <c r="AC85" i="8"/>
  <c r="Q84" i="8"/>
  <c r="S84" i="8" s="1"/>
  <c r="V84" i="8" s="1"/>
  <c r="AC84" i="8"/>
  <c r="D88" i="8"/>
  <c r="E88" i="8" s="1"/>
  <c r="BP95" i="9" l="1"/>
  <c r="BQ95" i="9" s="1"/>
  <c r="BR95" i="9" s="1"/>
  <c r="G95" i="9"/>
  <c r="H95" i="9" s="1"/>
  <c r="AJ84" i="8"/>
  <c r="BK40" i="9"/>
  <c r="AM40" i="9"/>
  <c r="W41" i="9"/>
  <c r="AC95" i="9"/>
  <c r="Q95" i="9"/>
  <c r="S95" i="9" s="1"/>
  <c r="V95" i="9" s="1"/>
  <c r="C96" i="9"/>
  <c r="B96" i="9"/>
  <c r="AD95" i="9"/>
  <c r="AJ95" i="9" s="1"/>
  <c r="I94" i="9"/>
  <c r="AX87" i="8"/>
  <c r="AU87" i="8"/>
  <c r="AI87" i="8"/>
  <c r="N87" i="8"/>
  <c r="P87" i="8" s="1"/>
  <c r="U87" i="8" s="1"/>
  <c r="AE36" i="8"/>
  <c r="Z36" i="8"/>
  <c r="X36" i="8"/>
  <c r="AK36" i="8" s="1"/>
  <c r="BA36" i="8"/>
  <c r="BE36" i="8" s="1"/>
  <c r="BC36" i="8" s="1"/>
  <c r="Y36" i="8"/>
  <c r="AL36" i="8" s="1"/>
  <c r="AW85" i="8"/>
  <c r="H85" i="8"/>
  <c r="I85" i="8" s="1"/>
  <c r="Q85" i="8"/>
  <c r="S85" i="8" s="1"/>
  <c r="V85" i="8" s="1"/>
  <c r="Q86" i="8"/>
  <c r="S86" i="8" s="1"/>
  <c r="V86" i="8" s="1"/>
  <c r="M87" i="8"/>
  <c r="T87" i="8" s="1"/>
  <c r="K88" i="8"/>
  <c r="AW86" i="8"/>
  <c r="AZ86" i="8"/>
  <c r="AD85" i="8"/>
  <c r="AJ85" i="8" s="1"/>
  <c r="AC86" i="8"/>
  <c r="H86" i="8"/>
  <c r="D89" i="8"/>
  <c r="E89" i="8" s="1"/>
  <c r="BP96" i="9" l="1"/>
  <c r="BQ96" i="9" s="1"/>
  <c r="BR96" i="9" s="1"/>
  <c r="G96" i="9"/>
  <c r="H96" i="9" s="1"/>
  <c r="BA41" i="9"/>
  <c r="BE41" i="9" s="1"/>
  <c r="BC41" i="9" s="1"/>
  <c r="Z41" i="9"/>
  <c r="Y41" i="9"/>
  <c r="AL41" i="9" s="1"/>
  <c r="AE41" i="9"/>
  <c r="X41" i="9"/>
  <c r="AD96" i="9"/>
  <c r="AJ96" i="9" s="1"/>
  <c r="B97" i="9"/>
  <c r="C97" i="9"/>
  <c r="I95" i="9"/>
  <c r="Q96" i="9"/>
  <c r="S96" i="9" s="1"/>
  <c r="V96" i="9" s="1"/>
  <c r="AC96" i="9"/>
  <c r="AX88" i="8"/>
  <c r="AU88" i="8"/>
  <c r="AI88" i="8"/>
  <c r="N88" i="8"/>
  <c r="P88" i="8" s="1"/>
  <c r="U88" i="8" s="1"/>
  <c r="AA36" i="8"/>
  <c r="W37" i="8" s="1"/>
  <c r="BB36" i="8"/>
  <c r="BF36" i="8" s="1"/>
  <c r="BD36" i="8" s="1"/>
  <c r="AN36" i="8"/>
  <c r="BJ36" i="8"/>
  <c r="M88" i="8"/>
  <c r="T88" i="8" s="1"/>
  <c r="K89" i="8"/>
  <c r="I86" i="8"/>
  <c r="AD86" i="8"/>
  <c r="D90" i="8"/>
  <c r="E90" i="8" s="1"/>
  <c r="BP97" i="9" l="1"/>
  <c r="BQ97" i="9" s="1"/>
  <c r="BR97" i="9" s="1"/>
  <c r="G97" i="9"/>
  <c r="H97" i="9" s="1"/>
  <c r="AJ86" i="8"/>
  <c r="BJ41" i="9"/>
  <c r="BB41" i="9"/>
  <c r="BF41" i="9" s="1"/>
  <c r="BD41" i="9" s="1"/>
  <c r="AK41" i="9"/>
  <c r="AN41" i="9" s="1"/>
  <c r="AA41" i="9"/>
  <c r="AC97" i="9"/>
  <c r="Q97" i="9"/>
  <c r="S97" i="9" s="1"/>
  <c r="V97" i="9" s="1"/>
  <c r="I96" i="9"/>
  <c r="C98" i="9"/>
  <c r="B98" i="9"/>
  <c r="AD97" i="9"/>
  <c r="AJ97" i="9" s="1"/>
  <c r="AX89" i="8"/>
  <c r="AU89" i="8"/>
  <c r="AI89" i="8"/>
  <c r="N89" i="8"/>
  <c r="P89" i="8" s="1"/>
  <c r="U89" i="8" s="1"/>
  <c r="BK36" i="8"/>
  <c r="AM36" i="8"/>
  <c r="BA37" i="8"/>
  <c r="BE37" i="8" s="1"/>
  <c r="BC37" i="8" s="1"/>
  <c r="AE37" i="8"/>
  <c r="Z37" i="8"/>
  <c r="X37" i="8"/>
  <c r="AK37" i="8" s="1"/>
  <c r="Y37" i="8"/>
  <c r="AL37" i="8" s="1"/>
  <c r="M89" i="8"/>
  <c r="T89" i="8" s="1"/>
  <c r="K90" i="8"/>
  <c r="AW88" i="8"/>
  <c r="AZ88" i="8"/>
  <c r="AZ87" i="8"/>
  <c r="AW87" i="8"/>
  <c r="Q88" i="8"/>
  <c r="S88" i="8" s="1"/>
  <c r="V88" i="8" s="1"/>
  <c r="AC88" i="8"/>
  <c r="Q87" i="8"/>
  <c r="S87" i="8" s="1"/>
  <c r="V87" i="8" s="1"/>
  <c r="AC87" i="8"/>
  <c r="H87" i="8"/>
  <c r="AD87" i="8"/>
  <c r="AJ87" i="8" s="1"/>
  <c r="H88" i="8"/>
  <c r="D91" i="8"/>
  <c r="E91" i="8" s="1"/>
  <c r="BP98" i="9" l="1"/>
  <c r="BQ98" i="9" s="1"/>
  <c r="BR98" i="9" s="1"/>
  <c r="G98" i="9"/>
  <c r="H98" i="9" s="1"/>
  <c r="W42" i="9"/>
  <c r="BK41" i="9"/>
  <c r="AM41" i="9"/>
  <c r="AD98" i="9"/>
  <c r="AJ98" i="9" s="1"/>
  <c r="B99" i="9"/>
  <c r="C99" i="9"/>
  <c r="Q98" i="9"/>
  <c r="S98" i="9" s="1"/>
  <c r="V98" i="9" s="1"/>
  <c r="AC98" i="9"/>
  <c r="I97" i="9"/>
  <c r="AX90" i="8"/>
  <c r="AU90" i="8"/>
  <c r="AI90" i="8"/>
  <c r="N90" i="8"/>
  <c r="P90" i="8" s="1"/>
  <c r="U90" i="8" s="1"/>
  <c r="BJ37" i="8"/>
  <c r="AA37" i="8"/>
  <c r="AN37" i="8"/>
  <c r="BB37" i="8"/>
  <c r="BF37" i="8" s="1"/>
  <c r="BD37" i="8" s="1"/>
  <c r="M90" i="8"/>
  <c r="T90" i="8" s="1"/>
  <c r="K91" i="8"/>
  <c r="I87" i="8"/>
  <c r="I88" i="8" s="1"/>
  <c r="AZ89" i="8"/>
  <c r="AW89" i="8"/>
  <c r="AD88" i="8"/>
  <c r="AJ88" i="8" s="1"/>
  <c r="Q89" i="8"/>
  <c r="S89" i="8" s="1"/>
  <c r="V89" i="8" s="1"/>
  <c r="AC89" i="8"/>
  <c r="H89" i="8"/>
  <c r="D92" i="8"/>
  <c r="E92" i="8" s="1"/>
  <c r="BP99" i="9" l="1"/>
  <c r="BQ99" i="9" s="1"/>
  <c r="BR99" i="9" s="1"/>
  <c r="G99" i="9"/>
  <c r="H99" i="9" s="1"/>
  <c r="Z42" i="9"/>
  <c r="X42" i="9"/>
  <c r="BA42" i="9"/>
  <c r="BE42" i="9" s="1"/>
  <c r="BC42" i="9" s="1"/>
  <c r="AE42" i="9"/>
  <c r="Y42" i="9"/>
  <c r="AL42" i="9" s="1"/>
  <c r="AC99" i="9"/>
  <c r="Q99" i="9"/>
  <c r="S99" i="9" s="1"/>
  <c r="V99" i="9" s="1"/>
  <c r="I98" i="9"/>
  <c r="C100" i="9"/>
  <c r="B100" i="9"/>
  <c r="AD99" i="9"/>
  <c r="AJ99" i="9" s="1"/>
  <c r="AX91" i="8"/>
  <c r="AU91" i="8"/>
  <c r="AI91" i="8"/>
  <c r="N91" i="8"/>
  <c r="P91" i="8" s="1"/>
  <c r="U91" i="8" s="1"/>
  <c r="BK37" i="8"/>
  <c r="AM37" i="8"/>
  <c r="W38" i="8"/>
  <c r="M91" i="8"/>
  <c r="T91" i="8" s="1"/>
  <c r="K92" i="8"/>
  <c r="I89" i="8"/>
  <c r="AW90" i="8"/>
  <c r="AZ90" i="8"/>
  <c r="Q90" i="8"/>
  <c r="S90" i="8" s="1"/>
  <c r="V90" i="8" s="1"/>
  <c r="AC90" i="8"/>
  <c r="AD89" i="8"/>
  <c r="H90" i="8"/>
  <c r="D93" i="8"/>
  <c r="E93" i="8" s="1"/>
  <c r="BP100" i="9" l="1"/>
  <c r="BQ100" i="9" s="1"/>
  <c r="BR100" i="9" s="1"/>
  <c r="G100" i="9"/>
  <c r="H100" i="9" s="1"/>
  <c r="AJ89" i="8"/>
  <c r="BJ42" i="9"/>
  <c r="AA42" i="9"/>
  <c r="W43" i="9" s="1"/>
  <c r="AK42" i="9"/>
  <c r="AN42" i="9" s="1"/>
  <c r="BB42" i="9"/>
  <c r="BF42" i="9" s="1"/>
  <c r="BD42" i="9" s="1"/>
  <c r="Q100" i="9"/>
  <c r="S100" i="9" s="1"/>
  <c r="V100" i="9" s="1"/>
  <c r="AC100" i="9"/>
  <c r="I99" i="9"/>
  <c r="AD100" i="9"/>
  <c r="AJ100" i="9" s="1"/>
  <c r="B101" i="9"/>
  <c r="C101" i="9"/>
  <c r="AX92" i="8"/>
  <c r="AU92" i="8"/>
  <c r="AI92" i="8"/>
  <c r="N92" i="8"/>
  <c r="P92" i="8" s="1"/>
  <c r="U92" i="8" s="1"/>
  <c r="BA38" i="8"/>
  <c r="BE38" i="8" s="1"/>
  <c r="BC38" i="8" s="1"/>
  <c r="X38" i="8"/>
  <c r="AK38" i="8" s="1"/>
  <c r="AE38" i="8"/>
  <c r="Z38" i="8"/>
  <c r="Y38" i="8"/>
  <c r="AL38" i="8" s="1"/>
  <c r="M92" i="8"/>
  <c r="T92" i="8" s="1"/>
  <c r="K93" i="8"/>
  <c r="I90" i="8"/>
  <c r="AD90" i="8"/>
  <c r="H91" i="8"/>
  <c r="D94" i="8"/>
  <c r="E94" i="8" s="1"/>
  <c r="BP101" i="9" l="1"/>
  <c r="BQ101" i="9" s="1"/>
  <c r="BR101" i="9" s="1"/>
  <c r="G101" i="9"/>
  <c r="H101" i="9" s="1"/>
  <c r="AJ90" i="8"/>
  <c r="Z43" i="9"/>
  <c r="Y43" i="9"/>
  <c r="AL43" i="9" s="1"/>
  <c r="BA43" i="9"/>
  <c r="BE43" i="9" s="1"/>
  <c r="BC43" i="9" s="1"/>
  <c r="AE43" i="9"/>
  <c r="X43" i="9"/>
  <c r="BK42" i="9"/>
  <c r="AM42" i="9"/>
  <c r="AC101" i="9"/>
  <c r="Q101" i="9"/>
  <c r="S101" i="9" s="1"/>
  <c r="V101" i="9" s="1"/>
  <c r="C102" i="9"/>
  <c r="B102" i="9"/>
  <c r="AD101" i="9"/>
  <c r="AJ101" i="9" s="1"/>
  <c r="I100" i="9"/>
  <c r="BJ38" i="8"/>
  <c r="AU93" i="8"/>
  <c r="AI93" i="8"/>
  <c r="AX93" i="8"/>
  <c r="N93" i="8"/>
  <c r="P93" i="8" s="1"/>
  <c r="U93" i="8" s="1"/>
  <c r="AA38" i="8"/>
  <c r="AN38" i="8"/>
  <c r="BB38" i="8"/>
  <c r="BF38" i="8" s="1"/>
  <c r="BD38" i="8" s="1"/>
  <c r="M93" i="8"/>
  <c r="T93" i="8" s="1"/>
  <c r="K94" i="8"/>
  <c r="I91" i="8"/>
  <c r="AW91" i="8"/>
  <c r="AZ91" i="8"/>
  <c r="Q91" i="8"/>
  <c r="S91" i="8" s="1"/>
  <c r="V91" i="8" s="1"/>
  <c r="AC91" i="8"/>
  <c r="AD91" i="8"/>
  <c r="AJ91" i="8" s="1"/>
  <c r="H92" i="8"/>
  <c r="D95" i="8"/>
  <c r="E95" i="8" s="1"/>
  <c r="BP102" i="9" l="1"/>
  <c r="BQ102" i="9" s="1"/>
  <c r="BR102" i="9" s="1"/>
  <c r="G102" i="9"/>
  <c r="H102" i="9" s="1"/>
  <c r="BJ43" i="9"/>
  <c r="BB43" i="9"/>
  <c r="BF43" i="9" s="1"/>
  <c r="BD43" i="9" s="1"/>
  <c r="AK43" i="9"/>
  <c r="AN43" i="9" s="1"/>
  <c r="AA43" i="9"/>
  <c r="I101" i="9"/>
  <c r="B103" i="9"/>
  <c r="C103" i="9"/>
  <c r="Q102" i="9"/>
  <c r="S102" i="9" s="1"/>
  <c r="V102" i="9" s="1"/>
  <c r="AC102" i="9"/>
  <c r="AD102" i="9" s="1"/>
  <c r="AJ102" i="9" s="1"/>
  <c r="W39" i="8"/>
  <c r="Z39" i="8" s="1"/>
  <c r="AX94" i="8"/>
  <c r="AU94" i="8"/>
  <c r="AI94" i="8"/>
  <c r="N94" i="8"/>
  <c r="P94" i="8" s="1"/>
  <c r="U94" i="8" s="1"/>
  <c r="AM38" i="8"/>
  <c r="BK38" i="8"/>
  <c r="M94" i="8"/>
  <c r="T94" i="8" s="1"/>
  <c r="K95" i="8"/>
  <c r="I92" i="8"/>
  <c r="AZ93" i="8"/>
  <c r="AW93" i="8"/>
  <c r="AW92" i="8"/>
  <c r="AZ92" i="8"/>
  <c r="Q92" i="8"/>
  <c r="S92" i="8" s="1"/>
  <c r="V92" i="8" s="1"/>
  <c r="AC92" i="8"/>
  <c r="AD92" i="8"/>
  <c r="AJ92" i="8" s="1"/>
  <c r="D96" i="8"/>
  <c r="E96" i="8" s="1"/>
  <c r="BP103" i="9" l="1"/>
  <c r="BQ103" i="9" s="1"/>
  <c r="BR103" i="9" s="1"/>
  <c r="G103" i="9"/>
  <c r="H103" i="9" s="1"/>
  <c r="W44" i="9"/>
  <c r="BK43" i="9"/>
  <c r="AM43" i="9"/>
  <c r="I102" i="9"/>
  <c r="AC103" i="9"/>
  <c r="Q103" i="9"/>
  <c r="S103" i="9" s="1"/>
  <c r="V103" i="9" s="1"/>
  <c r="C104" i="9"/>
  <c r="B104" i="9"/>
  <c r="AD103" i="9"/>
  <c r="AJ103" i="9" s="1"/>
  <c r="AE39" i="8"/>
  <c r="X39" i="8"/>
  <c r="AK39" i="8" s="1"/>
  <c r="BA39" i="8"/>
  <c r="BE39" i="8" s="1"/>
  <c r="BC39" i="8" s="1"/>
  <c r="Y39" i="8"/>
  <c r="AL39" i="8" s="1"/>
  <c r="AX95" i="8"/>
  <c r="AU95" i="8"/>
  <c r="AI95" i="8"/>
  <c r="N95" i="8"/>
  <c r="P95" i="8" s="1"/>
  <c r="U95" i="8" s="1"/>
  <c r="M95" i="8"/>
  <c r="T95" i="8" s="1"/>
  <c r="K96" i="8"/>
  <c r="H93" i="8"/>
  <c r="Q93" i="8"/>
  <c r="S93" i="8" s="1"/>
  <c r="V93" i="8" s="1"/>
  <c r="AW94" i="8"/>
  <c r="AC93" i="8"/>
  <c r="AD93" i="8"/>
  <c r="D97" i="8"/>
  <c r="E97" i="8" s="1"/>
  <c r="BP104" i="9" l="1"/>
  <c r="BQ104" i="9" s="1"/>
  <c r="BR104" i="9" s="1"/>
  <c r="G104" i="9"/>
  <c r="H104" i="9" s="1"/>
  <c r="AJ93" i="8"/>
  <c r="AE44" i="9"/>
  <c r="Z44" i="9"/>
  <c r="Y44" i="9"/>
  <c r="AL44" i="9" s="1"/>
  <c r="X44" i="9"/>
  <c r="BA44" i="9"/>
  <c r="BE44" i="9" s="1"/>
  <c r="BC44" i="9" s="1"/>
  <c r="Q104" i="9"/>
  <c r="S104" i="9" s="1"/>
  <c r="V104" i="9" s="1"/>
  <c r="AC104" i="9"/>
  <c r="I103" i="9"/>
  <c r="AD104" i="9"/>
  <c r="AJ104" i="9" s="1"/>
  <c r="B105" i="9"/>
  <c r="C105" i="9"/>
  <c r="AA39" i="8"/>
  <c r="W40" i="8" s="1"/>
  <c r="Z40" i="8" s="1"/>
  <c r="AN39" i="8"/>
  <c r="AM39" i="8" s="1"/>
  <c r="BB39" i="8"/>
  <c r="BF39" i="8" s="1"/>
  <c r="BD39" i="8" s="1"/>
  <c r="BJ39" i="8"/>
  <c r="AX96" i="8"/>
  <c r="AU96" i="8"/>
  <c r="AI96" i="8"/>
  <c r="N96" i="8"/>
  <c r="P96" i="8" s="1"/>
  <c r="U96" i="8" s="1"/>
  <c r="Q94" i="8"/>
  <c r="S94" i="8" s="1"/>
  <c r="V94" i="8" s="1"/>
  <c r="H94" i="8"/>
  <c r="AZ94" i="8"/>
  <c r="AC94" i="8"/>
  <c r="Q95" i="8"/>
  <c r="S95" i="8" s="1"/>
  <c r="V95" i="8" s="1"/>
  <c r="M96" i="8"/>
  <c r="T96" i="8" s="1"/>
  <c r="K97" i="8"/>
  <c r="I93" i="8"/>
  <c r="AD94" i="8"/>
  <c r="D98" i="8"/>
  <c r="E98" i="8" s="1"/>
  <c r="BP105" i="9" l="1"/>
  <c r="BQ105" i="9" s="1"/>
  <c r="BR105" i="9" s="1"/>
  <c r="G105" i="9"/>
  <c r="H105" i="9" s="1"/>
  <c r="AA44" i="9"/>
  <c r="W45" i="9" s="1"/>
  <c r="AJ94" i="8"/>
  <c r="BA40" i="8"/>
  <c r="BE40" i="8" s="1"/>
  <c r="BC40" i="8" s="1"/>
  <c r="BB44" i="9"/>
  <c r="BF44" i="9" s="1"/>
  <c r="BD44" i="9" s="1"/>
  <c r="AK44" i="9"/>
  <c r="AN44" i="9" s="1"/>
  <c r="BJ44" i="9"/>
  <c r="I104" i="9"/>
  <c r="AC105" i="9"/>
  <c r="Q105" i="9"/>
  <c r="S105" i="9" s="1"/>
  <c r="V105" i="9" s="1"/>
  <c r="C106" i="9"/>
  <c r="B106" i="9"/>
  <c r="AD105" i="9"/>
  <c r="AJ105" i="9" s="1"/>
  <c r="Y40" i="8"/>
  <c r="AL40" i="8" s="1"/>
  <c r="X40" i="8"/>
  <c r="AK40" i="8" s="1"/>
  <c r="AE40" i="8"/>
  <c r="BK39" i="8"/>
  <c r="AX97" i="8"/>
  <c r="AU97" i="8"/>
  <c r="AI97" i="8"/>
  <c r="N97" i="8"/>
  <c r="P97" i="8" s="1"/>
  <c r="U97" i="8" s="1"/>
  <c r="H95" i="8"/>
  <c r="AW95" i="8"/>
  <c r="AZ95" i="8"/>
  <c r="AC95" i="8"/>
  <c r="Q96" i="8"/>
  <c r="S96" i="8" s="1"/>
  <c r="V96" i="8" s="1"/>
  <c r="I94" i="8"/>
  <c r="M97" i="8"/>
  <c r="T97" i="8" s="1"/>
  <c r="K98" i="8"/>
  <c r="AD95" i="8"/>
  <c r="AJ95" i="8" s="1"/>
  <c r="D99" i="8"/>
  <c r="E99" i="8" s="1"/>
  <c r="BP106" i="9" l="1"/>
  <c r="BQ106" i="9" s="1"/>
  <c r="BR106" i="9" s="1"/>
  <c r="G106" i="9"/>
  <c r="H106" i="9" s="1"/>
  <c r="I95" i="8"/>
  <c r="AA40" i="8"/>
  <c r="W41" i="8" s="1"/>
  <c r="AN40" i="8"/>
  <c r="AM40" i="8" s="1"/>
  <c r="BJ40" i="8"/>
  <c r="BK44" i="9"/>
  <c r="AM44" i="9"/>
  <c r="Z45" i="9"/>
  <c r="Y45" i="9"/>
  <c r="AL45" i="9" s="1"/>
  <c r="X45" i="9"/>
  <c r="AE45" i="9"/>
  <c r="BA45" i="9"/>
  <c r="BE45" i="9" s="1"/>
  <c r="BC45" i="9" s="1"/>
  <c r="I105" i="9"/>
  <c r="AD106" i="9"/>
  <c r="AJ106" i="9" s="1"/>
  <c r="B107" i="9"/>
  <c r="C107" i="9"/>
  <c r="Q106" i="9"/>
  <c r="S106" i="9" s="1"/>
  <c r="V106" i="9" s="1"/>
  <c r="AC106" i="9"/>
  <c r="BB40" i="8"/>
  <c r="BF40" i="8" s="1"/>
  <c r="BD40" i="8" s="1"/>
  <c r="AX98" i="8"/>
  <c r="AU98" i="8"/>
  <c r="AI98" i="8"/>
  <c r="N98" i="8"/>
  <c r="P98" i="8" s="1"/>
  <c r="U98" i="8" s="1"/>
  <c r="AC97" i="8"/>
  <c r="AZ96" i="8"/>
  <c r="AW96" i="8"/>
  <c r="AC96" i="8"/>
  <c r="H96" i="8"/>
  <c r="M98" i="8"/>
  <c r="T98" i="8" s="1"/>
  <c r="K99" i="8"/>
  <c r="AD96" i="8"/>
  <c r="D100" i="8"/>
  <c r="E100" i="8" s="1"/>
  <c r="BP107" i="9" l="1"/>
  <c r="BQ107" i="9" s="1"/>
  <c r="BR107" i="9" s="1"/>
  <c r="G107" i="9"/>
  <c r="H107" i="9" s="1"/>
  <c r="I96" i="8"/>
  <c r="AJ96" i="8"/>
  <c r="BJ45" i="9"/>
  <c r="BB45" i="9"/>
  <c r="BF45" i="9" s="1"/>
  <c r="BD45" i="9" s="1"/>
  <c r="AK45" i="9"/>
  <c r="AN45" i="9" s="1"/>
  <c r="AA45" i="9"/>
  <c r="AC107" i="9"/>
  <c r="Q107" i="9"/>
  <c r="S107" i="9" s="1"/>
  <c r="V107" i="9" s="1"/>
  <c r="BK40" i="8"/>
  <c r="C108" i="9"/>
  <c r="B108" i="9"/>
  <c r="AD107" i="9"/>
  <c r="AJ107" i="9" s="1"/>
  <c r="I106" i="9"/>
  <c r="AX99" i="8"/>
  <c r="AU99" i="8"/>
  <c r="AI99" i="8"/>
  <c r="N99" i="8"/>
  <c r="P99" i="8" s="1"/>
  <c r="U99" i="8" s="1"/>
  <c r="AZ97" i="8"/>
  <c r="AW97" i="8"/>
  <c r="H97" i="8"/>
  <c r="Q97" i="8"/>
  <c r="S97" i="8" s="1"/>
  <c r="V97" i="8" s="1"/>
  <c r="Z41" i="8"/>
  <c r="AE41" i="8"/>
  <c r="X41" i="8"/>
  <c r="AK41" i="8" s="1"/>
  <c r="Y41" i="8"/>
  <c r="AL41" i="8" s="1"/>
  <c r="BA41" i="8"/>
  <c r="BE41" i="8" s="1"/>
  <c r="BC41" i="8" s="1"/>
  <c r="M99" i="8"/>
  <c r="T99" i="8" s="1"/>
  <c r="K100" i="8"/>
  <c r="AW98" i="8"/>
  <c r="AZ98" i="8"/>
  <c r="AD97" i="8"/>
  <c r="AJ97" i="8" s="1"/>
  <c r="Q98" i="8"/>
  <c r="S98" i="8" s="1"/>
  <c r="V98" i="8" s="1"/>
  <c r="AC98" i="8"/>
  <c r="H98" i="8"/>
  <c r="D101" i="8"/>
  <c r="E101" i="8" s="1"/>
  <c r="BP108" i="9" l="1"/>
  <c r="BQ108" i="9" s="1"/>
  <c r="BR108" i="9" s="1"/>
  <c r="G108" i="9"/>
  <c r="H108" i="9" s="1"/>
  <c r="I97" i="8"/>
  <c r="I98" i="8" s="1"/>
  <c r="BK45" i="9"/>
  <c r="AM45" i="9"/>
  <c r="W46" i="9"/>
  <c r="AD108" i="9"/>
  <c r="AJ108" i="9" s="1"/>
  <c r="B109" i="9"/>
  <c r="C109" i="9"/>
  <c r="Q108" i="9"/>
  <c r="S108" i="9" s="1"/>
  <c r="V108" i="9" s="1"/>
  <c r="AC108" i="9"/>
  <c r="I107" i="9"/>
  <c r="AX100" i="8"/>
  <c r="AU100" i="8"/>
  <c r="AI100" i="8"/>
  <c r="N100" i="8"/>
  <c r="P100" i="8" s="1"/>
  <c r="U100" i="8" s="1"/>
  <c r="BB41" i="8"/>
  <c r="BF41" i="8" s="1"/>
  <c r="BD41" i="8" s="1"/>
  <c r="AN41" i="8"/>
  <c r="AA41" i="8"/>
  <c r="W42" i="8" s="1"/>
  <c r="BJ41" i="8"/>
  <c r="M100" i="8"/>
  <c r="T100" i="8" s="1"/>
  <c r="K101" i="8"/>
  <c r="AW99" i="8"/>
  <c r="AZ99" i="8"/>
  <c r="Q99" i="8"/>
  <c r="S99" i="8" s="1"/>
  <c r="V99" i="8" s="1"/>
  <c r="AC99" i="8"/>
  <c r="AD98" i="8"/>
  <c r="H99" i="8"/>
  <c r="D102" i="8"/>
  <c r="E102" i="8" s="1"/>
  <c r="BP109" i="9" l="1"/>
  <c r="BQ109" i="9" s="1"/>
  <c r="BR109" i="9" s="1"/>
  <c r="G109" i="9"/>
  <c r="H109" i="9" s="1"/>
  <c r="AJ98" i="8"/>
  <c r="AE46" i="9"/>
  <c r="X46" i="9"/>
  <c r="BA46" i="9"/>
  <c r="BE46" i="9" s="1"/>
  <c r="BC46" i="9" s="1"/>
  <c r="Z46" i="9"/>
  <c r="Y46" i="9"/>
  <c r="AL46" i="9" s="1"/>
  <c r="AC109" i="9"/>
  <c r="Q109" i="9"/>
  <c r="S109" i="9" s="1"/>
  <c r="V109" i="9" s="1"/>
  <c r="C110" i="9"/>
  <c r="B110" i="9"/>
  <c r="AD109" i="9"/>
  <c r="AJ109" i="9" s="1"/>
  <c r="I108" i="9"/>
  <c r="AI101" i="8"/>
  <c r="AU101" i="8"/>
  <c r="AX101" i="8"/>
  <c r="N101" i="8"/>
  <c r="P101" i="8" s="1"/>
  <c r="U101" i="8" s="1"/>
  <c r="AM41" i="8"/>
  <c r="BK41" i="8"/>
  <c r="M101" i="8"/>
  <c r="T101" i="8" s="1"/>
  <c r="K102" i="8"/>
  <c r="I99" i="8"/>
  <c r="AZ100" i="8"/>
  <c r="AW100" i="8"/>
  <c r="Q100" i="8"/>
  <c r="S100" i="8" s="1"/>
  <c r="V100" i="8" s="1"/>
  <c r="AC100" i="8"/>
  <c r="AD99" i="8"/>
  <c r="AJ99" i="8" s="1"/>
  <c r="H100" i="8"/>
  <c r="D103" i="8"/>
  <c r="E103" i="8" s="1"/>
  <c r="BP110" i="9" l="1"/>
  <c r="BQ110" i="9" s="1"/>
  <c r="BR110" i="9" s="1"/>
  <c r="G110" i="9"/>
  <c r="H110" i="9" s="1"/>
  <c r="AA46" i="9"/>
  <c r="W47" i="9" s="1"/>
  <c r="AK46" i="9"/>
  <c r="AN46" i="9" s="1"/>
  <c r="BB46" i="9"/>
  <c r="BF46" i="9" s="1"/>
  <c r="BD46" i="9" s="1"/>
  <c r="BJ46" i="9"/>
  <c r="AD110" i="9"/>
  <c r="AJ110" i="9" s="1"/>
  <c r="B111" i="9"/>
  <c r="C111" i="9"/>
  <c r="Q110" i="9"/>
  <c r="S110" i="9" s="1"/>
  <c r="V110" i="9" s="1"/>
  <c r="AC110" i="9"/>
  <c r="I109" i="9"/>
  <c r="AX102" i="8"/>
  <c r="AU102" i="8"/>
  <c r="AI102" i="8"/>
  <c r="N102" i="8"/>
  <c r="P102" i="8" s="1"/>
  <c r="U102" i="8" s="1"/>
  <c r="BA42" i="8"/>
  <c r="BE42" i="8" s="1"/>
  <c r="BC42" i="8" s="1"/>
  <c r="X42" i="8"/>
  <c r="AK42" i="8" s="1"/>
  <c r="Y42" i="8"/>
  <c r="AL42" i="8" s="1"/>
  <c r="AE42" i="8"/>
  <c r="Z42" i="8"/>
  <c r="M102" i="8"/>
  <c r="T102" i="8" s="1"/>
  <c r="K103" i="8"/>
  <c r="I100" i="8"/>
  <c r="AW101" i="8"/>
  <c r="AZ101" i="8"/>
  <c r="Q101" i="8"/>
  <c r="S101" i="8" s="1"/>
  <c r="V101" i="8" s="1"/>
  <c r="AC101" i="8"/>
  <c r="AD100" i="8"/>
  <c r="H101" i="8"/>
  <c r="D104" i="8"/>
  <c r="E104" i="8" s="1"/>
  <c r="BP111" i="9" l="1"/>
  <c r="BQ111" i="9" s="1"/>
  <c r="BR111" i="9" s="1"/>
  <c r="G111" i="9"/>
  <c r="H111" i="9" s="1"/>
  <c r="AJ100" i="8"/>
  <c r="BK46" i="9"/>
  <c r="AM46" i="9"/>
  <c r="BA47" i="9"/>
  <c r="BE47" i="9" s="1"/>
  <c r="BC47" i="9" s="1"/>
  <c r="AE47" i="9"/>
  <c r="Z47" i="9"/>
  <c r="Y47" i="9"/>
  <c r="AL47" i="9" s="1"/>
  <c r="X47" i="9"/>
  <c r="AC111" i="9"/>
  <c r="Q111" i="9"/>
  <c r="S111" i="9" s="1"/>
  <c r="V111" i="9" s="1"/>
  <c r="I110" i="9"/>
  <c r="C112" i="9"/>
  <c r="B112" i="9"/>
  <c r="AD111" i="9"/>
  <c r="AJ111" i="9" s="1"/>
  <c r="AX103" i="8"/>
  <c r="AU103" i="8"/>
  <c r="AI103" i="8"/>
  <c r="N103" i="8"/>
  <c r="P103" i="8" s="1"/>
  <c r="U103" i="8" s="1"/>
  <c r="AN42" i="8"/>
  <c r="BB42" i="8"/>
  <c r="BF42" i="8" s="1"/>
  <c r="BD42" i="8" s="1"/>
  <c r="AA42" i="8"/>
  <c r="W43" i="8" s="1"/>
  <c r="BJ42" i="8"/>
  <c r="M103" i="8"/>
  <c r="T103" i="8" s="1"/>
  <c r="K104" i="8"/>
  <c r="I101" i="8"/>
  <c r="AW102" i="8"/>
  <c r="AZ102" i="8"/>
  <c r="Q102" i="8"/>
  <c r="S102" i="8" s="1"/>
  <c r="V102" i="8" s="1"/>
  <c r="AC102" i="8"/>
  <c r="AD101" i="8"/>
  <c r="AJ101" i="8" s="1"/>
  <c r="H102" i="8"/>
  <c r="D105" i="8"/>
  <c r="E105" i="8" s="1"/>
  <c r="BP112" i="9" l="1"/>
  <c r="BQ112" i="9" s="1"/>
  <c r="BR112" i="9" s="1"/>
  <c r="G112" i="9"/>
  <c r="H112" i="9" s="1"/>
  <c r="BJ47" i="9"/>
  <c r="AK47" i="9"/>
  <c r="AN47" i="9" s="1"/>
  <c r="BB47" i="9"/>
  <c r="BF47" i="9" s="1"/>
  <c r="BD47" i="9" s="1"/>
  <c r="AA47" i="9"/>
  <c r="AD112" i="9"/>
  <c r="AJ112" i="9" s="1"/>
  <c r="B113" i="9"/>
  <c r="C113" i="9"/>
  <c r="Q112" i="9"/>
  <c r="S112" i="9" s="1"/>
  <c r="V112" i="9" s="1"/>
  <c r="AC112" i="9"/>
  <c r="I111" i="9"/>
  <c r="AX104" i="8"/>
  <c r="AU104" i="8"/>
  <c r="AI104" i="8"/>
  <c r="N104" i="8"/>
  <c r="P104" i="8" s="1"/>
  <c r="U104" i="8" s="1"/>
  <c r="BK42" i="8"/>
  <c r="AM42" i="8"/>
  <c r="M104" i="8"/>
  <c r="T104" i="8" s="1"/>
  <c r="K105" i="8"/>
  <c r="I102" i="8"/>
  <c r="AW103" i="8"/>
  <c r="AZ103" i="8"/>
  <c r="Q103" i="8"/>
  <c r="S103" i="8" s="1"/>
  <c r="V103" i="8" s="1"/>
  <c r="AC103" i="8"/>
  <c r="AD102" i="8"/>
  <c r="H103" i="8"/>
  <c r="D106" i="8"/>
  <c r="E106" i="8" s="1"/>
  <c r="BP113" i="9" l="1"/>
  <c r="BQ113" i="9" s="1"/>
  <c r="BR113" i="9" s="1"/>
  <c r="G113" i="9"/>
  <c r="H113" i="9" s="1"/>
  <c r="AJ102" i="8"/>
  <c r="W48" i="9"/>
  <c r="BK47" i="9"/>
  <c r="AM47" i="9"/>
  <c r="AC113" i="9"/>
  <c r="Q113" i="9"/>
  <c r="S113" i="9" s="1"/>
  <c r="V113" i="9" s="1"/>
  <c r="C114" i="9"/>
  <c r="B114" i="9"/>
  <c r="AD113" i="9"/>
  <c r="AJ113" i="9" s="1"/>
  <c r="I112" i="9"/>
  <c r="AX105" i="8"/>
  <c r="AU105" i="8"/>
  <c r="AI105" i="8"/>
  <c r="N105" i="8"/>
  <c r="P105" i="8" s="1"/>
  <c r="U105" i="8" s="1"/>
  <c r="Y43" i="8"/>
  <c r="AL43" i="8" s="1"/>
  <c r="AE43" i="8"/>
  <c r="X43" i="8"/>
  <c r="AK43" i="8" s="1"/>
  <c r="Z43" i="8"/>
  <c r="BA43" i="8"/>
  <c r="BE43" i="8" s="1"/>
  <c r="BC43" i="8" s="1"/>
  <c r="M105" i="8"/>
  <c r="T105" i="8" s="1"/>
  <c r="K106" i="8"/>
  <c r="I103" i="8"/>
  <c r="AW104" i="8"/>
  <c r="AZ104" i="8"/>
  <c r="AD103" i="8"/>
  <c r="AJ103" i="8" s="1"/>
  <c r="Q104" i="8"/>
  <c r="S104" i="8" s="1"/>
  <c r="V104" i="8" s="1"/>
  <c r="AC104" i="8"/>
  <c r="H104" i="8"/>
  <c r="D107" i="8"/>
  <c r="E107" i="8" s="1"/>
  <c r="BP114" i="9" l="1"/>
  <c r="BQ114" i="9" s="1"/>
  <c r="BR114" i="9" s="1"/>
  <c r="G114" i="9"/>
  <c r="H114" i="9" s="1"/>
  <c r="Y48" i="9"/>
  <c r="AL48" i="9" s="1"/>
  <c r="AE48" i="9"/>
  <c r="BA48" i="9"/>
  <c r="BE48" i="9" s="1"/>
  <c r="BC48" i="9" s="1"/>
  <c r="Z48" i="9"/>
  <c r="X48" i="9"/>
  <c r="I113" i="9"/>
  <c r="B115" i="9"/>
  <c r="C115" i="9"/>
  <c r="Q114" i="9"/>
  <c r="S114" i="9" s="1"/>
  <c r="V114" i="9" s="1"/>
  <c r="AC114" i="9"/>
  <c r="AD114" i="9" s="1"/>
  <c r="AJ114" i="9" s="1"/>
  <c r="AX106" i="8"/>
  <c r="AU106" i="8"/>
  <c r="AI106" i="8"/>
  <c r="N106" i="8"/>
  <c r="P106" i="8" s="1"/>
  <c r="U106" i="8" s="1"/>
  <c r="BJ43" i="8"/>
  <c r="AA43" i="8"/>
  <c r="W44" i="8" s="1"/>
  <c r="AN43" i="8"/>
  <c r="BB43" i="8"/>
  <c r="BF43" i="8" s="1"/>
  <c r="BD43" i="8" s="1"/>
  <c r="M106" i="8"/>
  <c r="T106" i="8" s="1"/>
  <c r="K107" i="8"/>
  <c r="I104" i="8"/>
  <c r="AZ105" i="8"/>
  <c r="AW105" i="8"/>
  <c r="Q105" i="8"/>
  <c r="S105" i="8" s="1"/>
  <c r="V105" i="8" s="1"/>
  <c r="AC105" i="8"/>
  <c r="AD104" i="8"/>
  <c r="H105" i="8"/>
  <c r="D108" i="8"/>
  <c r="E108" i="8" s="1"/>
  <c r="BP115" i="9" l="1"/>
  <c r="BQ115" i="9" s="1"/>
  <c r="BR115" i="9" s="1"/>
  <c r="G115" i="9"/>
  <c r="H115" i="9" s="1"/>
  <c r="AJ104" i="8"/>
  <c r="AA48" i="9"/>
  <c r="W49" i="9" s="1"/>
  <c r="BJ48" i="9"/>
  <c r="BB48" i="9"/>
  <c r="BF48" i="9" s="1"/>
  <c r="BD48" i="9" s="1"/>
  <c r="AK48" i="9"/>
  <c r="AN48" i="9" s="1"/>
  <c r="AC115" i="9"/>
  <c r="Q115" i="9"/>
  <c r="S115" i="9" s="1"/>
  <c r="V115" i="9" s="1"/>
  <c r="C116" i="9"/>
  <c r="AD115" i="9"/>
  <c r="AJ115" i="9" s="1"/>
  <c r="B116" i="9"/>
  <c r="I114" i="9"/>
  <c r="AX107" i="8"/>
  <c r="AU107" i="8"/>
  <c r="AI107" i="8"/>
  <c r="N107" i="8"/>
  <c r="P107" i="8" s="1"/>
  <c r="U107" i="8" s="1"/>
  <c r="AM43" i="8"/>
  <c r="BK43" i="8"/>
  <c r="M107" i="8"/>
  <c r="T107" i="8" s="1"/>
  <c r="K108" i="8"/>
  <c r="I105" i="8"/>
  <c r="AW106" i="8"/>
  <c r="AZ106" i="8"/>
  <c r="Q106" i="8"/>
  <c r="S106" i="8" s="1"/>
  <c r="V106" i="8" s="1"/>
  <c r="AC106" i="8"/>
  <c r="AD105" i="8"/>
  <c r="H106" i="8"/>
  <c r="D109" i="8"/>
  <c r="E109" i="8" s="1"/>
  <c r="BP116" i="9" l="1"/>
  <c r="BQ116" i="9" s="1"/>
  <c r="BR116" i="9" s="1"/>
  <c r="G116" i="9"/>
  <c r="H116" i="9" s="1"/>
  <c r="AJ105" i="8"/>
  <c r="BK48" i="9"/>
  <c r="AM48" i="9"/>
  <c r="X49" i="9"/>
  <c r="Z49" i="9"/>
  <c r="Y49" i="9"/>
  <c r="AL49" i="9" s="1"/>
  <c r="BA49" i="9"/>
  <c r="BE49" i="9" s="1"/>
  <c r="BC49" i="9" s="1"/>
  <c r="AE49" i="9"/>
  <c r="Q116" i="9"/>
  <c r="S116" i="9" s="1"/>
  <c r="V116" i="9" s="1"/>
  <c r="AC116" i="9"/>
  <c r="I115" i="9"/>
  <c r="C117" i="9"/>
  <c r="AD116" i="9"/>
  <c r="AJ116" i="9" s="1"/>
  <c r="B117" i="9"/>
  <c r="AX108" i="8"/>
  <c r="AU108" i="8"/>
  <c r="AI108" i="8"/>
  <c r="N108" i="8"/>
  <c r="P108" i="8" s="1"/>
  <c r="U108" i="8" s="1"/>
  <c r="BA44" i="8"/>
  <c r="BE44" i="8" s="1"/>
  <c r="BC44" i="8" s="1"/>
  <c r="Y44" i="8"/>
  <c r="AL44" i="8" s="1"/>
  <c r="X44" i="8"/>
  <c r="AK44" i="8" s="1"/>
  <c r="AE44" i="8"/>
  <c r="Z44" i="8"/>
  <c r="M108" i="8"/>
  <c r="T108" i="8" s="1"/>
  <c r="K109" i="8"/>
  <c r="I106" i="8"/>
  <c r="AZ107" i="8"/>
  <c r="AW107" i="8"/>
  <c r="Q107" i="8"/>
  <c r="S107" i="8" s="1"/>
  <c r="V107" i="8" s="1"/>
  <c r="AC107" i="8"/>
  <c r="AD106" i="8"/>
  <c r="AJ106" i="8" s="1"/>
  <c r="H107" i="8"/>
  <c r="D110" i="8"/>
  <c r="E110" i="8" s="1"/>
  <c r="BP117" i="9" l="1"/>
  <c r="BQ117" i="9" s="1"/>
  <c r="BR117" i="9" s="1"/>
  <c r="G117" i="9"/>
  <c r="H117" i="9" s="1"/>
  <c r="AA49" i="9"/>
  <c r="W50" i="9" s="1"/>
  <c r="BB49" i="9"/>
  <c r="BF49" i="9" s="1"/>
  <c r="BD49" i="9" s="1"/>
  <c r="AK49" i="9"/>
  <c r="AN49" i="9" s="1"/>
  <c r="BJ49" i="9"/>
  <c r="AD117" i="9"/>
  <c r="AJ117" i="9" s="1"/>
  <c r="C118" i="9"/>
  <c r="B118" i="9"/>
  <c r="Q117" i="9"/>
  <c r="S117" i="9" s="1"/>
  <c r="V117" i="9" s="1"/>
  <c r="AC117" i="9"/>
  <c r="I116" i="9"/>
  <c r="AI109" i="8"/>
  <c r="AU109" i="8"/>
  <c r="AX109" i="8"/>
  <c r="N109" i="8"/>
  <c r="P109" i="8" s="1"/>
  <c r="U109" i="8" s="1"/>
  <c r="BJ44" i="8"/>
  <c r="BB44" i="8"/>
  <c r="BF44" i="8" s="1"/>
  <c r="BD44" i="8" s="1"/>
  <c r="AN44" i="8"/>
  <c r="AA44" i="8"/>
  <c r="W45" i="8" s="1"/>
  <c r="M109" i="8"/>
  <c r="T109" i="8" s="1"/>
  <c r="K110" i="8"/>
  <c r="I107" i="8"/>
  <c r="AZ108" i="8"/>
  <c r="AW108" i="8"/>
  <c r="Q108" i="8"/>
  <c r="S108" i="8" s="1"/>
  <c r="V108" i="8" s="1"/>
  <c r="AC108" i="8"/>
  <c r="AD107" i="8"/>
  <c r="H108" i="8"/>
  <c r="D111" i="8"/>
  <c r="E111" i="8" s="1"/>
  <c r="BP118" i="9" l="1"/>
  <c r="BQ118" i="9" s="1"/>
  <c r="BR118" i="9" s="1"/>
  <c r="G118" i="9"/>
  <c r="H118" i="9" s="1"/>
  <c r="AJ107" i="8"/>
  <c r="BK49" i="9"/>
  <c r="AM49" i="9"/>
  <c r="Y50" i="9"/>
  <c r="AL50" i="9" s="1"/>
  <c r="Z50" i="9"/>
  <c r="X50" i="9"/>
  <c r="BA50" i="9"/>
  <c r="BE50" i="9" s="1"/>
  <c r="BC50" i="9" s="1"/>
  <c r="AE50" i="9"/>
  <c r="C119" i="9"/>
  <c r="AD118" i="9"/>
  <c r="AJ118" i="9" s="1"/>
  <c r="B119" i="9"/>
  <c r="Q118" i="9"/>
  <c r="S118" i="9" s="1"/>
  <c r="V118" i="9" s="1"/>
  <c r="AC118" i="9"/>
  <c r="I117" i="9"/>
  <c r="AX110" i="8"/>
  <c r="AU110" i="8"/>
  <c r="AI110" i="8"/>
  <c r="N110" i="8"/>
  <c r="P110" i="8" s="1"/>
  <c r="U110" i="8" s="1"/>
  <c r="BK44" i="8"/>
  <c r="AM44" i="8"/>
  <c r="M110" i="8"/>
  <c r="T110" i="8" s="1"/>
  <c r="K111" i="8"/>
  <c r="I108" i="8"/>
  <c r="AW109" i="8"/>
  <c r="AZ109" i="8"/>
  <c r="AD108" i="8"/>
  <c r="Q109" i="8"/>
  <c r="S109" i="8" s="1"/>
  <c r="V109" i="8" s="1"/>
  <c r="AC109" i="8"/>
  <c r="H109" i="8"/>
  <c r="D112" i="8"/>
  <c r="E112" i="8" s="1"/>
  <c r="BP119" i="9" l="1"/>
  <c r="BQ119" i="9" s="1"/>
  <c r="BR119" i="9" s="1"/>
  <c r="G119" i="9"/>
  <c r="H119" i="9" s="1"/>
  <c r="AA50" i="9"/>
  <c r="W51" i="9" s="1"/>
  <c r="AJ108" i="8"/>
  <c r="AK50" i="9"/>
  <c r="AN50" i="9" s="1"/>
  <c r="BB50" i="9"/>
  <c r="BF50" i="9" s="1"/>
  <c r="BD50" i="9" s="1"/>
  <c r="BJ50" i="9"/>
  <c r="AD119" i="9"/>
  <c r="AJ119" i="9" s="1"/>
  <c r="C120" i="9"/>
  <c r="B120" i="9"/>
  <c r="I118" i="9"/>
  <c r="Q119" i="9"/>
  <c r="S119" i="9" s="1"/>
  <c r="V119" i="9" s="1"/>
  <c r="AC119" i="9"/>
  <c r="AX111" i="8"/>
  <c r="AU111" i="8"/>
  <c r="AI111" i="8"/>
  <c r="N111" i="8"/>
  <c r="P111" i="8" s="1"/>
  <c r="U111" i="8" s="1"/>
  <c r="AE45" i="8"/>
  <c r="X45" i="8"/>
  <c r="BA45" i="8"/>
  <c r="BE45" i="8" s="1"/>
  <c r="BC45" i="8" s="1"/>
  <c r="Z45" i="8"/>
  <c r="Y45" i="8"/>
  <c r="AL45" i="8" s="1"/>
  <c r="M111" i="8"/>
  <c r="T111" i="8" s="1"/>
  <c r="K112" i="8"/>
  <c r="I109" i="8"/>
  <c r="AW110" i="8"/>
  <c r="AZ110" i="8"/>
  <c r="Q110" i="8"/>
  <c r="S110" i="8" s="1"/>
  <c r="V110" i="8" s="1"/>
  <c r="AC110" i="8"/>
  <c r="AD109" i="8"/>
  <c r="AJ109" i="8" s="1"/>
  <c r="H110" i="8"/>
  <c r="D113" i="8"/>
  <c r="E113" i="8" s="1"/>
  <c r="BP120" i="9" l="1"/>
  <c r="BQ120" i="9" s="1"/>
  <c r="BR120" i="9" s="1"/>
  <c r="G120" i="9"/>
  <c r="H120" i="9" s="1"/>
  <c r="BK50" i="9"/>
  <c r="AM50" i="9"/>
  <c r="Y51" i="9"/>
  <c r="AL51" i="9" s="1"/>
  <c r="X51" i="9"/>
  <c r="BA51" i="9"/>
  <c r="BE51" i="9" s="1"/>
  <c r="BC51" i="9" s="1"/>
  <c r="AE51" i="9"/>
  <c r="Z51" i="9"/>
  <c r="I119" i="9"/>
  <c r="C121" i="9"/>
  <c r="AD120" i="9"/>
  <c r="AJ120" i="9" s="1"/>
  <c r="B121" i="9"/>
  <c r="Q120" i="9"/>
  <c r="S120" i="9" s="1"/>
  <c r="V120" i="9" s="1"/>
  <c r="AC120" i="9"/>
  <c r="AX112" i="8"/>
  <c r="AU112" i="8"/>
  <c r="AI112" i="8"/>
  <c r="N112" i="8"/>
  <c r="P112" i="8" s="1"/>
  <c r="U112" i="8" s="1"/>
  <c r="AA45" i="8"/>
  <c r="W46" i="8" s="1"/>
  <c r="AK45" i="8"/>
  <c r="AN45" i="8" s="1"/>
  <c r="BJ45" i="8"/>
  <c r="BB45" i="8"/>
  <c r="BF45" i="8" s="1"/>
  <c r="BD45" i="8" s="1"/>
  <c r="M112" i="8"/>
  <c r="T112" i="8" s="1"/>
  <c r="K113" i="8"/>
  <c r="I110" i="8"/>
  <c r="AW111" i="8"/>
  <c r="AZ111" i="8"/>
  <c r="AD110" i="8"/>
  <c r="Q111" i="8"/>
  <c r="S111" i="8" s="1"/>
  <c r="V111" i="8" s="1"/>
  <c r="AC111" i="8"/>
  <c r="H111" i="8"/>
  <c r="D114" i="8"/>
  <c r="E114" i="8" s="1"/>
  <c r="BP121" i="9" l="1"/>
  <c r="BQ121" i="9" s="1"/>
  <c r="BR121" i="9" s="1"/>
  <c r="G121" i="9"/>
  <c r="H121" i="9" s="1"/>
  <c r="AJ110" i="8"/>
  <c r="BJ51" i="9"/>
  <c r="BB51" i="9"/>
  <c r="BF51" i="9" s="1"/>
  <c r="BD51" i="9" s="1"/>
  <c r="AK51" i="9"/>
  <c r="AN51" i="9" s="1"/>
  <c r="AA51" i="9"/>
  <c r="Q121" i="9"/>
  <c r="S121" i="9" s="1"/>
  <c r="V121" i="9" s="1"/>
  <c r="AC121" i="9"/>
  <c r="I120" i="9"/>
  <c r="AD121" i="9"/>
  <c r="AJ121" i="9" s="1"/>
  <c r="C122" i="9"/>
  <c r="B122" i="9"/>
  <c r="AX113" i="8"/>
  <c r="AU113" i="8"/>
  <c r="AI113" i="8"/>
  <c r="N113" i="8"/>
  <c r="P113" i="8" s="1"/>
  <c r="U113" i="8" s="1"/>
  <c r="BK45" i="8"/>
  <c r="AM45" i="8"/>
  <c r="Y46" i="8"/>
  <c r="AL46" i="8" s="1"/>
  <c r="X46" i="8"/>
  <c r="AK46" i="8" s="1"/>
  <c r="Z46" i="8"/>
  <c r="AE46" i="8"/>
  <c r="BA46" i="8"/>
  <c r="BE46" i="8" s="1"/>
  <c r="BC46" i="8" s="1"/>
  <c r="M113" i="8"/>
  <c r="T113" i="8" s="1"/>
  <c r="K114" i="8"/>
  <c r="I111" i="8"/>
  <c r="AD111" i="8"/>
  <c r="AJ111" i="8" s="1"/>
  <c r="D115" i="8"/>
  <c r="E115" i="8" s="1"/>
  <c r="BP122" i="9" l="1"/>
  <c r="BQ122" i="9" s="1"/>
  <c r="BR122" i="9" s="1"/>
  <c r="G122" i="9"/>
  <c r="H122" i="9" s="1"/>
  <c r="BK51" i="9"/>
  <c r="AM51" i="9"/>
  <c r="W52" i="9"/>
  <c r="Q122" i="9"/>
  <c r="S122" i="9" s="1"/>
  <c r="V122" i="9" s="1"/>
  <c r="AC122" i="9"/>
  <c r="C123" i="9"/>
  <c r="AD122" i="9"/>
  <c r="AJ122" i="9" s="1"/>
  <c r="B123" i="9"/>
  <c r="I121" i="9"/>
  <c r="AX114" i="8"/>
  <c r="AU114" i="8"/>
  <c r="AI114" i="8"/>
  <c r="N114" i="8"/>
  <c r="P114" i="8" s="1"/>
  <c r="U114" i="8" s="1"/>
  <c r="BJ46" i="8"/>
  <c r="AN46" i="8"/>
  <c r="AA46" i="8"/>
  <c r="W47" i="8" s="1"/>
  <c r="BB46" i="8"/>
  <c r="BF46" i="8" s="1"/>
  <c r="BD46" i="8" s="1"/>
  <c r="M114" i="8"/>
  <c r="T114" i="8" s="1"/>
  <c r="K115" i="8"/>
  <c r="H112" i="8"/>
  <c r="AW112" i="8"/>
  <c r="AZ112" i="8"/>
  <c r="Q113" i="8"/>
  <c r="S113" i="8" s="1"/>
  <c r="V113" i="8" s="1"/>
  <c r="AD112" i="8"/>
  <c r="AJ112" i="8" s="1"/>
  <c r="Q112" i="8"/>
  <c r="S112" i="8" s="1"/>
  <c r="V112" i="8" s="1"/>
  <c r="AC112" i="8"/>
  <c r="D116" i="8"/>
  <c r="E116" i="8" s="1"/>
  <c r="BP123" i="9" l="1"/>
  <c r="BQ123" i="9" s="1"/>
  <c r="BR123" i="9" s="1"/>
  <c r="G123" i="9"/>
  <c r="H123" i="9" s="1"/>
  <c r="Y52" i="9"/>
  <c r="AL52" i="9" s="1"/>
  <c r="BA52" i="9"/>
  <c r="BE52" i="9" s="1"/>
  <c r="BC52" i="9" s="1"/>
  <c r="Z52" i="9"/>
  <c r="AE52" i="9"/>
  <c r="X52" i="9"/>
  <c r="I122" i="9"/>
  <c r="AD123" i="9"/>
  <c r="AJ123" i="9" s="1"/>
  <c r="C124" i="9"/>
  <c r="B124" i="9"/>
  <c r="Q123" i="9"/>
  <c r="S123" i="9" s="1"/>
  <c r="V123" i="9" s="1"/>
  <c r="AC123" i="9"/>
  <c r="AX115" i="8"/>
  <c r="AU115" i="8"/>
  <c r="AI115" i="8"/>
  <c r="N115" i="8"/>
  <c r="P115" i="8" s="1"/>
  <c r="U115" i="8" s="1"/>
  <c r="BK46" i="8"/>
  <c r="AM46" i="8"/>
  <c r="M115" i="8"/>
  <c r="T115" i="8" s="1"/>
  <c r="K116" i="8"/>
  <c r="I112" i="8"/>
  <c r="AC113" i="8"/>
  <c r="H113" i="8"/>
  <c r="AW113" i="8"/>
  <c r="AZ113" i="8"/>
  <c r="AW114" i="8"/>
  <c r="AZ114" i="8"/>
  <c r="Q114" i="8"/>
  <c r="S114" i="8" s="1"/>
  <c r="V114" i="8" s="1"/>
  <c r="AC114" i="8"/>
  <c r="AD113" i="8"/>
  <c r="H114" i="8"/>
  <c r="D117" i="8"/>
  <c r="E117" i="8" s="1"/>
  <c r="BP124" i="9" l="1"/>
  <c r="BQ124" i="9" s="1"/>
  <c r="BR124" i="9" s="1"/>
  <c r="G124" i="9"/>
  <c r="H124" i="9" s="1"/>
  <c r="AJ113" i="8"/>
  <c r="BJ52" i="9"/>
  <c r="BB52" i="9"/>
  <c r="BF52" i="9" s="1"/>
  <c r="BD52" i="9" s="1"/>
  <c r="AK52" i="9"/>
  <c r="AN52" i="9" s="1"/>
  <c r="AA52" i="9"/>
  <c r="C125" i="9"/>
  <c r="AD124" i="9"/>
  <c r="AJ124" i="9" s="1"/>
  <c r="B125" i="9"/>
  <c r="I123" i="9"/>
  <c r="Q124" i="9"/>
  <c r="S124" i="9" s="1"/>
  <c r="V124" i="9" s="1"/>
  <c r="AC124" i="9"/>
  <c r="AX116" i="8"/>
  <c r="AU116" i="8"/>
  <c r="AI116" i="8"/>
  <c r="N116" i="8"/>
  <c r="P116" i="8" s="1"/>
  <c r="U116" i="8" s="1"/>
  <c r="BA47" i="8"/>
  <c r="BE47" i="8" s="1"/>
  <c r="BC47" i="8" s="1"/>
  <c r="AE47" i="8"/>
  <c r="Z47" i="8"/>
  <c r="X47" i="8"/>
  <c r="AK47" i="8" s="1"/>
  <c r="Y47" i="8"/>
  <c r="AL47" i="8" s="1"/>
  <c r="M116" i="8"/>
  <c r="T116" i="8" s="1"/>
  <c r="K117" i="8"/>
  <c r="I113" i="8"/>
  <c r="I114" i="8" s="1"/>
  <c r="AW115" i="8"/>
  <c r="AZ115" i="8"/>
  <c r="Q115" i="8"/>
  <c r="S115" i="8" s="1"/>
  <c r="V115" i="8" s="1"/>
  <c r="AC115" i="8"/>
  <c r="AD114" i="8"/>
  <c r="AJ114" i="8" s="1"/>
  <c r="H115" i="8"/>
  <c r="D118" i="8"/>
  <c r="E118" i="8" s="1"/>
  <c r="BP125" i="9" l="1"/>
  <c r="BQ125" i="9" s="1"/>
  <c r="BR125" i="9" s="1"/>
  <c r="G125" i="9"/>
  <c r="H125" i="9" s="1"/>
  <c r="BK52" i="9"/>
  <c r="AM52" i="9"/>
  <c r="W53" i="9"/>
  <c r="AD125" i="9"/>
  <c r="AJ125" i="9" s="1"/>
  <c r="C126" i="9"/>
  <c r="B126" i="9"/>
  <c r="Q125" i="9"/>
  <c r="S125" i="9" s="1"/>
  <c r="V125" i="9" s="1"/>
  <c r="AC125" i="9"/>
  <c r="I124" i="9"/>
  <c r="AX117" i="8"/>
  <c r="AI117" i="8"/>
  <c r="AU117" i="8"/>
  <c r="N117" i="8"/>
  <c r="P117" i="8" s="1"/>
  <c r="U117" i="8" s="1"/>
  <c r="AA47" i="8"/>
  <c r="W48" i="8" s="1"/>
  <c r="BJ47" i="8"/>
  <c r="BB47" i="8"/>
  <c r="BF47" i="8" s="1"/>
  <c r="BD47" i="8" s="1"/>
  <c r="AN47" i="8"/>
  <c r="M117" i="8"/>
  <c r="T117" i="8" s="1"/>
  <c r="K118" i="8"/>
  <c r="I115" i="8"/>
  <c r="AD115" i="8"/>
  <c r="D119" i="8"/>
  <c r="E119" i="8" s="1"/>
  <c r="BP126" i="9" l="1"/>
  <c r="BQ126" i="9" s="1"/>
  <c r="BR126" i="9" s="1"/>
  <c r="G126" i="9"/>
  <c r="H126" i="9" s="1"/>
  <c r="AJ115" i="8"/>
  <c r="Z53" i="9"/>
  <c r="X53" i="9"/>
  <c r="AE53" i="9"/>
  <c r="Y53" i="9"/>
  <c r="AL53" i="9" s="1"/>
  <c r="BA53" i="9"/>
  <c r="BE53" i="9" s="1"/>
  <c r="BC53" i="9" s="1"/>
  <c r="I125" i="9"/>
  <c r="C127" i="9"/>
  <c r="B127" i="9"/>
  <c r="Q126" i="9"/>
  <c r="S126" i="9" s="1"/>
  <c r="V126" i="9" s="1"/>
  <c r="AC126" i="9"/>
  <c r="AD126" i="9" s="1"/>
  <c r="AJ126" i="9" s="1"/>
  <c r="AX118" i="8"/>
  <c r="AU118" i="8"/>
  <c r="AI118" i="8"/>
  <c r="N118" i="8"/>
  <c r="P118" i="8" s="1"/>
  <c r="U118" i="8" s="1"/>
  <c r="BK47" i="8"/>
  <c r="AM47" i="8"/>
  <c r="AE48" i="8"/>
  <c r="BA48" i="8"/>
  <c r="BE48" i="8" s="1"/>
  <c r="BC48" i="8" s="1"/>
  <c r="Y48" i="8"/>
  <c r="AL48" i="8" s="1"/>
  <c r="X48" i="8"/>
  <c r="AK48" i="8" s="1"/>
  <c r="Z48" i="8"/>
  <c r="M118" i="8"/>
  <c r="T118" i="8" s="1"/>
  <c r="K119" i="8"/>
  <c r="AW116" i="8"/>
  <c r="AZ116" i="8"/>
  <c r="H116" i="8"/>
  <c r="Q116" i="8"/>
  <c r="S116" i="8" s="1"/>
  <c r="V116" i="8" s="1"/>
  <c r="AC116" i="8"/>
  <c r="H117" i="8"/>
  <c r="AD116" i="8"/>
  <c r="D120" i="8"/>
  <c r="E120" i="8" s="1"/>
  <c r="BP127" i="9" l="1"/>
  <c r="BQ127" i="9" s="1"/>
  <c r="BR127" i="9" s="1"/>
  <c r="G127" i="9"/>
  <c r="H127" i="9" s="1"/>
  <c r="AJ116" i="8"/>
  <c r="AA53" i="9"/>
  <c r="W54" i="9" s="1"/>
  <c r="AK53" i="9"/>
  <c r="AN53" i="9" s="1"/>
  <c r="BB53" i="9"/>
  <c r="BF53" i="9" s="1"/>
  <c r="BD53" i="9" s="1"/>
  <c r="BJ53" i="9"/>
  <c r="I126" i="9"/>
  <c r="C128" i="9"/>
  <c r="B128" i="9"/>
  <c r="Q127" i="9"/>
  <c r="S127" i="9" s="1"/>
  <c r="V127" i="9" s="1"/>
  <c r="AC127" i="9"/>
  <c r="AD127" i="9" s="1"/>
  <c r="AJ127" i="9" s="1"/>
  <c r="AX119" i="8"/>
  <c r="AU119" i="8"/>
  <c r="AI119" i="8"/>
  <c r="N119" i="8"/>
  <c r="P119" i="8" s="1"/>
  <c r="U119" i="8" s="1"/>
  <c r="AA48" i="8"/>
  <c r="W49" i="8" s="1"/>
  <c r="BJ48" i="8"/>
  <c r="BB48" i="8"/>
  <c r="BF48" i="8" s="1"/>
  <c r="BD48" i="8" s="1"/>
  <c r="AN48" i="8"/>
  <c r="M119" i="8"/>
  <c r="T119" i="8" s="1"/>
  <c r="K120" i="8"/>
  <c r="I116" i="8"/>
  <c r="I117" i="8" s="1"/>
  <c r="AW118" i="8"/>
  <c r="AW117" i="8"/>
  <c r="AZ117" i="8"/>
  <c r="Q117" i="8"/>
  <c r="S117" i="8" s="1"/>
  <c r="V117" i="8" s="1"/>
  <c r="AC117" i="8"/>
  <c r="AD117" i="8"/>
  <c r="D121" i="8"/>
  <c r="E121" i="8" s="1"/>
  <c r="BP128" i="9" l="1"/>
  <c r="BQ128" i="9" s="1"/>
  <c r="BR128" i="9" s="1"/>
  <c r="G128" i="9"/>
  <c r="H128" i="9" s="1"/>
  <c r="AJ117" i="8"/>
  <c r="BK53" i="9"/>
  <c r="AM53" i="9"/>
  <c r="BA54" i="9"/>
  <c r="BE54" i="9" s="1"/>
  <c r="BC54" i="9" s="1"/>
  <c r="AE54" i="9"/>
  <c r="Z54" i="9"/>
  <c r="X54" i="9"/>
  <c r="Y54" i="9"/>
  <c r="AL54" i="9" s="1"/>
  <c r="C129" i="9"/>
  <c r="B129" i="9"/>
  <c r="AD128" i="9"/>
  <c r="AJ128" i="9" s="1"/>
  <c r="I127" i="9"/>
  <c r="Q128" i="9"/>
  <c r="S128" i="9" s="1"/>
  <c r="V128" i="9" s="1"/>
  <c r="AC128" i="9"/>
  <c r="AX120" i="8"/>
  <c r="AU120" i="8"/>
  <c r="AI120" i="8"/>
  <c r="N120" i="8"/>
  <c r="P120" i="8" s="1"/>
  <c r="U120" i="8" s="1"/>
  <c r="H118" i="8"/>
  <c r="I118" i="8" s="1"/>
  <c r="BK48" i="8"/>
  <c r="AM48" i="8"/>
  <c r="AE49" i="8"/>
  <c r="X49" i="8"/>
  <c r="AK49" i="8" s="1"/>
  <c r="Y49" i="8"/>
  <c r="AL49" i="8" s="1"/>
  <c r="Z49" i="8"/>
  <c r="BA49" i="8"/>
  <c r="BE49" i="8" s="1"/>
  <c r="BC49" i="8" s="1"/>
  <c r="M120" i="8"/>
  <c r="T120" i="8" s="1"/>
  <c r="K121" i="8"/>
  <c r="AC118" i="8"/>
  <c r="AZ118" i="8"/>
  <c r="Q118" i="8"/>
  <c r="S118" i="8" s="1"/>
  <c r="V118" i="8" s="1"/>
  <c r="AW119" i="8"/>
  <c r="AZ119" i="8"/>
  <c r="AD118" i="8"/>
  <c r="AJ118" i="8" s="1"/>
  <c r="Q119" i="8"/>
  <c r="S119" i="8" s="1"/>
  <c r="V119" i="8" s="1"/>
  <c r="AC119" i="8"/>
  <c r="H119" i="8"/>
  <c r="D122" i="8"/>
  <c r="E122" i="8" s="1"/>
  <c r="BP129" i="9" l="1"/>
  <c r="BQ129" i="9" s="1"/>
  <c r="BR129" i="9" s="1"/>
  <c r="G129" i="9"/>
  <c r="H129" i="9" s="1"/>
  <c r="AK54" i="9"/>
  <c r="AN54" i="9" s="1"/>
  <c r="BB54" i="9"/>
  <c r="BF54" i="9" s="1"/>
  <c r="BD54" i="9" s="1"/>
  <c r="BJ54" i="9"/>
  <c r="AA54" i="9"/>
  <c r="I128" i="9"/>
  <c r="AD129" i="9"/>
  <c r="AJ129" i="9" s="1"/>
  <c r="C130" i="9"/>
  <c r="B130" i="9"/>
  <c r="Q129" i="9"/>
  <c r="S129" i="9" s="1"/>
  <c r="V129" i="9" s="1"/>
  <c r="AC129" i="9"/>
  <c r="AX121" i="8"/>
  <c r="AU121" i="8"/>
  <c r="AI121" i="8"/>
  <c r="N121" i="8"/>
  <c r="P121" i="8" s="1"/>
  <c r="U121" i="8" s="1"/>
  <c r="BJ49" i="8"/>
  <c r="BB49" i="8"/>
  <c r="BF49" i="8" s="1"/>
  <c r="BD49" i="8" s="1"/>
  <c r="AA49" i="8"/>
  <c r="W50" i="8" s="1"/>
  <c r="AN49" i="8"/>
  <c r="M121" i="8"/>
  <c r="T121" i="8" s="1"/>
  <c r="K122" i="8"/>
  <c r="I119" i="8"/>
  <c r="AZ120" i="8"/>
  <c r="AW120" i="8"/>
  <c r="Q120" i="8"/>
  <c r="S120" i="8" s="1"/>
  <c r="V120" i="8" s="1"/>
  <c r="AC120" i="8"/>
  <c r="AD119" i="8"/>
  <c r="H120" i="8"/>
  <c r="D123" i="8"/>
  <c r="E123" i="8" s="1"/>
  <c r="BP130" i="9" l="1"/>
  <c r="BQ130" i="9" s="1"/>
  <c r="BR130" i="9" s="1"/>
  <c r="G130" i="9"/>
  <c r="H130" i="9" s="1"/>
  <c r="AJ119" i="8"/>
  <c r="W55" i="9"/>
  <c r="BK54" i="9"/>
  <c r="AM54" i="9"/>
  <c r="I129" i="9"/>
  <c r="C131" i="9"/>
  <c r="B131" i="9"/>
  <c r="AD130" i="9"/>
  <c r="AJ130" i="9" s="1"/>
  <c r="Q130" i="9"/>
  <c r="S130" i="9" s="1"/>
  <c r="V130" i="9" s="1"/>
  <c r="AC130" i="9"/>
  <c r="AX122" i="8"/>
  <c r="AU122" i="8"/>
  <c r="AI122" i="8"/>
  <c r="N122" i="8"/>
  <c r="P122" i="8" s="1"/>
  <c r="U122" i="8" s="1"/>
  <c r="AM49" i="8"/>
  <c r="BK49" i="8"/>
  <c r="M122" i="8"/>
  <c r="T122" i="8" s="1"/>
  <c r="K123" i="8"/>
  <c r="I120" i="8"/>
  <c r="AW121" i="8"/>
  <c r="AZ121" i="8"/>
  <c r="Q121" i="8"/>
  <c r="S121" i="8" s="1"/>
  <c r="V121" i="8" s="1"/>
  <c r="AC121" i="8"/>
  <c r="AD120" i="8"/>
  <c r="AJ120" i="8" s="1"/>
  <c r="H121" i="8"/>
  <c r="D124" i="8"/>
  <c r="E124" i="8" s="1"/>
  <c r="BP131" i="9" l="1"/>
  <c r="BQ131" i="9" s="1"/>
  <c r="BR131" i="9" s="1"/>
  <c r="G131" i="9"/>
  <c r="H131" i="9" s="1"/>
  <c r="Z55" i="9"/>
  <c r="AE55" i="9"/>
  <c r="BA55" i="9"/>
  <c r="BE55" i="9" s="1"/>
  <c r="BC55" i="9" s="1"/>
  <c r="Y55" i="9"/>
  <c r="AL55" i="9" s="1"/>
  <c r="X55" i="9"/>
  <c r="AD131" i="9"/>
  <c r="AJ131" i="9" s="1"/>
  <c r="C132" i="9"/>
  <c r="B132" i="9"/>
  <c r="Q131" i="9"/>
  <c r="S131" i="9" s="1"/>
  <c r="V131" i="9" s="1"/>
  <c r="AC131" i="9"/>
  <c r="I130" i="9"/>
  <c r="AX123" i="8"/>
  <c r="AU123" i="8"/>
  <c r="AI123" i="8"/>
  <c r="N123" i="8"/>
  <c r="P123" i="8" s="1"/>
  <c r="U123" i="8" s="1"/>
  <c r="BA50" i="8"/>
  <c r="BE50" i="8" s="1"/>
  <c r="BC50" i="8" s="1"/>
  <c r="AE50" i="8"/>
  <c r="Y50" i="8"/>
  <c r="AL50" i="8" s="1"/>
  <c r="X50" i="8"/>
  <c r="AK50" i="8" s="1"/>
  <c r="Z50" i="8"/>
  <c r="M123" i="8"/>
  <c r="T123" i="8" s="1"/>
  <c r="K124" i="8"/>
  <c r="I121" i="8"/>
  <c r="AW122" i="8"/>
  <c r="AZ122" i="8"/>
  <c r="AD121" i="8"/>
  <c r="Q122" i="8"/>
  <c r="S122" i="8" s="1"/>
  <c r="V122" i="8" s="1"/>
  <c r="AC122" i="8"/>
  <c r="H122" i="8"/>
  <c r="D125" i="8"/>
  <c r="E125" i="8" s="1"/>
  <c r="BP132" i="9" l="1"/>
  <c r="BQ132" i="9" s="1"/>
  <c r="BR132" i="9" s="1"/>
  <c r="G132" i="9"/>
  <c r="H132" i="9" s="1"/>
  <c r="AJ121" i="8"/>
  <c r="AK55" i="9"/>
  <c r="AN55" i="9" s="1"/>
  <c r="BB55" i="9"/>
  <c r="BF55" i="9" s="1"/>
  <c r="BD55" i="9" s="1"/>
  <c r="BJ55" i="9"/>
  <c r="AA55" i="9"/>
  <c r="I131" i="9"/>
  <c r="C133" i="9"/>
  <c r="B133" i="9"/>
  <c r="AD132" i="9"/>
  <c r="AJ132" i="9" s="1"/>
  <c r="Q132" i="9"/>
  <c r="S132" i="9" s="1"/>
  <c r="V132" i="9" s="1"/>
  <c r="AC132" i="9"/>
  <c r="AX124" i="8"/>
  <c r="AU124" i="8"/>
  <c r="AI124" i="8"/>
  <c r="N124" i="8"/>
  <c r="P124" i="8" s="1"/>
  <c r="U124" i="8" s="1"/>
  <c r="BJ50" i="8"/>
  <c r="AN50" i="8"/>
  <c r="BB50" i="8"/>
  <c r="BF50" i="8" s="1"/>
  <c r="BD50" i="8" s="1"/>
  <c r="AA50" i="8"/>
  <c r="W51" i="8" s="1"/>
  <c r="M124" i="8"/>
  <c r="T124" i="8" s="1"/>
  <c r="K125" i="8"/>
  <c r="I122" i="8"/>
  <c r="AZ123" i="8"/>
  <c r="AW123" i="8"/>
  <c r="Q123" i="8"/>
  <c r="S123" i="8" s="1"/>
  <c r="V123" i="8" s="1"/>
  <c r="AC123" i="8"/>
  <c r="AD122" i="8"/>
  <c r="AJ122" i="8" s="1"/>
  <c r="H123" i="8"/>
  <c r="D126" i="8"/>
  <c r="E126" i="8" s="1"/>
  <c r="BP133" i="9" l="1"/>
  <c r="BQ133" i="9" s="1"/>
  <c r="BR133" i="9" s="1"/>
  <c r="G133" i="9"/>
  <c r="H133" i="9" s="1"/>
  <c r="W56" i="9"/>
  <c r="BK55" i="9"/>
  <c r="AM55" i="9"/>
  <c r="AD133" i="9"/>
  <c r="AJ133" i="9" s="1"/>
  <c r="C134" i="9"/>
  <c r="B134" i="9"/>
  <c r="I132" i="9"/>
  <c r="Q133" i="9"/>
  <c r="S133" i="9" s="1"/>
  <c r="V133" i="9" s="1"/>
  <c r="AC133" i="9"/>
  <c r="AU125" i="8"/>
  <c r="AX125" i="8"/>
  <c r="AI125" i="8"/>
  <c r="N125" i="8"/>
  <c r="P125" i="8" s="1"/>
  <c r="U125" i="8" s="1"/>
  <c r="BK50" i="8"/>
  <c r="AM50" i="8"/>
  <c r="M125" i="8"/>
  <c r="T125" i="8" s="1"/>
  <c r="K126" i="8"/>
  <c r="I123" i="8"/>
  <c r="AZ124" i="8"/>
  <c r="AW124" i="8"/>
  <c r="Q124" i="8"/>
  <c r="S124" i="8" s="1"/>
  <c r="V124" i="8" s="1"/>
  <c r="AC124" i="8"/>
  <c r="AD123" i="8"/>
  <c r="H124" i="8"/>
  <c r="D127" i="8"/>
  <c r="E127" i="8" s="1"/>
  <c r="BP134" i="9" l="1"/>
  <c r="BQ134" i="9" s="1"/>
  <c r="BR134" i="9" s="1"/>
  <c r="G134" i="9"/>
  <c r="H134" i="9" s="1"/>
  <c r="AJ123" i="8"/>
  <c r="AE56" i="9"/>
  <c r="Z56" i="9"/>
  <c r="X56" i="9"/>
  <c r="Y56" i="9"/>
  <c r="AL56" i="9" s="1"/>
  <c r="BA56" i="9"/>
  <c r="BE56" i="9" s="1"/>
  <c r="BC56" i="9" s="1"/>
  <c r="C135" i="9"/>
  <c r="B135" i="9"/>
  <c r="AD134" i="9"/>
  <c r="AJ134" i="9" s="1"/>
  <c r="Q134" i="9"/>
  <c r="S134" i="9" s="1"/>
  <c r="V134" i="9" s="1"/>
  <c r="AC134" i="9"/>
  <c r="I133" i="9"/>
  <c r="AX126" i="8"/>
  <c r="AU126" i="8"/>
  <c r="AI126" i="8"/>
  <c r="N126" i="8"/>
  <c r="P126" i="8" s="1"/>
  <c r="U126" i="8" s="1"/>
  <c r="AE51" i="8"/>
  <c r="Z51" i="8"/>
  <c r="X51" i="8"/>
  <c r="AK51" i="8" s="1"/>
  <c r="BA51" i="8"/>
  <c r="BE51" i="8" s="1"/>
  <c r="BC51" i="8" s="1"/>
  <c r="Y51" i="8"/>
  <c r="AL51" i="8" s="1"/>
  <c r="M126" i="8"/>
  <c r="T126" i="8" s="1"/>
  <c r="K127" i="8"/>
  <c r="I124" i="8"/>
  <c r="AW125" i="8"/>
  <c r="AZ125" i="8"/>
  <c r="Q125" i="8"/>
  <c r="S125" i="8" s="1"/>
  <c r="V125" i="8" s="1"/>
  <c r="AC125" i="8"/>
  <c r="AD124" i="8"/>
  <c r="AJ124" i="8" s="1"/>
  <c r="H125" i="8"/>
  <c r="D128" i="8"/>
  <c r="E128" i="8" s="1"/>
  <c r="BP135" i="9" l="1"/>
  <c r="BQ135" i="9" s="1"/>
  <c r="BR135" i="9" s="1"/>
  <c r="G135" i="9"/>
  <c r="H135" i="9" s="1"/>
  <c r="AA56" i="9"/>
  <c r="W57" i="9" s="1"/>
  <c r="AK56" i="9"/>
  <c r="AN56" i="9" s="1"/>
  <c r="BB56" i="9"/>
  <c r="BF56" i="9" s="1"/>
  <c r="BD56" i="9" s="1"/>
  <c r="BJ56" i="9"/>
  <c r="AD135" i="9"/>
  <c r="AJ135" i="9" s="1"/>
  <c r="C136" i="9"/>
  <c r="B136" i="9"/>
  <c r="I134" i="9"/>
  <c r="Q135" i="9"/>
  <c r="S135" i="9" s="1"/>
  <c r="V135" i="9" s="1"/>
  <c r="AC135" i="9"/>
  <c r="AX127" i="8"/>
  <c r="AU127" i="8"/>
  <c r="AI127" i="8"/>
  <c r="N127" i="8"/>
  <c r="P127" i="8" s="1"/>
  <c r="U127" i="8" s="1"/>
  <c r="AA51" i="8"/>
  <c r="W52" i="8" s="1"/>
  <c r="AN51" i="8"/>
  <c r="BB51" i="8"/>
  <c r="BF51" i="8" s="1"/>
  <c r="BD51" i="8" s="1"/>
  <c r="BJ51" i="8"/>
  <c r="M127" i="8"/>
  <c r="T127" i="8" s="1"/>
  <c r="K128" i="8"/>
  <c r="I125" i="8"/>
  <c r="AW126" i="8"/>
  <c r="AZ126" i="8"/>
  <c r="Q126" i="8"/>
  <c r="S126" i="8" s="1"/>
  <c r="V126" i="8" s="1"/>
  <c r="AC126" i="8"/>
  <c r="AD125" i="8"/>
  <c r="AJ125" i="8" s="1"/>
  <c r="H126" i="8"/>
  <c r="D129" i="8"/>
  <c r="E129" i="8" s="1"/>
  <c r="BP136" i="9" l="1"/>
  <c r="BQ136" i="9" s="1"/>
  <c r="BR136" i="9" s="1"/>
  <c r="G136" i="9"/>
  <c r="H136" i="9" s="1"/>
  <c r="BK56" i="9"/>
  <c r="AM56" i="9"/>
  <c r="X57" i="9"/>
  <c r="BA57" i="9"/>
  <c r="BE57" i="9" s="1"/>
  <c r="BC57" i="9" s="1"/>
  <c r="AE57" i="9"/>
  <c r="Z57" i="9"/>
  <c r="Y57" i="9"/>
  <c r="AL57" i="9" s="1"/>
  <c r="C137" i="9"/>
  <c r="B137" i="9"/>
  <c r="AD136" i="9"/>
  <c r="AJ136" i="9" s="1"/>
  <c r="Q136" i="9"/>
  <c r="S136" i="9" s="1"/>
  <c r="V136" i="9" s="1"/>
  <c r="AC136" i="9"/>
  <c r="I135" i="9"/>
  <c r="AX128" i="8"/>
  <c r="AU128" i="8"/>
  <c r="AI128" i="8"/>
  <c r="N128" i="8"/>
  <c r="P128" i="8" s="1"/>
  <c r="U128" i="8" s="1"/>
  <c r="BK51" i="8"/>
  <c r="AM51" i="8"/>
  <c r="M128" i="8"/>
  <c r="T128" i="8" s="1"/>
  <c r="K129" i="8"/>
  <c r="I126" i="8"/>
  <c r="AD126" i="8"/>
  <c r="D130" i="8"/>
  <c r="E130" i="8" s="1"/>
  <c r="BP137" i="9" l="1"/>
  <c r="BQ137" i="9" s="1"/>
  <c r="BR137" i="9" s="1"/>
  <c r="G137" i="9"/>
  <c r="H137" i="9" s="1"/>
  <c r="AJ126" i="8"/>
  <c r="AA57" i="9"/>
  <c r="W58" i="9" s="1"/>
  <c r="BJ57" i="9"/>
  <c r="AK57" i="9"/>
  <c r="AN57" i="9" s="1"/>
  <c r="BB57" i="9"/>
  <c r="BF57" i="9" s="1"/>
  <c r="BD57" i="9" s="1"/>
  <c r="I136" i="9"/>
  <c r="Q137" i="9"/>
  <c r="S137" i="9" s="1"/>
  <c r="V137" i="9" s="1"/>
  <c r="AC137" i="9"/>
  <c r="AD137" i="9"/>
  <c r="AJ137" i="9" s="1"/>
  <c r="C138" i="9"/>
  <c r="B138" i="9"/>
  <c r="AX129" i="8"/>
  <c r="AU129" i="8"/>
  <c r="AI129" i="8"/>
  <c r="N129" i="8"/>
  <c r="P129" i="8" s="1"/>
  <c r="U129" i="8" s="1"/>
  <c r="Y52" i="8"/>
  <c r="AL52" i="8" s="1"/>
  <c r="BA52" i="8"/>
  <c r="BE52" i="8" s="1"/>
  <c r="BC52" i="8" s="1"/>
  <c r="X52" i="8"/>
  <c r="AK52" i="8" s="1"/>
  <c r="Z52" i="8"/>
  <c r="AE52" i="8"/>
  <c r="M129" i="8"/>
  <c r="T129" i="8" s="1"/>
  <c r="K130" i="8"/>
  <c r="AW127" i="8"/>
  <c r="AZ127" i="8"/>
  <c r="H127" i="8"/>
  <c r="AW128" i="8"/>
  <c r="AZ128" i="8"/>
  <c r="Q128" i="8"/>
  <c r="S128" i="8" s="1"/>
  <c r="V128" i="8" s="1"/>
  <c r="AC128" i="8"/>
  <c r="Q127" i="8"/>
  <c r="S127" i="8" s="1"/>
  <c r="V127" i="8" s="1"/>
  <c r="AC127" i="8"/>
  <c r="AD127" i="8"/>
  <c r="AJ127" i="8" s="1"/>
  <c r="H128" i="8"/>
  <c r="D131" i="8"/>
  <c r="E131" i="8" s="1"/>
  <c r="BP138" i="9" l="1"/>
  <c r="BQ138" i="9" s="1"/>
  <c r="BR138" i="9" s="1"/>
  <c r="G138" i="9"/>
  <c r="H138" i="9" s="1"/>
  <c r="BK57" i="9"/>
  <c r="AM57" i="9"/>
  <c r="Z58" i="9"/>
  <c r="X58" i="9"/>
  <c r="Y58" i="9"/>
  <c r="AL58" i="9" s="1"/>
  <c r="BA58" i="9"/>
  <c r="BE58" i="9" s="1"/>
  <c r="BC58" i="9" s="1"/>
  <c r="AE58" i="9"/>
  <c r="C139" i="9"/>
  <c r="B139" i="9"/>
  <c r="Q138" i="9"/>
  <c r="S138" i="9" s="1"/>
  <c r="V138" i="9" s="1"/>
  <c r="AC138" i="9"/>
  <c r="AD138" i="9" s="1"/>
  <c r="AJ138" i="9" s="1"/>
  <c r="I137" i="9"/>
  <c r="AX130" i="8"/>
  <c r="AU130" i="8"/>
  <c r="AI130" i="8"/>
  <c r="N130" i="8"/>
  <c r="P130" i="8" s="1"/>
  <c r="U130" i="8" s="1"/>
  <c r="AA52" i="8"/>
  <c r="W53" i="8" s="1"/>
  <c r="BJ52" i="8"/>
  <c r="AN52" i="8"/>
  <c r="BB52" i="8"/>
  <c r="BF52" i="8" s="1"/>
  <c r="BD52" i="8" s="1"/>
  <c r="M130" i="8"/>
  <c r="T130" i="8" s="1"/>
  <c r="K131" i="8"/>
  <c r="I127" i="8"/>
  <c r="I128" i="8" s="1"/>
  <c r="AD128" i="8"/>
  <c r="AJ128" i="8" s="1"/>
  <c r="D132" i="8"/>
  <c r="E132" i="8" s="1"/>
  <c r="BP139" i="9" l="1"/>
  <c r="BQ139" i="9" s="1"/>
  <c r="BR139" i="9" s="1"/>
  <c r="G139" i="9"/>
  <c r="H139" i="9" s="1"/>
  <c r="AA58" i="9"/>
  <c r="W59" i="9" s="1"/>
  <c r="BB58" i="9"/>
  <c r="BF58" i="9" s="1"/>
  <c r="BD58" i="9" s="1"/>
  <c r="AK58" i="9"/>
  <c r="AN58" i="9" s="1"/>
  <c r="BJ58" i="9"/>
  <c r="C140" i="9"/>
  <c r="B140" i="9"/>
  <c r="Q139" i="9"/>
  <c r="S139" i="9" s="1"/>
  <c r="V139" i="9" s="1"/>
  <c r="AC139" i="9"/>
  <c r="AD139" i="9" s="1"/>
  <c r="AJ139" i="9" s="1"/>
  <c r="I138" i="9"/>
  <c r="AX131" i="8"/>
  <c r="AU131" i="8"/>
  <c r="AI131" i="8"/>
  <c r="N131" i="8"/>
  <c r="P131" i="8" s="1"/>
  <c r="U131" i="8" s="1"/>
  <c r="Z53" i="8"/>
  <c r="Y53" i="8"/>
  <c r="AL53" i="8" s="1"/>
  <c r="X53" i="8"/>
  <c r="BA53" i="8"/>
  <c r="BE53" i="8" s="1"/>
  <c r="BC53" i="8" s="1"/>
  <c r="AE53" i="8"/>
  <c r="AM52" i="8"/>
  <c r="BK52" i="8"/>
  <c r="M131" i="8"/>
  <c r="T131" i="8" s="1"/>
  <c r="K132" i="8"/>
  <c r="AZ130" i="8"/>
  <c r="AW130" i="8"/>
  <c r="AZ129" i="8"/>
  <c r="AW129" i="8"/>
  <c r="H129" i="8"/>
  <c r="AD129" i="8"/>
  <c r="AJ129" i="8" s="1"/>
  <c r="Q130" i="8"/>
  <c r="S130" i="8" s="1"/>
  <c r="V130" i="8" s="1"/>
  <c r="AC130" i="8"/>
  <c r="Q129" i="8"/>
  <c r="S129" i="8" s="1"/>
  <c r="V129" i="8" s="1"/>
  <c r="AC129" i="8"/>
  <c r="H130" i="8"/>
  <c r="D133" i="8"/>
  <c r="E133" i="8" s="1"/>
  <c r="BP140" i="9" l="1"/>
  <c r="BQ140" i="9" s="1"/>
  <c r="BR140" i="9" s="1"/>
  <c r="G140" i="9"/>
  <c r="H140" i="9" s="1"/>
  <c r="BK58" i="9"/>
  <c r="AM58" i="9"/>
  <c r="Y59" i="9"/>
  <c r="AL59" i="9" s="1"/>
  <c r="X59" i="9"/>
  <c r="BA59" i="9"/>
  <c r="BE59" i="9" s="1"/>
  <c r="BC59" i="9" s="1"/>
  <c r="AE59" i="9"/>
  <c r="Z59" i="9"/>
  <c r="C141" i="9"/>
  <c r="B141" i="9"/>
  <c r="AD140" i="9"/>
  <c r="AJ140" i="9" s="1"/>
  <c r="Q140" i="9"/>
  <c r="S140" i="9" s="1"/>
  <c r="V140" i="9" s="1"/>
  <c r="AC140" i="9"/>
  <c r="I139" i="9"/>
  <c r="AX132" i="8"/>
  <c r="AU132" i="8"/>
  <c r="AI132" i="8"/>
  <c r="N132" i="8"/>
  <c r="P132" i="8" s="1"/>
  <c r="U132" i="8" s="1"/>
  <c r="AA53" i="8"/>
  <c r="W54" i="8" s="1"/>
  <c r="AK53" i="8"/>
  <c r="AN53" i="8" s="1"/>
  <c r="BB53" i="8"/>
  <c r="BF53" i="8" s="1"/>
  <c r="BD53" i="8" s="1"/>
  <c r="BJ53" i="8"/>
  <c r="M132" i="8"/>
  <c r="T132" i="8" s="1"/>
  <c r="K133" i="8"/>
  <c r="I129" i="8"/>
  <c r="I130" i="8" s="1"/>
  <c r="AD130" i="8"/>
  <c r="H131" i="8"/>
  <c r="D134" i="8"/>
  <c r="E134" i="8" s="1"/>
  <c r="BP141" i="9" l="1"/>
  <c r="BQ141" i="9" s="1"/>
  <c r="BR141" i="9" s="1"/>
  <c r="G141" i="9"/>
  <c r="H141" i="9" s="1"/>
  <c r="AJ130" i="8"/>
  <c r="BJ59" i="9"/>
  <c r="AK59" i="9"/>
  <c r="AN59" i="9" s="1"/>
  <c r="BB59" i="9"/>
  <c r="BF59" i="9" s="1"/>
  <c r="BD59" i="9" s="1"/>
  <c r="AA59" i="9"/>
  <c r="I140" i="9"/>
  <c r="AD141" i="9"/>
  <c r="AJ141" i="9" s="1"/>
  <c r="C142" i="9"/>
  <c r="B142" i="9"/>
  <c r="Q141" i="9"/>
  <c r="S141" i="9" s="1"/>
  <c r="V141" i="9" s="1"/>
  <c r="AC141" i="9"/>
  <c r="AU133" i="8"/>
  <c r="AX133" i="8"/>
  <c r="AI133" i="8"/>
  <c r="N133" i="8"/>
  <c r="P133" i="8" s="1"/>
  <c r="U133" i="8" s="1"/>
  <c r="AM53" i="8"/>
  <c r="BK53" i="8"/>
  <c r="AE54" i="8"/>
  <c r="X54" i="8"/>
  <c r="AK54" i="8" s="1"/>
  <c r="Z54" i="8"/>
  <c r="BA54" i="8"/>
  <c r="BE54" i="8" s="1"/>
  <c r="BC54" i="8" s="1"/>
  <c r="Y54" i="8"/>
  <c r="AL54" i="8" s="1"/>
  <c r="M133" i="8"/>
  <c r="T133" i="8" s="1"/>
  <c r="K134" i="8"/>
  <c r="I131" i="8"/>
  <c r="AZ131" i="8"/>
  <c r="AW131" i="8"/>
  <c r="AD131" i="8"/>
  <c r="AJ131" i="8" s="1"/>
  <c r="H132" i="8"/>
  <c r="Q131" i="8"/>
  <c r="S131" i="8" s="1"/>
  <c r="V131" i="8" s="1"/>
  <c r="AC131" i="8"/>
  <c r="D135" i="8"/>
  <c r="E135" i="8" s="1"/>
  <c r="BP142" i="9" l="1"/>
  <c r="BQ142" i="9" s="1"/>
  <c r="BR142" i="9" s="1"/>
  <c r="G142" i="9"/>
  <c r="H142" i="9" s="1"/>
  <c r="W60" i="9"/>
  <c r="BK59" i="9"/>
  <c r="AM59" i="9"/>
  <c r="C143" i="9"/>
  <c r="B143" i="9"/>
  <c r="AD142" i="9"/>
  <c r="AJ142" i="9" s="1"/>
  <c r="I141" i="9"/>
  <c r="Q142" i="9"/>
  <c r="S142" i="9" s="1"/>
  <c r="V142" i="9" s="1"/>
  <c r="AC142" i="9"/>
  <c r="AX134" i="8"/>
  <c r="AU134" i="8"/>
  <c r="AI134" i="8"/>
  <c r="N134" i="8"/>
  <c r="P134" i="8" s="1"/>
  <c r="U134" i="8" s="1"/>
  <c r="BJ54" i="8"/>
  <c r="AN54" i="8"/>
  <c r="AA54" i="8"/>
  <c r="W55" i="8" s="1"/>
  <c r="BB54" i="8"/>
  <c r="BF54" i="8" s="1"/>
  <c r="BD54" i="8" s="1"/>
  <c r="M134" i="8"/>
  <c r="T134" i="8" s="1"/>
  <c r="K135" i="8"/>
  <c r="I132" i="8"/>
  <c r="AZ132" i="8"/>
  <c r="AW132" i="8"/>
  <c r="AC133" i="8"/>
  <c r="Q132" i="8"/>
  <c r="S132" i="8" s="1"/>
  <c r="V132" i="8" s="1"/>
  <c r="AC132" i="8"/>
  <c r="AD132" i="8"/>
  <c r="D136" i="8"/>
  <c r="E136" i="8" s="1"/>
  <c r="BP143" i="9" l="1"/>
  <c r="BQ143" i="9" s="1"/>
  <c r="BR143" i="9" s="1"/>
  <c r="G143" i="9"/>
  <c r="H143" i="9" s="1"/>
  <c r="AJ132" i="8"/>
  <c r="Y60" i="9"/>
  <c r="AL60" i="9" s="1"/>
  <c r="BA60" i="9"/>
  <c r="BE60" i="9" s="1"/>
  <c r="BC60" i="9" s="1"/>
  <c r="Z60" i="9"/>
  <c r="X60" i="9"/>
  <c r="AE60" i="9"/>
  <c r="AD143" i="9"/>
  <c r="AJ143" i="9" s="1"/>
  <c r="C144" i="9"/>
  <c r="B144" i="9"/>
  <c r="Q143" i="9"/>
  <c r="S143" i="9" s="1"/>
  <c r="V143" i="9" s="1"/>
  <c r="AC143" i="9"/>
  <c r="I142" i="9"/>
  <c r="AX135" i="8"/>
  <c r="AU135" i="8"/>
  <c r="AI135" i="8"/>
  <c r="N135" i="8"/>
  <c r="P135" i="8" s="1"/>
  <c r="U135" i="8" s="1"/>
  <c r="Q133" i="8"/>
  <c r="S133" i="8" s="1"/>
  <c r="V133" i="8" s="1"/>
  <c r="BK54" i="8"/>
  <c r="AM54" i="8"/>
  <c r="M135" i="8"/>
  <c r="T135" i="8" s="1"/>
  <c r="K136" i="8"/>
  <c r="H133" i="8"/>
  <c r="AW133" i="8"/>
  <c r="AZ133" i="8"/>
  <c r="AD133" i="8"/>
  <c r="D137" i="8"/>
  <c r="E137" i="8" s="1"/>
  <c r="BP144" i="9" l="1"/>
  <c r="BQ144" i="9" s="1"/>
  <c r="BR144" i="9" s="1"/>
  <c r="G144" i="9"/>
  <c r="H144" i="9" s="1"/>
  <c r="AJ133" i="8"/>
  <c r="BJ60" i="9"/>
  <c r="BB60" i="9"/>
  <c r="BF60" i="9" s="1"/>
  <c r="BD60" i="9" s="1"/>
  <c r="AK60" i="9"/>
  <c r="AN60" i="9" s="1"/>
  <c r="AA60" i="9"/>
  <c r="C145" i="9"/>
  <c r="B145" i="9"/>
  <c r="AD144" i="9"/>
  <c r="AJ144" i="9" s="1"/>
  <c r="Q144" i="9"/>
  <c r="S144" i="9" s="1"/>
  <c r="V144" i="9" s="1"/>
  <c r="AC144" i="9"/>
  <c r="I143" i="9"/>
  <c r="AX136" i="8"/>
  <c r="AU136" i="8"/>
  <c r="AI136" i="8"/>
  <c r="N136" i="8"/>
  <c r="P136" i="8" s="1"/>
  <c r="U136" i="8" s="1"/>
  <c r="Y55" i="8"/>
  <c r="AL55" i="8" s="1"/>
  <c r="Z55" i="8"/>
  <c r="BA55" i="8"/>
  <c r="BE55" i="8" s="1"/>
  <c r="BC55" i="8" s="1"/>
  <c r="X55" i="8"/>
  <c r="AK55" i="8" s="1"/>
  <c r="AE55" i="8"/>
  <c r="M136" i="8"/>
  <c r="T136" i="8" s="1"/>
  <c r="K137" i="8"/>
  <c r="I133" i="8"/>
  <c r="AZ135" i="8"/>
  <c r="AW135" i="8"/>
  <c r="AW134" i="8"/>
  <c r="AZ134" i="8"/>
  <c r="Q135" i="8"/>
  <c r="S135" i="8" s="1"/>
  <c r="V135" i="8" s="1"/>
  <c r="AC135" i="8"/>
  <c r="Q134" i="8"/>
  <c r="S134" i="8" s="1"/>
  <c r="V134" i="8" s="1"/>
  <c r="AC134" i="8"/>
  <c r="H134" i="8"/>
  <c r="AD134" i="8"/>
  <c r="AJ134" i="8" s="1"/>
  <c r="H135" i="8"/>
  <c r="D138" i="8"/>
  <c r="E138" i="8" s="1"/>
  <c r="BP145" i="9" l="1"/>
  <c r="BQ145" i="9" s="1"/>
  <c r="BR145" i="9" s="1"/>
  <c r="G145" i="9"/>
  <c r="H145" i="9" s="1"/>
  <c r="W61" i="9"/>
  <c r="BK60" i="9"/>
  <c r="AM60" i="9"/>
  <c r="B146" i="9"/>
  <c r="AD145" i="9"/>
  <c r="AJ145" i="9" s="1"/>
  <c r="C146" i="9"/>
  <c r="Q145" i="9"/>
  <c r="S145" i="9" s="1"/>
  <c r="V145" i="9" s="1"/>
  <c r="AC145" i="9"/>
  <c r="I144" i="9"/>
  <c r="AX137" i="8"/>
  <c r="AU137" i="8"/>
  <c r="AI137" i="8"/>
  <c r="N137" i="8"/>
  <c r="P137" i="8" s="1"/>
  <c r="U137" i="8" s="1"/>
  <c r="BJ55" i="8"/>
  <c r="BB55" i="8"/>
  <c r="BF55" i="8" s="1"/>
  <c r="BD55" i="8" s="1"/>
  <c r="AN55" i="8"/>
  <c r="AA55" i="8"/>
  <c r="W56" i="8" s="1"/>
  <c r="M137" i="8"/>
  <c r="T137" i="8" s="1"/>
  <c r="K138" i="8"/>
  <c r="I134" i="8"/>
  <c r="I135" i="8" s="1"/>
  <c r="AZ136" i="8"/>
  <c r="AW136" i="8"/>
  <c r="AD135" i="8"/>
  <c r="Q136" i="8"/>
  <c r="S136" i="8" s="1"/>
  <c r="V136" i="8" s="1"/>
  <c r="AC136" i="8"/>
  <c r="H136" i="8"/>
  <c r="D139" i="8"/>
  <c r="E139" i="8" s="1"/>
  <c r="BP146" i="9" l="1"/>
  <c r="BQ146" i="9" s="1"/>
  <c r="BR146" i="9" s="1"/>
  <c r="G146" i="9"/>
  <c r="H146" i="9" s="1"/>
  <c r="AJ135" i="8"/>
  <c r="Z61" i="9"/>
  <c r="BA61" i="9"/>
  <c r="BE61" i="9" s="1"/>
  <c r="BC61" i="9" s="1"/>
  <c r="AE61" i="9"/>
  <c r="X61" i="9"/>
  <c r="Y61" i="9"/>
  <c r="AL61" i="9" s="1"/>
  <c r="Q146" i="9"/>
  <c r="S146" i="9" s="1"/>
  <c r="V146" i="9" s="1"/>
  <c r="AC146" i="9"/>
  <c r="I145" i="9"/>
  <c r="C147" i="9"/>
  <c r="B147" i="9"/>
  <c r="AD146" i="9"/>
  <c r="AJ146" i="9" s="1"/>
  <c r="AX138" i="8"/>
  <c r="AU138" i="8"/>
  <c r="AI138" i="8"/>
  <c r="N138" i="8"/>
  <c r="P138" i="8" s="1"/>
  <c r="U138" i="8" s="1"/>
  <c r="BK55" i="8"/>
  <c r="AM55" i="8"/>
  <c r="M138" i="8"/>
  <c r="T138" i="8" s="1"/>
  <c r="K139" i="8"/>
  <c r="I136" i="8"/>
  <c r="AZ137" i="8"/>
  <c r="AW137" i="8"/>
  <c r="AD136" i="8"/>
  <c r="Q137" i="8"/>
  <c r="S137" i="8" s="1"/>
  <c r="V137" i="8" s="1"/>
  <c r="AC137" i="8"/>
  <c r="H137" i="8"/>
  <c r="D140" i="8"/>
  <c r="E140" i="8" s="1"/>
  <c r="BP147" i="9" l="1"/>
  <c r="BQ147" i="9" s="1"/>
  <c r="BR147" i="9" s="1"/>
  <c r="G147" i="9"/>
  <c r="H147" i="9" s="1"/>
  <c r="AJ136" i="8"/>
  <c r="BJ61" i="9"/>
  <c r="AA61" i="9"/>
  <c r="AK61" i="9"/>
  <c r="AN61" i="9" s="1"/>
  <c r="BB61" i="9"/>
  <c r="BF61" i="9" s="1"/>
  <c r="BD61" i="9" s="1"/>
  <c r="I146" i="9"/>
  <c r="AD147" i="9"/>
  <c r="AJ147" i="9" s="1"/>
  <c r="C148" i="9"/>
  <c r="B148" i="9"/>
  <c r="Q147" i="9"/>
  <c r="S147" i="9" s="1"/>
  <c r="V147" i="9" s="1"/>
  <c r="AC147" i="9"/>
  <c r="AX139" i="8"/>
  <c r="AU139" i="8"/>
  <c r="AI139" i="8"/>
  <c r="N139" i="8"/>
  <c r="P139" i="8" s="1"/>
  <c r="U139" i="8" s="1"/>
  <c r="Y56" i="8"/>
  <c r="AL56" i="8" s="1"/>
  <c r="Z56" i="8"/>
  <c r="BA56" i="8"/>
  <c r="BE56" i="8" s="1"/>
  <c r="BC56" i="8" s="1"/>
  <c r="X56" i="8"/>
  <c r="AK56" i="8" s="1"/>
  <c r="AE56" i="8"/>
  <c r="M139" i="8"/>
  <c r="T139" i="8" s="1"/>
  <c r="K140" i="8"/>
  <c r="I137" i="8"/>
  <c r="AZ138" i="8"/>
  <c r="AW138" i="8"/>
  <c r="Q138" i="8"/>
  <c r="S138" i="8" s="1"/>
  <c r="V138" i="8" s="1"/>
  <c r="AC138" i="8"/>
  <c r="AD137" i="8"/>
  <c r="H138" i="8"/>
  <c r="D141" i="8"/>
  <c r="E141" i="8" s="1"/>
  <c r="BP148" i="9" l="1"/>
  <c r="BQ148" i="9" s="1"/>
  <c r="BR148" i="9" s="1"/>
  <c r="G148" i="9"/>
  <c r="H148" i="9" s="1"/>
  <c r="AJ137" i="8"/>
  <c r="BK61" i="9"/>
  <c r="AM61" i="9"/>
  <c r="W62" i="9"/>
  <c r="Q148" i="9"/>
  <c r="S148" i="9" s="1"/>
  <c r="V148" i="9" s="1"/>
  <c r="AC148" i="9"/>
  <c r="C149" i="9"/>
  <c r="B149" i="9"/>
  <c r="AD148" i="9"/>
  <c r="AJ148" i="9" s="1"/>
  <c r="I147" i="9"/>
  <c r="AX140" i="8"/>
  <c r="AU140" i="8"/>
  <c r="AI140" i="8"/>
  <c r="N140" i="8"/>
  <c r="P140" i="8" s="1"/>
  <c r="U140" i="8" s="1"/>
  <c r="BJ56" i="8"/>
  <c r="AN56" i="8"/>
  <c r="BB56" i="8"/>
  <c r="BF56" i="8" s="1"/>
  <c r="BD56" i="8" s="1"/>
  <c r="AA56" i="8"/>
  <c r="W57" i="8" s="1"/>
  <c r="M140" i="8"/>
  <c r="T140" i="8" s="1"/>
  <c r="K141" i="8"/>
  <c r="I138" i="8"/>
  <c r="AZ139" i="8"/>
  <c r="AW139" i="8"/>
  <c r="Q139" i="8"/>
  <c r="S139" i="8" s="1"/>
  <c r="V139" i="8" s="1"/>
  <c r="AC139" i="8"/>
  <c r="AD138" i="8"/>
  <c r="AJ138" i="8" s="1"/>
  <c r="H139" i="8"/>
  <c r="D142" i="8"/>
  <c r="E142" i="8" s="1"/>
  <c r="BP149" i="9" l="1"/>
  <c r="BQ149" i="9" s="1"/>
  <c r="BR149" i="9" s="1"/>
  <c r="G149" i="9"/>
  <c r="H149" i="9" s="1"/>
  <c r="X62" i="9"/>
  <c r="BA62" i="9"/>
  <c r="BE62" i="9" s="1"/>
  <c r="BC62" i="9" s="1"/>
  <c r="Y62" i="9"/>
  <c r="AL62" i="9" s="1"/>
  <c r="AE62" i="9"/>
  <c r="Z62" i="9"/>
  <c r="I148" i="9"/>
  <c r="AD149" i="9"/>
  <c r="AJ149" i="9" s="1"/>
  <c r="C150" i="9"/>
  <c r="B150" i="9"/>
  <c r="Q149" i="9"/>
  <c r="S149" i="9" s="1"/>
  <c r="V149" i="9" s="1"/>
  <c r="AC149" i="9"/>
  <c r="AU141" i="8"/>
  <c r="AX141" i="8"/>
  <c r="AI141" i="8"/>
  <c r="N141" i="8"/>
  <c r="P141" i="8" s="1"/>
  <c r="U141" i="8" s="1"/>
  <c r="AM56" i="8"/>
  <c r="BK56" i="8"/>
  <c r="M141" i="8"/>
  <c r="T141" i="8" s="1"/>
  <c r="K142" i="8"/>
  <c r="I139" i="8"/>
  <c r="AZ140" i="8"/>
  <c r="AW140" i="8"/>
  <c r="Q140" i="8"/>
  <c r="S140" i="8" s="1"/>
  <c r="V140" i="8" s="1"/>
  <c r="AC140" i="8"/>
  <c r="AD139" i="8"/>
  <c r="H140" i="8"/>
  <c r="D143" i="8"/>
  <c r="E143" i="8" s="1"/>
  <c r="BP150" i="9" l="1"/>
  <c r="BQ150" i="9" s="1"/>
  <c r="BR150" i="9" s="1"/>
  <c r="G150" i="9"/>
  <c r="H150" i="9" s="1"/>
  <c r="BJ62" i="9"/>
  <c r="AJ139" i="8"/>
  <c r="AA62" i="9"/>
  <c r="BB62" i="9"/>
  <c r="BF62" i="9" s="1"/>
  <c r="BD62" i="9" s="1"/>
  <c r="AK62" i="9"/>
  <c r="AN62" i="9" s="1"/>
  <c r="C151" i="9"/>
  <c r="B151" i="9"/>
  <c r="I149" i="9"/>
  <c r="AC150" i="9"/>
  <c r="AD150" i="9" s="1"/>
  <c r="AJ150" i="9" s="1"/>
  <c r="Q150" i="9"/>
  <c r="S150" i="9" s="1"/>
  <c r="V150" i="9" s="1"/>
  <c r="AX142" i="8"/>
  <c r="AU142" i="8"/>
  <c r="AI142" i="8"/>
  <c r="N142" i="8"/>
  <c r="P142" i="8" s="1"/>
  <c r="U142" i="8" s="1"/>
  <c r="X57" i="8"/>
  <c r="AK57" i="8" s="1"/>
  <c r="AE57" i="8"/>
  <c r="BA57" i="8"/>
  <c r="BE57" i="8" s="1"/>
  <c r="BC57" i="8" s="1"/>
  <c r="Y57" i="8"/>
  <c r="AL57" i="8" s="1"/>
  <c r="Z57" i="8"/>
  <c r="M142" i="8"/>
  <c r="T142" i="8" s="1"/>
  <c r="K143" i="8"/>
  <c r="I140" i="8"/>
  <c r="AW141" i="8"/>
  <c r="AZ141" i="8"/>
  <c r="Q141" i="8"/>
  <c r="S141" i="8" s="1"/>
  <c r="V141" i="8" s="1"/>
  <c r="AC141" i="8"/>
  <c r="AD140" i="8"/>
  <c r="H141" i="8"/>
  <c r="D144" i="8"/>
  <c r="E144" i="8" s="1"/>
  <c r="BP151" i="9" l="1"/>
  <c r="BQ151" i="9" s="1"/>
  <c r="BR151" i="9" s="1"/>
  <c r="G151" i="9"/>
  <c r="H151" i="9" s="1"/>
  <c r="AJ140" i="8"/>
  <c r="BK62" i="9"/>
  <c r="AM62" i="9"/>
  <c r="W63" i="9"/>
  <c r="I150" i="9"/>
  <c r="AD151" i="9"/>
  <c r="AJ151" i="9" s="1"/>
  <c r="C152" i="9"/>
  <c r="B152" i="9"/>
  <c r="Q151" i="9"/>
  <c r="S151" i="9" s="1"/>
  <c r="V151" i="9" s="1"/>
  <c r="AC151" i="9"/>
  <c r="AX143" i="8"/>
  <c r="AU143" i="8"/>
  <c r="AI143" i="8"/>
  <c r="N143" i="8"/>
  <c r="P143" i="8" s="1"/>
  <c r="U143" i="8" s="1"/>
  <c r="BJ57" i="8"/>
  <c r="BB57" i="8"/>
  <c r="BF57" i="8" s="1"/>
  <c r="BD57" i="8" s="1"/>
  <c r="AA57" i="8"/>
  <c r="W58" i="8" s="1"/>
  <c r="AN57" i="8"/>
  <c r="M143" i="8"/>
  <c r="T143" i="8" s="1"/>
  <c r="K144" i="8"/>
  <c r="I141" i="8"/>
  <c r="AW142" i="8"/>
  <c r="AZ142" i="8"/>
  <c r="Q142" i="8"/>
  <c r="S142" i="8" s="1"/>
  <c r="V142" i="8" s="1"/>
  <c r="AC142" i="8"/>
  <c r="AD141" i="8"/>
  <c r="H142" i="8"/>
  <c r="D145" i="8"/>
  <c r="E145" i="8" s="1"/>
  <c r="BP152" i="9" l="1"/>
  <c r="BQ152" i="9" s="1"/>
  <c r="BR152" i="9" s="1"/>
  <c r="G152" i="9"/>
  <c r="H152" i="9" s="1"/>
  <c r="AJ141" i="8"/>
  <c r="AE63" i="9"/>
  <c r="Z63" i="9"/>
  <c r="Y63" i="9"/>
  <c r="AL63" i="9" s="1"/>
  <c r="BA63" i="9"/>
  <c r="BE63" i="9" s="1"/>
  <c r="BC63" i="9" s="1"/>
  <c r="X63" i="9"/>
  <c r="C153" i="9"/>
  <c r="AD152" i="9"/>
  <c r="AJ152" i="9" s="1"/>
  <c r="B153" i="9"/>
  <c r="AC152" i="9"/>
  <c r="Q152" i="9"/>
  <c r="S152" i="9" s="1"/>
  <c r="V152" i="9" s="1"/>
  <c r="I151" i="9"/>
  <c r="AX144" i="8"/>
  <c r="AU144" i="8"/>
  <c r="AI144" i="8"/>
  <c r="N144" i="8"/>
  <c r="P144" i="8" s="1"/>
  <c r="U144" i="8" s="1"/>
  <c r="BK57" i="8"/>
  <c r="AM57" i="8"/>
  <c r="M144" i="8"/>
  <c r="T144" i="8" s="1"/>
  <c r="K145" i="8"/>
  <c r="I142" i="8"/>
  <c r="AW143" i="8"/>
  <c r="AZ143" i="8"/>
  <c r="AD142" i="8"/>
  <c r="AJ142" i="8" s="1"/>
  <c r="Q143" i="8"/>
  <c r="S143" i="8" s="1"/>
  <c r="V143" i="8" s="1"/>
  <c r="AC143" i="8"/>
  <c r="H143" i="8"/>
  <c r="D146" i="8"/>
  <c r="E146" i="8" s="1"/>
  <c r="BP153" i="9" l="1"/>
  <c r="BQ153" i="9" s="1"/>
  <c r="BR153" i="9" s="1"/>
  <c r="G153" i="9"/>
  <c r="H153" i="9" s="1"/>
  <c r="AK63" i="9"/>
  <c r="AN63" i="9" s="1"/>
  <c r="BB63" i="9"/>
  <c r="BF63" i="9" s="1"/>
  <c r="BD63" i="9" s="1"/>
  <c r="AA63" i="9"/>
  <c r="BJ63" i="9"/>
  <c r="I152" i="9"/>
  <c r="AD153" i="9"/>
  <c r="AJ153" i="9" s="1"/>
  <c r="C154" i="9"/>
  <c r="B154" i="9"/>
  <c r="Q153" i="9"/>
  <c r="S153" i="9" s="1"/>
  <c r="V153" i="9" s="1"/>
  <c r="AC153" i="9"/>
  <c r="AX145" i="8"/>
  <c r="AU145" i="8"/>
  <c r="AI145" i="8"/>
  <c r="N145" i="8"/>
  <c r="P145" i="8" s="1"/>
  <c r="U145" i="8" s="1"/>
  <c r="X58" i="8"/>
  <c r="AK58" i="8" s="1"/>
  <c r="Z58" i="8"/>
  <c r="AE58" i="8"/>
  <c r="BA58" i="8"/>
  <c r="BE58" i="8" s="1"/>
  <c r="BC58" i="8" s="1"/>
  <c r="Y58" i="8"/>
  <c r="AL58" i="8" s="1"/>
  <c r="M145" i="8"/>
  <c r="T145" i="8" s="1"/>
  <c r="K146" i="8"/>
  <c r="I143" i="8"/>
  <c r="AW144" i="8"/>
  <c r="AZ144" i="8"/>
  <c r="Q144" i="8"/>
  <c r="S144" i="8" s="1"/>
  <c r="V144" i="8" s="1"/>
  <c r="AC144" i="8"/>
  <c r="AD143" i="8"/>
  <c r="H144" i="8"/>
  <c r="D147" i="8"/>
  <c r="E147" i="8" s="1"/>
  <c r="BP154" i="9" l="1"/>
  <c r="BQ154" i="9" s="1"/>
  <c r="BR154" i="9" s="1"/>
  <c r="G154" i="9"/>
  <c r="H154" i="9" s="1"/>
  <c r="AJ143" i="8"/>
  <c r="W64" i="9"/>
  <c r="BK63" i="9"/>
  <c r="AM63" i="9"/>
  <c r="C155" i="9"/>
  <c r="B155" i="9"/>
  <c r="AD154" i="9"/>
  <c r="AJ154" i="9" s="1"/>
  <c r="Q154" i="9"/>
  <c r="S154" i="9" s="1"/>
  <c r="V154" i="9" s="1"/>
  <c r="AC154" i="9"/>
  <c r="I153" i="9"/>
  <c r="AX146" i="8"/>
  <c r="AU146" i="8"/>
  <c r="AI146" i="8"/>
  <c r="N146" i="8"/>
  <c r="P146" i="8" s="1"/>
  <c r="U146" i="8" s="1"/>
  <c r="AA58" i="8"/>
  <c r="BJ58" i="8"/>
  <c r="BB58" i="8"/>
  <c r="BF58" i="8" s="1"/>
  <c r="BD58" i="8" s="1"/>
  <c r="AN58" i="8"/>
  <c r="M146" i="8"/>
  <c r="T146" i="8" s="1"/>
  <c r="K147" i="8"/>
  <c r="I144" i="8"/>
  <c r="AW145" i="8"/>
  <c r="AZ145" i="8"/>
  <c r="AD144" i="8"/>
  <c r="Q145" i="8"/>
  <c r="S145" i="8" s="1"/>
  <c r="V145" i="8" s="1"/>
  <c r="AC145" i="8"/>
  <c r="H145" i="8"/>
  <c r="D148" i="8"/>
  <c r="E148" i="8" s="1"/>
  <c r="BP155" i="9" l="1"/>
  <c r="BQ155" i="9" s="1"/>
  <c r="BR155" i="9" s="1"/>
  <c r="G155" i="9"/>
  <c r="H155" i="9" s="1"/>
  <c r="AJ144" i="8"/>
  <c r="Z64" i="9"/>
  <c r="BA64" i="9"/>
  <c r="BE64" i="9" s="1"/>
  <c r="BC64" i="9" s="1"/>
  <c r="AE64" i="9"/>
  <c r="Y64" i="9"/>
  <c r="AL64" i="9" s="1"/>
  <c r="X64" i="9"/>
  <c r="AD155" i="9"/>
  <c r="AJ155" i="9" s="1"/>
  <c r="C156" i="9"/>
  <c r="B156" i="9"/>
  <c r="Q155" i="9"/>
  <c r="S155" i="9" s="1"/>
  <c r="V155" i="9" s="1"/>
  <c r="AC155" i="9"/>
  <c r="I154" i="9"/>
  <c r="AX147" i="8"/>
  <c r="AU147" i="8"/>
  <c r="AI147" i="8"/>
  <c r="N147" i="8"/>
  <c r="P147" i="8" s="1"/>
  <c r="U147" i="8" s="1"/>
  <c r="W59" i="8"/>
  <c r="X59" i="8" s="1"/>
  <c r="AK59" i="8" s="1"/>
  <c r="BK58" i="8"/>
  <c r="AM58" i="8"/>
  <c r="M147" i="8"/>
  <c r="T147" i="8" s="1"/>
  <c r="K148" i="8"/>
  <c r="I145" i="8"/>
  <c r="AW146" i="8"/>
  <c r="AZ146" i="8"/>
  <c r="Q146" i="8"/>
  <c r="S146" i="8" s="1"/>
  <c r="V146" i="8" s="1"/>
  <c r="AC146" i="8"/>
  <c r="AD145" i="8"/>
  <c r="AJ145" i="8" s="1"/>
  <c r="H146" i="8"/>
  <c r="D149" i="8"/>
  <c r="E149" i="8" s="1"/>
  <c r="BP156" i="9" l="1"/>
  <c r="BQ156" i="9" s="1"/>
  <c r="BR156" i="9" s="1"/>
  <c r="G156" i="9"/>
  <c r="H156" i="9" s="1"/>
  <c r="AA64" i="9"/>
  <c r="W65" i="9" s="1"/>
  <c r="BJ64" i="9"/>
  <c r="AK64" i="9"/>
  <c r="AN64" i="9" s="1"/>
  <c r="BB64" i="9"/>
  <c r="BF64" i="9" s="1"/>
  <c r="BD64" i="9" s="1"/>
  <c r="Q156" i="9"/>
  <c r="S156" i="9" s="1"/>
  <c r="V156" i="9" s="1"/>
  <c r="AC156" i="9"/>
  <c r="I155" i="9"/>
  <c r="C157" i="9"/>
  <c r="B157" i="9"/>
  <c r="AD156" i="9"/>
  <c r="AJ156" i="9" s="1"/>
  <c r="AX148" i="8"/>
  <c r="AU148" i="8"/>
  <c r="AI148" i="8"/>
  <c r="N148" i="8"/>
  <c r="P148" i="8" s="1"/>
  <c r="U148" i="8" s="1"/>
  <c r="AE59" i="8"/>
  <c r="Z59" i="8"/>
  <c r="BA59" i="8"/>
  <c r="BE59" i="8" s="1"/>
  <c r="BC59" i="8" s="1"/>
  <c r="Y59" i="8"/>
  <c r="AL59" i="8" s="1"/>
  <c r="M148" i="8"/>
  <c r="T148" i="8" s="1"/>
  <c r="K149" i="8"/>
  <c r="I146" i="8"/>
  <c r="AW147" i="8"/>
  <c r="AZ147" i="8"/>
  <c r="Q147" i="8"/>
  <c r="S147" i="8" s="1"/>
  <c r="V147" i="8" s="1"/>
  <c r="AC147" i="8"/>
  <c r="AD146" i="8"/>
  <c r="AJ146" i="8" s="1"/>
  <c r="H147" i="8"/>
  <c r="D150" i="8"/>
  <c r="E150" i="8" s="1"/>
  <c r="BP157" i="9" l="1"/>
  <c r="BQ157" i="9" s="1"/>
  <c r="BR157" i="9" s="1"/>
  <c r="G157" i="9"/>
  <c r="H157" i="9" s="1"/>
  <c r="BK64" i="9"/>
  <c r="AM64" i="9"/>
  <c r="Y65" i="9"/>
  <c r="AL65" i="9" s="1"/>
  <c r="BA65" i="9"/>
  <c r="BE65" i="9" s="1"/>
  <c r="BC65" i="9" s="1"/>
  <c r="AE65" i="9"/>
  <c r="Z65" i="9"/>
  <c r="X65" i="9"/>
  <c r="AD157" i="9"/>
  <c r="AJ157" i="9" s="1"/>
  <c r="C158" i="9"/>
  <c r="B158" i="9"/>
  <c r="Q157" i="9"/>
  <c r="S157" i="9" s="1"/>
  <c r="V157" i="9" s="1"/>
  <c r="AC157" i="9"/>
  <c r="I156" i="9"/>
  <c r="BJ59" i="8"/>
  <c r="AU149" i="8"/>
  <c r="AX149" i="8"/>
  <c r="AI149" i="8"/>
  <c r="N149" i="8"/>
  <c r="P149" i="8" s="1"/>
  <c r="U149" i="8" s="1"/>
  <c r="AN59" i="8"/>
  <c r="BB59" i="8"/>
  <c r="BF59" i="8" s="1"/>
  <c r="BD59" i="8" s="1"/>
  <c r="AA59" i="8"/>
  <c r="M149" i="8"/>
  <c r="T149" i="8" s="1"/>
  <c r="K150" i="8"/>
  <c r="I147" i="8"/>
  <c r="AW148" i="8"/>
  <c r="AZ148" i="8"/>
  <c r="Q148" i="8"/>
  <c r="S148" i="8" s="1"/>
  <c r="V148" i="8" s="1"/>
  <c r="AC148" i="8"/>
  <c r="AD147" i="8"/>
  <c r="H148" i="8"/>
  <c r="D151" i="8"/>
  <c r="E151" i="8" s="1"/>
  <c r="BP158" i="9" l="1"/>
  <c r="BQ158" i="9" s="1"/>
  <c r="BR158" i="9" s="1"/>
  <c r="G158" i="9"/>
  <c r="H158" i="9" s="1"/>
  <c r="AJ147" i="8"/>
  <c r="BJ65" i="9"/>
  <c r="AA65" i="9"/>
  <c r="AK65" i="9"/>
  <c r="AN65" i="9" s="1"/>
  <c r="BB65" i="9"/>
  <c r="BF65" i="9" s="1"/>
  <c r="BD65" i="9" s="1"/>
  <c r="Q158" i="9"/>
  <c r="S158" i="9" s="1"/>
  <c r="V158" i="9" s="1"/>
  <c r="AC158" i="9"/>
  <c r="I157" i="9"/>
  <c r="C159" i="9"/>
  <c r="B159" i="9"/>
  <c r="AD158" i="9"/>
  <c r="AJ158" i="9" s="1"/>
  <c r="AX150" i="8"/>
  <c r="AU150" i="8"/>
  <c r="AI150" i="8"/>
  <c r="N150" i="8"/>
  <c r="P150" i="8" s="1"/>
  <c r="U150" i="8" s="1"/>
  <c r="W60" i="8"/>
  <c r="AM59" i="8"/>
  <c r="BK59" i="8"/>
  <c r="M150" i="8"/>
  <c r="T150" i="8" s="1"/>
  <c r="K151" i="8"/>
  <c r="I148" i="8"/>
  <c r="AZ149" i="8"/>
  <c r="AW149" i="8"/>
  <c r="AD148" i="8"/>
  <c r="Q149" i="8"/>
  <c r="S149" i="8" s="1"/>
  <c r="V149" i="8" s="1"/>
  <c r="AC149" i="8"/>
  <c r="H149" i="8"/>
  <c r="D152" i="8"/>
  <c r="E152" i="8" s="1"/>
  <c r="BP159" i="9" l="1"/>
  <c r="BQ159" i="9" s="1"/>
  <c r="BR159" i="9" s="1"/>
  <c r="G159" i="9"/>
  <c r="H159" i="9" s="1"/>
  <c r="AJ148" i="8"/>
  <c r="BK65" i="9"/>
  <c r="AM65" i="9"/>
  <c r="W66" i="9"/>
  <c r="Q159" i="9"/>
  <c r="S159" i="9" s="1"/>
  <c r="V159" i="9" s="1"/>
  <c r="AC159" i="9"/>
  <c r="I158" i="9"/>
  <c r="AD159" i="9"/>
  <c r="AJ159" i="9" s="1"/>
  <c r="C160" i="9"/>
  <c r="B160" i="9"/>
  <c r="AX151" i="8"/>
  <c r="AU151" i="8"/>
  <c r="AI151" i="8"/>
  <c r="N151" i="8"/>
  <c r="P151" i="8" s="1"/>
  <c r="U151" i="8" s="1"/>
  <c r="Z60" i="8"/>
  <c r="X60" i="8"/>
  <c r="AK60" i="8" s="1"/>
  <c r="BA60" i="8"/>
  <c r="BE60" i="8" s="1"/>
  <c r="BC60" i="8" s="1"/>
  <c r="AE60" i="8"/>
  <c r="Y60" i="8"/>
  <c r="AL60" i="8" s="1"/>
  <c r="M151" i="8"/>
  <c r="T151" i="8" s="1"/>
  <c r="K152" i="8"/>
  <c r="I149" i="8"/>
  <c r="AZ150" i="8"/>
  <c r="AW150" i="8"/>
  <c r="AD149" i="8"/>
  <c r="AJ149" i="8" s="1"/>
  <c r="Q150" i="8"/>
  <c r="S150" i="8" s="1"/>
  <c r="V150" i="8" s="1"/>
  <c r="AC150" i="8"/>
  <c r="H150" i="8"/>
  <c r="D153" i="8"/>
  <c r="E153" i="8" s="1"/>
  <c r="BP160" i="9" l="1"/>
  <c r="BQ160" i="9" s="1"/>
  <c r="BR160" i="9" s="1"/>
  <c r="G160" i="9"/>
  <c r="H160" i="9" s="1"/>
  <c r="BA66" i="9"/>
  <c r="BE66" i="9" s="1"/>
  <c r="BC66" i="9" s="1"/>
  <c r="AE66" i="9"/>
  <c r="Z66" i="9"/>
  <c r="Y66" i="9"/>
  <c r="AL66" i="9" s="1"/>
  <c r="X66" i="9"/>
  <c r="C161" i="9"/>
  <c r="B161" i="9"/>
  <c r="AD160" i="9"/>
  <c r="AJ160" i="9" s="1"/>
  <c r="Q160" i="9"/>
  <c r="S160" i="9" s="1"/>
  <c r="V160" i="9" s="1"/>
  <c r="AC160" i="9"/>
  <c r="I159" i="9"/>
  <c r="AX152" i="8"/>
  <c r="AU152" i="8"/>
  <c r="AI152" i="8"/>
  <c r="N152" i="8"/>
  <c r="P152" i="8" s="1"/>
  <c r="U152" i="8" s="1"/>
  <c r="AN60" i="8"/>
  <c r="AA60" i="8"/>
  <c r="BB60" i="8"/>
  <c r="BF60" i="8" s="1"/>
  <c r="BD60" i="8" s="1"/>
  <c r="BJ60" i="8"/>
  <c r="M152" i="8"/>
  <c r="T152" i="8" s="1"/>
  <c r="K153" i="8"/>
  <c r="I150" i="8"/>
  <c r="AD150" i="8"/>
  <c r="D154" i="8"/>
  <c r="E154" i="8" s="1"/>
  <c r="BP161" i="9" l="1"/>
  <c r="BQ161" i="9" s="1"/>
  <c r="BR161" i="9" s="1"/>
  <c r="G161" i="9"/>
  <c r="H161" i="9" s="1"/>
  <c r="AA66" i="9"/>
  <c r="W67" i="9" s="1"/>
  <c r="AJ150" i="8"/>
  <c r="BJ66" i="9"/>
  <c r="AK66" i="9"/>
  <c r="AN66" i="9" s="1"/>
  <c r="BB66" i="9"/>
  <c r="BF66" i="9" s="1"/>
  <c r="BD66" i="9" s="1"/>
  <c r="I160" i="9"/>
  <c r="AD161" i="9"/>
  <c r="AJ161" i="9" s="1"/>
  <c r="C162" i="9"/>
  <c r="B162" i="9"/>
  <c r="Q161" i="9"/>
  <c r="S161" i="9" s="1"/>
  <c r="V161" i="9" s="1"/>
  <c r="AC161" i="9"/>
  <c r="AX153" i="8"/>
  <c r="AU153" i="8"/>
  <c r="AI153" i="8"/>
  <c r="N153" i="8"/>
  <c r="P153" i="8" s="1"/>
  <c r="U153" i="8" s="1"/>
  <c r="W61" i="8"/>
  <c r="AE61" i="8" s="1"/>
  <c r="AM60" i="8"/>
  <c r="BK60" i="8"/>
  <c r="M153" i="8"/>
  <c r="T153" i="8" s="1"/>
  <c r="K154" i="8"/>
  <c r="H151" i="8"/>
  <c r="AW151" i="8"/>
  <c r="AZ151" i="8"/>
  <c r="AD151" i="8"/>
  <c r="AJ151" i="8" s="1"/>
  <c r="H152" i="8"/>
  <c r="Q151" i="8"/>
  <c r="S151" i="8" s="1"/>
  <c r="V151" i="8" s="1"/>
  <c r="AC151" i="8"/>
  <c r="D155" i="8"/>
  <c r="E155" i="8" s="1"/>
  <c r="BP162" i="9" l="1"/>
  <c r="BQ162" i="9" s="1"/>
  <c r="BR162" i="9" s="1"/>
  <c r="G162" i="9"/>
  <c r="H162" i="9" s="1"/>
  <c r="AE67" i="9"/>
  <c r="Z67" i="9"/>
  <c r="Y67" i="9"/>
  <c r="AL67" i="9" s="1"/>
  <c r="X67" i="9"/>
  <c r="BA67" i="9"/>
  <c r="BE67" i="9" s="1"/>
  <c r="BC67" i="9" s="1"/>
  <c r="BK66" i="9"/>
  <c r="AM66" i="9"/>
  <c r="I161" i="9"/>
  <c r="Q162" i="9"/>
  <c r="S162" i="9" s="1"/>
  <c r="V162" i="9" s="1"/>
  <c r="AC162" i="9"/>
  <c r="AD162" i="9" s="1"/>
  <c r="AJ162" i="9" s="1"/>
  <c r="C163" i="9"/>
  <c r="B163" i="9"/>
  <c r="AX154" i="8"/>
  <c r="AU154" i="8"/>
  <c r="AI154" i="8"/>
  <c r="N154" i="8"/>
  <c r="P154" i="8" s="1"/>
  <c r="U154" i="8" s="1"/>
  <c r="Y61" i="8"/>
  <c r="AL61" i="8" s="1"/>
  <c r="X61" i="8"/>
  <c r="AK61" i="8" s="1"/>
  <c r="BA61" i="8"/>
  <c r="BE61" i="8" s="1"/>
  <c r="BC61" i="8" s="1"/>
  <c r="Z61" i="8"/>
  <c r="M154" i="8"/>
  <c r="T154" i="8" s="1"/>
  <c r="K155" i="8"/>
  <c r="I151" i="8"/>
  <c r="I152" i="8" s="1"/>
  <c r="AW152" i="8"/>
  <c r="AZ152" i="8"/>
  <c r="AW153" i="8"/>
  <c r="AZ153" i="8"/>
  <c r="Q152" i="8"/>
  <c r="S152" i="8" s="1"/>
  <c r="V152" i="8" s="1"/>
  <c r="AC152" i="8"/>
  <c r="Q153" i="8"/>
  <c r="S153" i="8" s="1"/>
  <c r="V153" i="8" s="1"/>
  <c r="AC153" i="8"/>
  <c r="AD152" i="8"/>
  <c r="H153" i="8"/>
  <c r="D156" i="8"/>
  <c r="E156" i="8" s="1"/>
  <c r="BP163" i="9" l="1"/>
  <c r="BQ163" i="9" s="1"/>
  <c r="BR163" i="9" s="1"/>
  <c r="G163" i="9"/>
  <c r="H163" i="9" s="1"/>
  <c r="H154" i="8"/>
  <c r="AJ152" i="8"/>
  <c r="AA67" i="9"/>
  <c r="BB67" i="9"/>
  <c r="BF67" i="9" s="1"/>
  <c r="BD67" i="9" s="1"/>
  <c r="AK67" i="9"/>
  <c r="AN67" i="9" s="1"/>
  <c r="BJ67" i="9"/>
  <c r="I162" i="9"/>
  <c r="C164" i="9"/>
  <c r="B164" i="9"/>
  <c r="Q163" i="9"/>
  <c r="S163" i="9" s="1"/>
  <c r="V163" i="9" s="1"/>
  <c r="AC163" i="9"/>
  <c r="AD163" i="9" s="1"/>
  <c r="AJ163" i="9" s="1"/>
  <c r="BJ61" i="8"/>
  <c r="AX155" i="8"/>
  <c r="AU155" i="8"/>
  <c r="AI155" i="8"/>
  <c r="N155" i="8"/>
  <c r="P155" i="8" s="1"/>
  <c r="U155" i="8" s="1"/>
  <c r="AA61" i="8"/>
  <c r="AN61" i="8"/>
  <c r="BB61" i="8"/>
  <c r="BF61" i="8" s="1"/>
  <c r="BD61" i="8" s="1"/>
  <c r="M155" i="8"/>
  <c r="T155" i="8" s="1"/>
  <c r="K156" i="8"/>
  <c r="I153" i="8"/>
  <c r="AW154" i="8"/>
  <c r="AZ154" i="8"/>
  <c r="Q154" i="8"/>
  <c r="S154" i="8" s="1"/>
  <c r="V154" i="8" s="1"/>
  <c r="AC154" i="8"/>
  <c r="AD153" i="8"/>
  <c r="AJ153" i="8" s="1"/>
  <c r="D157" i="8"/>
  <c r="E157" i="8" s="1"/>
  <c r="BP164" i="9" l="1"/>
  <c r="BQ164" i="9" s="1"/>
  <c r="BR164" i="9" s="1"/>
  <c r="G164" i="9"/>
  <c r="H164" i="9" s="1"/>
  <c r="BK67" i="9"/>
  <c r="AM67" i="9"/>
  <c r="W68" i="9"/>
  <c r="Q164" i="9"/>
  <c r="S164" i="9" s="1"/>
  <c r="V164" i="9" s="1"/>
  <c r="AC164" i="9"/>
  <c r="I163" i="9"/>
  <c r="C165" i="9"/>
  <c r="B165" i="9"/>
  <c r="AD164" i="9"/>
  <c r="AJ164" i="9" s="1"/>
  <c r="AX156" i="8"/>
  <c r="AU156" i="8"/>
  <c r="AI156" i="8"/>
  <c r="N156" i="8"/>
  <c r="P156" i="8" s="1"/>
  <c r="U156" i="8" s="1"/>
  <c r="BK61" i="8"/>
  <c r="AM61" i="8"/>
  <c r="W62" i="8"/>
  <c r="M156" i="8"/>
  <c r="T156" i="8" s="1"/>
  <c r="K157" i="8"/>
  <c r="I154" i="8"/>
  <c r="AD154" i="8"/>
  <c r="D158" i="8"/>
  <c r="E158" i="8" s="1"/>
  <c r="BP165" i="9" l="1"/>
  <c r="BQ165" i="9" s="1"/>
  <c r="BR165" i="9" s="1"/>
  <c r="G165" i="9"/>
  <c r="H165" i="9" s="1"/>
  <c r="AJ154" i="8"/>
  <c r="BA68" i="9"/>
  <c r="BE68" i="9" s="1"/>
  <c r="BC68" i="9" s="1"/>
  <c r="Z68" i="9"/>
  <c r="Y68" i="9"/>
  <c r="AL68" i="9" s="1"/>
  <c r="AE68" i="9"/>
  <c r="X68" i="9"/>
  <c r="Q165" i="9"/>
  <c r="S165" i="9" s="1"/>
  <c r="V165" i="9" s="1"/>
  <c r="AC165" i="9"/>
  <c r="I164" i="9"/>
  <c r="AD165" i="9"/>
  <c r="AJ165" i="9" s="1"/>
  <c r="C166" i="9"/>
  <c r="B166" i="9"/>
  <c r="AU157" i="8"/>
  <c r="AI157" i="8"/>
  <c r="AX157" i="8"/>
  <c r="N157" i="8"/>
  <c r="P157" i="8" s="1"/>
  <c r="U157" i="8" s="1"/>
  <c r="AE62" i="8"/>
  <c r="X62" i="8"/>
  <c r="AK62" i="8" s="1"/>
  <c r="BA62" i="8"/>
  <c r="BE62" i="8" s="1"/>
  <c r="BC62" i="8" s="1"/>
  <c r="Y62" i="8"/>
  <c r="AL62" i="8" s="1"/>
  <c r="Z62" i="8"/>
  <c r="M157" i="8"/>
  <c r="T157" i="8" s="1"/>
  <c r="K158" i="8"/>
  <c r="AC156" i="8"/>
  <c r="AW155" i="8"/>
  <c r="AZ155" i="8"/>
  <c r="Q155" i="8"/>
  <c r="S155" i="8" s="1"/>
  <c r="V155" i="8" s="1"/>
  <c r="AC155" i="8"/>
  <c r="H155" i="8"/>
  <c r="AD155" i="8"/>
  <c r="AJ155" i="8" s="1"/>
  <c r="D159" i="8"/>
  <c r="E159" i="8" s="1"/>
  <c r="BP166" i="9" l="1"/>
  <c r="BQ166" i="9" s="1"/>
  <c r="BR166" i="9" s="1"/>
  <c r="G166" i="9"/>
  <c r="H166" i="9" s="1"/>
  <c r="AA68" i="9"/>
  <c r="W69" i="9" s="1"/>
  <c r="BJ68" i="9"/>
  <c r="AK68" i="9"/>
  <c r="AN68" i="9" s="1"/>
  <c r="BB68" i="9"/>
  <c r="BF68" i="9" s="1"/>
  <c r="BD68" i="9" s="1"/>
  <c r="C167" i="9"/>
  <c r="B167" i="9"/>
  <c r="AD166" i="9"/>
  <c r="AJ166" i="9" s="1"/>
  <c r="I165" i="9"/>
  <c r="Q166" i="9"/>
  <c r="S166" i="9" s="1"/>
  <c r="V166" i="9" s="1"/>
  <c r="AC166" i="9"/>
  <c r="AX158" i="8"/>
  <c r="AU158" i="8"/>
  <c r="AI158" i="8"/>
  <c r="N158" i="8"/>
  <c r="P158" i="8" s="1"/>
  <c r="U158" i="8" s="1"/>
  <c r="BJ62" i="8"/>
  <c r="AN62" i="8"/>
  <c r="BB62" i="8"/>
  <c r="BF62" i="8" s="1"/>
  <c r="BD62" i="8" s="1"/>
  <c r="AA62" i="8"/>
  <c r="AW156" i="8"/>
  <c r="Q156" i="8"/>
  <c r="S156" i="8" s="1"/>
  <c r="V156" i="8" s="1"/>
  <c r="AZ156" i="8"/>
  <c r="H156" i="8"/>
  <c r="M158" i="8"/>
  <c r="T158" i="8" s="1"/>
  <c r="K159" i="8"/>
  <c r="I155" i="8"/>
  <c r="AD156" i="8"/>
  <c r="AJ156" i="8" s="1"/>
  <c r="D160" i="8"/>
  <c r="E160" i="8" s="1"/>
  <c r="BP167" i="9" l="1"/>
  <c r="BQ167" i="9" s="1"/>
  <c r="BR167" i="9" s="1"/>
  <c r="G167" i="9"/>
  <c r="H167" i="9" s="1"/>
  <c r="H158" i="8"/>
  <c r="BK68" i="9"/>
  <c r="AM68" i="9"/>
  <c r="Z69" i="9"/>
  <c r="AE69" i="9"/>
  <c r="X69" i="9"/>
  <c r="BA69" i="9"/>
  <c r="BE69" i="9" s="1"/>
  <c r="BC69" i="9" s="1"/>
  <c r="Y69" i="9"/>
  <c r="AL69" i="9" s="1"/>
  <c r="I166" i="9"/>
  <c r="AD167" i="9"/>
  <c r="AJ167" i="9" s="1"/>
  <c r="C168" i="9"/>
  <c r="B168" i="9"/>
  <c r="Q167" i="9"/>
  <c r="S167" i="9" s="1"/>
  <c r="V167" i="9" s="1"/>
  <c r="AC167" i="9"/>
  <c r="AX159" i="8"/>
  <c r="AU159" i="8"/>
  <c r="AI159" i="8"/>
  <c r="N159" i="8"/>
  <c r="P159" i="8" s="1"/>
  <c r="U159" i="8" s="1"/>
  <c r="W63" i="8"/>
  <c r="BK62" i="8"/>
  <c r="AM62" i="8"/>
  <c r="I156" i="8"/>
  <c r="M159" i="8"/>
  <c r="T159" i="8" s="1"/>
  <c r="K160" i="8"/>
  <c r="AZ157" i="8"/>
  <c r="AW157" i="8"/>
  <c r="Q157" i="8"/>
  <c r="S157" i="8" s="1"/>
  <c r="V157" i="8" s="1"/>
  <c r="AC157" i="8"/>
  <c r="H157" i="8"/>
  <c r="AD157" i="8"/>
  <c r="D161" i="8"/>
  <c r="E161" i="8" s="1"/>
  <c r="BP168" i="9" l="1"/>
  <c r="BQ168" i="9" s="1"/>
  <c r="BR168" i="9" s="1"/>
  <c r="G168" i="9"/>
  <c r="H168" i="9" s="1"/>
  <c r="AJ157" i="8"/>
  <c r="BB69" i="9"/>
  <c r="BF69" i="9" s="1"/>
  <c r="BD69" i="9" s="1"/>
  <c r="AK69" i="9"/>
  <c r="AN69" i="9" s="1"/>
  <c r="BJ69" i="9"/>
  <c r="AA69" i="9"/>
  <c r="I167" i="9"/>
  <c r="C169" i="9"/>
  <c r="B169" i="9"/>
  <c r="AD168" i="9"/>
  <c r="AJ168" i="9" s="1"/>
  <c r="Q168" i="9"/>
  <c r="S168" i="9" s="1"/>
  <c r="V168" i="9" s="1"/>
  <c r="AC168" i="9"/>
  <c r="AX160" i="8"/>
  <c r="AU160" i="8"/>
  <c r="AI160" i="8"/>
  <c r="N160" i="8"/>
  <c r="P160" i="8" s="1"/>
  <c r="U160" i="8" s="1"/>
  <c r="Y63" i="8"/>
  <c r="AL63" i="8" s="1"/>
  <c r="AE63" i="8"/>
  <c r="X63" i="8"/>
  <c r="Z63" i="8"/>
  <c r="BA63" i="8"/>
  <c r="BE63" i="8" s="1"/>
  <c r="BC63" i="8" s="1"/>
  <c r="M160" i="8"/>
  <c r="T160" i="8" s="1"/>
  <c r="K161" i="8"/>
  <c r="I157" i="8"/>
  <c r="I158" i="8" s="1"/>
  <c r="AZ158" i="8"/>
  <c r="AW158" i="8"/>
  <c r="AD158" i="8"/>
  <c r="AJ158" i="8" s="1"/>
  <c r="H159" i="8"/>
  <c r="Q158" i="8"/>
  <c r="S158" i="8" s="1"/>
  <c r="V158" i="8" s="1"/>
  <c r="AC158" i="8"/>
  <c r="D162" i="8"/>
  <c r="E162" i="8" s="1"/>
  <c r="BP169" i="9" l="1"/>
  <c r="BQ169" i="9" s="1"/>
  <c r="BR169" i="9" s="1"/>
  <c r="G169" i="9"/>
  <c r="H169" i="9" s="1"/>
  <c r="BK69" i="9"/>
  <c r="AM69" i="9"/>
  <c r="W70" i="9"/>
  <c r="I168" i="9"/>
  <c r="AD169" i="9"/>
  <c r="AJ169" i="9" s="1"/>
  <c r="C170" i="9"/>
  <c r="B170" i="9"/>
  <c r="Q169" i="9"/>
  <c r="S169" i="9" s="1"/>
  <c r="V169" i="9" s="1"/>
  <c r="AC169" i="9"/>
  <c r="AX161" i="8"/>
  <c r="AU161" i="8"/>
  <c r="AI161" i="8"/>
  <c r="N161" i="8"/>
  <c r="P161" i="8" s="1"/>
  <c r="U161" i="8" s="1"/>
  <c r="AA63" i="8"/>
  <c r="AK63" i="8"/>
  <c r="AN63" i="8" s="1"/>
  <c r="BB63" i="8"/>
  <c r="BF63" i="8" s="1"/>
  <c r="BD63" i="8" s="1"/>
  <c r="BJ63" i="8"/>
  <c r="M161" i="8"/>
  <c r="T161" i="8" s="1"/>
  <c r="K162" i="8"/>
  <c r="I159" i="8"/>
  <c r="AZ160" i="8"/>
  <c r="AW160" i="8"/>
  <c r="AW159" i="8"/>
  <c r="AZ159" i="8"/>
  <c r="Q159" i="8"/>
  <c r="S159" i="8" s="1"/>
  <c r="V159" i="8" s="1"/>
  <c r="AC159" i="8"/>
  <c r="AD159" i="8"/>
  <c r="AJ159" i="8" s="1"/>
  <c r="D163" i="8"/>
  <c r="E163" i="8" s="1"/>
  <c r="BP170" i="9" l="1"/>
  <c r="BQ170" i="9" s="1"/>
  <c r="BR170" i="9" s="1"/>
  <c r="G170" i="9"/>
  <c r="H170" i="9" s="1"/>
  <c r="BA70" i="9"/>
  <c r="BE70" i="9" s="1"/>
  <c r="BC70" i="9" s="1"/>
  <c r="Z70" i="9"/>
  <c r="X70" i="9"/>
  <c r="Y70" i="9"/>
  <c r="AL70" i="9" s="1"/>
  <c r="AE70" i="9"/>
  <c r="C171" i="9"/>
  <c r="B171" i="9"/>
  <c r="AD170" i="9"/>
  <c r="AJ170" i="9" s="1"/>
  <c r="I169" i="9"/>
  <c r="Q170" i="9"/>
  <c r="S170" i="9" s="1"/>
  <c r="V170" i="9" s="1"/>
  <c r="AC170" i="9"/>
  <c r="W64" i="8"/>
  <c r="Z64" i="8" s="1"/>
  <c r="AX162" i="8"/>
  <c r="AU162" i="8"/>
  <c r="AI162" i="8"/>
  <c r="N162" i="8"/>
  <c r="P162" i="8" s="1"/>
  <c r="U162" i="8" s="1"/>
  <c r="BK63" i="8"/>
  <c r="AM63" i="8"/>
  <c r="H160" i="8"/>
  <c r="I160" i="8" s="1"/>
  <c r="Q160" i="8"/>
  <c r="S160" i="8" s="1"/>
  <c r="V160" i="8" s="1"/>
  <c r="M162" i="8"/>
  <c r="T162" i="8" s="1"/>
  <c r="K163" i="8"/>
  <c r="AC160" i="8"/>
  <c r="AW161" i="8"/>
  <c r="AZ161" i="8"/>
  <c r="Q161" i="8"/>
  <c r="S161" i="8" s="1"/>
  <c r="V161" i="8" s="1"/>
  <c r="AC161" i="8"/>
  <c r="AD160" i="8"/>
  <c r="H161" i="8"/>
  <c r="D164" i="8"/>
  <c r="E164" i="8" s="1"/>
  <c r="BP171" i="9" l="1"/>
  <c r="BQ171" i="9" s="1"/>
  <c r="BR171" i="9" s="1"/>
  <c r="G171" i="9"/>
  <c r="H171" i="9" s="1"/>
  <c r="AA70" i="9"/>
  <c r="W71" i="9" s="1"/>
  <c r="AJ160" i="8"/>
  <c r="BJ70" i="9"/>
  <c r="BB70" i="9"/>
  <c r="BF70" i="9" s="1"/>
  <c r="BD70" i="9" s="1"/>
  <c r="AK70" i="9"/>
  <c r="AN70" i="9" s="1"/>
  <c r="X64" i="8"/>
  <c r="AK64" i="8" s="1"/>
  <c r="I170" i="9"/>
  <c r="AE64" i="8"/>
  <c r="AD171" i="9"/>
  <c r="AJ171" i="9" s="1"/>
  <c r="C172" i="9"/>
  <c r="B172" i="9"/>
  <c r="BA64" i="8"/>
  <c r="BE64" i="8" s="1"/>
  <c r="BC64" i="8" s="1"/>
  <c r="Q171" i="9"/>
  <c r="S171" i="9" s="1"/>
  <c r="V171" i="9" s="1"/>
  <c r="AC171" i="9"/>
  <c r="Y64" i="8"/>
  <c r="AL64" i="8" s="1"/>
  <c r="AX163" i="8"/>
  <c r="AU163" i="8"/>
  <c r="AI163" i="8"/>
  <c r="N163" i="8"/>
  <c r="P163" i="8" s="1"/>
  <c r="U163" i="8" s="1"/>
  <c r="M163" i="8"/>
  <c r="T163" i="8" s="1"/>
  <c r="K164" i="8"/>
  <c r="I161" i="8"/>
  <c r="AW162" i="8"/>
  <c r="AZ162" i="8"/>
  <c r="Q162" i="8"/>
  <c r="S162" i="8" s="1"/>
  <c r="V162" i="8" s="1"/>
  <c r="AC162" i="8"/>
  <c r="AD161" i="8"/>
  <c r="H162" i="8"/>
  <c r="D165" i="8"/>
  <c r="E165" i="8" s="1"/>
  <c r="BP172" i="9" l="1"/>
  <c r="BQ172" i="9" s="1"/>
  <c r="BR172" i="9" s="1"/>
  <c r="G172" i="9"/>
  <c r="H172" i="9" s="1"/>
  <c r="AN64" i="8"/>
  <c r="AM64" i="8" s="1"/>
  <c r="AJ161" i="8"/>
  <c r="BJ64" i="8"/>
  <c r="X71" i="9"/>
  <c r="Y71" i="9"/>
  <c r="AL71" i="9" s="1"/>
  <c r="Z71" i="9"/>
  <c r="BA71" i="9"/>
  <c r="BE71" i="9" s="1"/>
  <c r="BC71" i="9" s="1"/>
  <c r="AE71" i="9"/>
  <c r="BK70" i="9"/>
  <c r="AM70" i="9"/>
  <c r="C173" i="9"/>
  <c r="B173" i="9"/>
  <c r="AD172" i="9"/>
  <c r="AJ172" i="9" s="1"/>
  <c r="Q172" i="9"/>
  <c r="S172" i="9" s="1"/>
  <c r="V172" i="9" s="1"/>
  <c r="AC172" i="9"/>
  <c r="I171" i="9"/>
  <c r="BB64" i="8"/>
  <c r="BF64" i="8" s="1"/>
  <c r="BD64" i="8" s="1"/>
  <c r="AA64" i="8"/>
  <c r="W65" i="8" s="1"/>
  <c r="X65" i="8" s="1"/>
  <c r="AK65" i="8" s="1"/>
  <c r="AX164" i="8"/>
  <c r="AU164" i="8"/>
  <c r="AI164" i="8"/>
  <c r="N164" i="8"/>
  <c r="P164" i="8" s="1"/>
  <c r="U164" i="8" s="1"/>
  <c r="M164" i="8"/>
  <c r="T164" i="8" s="1"/>
  <c r="K165" i="8"/>
  <c r="I162" i="8"/>
  <c r="AD162" i="8"/>
  <c r="AJ162" i="8" s="1"/>
  <c r="D166" i="8"/>
  <c r="E166" i="8" s="1"/>
  <c r="BP173" i="9" l="1"/>
  <c r="BQ173" i="9" s="1"/>
  <c r="BR173" i="9" s="1"/>
  <c r="G173" i="9"/>
  <c r="H173" i="9" s="1"/>
  <c r="AA71" i="9"/>
  <c r="W72" i="9" s="1"/>
  <c r="BK64" i="8"/>
  <c r="AE65" i="8"/>
  <c r="BA65" i="8"/>
  <c r="BE65" i="8" s="1"/>
  <c r="BC65" i="8" s="1"/>
  <c r="Z65" i="8"/>
  <c r="BJ71" i="9"/>
  <c r="BB71" i="9"/>
  <c r="BF71" i="9" s="1"/>
  <c r="BD71" i="9" s="1"/>
  <c r="AK71" i="9"/>
  <c r="AN71" i="9" s="1"/>
  <c r="I172" i="9"/>
  <c r="AD173" i="9"/>
  <c r="AJ173" i="9" s="1"/>
  <c r="C174" i="9"/>
  <c r="B174" i="9"/>
  <c r="Q173" i="9"/>
  <c r="S173" i="9" s="1"/>
  <c r="V173" i="9" s="1"/>
  <c r="AC173" i="9"/>
  <c r="Y65" i="8"/>
  <c r="AL65" i="8" s="1"/>
  <c r="AN65" i="8" s="1"/>
  <c r="AI165" i="8"/>
  <c r="AU165" i="8"/>
  <c r="AX165" i="8"/>
  <c r="N165" i="8"/>
  <c r="P165" i="8" s="1"/>
  <c r="U165" i="8" s="1"/>
  <c r="M165" i="8"/>
  <c r="T165" i="8" s="1"/>
  <c r="K166" i="8"/>
  <c r="AZ163" i="8"/>
  <c r="AW163" i="8"/>
  <c r="Q163" i="8"/>
  <c r="S163" i="8" s="1"/>
  <c r="V163" i="8" s="1"/>
  <c r="AC163" i="8"/>
  <c r="H163" i="8"/>
  <c r="AD163" i="8"/>
  <c r="AJ163" i="8" s="1"/>
  <c r="D167" i="8"/>
  <c r="E167" i="8" s="1"/>
  <c r="BP174" i="9" l="1"/>
  <c r="BQ174" i="9" s="1"/>
  <c r="BR174" i="9" s="1"/>
  <c r="G174" i="9"/>
  <c r="H174" i="9" s="1"/>
  <c r="BJ65" i="8"/>
  <c r="AA65" i="8"/>
  <c r="W66" i="8" s="1"/>
  <c r="BK71" i="9"/>
  <c r="AM71" i="9"/>
  <c r="Y72" i="9"/>
  <c r="AL72" i="9" s="1"/>
  <c r="Z72" i="9"/>
  <c r="BA72" i="9"/>
  <c r="BE72" i="9" s="1"/>
  <c r="BC72" i="9" s="1"/>
  <c r="AE72" i="9"/>
  <c r="X72" i="9"/>
  <c r="B175" i="9"/>
  <c r="C175" i="9"/>
  <c r="Q174" i="9"/>
  <c r="S174" i="9" s="1"/>
  <c r="V174" i="9" s="1"/>
  <c r="AC174" i="9"/>
  <c r="AD174" i="9" s="1"/>
  <c r="AJ174" i="9" s="1"/>
  <c r="BB65" i="8"/>
  <c r="BF65" i="8" s="1"/>
  <c r="BD65" i="8" s="1"/>
  <c r="I173" i="9"/>
  <c r="AX166" i="8"/>
  <c r="AU166" i="8"/>
  <c r="AI166" i="8"/>
  <c r="N166" i="8"/>
  <c r="P166" i="8" s="1"/>
  <c r="U166" i="8" s="1"/>
  <c r="AM65" i="8"/>
  <c r="M166" i="8"/>
  <c r="T166" i="8" s="1"/>
  <c r="K167" i="8"/>
  <c r="I163" i="8"/>
  <c r="AZ165" i="8"/>
  <c r="AW165" i="8"/>
  <c r="AZ164" i="8"/>
  <c r="AW164" i="8"/>
  <c r="Q165" i="8"/>
  <c r="S165" i="8" s="1"/>
  <c r="V165" i="8" s="1"/>
  <c r="AC165" i="8"/>
  <c r="Q164" i="8"/>
  <c r="S164" i="8" s="1"/>
  <c r="V164" i="8" s="1"/>
  <c r="AC164" i="8"/>
  <c r="H164" i="8"/>
  <c r="AD164" i="8"/>
  <c r="AJ164" i="8" s="1"/>
  <c r="H165" i="8"/>
  <c r="D168" i="8"/>
  <c r="E168" i="8" s="1"/>
  <c r="BP175" i="9" l="1"/>
  <c r="BQ175" i="9" s="1"/>
  <c r="BR175" i="9" s="1"/>
  <c r="G175" i="9"/>
  <c r="H175" i="9" s="1"/>
  <c r="BK65" i="8"/>
  <c r="BJ72" i="9"/>
  <c r="AA72" i="9"/>
  <c r="BB72" i="9"/>
  <c r="BF72" i="9" s="1"/>
  <c r="BD72" i="9" s="1"/>
  <c r="AK72" i="9"/>
  <c r="AN72" i="9" s="1"/>
  <c r="I174" i="9"/>
  <c r="Q175" i="9"/>
  <c r="S175" i="9" s="1"/>
  <c r="V175" i="9" s="1"/>
  <c r="AC175" i="9"/>
  <c r="B176" i="9"/>
  <c r="C176" i="9"/>
  <c r="AD175" i="9"/>
  <c r="AJ175" i="9" s="1"/>
  <c r="AX167" i="8"/>
  <c r="AU167" i="8"/>
  <c r="AI167" i="8"/>
  <c r="N167" i="8"/>
  <c r="P167" i="8" s="1"/>
  <c r="U167" i="8" s="1"/>
  <c r="X66" i="8"/>
  <c r="AK66" i="8" s="1"/>
  <c r="Y66" i="8"/>
  <c r="AL66" i="8" s="1"/>
  <c r="Z66" i="8"/>
  <c r="AE66" i="8"/>
  <c r="BA66" i="8"/>
  <c r="BE66" i="8" s="1"/>
  <c r="BC66" i="8" s="1"/>
  <c r="M167" i="8"/>
  <c r="T167" i="8" s="1"/>
  <c r="K168" i="8"/>
  <c r="I164" i="8"/>
  <c r="I165" i="8" s="1"/>
  <c r="AD165" i="8"/>
  <c r="AJ165" i="8" s="1"/>
  <c r="D169" i="8"/>
  <c r="E169" i="8" s="1"/>
  <c r="BP176" i="9" l="1"/>
  <c r="BQ176" i="9" s="1"/>
  <c r="BR176" i="9" s="1"/>
  <c r="G176" i="9"/>
  <c r="H176" i="9" s="1"/>
  <c r="BK72" i="9"/>
  <c r="AM72" i="9"/>
  <c r="W73" i="9"/>
  <c r="AC176" i="9"/>
  <c r="Q176" i="9"/>
  <c r="S176" i="9" s="1"/>
  <c r="V176" i="9" s="1"/>
  <c r="AD176" i="9"/>
  <c r="AJ176" i="9" s="1"/>
  <c r="C177" i="9"/>
  <c r="B177" i="9"/>
  <c r="I175" i="9"/>
  <c r="AX168" i="8"/>
  <c r="AU168" i="8"/>
  <c r="AI168" i="8"/>
  <c r="N168" i="8"/>
  <c r="P168" i="8" s="1"/>
  <c r="U168" i="8" s="1"/>
  <c r="BJ66" i="8"/>
  <c r="AN66" i="8"/>
  <c r="BB66" i="8"/>
  <c r="BF66" i="8" s="1"/>
  <c r="BD66" i="8" s="1"/>
  <c r="AA66" i="8"/>
  <c r="M168" i="8"/>
  <c r="T168" i="8" s="1"/>
  <c r="K169" i="8"/>
  <c r="Q167" i="8"/>
  <c r="S167" i="8" s="1"/>
  <c r="V167" i="8" s="1"/>
  <c r="AW166" i="8"/>
  <c r="AZ166" i="8"/>
  <c r="H166" i="8"/>
  <c r="Q166" i="8"/>
  <c r="S166" i="8" s="1"/>
  <c r="V166" i="8" s="1"/>
  <c r="AC166" i="8"/>
  <c r="AD166" i="8"/>
  <c r="AJ166" i="8" s="1"/>
  <c r="D170" i="8"/>
  <c r="E170" i="8" s="1"/>
  <c r="BP177" i="9" l="1"/>
  <c r="BQ177" i="9" s="1"/>
  <c r="BR177" i="9" s="1"/>
  <c r="G177" i="9"/>
  <c r="H177" i="9" s="1"/>
  <c r="X73" i="9"/>
  <c r="AE73" i="9"/>
  <c r="Z73" i="9"/>
  <c r="BA73" i="9"/>
  <c r="BE73" i="9" s="1"/>
  <c r="BC73" i="9" s="1"/>
  <c r="Y73" i="9"/>
  <c r="AL73" i="9" s="1"/>
  <c r="I176" i="9"/>
  <c r="C178" i="9"/>
  <c r="B178" i="9"/>
  <c r="AD177" i="9"/>
  <c r="AJ177" i="9" s="1"/>
  <c r="Q177" i="9"/>
  <c r="S177" i="9" s="1"/>
  <c r="V177" i="9" s="1"/>
  <c r="AC177" i="9"/>
  <c r="AX169" i="8"/>
  <c r="AU169" i="8"/>
  <c r="AI169" i="8"/>
  <c r="N169" i="8"/>
  <c r="P169" i="8" s="1"/>
  <c r="U169" i="8" s="1"/>
  <c r="W67" i="8"/>
  <c r="BK66" i="8"/>
  <c r="AM66" i="8"/>
  <c r="H167" i="8"/>
  <c r="M169" i="8"/>
  <c r="T169" i="8" s="1"/>
  <c r="K170" i="8"/>
  <c r="AC167" i="8"/>
  <c r="I166" i="8"/>
  <c r="AC168" i="8"/>
  <c r="AW168" i="8"/>
  <c r="AW167" i="8"/>
  <c r="AZ167" i="8"/>
  <c r="AD167" i="8"/>
  <c r="AJ167" i="8" s="1"/>
  <c r="Q168" i="8"/>
  <c r="S168" i="8" s="1"/>
  <c r="V168" i="8" s="1"/>
  <c r="D171" i="8"/>
  <c r="E171" i="8" s="1"/>
  <c r="BP178" i="9" l="1"/>
  <c r="BQ178" i="9" s="1"/>
  <c r="BR178" i="9" s="1"/>
  <c r="G178" i="9"/>
  <c r="H178" i="9" s="1"/>
  <c r="BJ73" i="9"/>
  <c r="AA73" i="9"/>
  <c r="BB73" i="9"/>
  <c r="BF73" i="9" s="1"/>
  <c r="BD73" i="9" s="1"/>
  <c r="AK73" i="9"/>
  <c r="AN73" i="9" s="1"/>
  <c r="AD178" i="9"/>
  <c r="AJ178" i="9" s="1"/>
  <c r="C179" i="9"/>
  <c r="B179" i="9"/>
  <c r="Q178" i="9"/>
  <c r="S178" i="9" s="1"/>
  <c r="V178" i="9" s="1"/>
  <c r="AC178" i="9"/>
  <c r="I177" i="9"/>
  <c r="I167" i="8"/>
  <c r="AX170" i="8"/>
  <c r="AU170" i="8"/>
  <c r="AI170" i="8"/>
  <c r="N170" i="8"/>
  <c r="P170" i="8" s="1"/>
  <c r="U170" i="8" s="1"/>
  <c r="Z67" i="8"/>
  <c r="BA67" i="8"/>
  <c r="BE67" i="8" s="1"/>
  <c r="BC67" i="8" s="1"/>
  <c r="X67" i="8"/>
  <c r="AK67" i="8" s="1"/>
  <c r="AE67" i="8"/>
  <c r="Y67" i="8"/>
  <c r="AL67" i="8" s="1"/>
  <c r="AZ168" i="8"/>
  <c r="H168" i="8"/>
  <c r="M170" i="8"/>
  <c r="T170" i="8" s="1"/>
  <c r="K171" i="8"/>
  <c r="AD168" i="8"/>
  <c r="H169" i="8"/>
  <c r="D172" i="8"/>
  <c r="E172" i="8" s="1"/>
  <c r="BP179" i="9" l="1"/>
  <c r="BQ179" i="9" s="1"/>
  <c r="BR179" i="9" s="1"/>
  <c r="G179" i="9"/>
  <c r="H179" i="9" s="1"/>
  <c r="I168" i="8"/>
  <c r="I169" i="8" s="1"/>
  <c r="AJ168" i="8"/>
  <c r="BK73" i="9"/>
  <c r="AM73" i="9"/>
  <c r="W74" i="9"/>
  <c r="Q179" i="9"/>
  <c r="S179" i="9" s="1"/>
  <c r="V179" i="9" s="1"/>
  <c r="AC179" i="9"/>
  <c r="I178" i="9"/>
  <c r="C180" i="9"/>
  <c r="B180" i="9"/>
  <c r="AD179" i="9"/>
  <c r="AJ179" i="9" s="1"/>
  <c r="AX171" i="8"/>
  <c r="AU171" i="8"/>
  <c r="AI171" i="8"/>
  <c r="N171" i="8"/>
  <c r="P171" i="8" s="1"/>
  <c r="U171" i="8" s="1"/>
  <c r="BJ67" i="8"/>
  <c r="AN67" i="8"/>
  <c r="BB67" i="8"/>
  <c r="BF67" i="8" s="1"/>
  <c r="BD67" i="8" s="1"/>
  <c r="AA67" i="8"/>
  <c r="AZ169" i="8"/>
  <c r="AC169" i="8"/>
  <c r="AW169" i="8"/>
  <c r="Q169" i="8"/>
  <c r="S169" i="8" s="1"/>
  <c r="V169" i="8" s="1"/>
  <c r="M171" i="8"/>
  <c r="T171" i="8" s="1"/>
  <c r="K172" i="8"/>
  <c r="AW170" i="8"/>
  <c r="AZ170" i="8"/>
  <c r="AD169" i="8"/>
  <c r="Q170" i="8"/>
  <c r="S170" i="8" s="1"/>
  <c r="V170" i="8" s="1"/>
  <c r="AC170" i="8"/>
  <c r="H170" i="8"/>
  <c r="D173" i="8"/>
  <c r="E173" i="8" s="1"/>
  <c r="BP180" i="9" l="1"/>
  <c r="BQ180" i="9" s="1"/>
  <c r="BR180" i="9" s="1"/>
  <c r="G180" i="9"/>
  <c r="H180" i="9" s="1"/>
  <c r="AJ169" i="8"/>
  <c r="Z74" i="9"/>
  <c r="Y74" i="9"/>
  <c r="AL74" i="9" s="1"/>
  <c r="BA74" i="9"/>
  <c r="BE74" i="9" s="1"/>
  <c r="BC74" i="9" s="1"/>
  <c r="AE74" i="9"/>
  <c r="X74" i="9"/>
  <c r="Q180" i="9"/>
  <c r="S180" i="9" s="1"/>
  <c r="V180" i="9" s="1"/>
  <c r="AC180" i="9"/>
  <c r="AD180" i="9"/>
  <c r="AJ180" i="9" s="1"/>
  <c r="C181" i="9"/>
  <c r="B181" i="9"/>
  <c r="I179" i="9"/>
  <c r="AX172" i="8"/>
  <c r="AU172" i="8"/>
  <c r="AI172" i="8"/>
  <c r="N172" i="8"/>
  <c r="P172" i="8" s="1"/>
  <c r="U172" i="8" s="1"/>
  <c r="W68" i="8"/>
  <c r="AM67" i="8"/>
  <c r="BK67" i="8"/>
  <c r="M172" i="8"/>
  <c r="T172" i="8" s="1"/>
  <c r="K173" i="8"/>
  <c r="I170" i="8"/>
  <c r="AW171" i="8"/>
  <c r="AZ171" i="8"/>
  <c r="Q171" i="8"/>
  <c r="S171" i="8" s="1"/>
  <c r="V171" i="8" s="1"/>
  <c r="AC171" i="8"/>
  <c r="AD170" i="8"/>
  <c r="H171" i="8"/>
  <c r="D174" i="8"/>
  <c r="E174" i="8" s="1"/>
  <c r="BP181" i="9" l="1"/>
  <c r="BQ181" i="9" s="1"/>
  <c r="BR181" i="9" s="1"/>
  <c r="G181" i="9"/>
  <c r="H181" i="9" s="1"/>
  <c r="AA74" i="9"/>
  <c r="W75" i="9" s="1"/>
  <c r="BJ74" i="9"/>
  <c r="AJ170" i="8"/>
  <c r="BB74" i="9"/>
  <c r="BF74" i="9" s="1"/>
  <c r="BD74" i="9" s="1"/>
  <c r="AK74" i="9"/>
  <c r="AN74" i="9" s="1"/>
  <c r="I180" i="9"/>
  <c r="C182" i="9"/>
  <c r="B182" i="9"/>
  <c r="AD181" i="9"/>
  <c r="AJ181" i="9" s="1"/>
  <c r="Q181" i="9"/>
  <c r="S181" i="9" s="1"/>
  <c r="V181" i="9" s="1"/>
  <c r="AC181" i="9"/>
  <c r="AI173" i="8"/>
  <c r="AU173" i="8"/>
  <c r="AX173" i="8"/>
  <c r="N173" i="8"/>
  <c r="P173" i="8" s="1"/>
  <c r="U173" i="8" s="1"/>
  <c r="BA68" i="8"/>
  <c r="BE68" i="8" s="1"/>
  <c r="BC68" i="8" s="1"/>
  <c r="Y68" i="8"/>
  <c r="AL68" i="8" s="1"/>
  <c r="AE68" i="8"/>
  <c r="Z68" i="8"/>
  <c r="X68" i="8"/>
  <c r="AK68" i="8" s="1"/>
  <c r="M173" i="8"/>
  <c r="T173" i="8" s="1"/>
  <c r="K174" i="8"/>
  <c r="I171" i="8"/>
  <c r="AW172" i="8"/>
  <c r="AZ172" i="8"/>
  <c r="AD171" i="8"/>
  <c r="Q172" i="8"/>
  <c r="S172" i="8" s="1"/>
  <c r="V172" i="8" s="1"/>
  <c r="AC172" i="8"/>
  <c r="H172" i="8"/>
  <c r="D175" i="8"/>
  <c r="E175" i="8" s="1"/>
  <c r="BP182" i="9" l="1"/>
  <c r="BQ182" i="9" s="1"/>
  <c r="BR182" i="9" s="1"/>
  <c r="G182" i="9"/>
  <c r="H182" i="9" s="1"/>
  <c r="AJ171" i="8"/>
  <c r="BK74" i="9"/>
  <c r="AM74" i="9"/>
  <c r="AE75" i="9"/>
  <c r="Y75" i="9"/>
  <c r="AL75" i="9" s="1"/>
  <c r="Z75" i="9"/>
  <c r="X75" i="9"/>
  <c r="BA75" i="9"/>
  <c r="BE75" i="9" s="1"/>
  <c r="BC75" i="9" s="1"/>
  <c r="AD182" i="9"/>
  <c r="AJ182" i="9" s="1"/>
  <c r="C183" i="9"/>
  <c r="B183" i="9"/>
  <c r="I181" i="9"/>
  <c r="Q182" i="9"/>
  <c r="S182" i="9" s="1"/>
  <c r="V182" i="9" s="1"/>
  <c r="AC182" i="9"/>
  <c r="BJ68" i="8"/>
  <c r="AX174" i="8"/>
  <c r="AU174" i="8"/>
  <c r="AI174" i="8"/>
  <c r="N174" i="8"/>
  <c r="P174" i="8" s="1"/>
  <c r="U174" i="8" s="1"/>
  <c r="BB68" i="8"/>
  <c r="BF68" i="8" s="1"/>
  <c r="BD68" i="8" s="1"/>
  <c r="AN68" i="8"/>
  <c r="AA68" i="8"/>
  <c r="M174" i="8"/>
  <c r="T174" i="8" s="1"/>
  <c r="K175" i="8"/>
  <c r="I172" i="8"/>
  <c r="AD172" i="8"/>
  <c r="AJ172" i="8" s="1"/>
  <c r="D176" i="8"/>
  <c r="E176" i="8" s="1"/>
  <c r="BP183" i="9" l="1"/>
  <c r="BQ183" i="9" s="1"/>
  <c r="BR183" i="9" s="1"/>
  <c r="G183" i="9"/>
  <c r="H183" i="9" s="1"/>
  <c r="BJ75" i="9"/>
  <c r="BB75" i="9"/>
  <c r="BF75" i="9" s="1"/>
  <c r="BD75" i="9" s="1"/>
  <c r="AK75" i="9"/>
  <c r="AN75" i="9" s="1"/>
  <c r="AA75" i="9"/>
  <c r="I182" i="9"/>
  <c r="C184" i="9"/>
  <c r="B184" i="9"/>
  <c r="AD183" i="9"/>
  <c r="AJ183" i="9" s="1"/>
  <c r="Q183" i="9"/>
  <c r="S183" i="9" s="1"/>
  <c r="V183" i="9" s="1"/>
  <c r="AC183" i="9"/>
  <c r="AX175" i="8"/>
  <c r="AU175" i="8"/>
  <c r="AI175" i="8"/>
  <c r="N175" i="8"/>
  <c r="P175" i="8" s="1"/>
  <c r="U175" i="8" s="1"/>
  <c r="BK68" i="8"/>
  <c r="AM68" i="8"/>
  <c r="W69" i="8"/>
  <c r="M175" i="8"/>
  <c r="T175" i="8" s="1"/>
  <c r="K176" i="8"/>
  <c r="AZ174" i="8"/>
  <c r="AW173" i="8"/>
  <c r="AZ173" i="8"/>
  <c r="Q173" i="8"/>
  <c r="S173" i="8" s="1"/>
  <c r="V173" i="8" s="1"/>
  <c r="AC173" i="8"/>
  <c r="H173" i="8"/>
  <c r="AD173" i="8"/>
  <c r="AJ173" i="8" s="1"/>
  <c r="D177" i="8"/>
  <c r="E177" i="8" s="1"/>
  <c r="BP184" i="9" l="1"/>
  <c r="BQ184" i="9" s="1"/>
  <c r="BR184" i="9" s="1"/>
  <c r="G184" i="9"/>
  <c r="H184" i="9" s="1"/>
  <c r="BK75" i="9"/>
  <c r="AM75" i="9"/>
  <c r="W76" i="9"/>
  <c r="AD184" i="9"/>
  <c r="AJ184" i="9" s="1"/>
  <c r="C185" i="9"/>
  <c r="B185" i="9"/>
  <c r="I183" i="9"/>
  <c r="Q184" i="9"/>
  <c r="S184" i="9" s="1"/>
  <c r="V184" i="9" s="1"/>
  <c r="AC184" i="9"/>
  <c r="Q175" i="8"/>
  <c r="S175" i="8" s="1"/>
  <c r="V175" i="8" s="1"/>
  <c r="AX176" i="8"/>
  <c r="AU176" i="8"/>
  <c r="AI176" i="8"/>
  <c r="N176" i="8"/>
  <c r="P176" i="8" s="1"/>
  <c r="U176" i="8" s="1"/>
  <c r="X69" i="8"/>
  <c r="AK69" i="8" s="1"/>
  <c r="AE69" i="8"/>
  <c r="BA69" i="8"/>
  <c r="BE69" i="8" s="1"/>
  <c r="BC69" i="8" s="1"/>
  <c r="Y69" i="8"/>
  <c r="AL69" i="8" s="1"/>
  <c r="Z69" i="8"/>
  <c r="Q174" i="8"/>
  <c r="S174" i="8" s="1"/>
  <c r="V174" i="8" s="1"/>
  <c r="AW174" i="8"/>
  <c r="AC174" i="8"/>
  <c r="AD174" i="8" s="1"/>
  <c r="AJ174" i="8" s="1"/>
  <c r="H174" i="8"/>
  <c r="M176" i="8"/>
  <c r="T176" i="8" s="1"/>
  <c r="K177" i="8"/>
  <c r="I173" i="8"/>
  <c r="AD175" i="8"/>
  <c r="D178" i="8"/>
  <c r="E178" i="8" s="1"/>
  <c r="BP185" i="9" l="1"/>
  <c r="BQ185" i="9" s="1"/>
  <c r="BR185" i="9" s="1"/>
  <c r="G185" i="9"/>
  <c r="H185" i="9" s="1"/>
  <c r="H176" i="8"/>
  <c r="H175" i="8"/>
  <c r="AC175" i="8"/>
  <c r="AJ175" i="8"/>
  <c r="Y76" i="9"/>
  <c r="AL76" i="9" s="1"/>
  <c r="BA76" i="9"/>
  <c r="BE76" i="9" s="1"/>
  <c r="BC76" i="9" s="1"/>
  <c r="Z76" i="9"/>
  <c r="X76" i="9"/>
  <c r="AE76" i="9"/>
  <c r="I184" i="9"/>
  <c r="C186" i="9"/>
  <c r="B186" i="9"/>
  <c r="AD185" i="9"/>
  <c r="AJ185" i="9" s="1"/>
  <c r="Q185" i="9"/>
  <c r="S185" i="9" s="1"/>
  <c r="V185" i="9" s="1"/>
  <c r="AC185" i="9"/>
  <c r="AX177" i="8"/>
  <c r="AU177" i="8"/>
  <c r="AI177" i="8"/>
  <c r="N177" i="8"/>
  <c r="P177" i="8" s="1"/>
  <c r="U177" i="8" s="1"/>
  <c r="BJ69" i="8"/>
  <c r="AN69" i="8"/>
  <c r="AA69" i="8"/>
  <c r="BB69" i="8"/>
  <c r="BF69" i="8" s="1"/>
  <c r="BD69" i="8" s="1"/>
  <c r="I174" i="8"/>
  <c r="M177" i="8"/>
  <c r="T177" i="8" s="1"/>
  <c r="K178" i="8"/>
  <c r="AZ176" i="8"/>
  <c r="AW176" i="8"/>
  <c r="AZ175" i="8"/>
  <c r="AW175" i="8"/>
  <c r="Q176" i="8"/>
  <c r="S176" i="8" s="1"/>
  <c r="V176" i="8" s="1"/>
  <c r="AC176" i="8"/>
  <c r="AD176" i="8"/>
  <c r="D179" i="8"/>
  <c r="E179" i="8" s="1"/>
  <c r="BP186" i="9" l="1"/>
  <c r="BQ186" i="9" s="1"/>
  <c r="BR186" i="9" s="1"/>
  <c r="G186" i="9"/>
  <c r="H186" i="9" s="1"/>
  <c r="AA76" i="9"/>
  <c r="W77" i="9" s="1"/>
  <c r="I175" i="8"/>
  <c r="I176" i="8" s="1"/>
  <c r="AJ176" i="8"/>
  <c r="BJ76" i="9"/>
  <c r="BB76" i="9"/>
  <c r="BF76" i="9" s="1"/>
  <c r="BD76" i="9" s="1"/>
  <c r="AK76" i="9"/>
  <c r="AN76" i="9" s="1"/>
  <c r="I185" i="9"/>
  <c r="C187" i="9"/>
  <c r="B187" i="9"/>
  <c r="Q186" i="9"/>
  <c r="S186" i="9" s="1"/>
  <c r="V186" i="9" s="1"/>
  <c r="AC186" i="9"/>
  <c r="AD186" i="9" s="1"/>
  <c r="AJ186" i="9" s="1"/>
  <c r="AX178" i="8"/>
  <c r="AU178" i="8"/>
  <c r="AI178" i="8"/>
  <c r="N178" i="8"/>
  <c r="P178" i="8" s="1"/>
  <c r="U178" i="8" s="1"/>
  <c r="W70" i="8"/>
  <c r="BK69" i="8"/>
  <c r="AM69" i="8"/>
  <c r="M178" i="8"/>
  <c r="T178" i="8" s="1"/>
  <c r="K179" i="8"/>
  <c r="AW177" i="8"/>
  <c r="AZ177" i="8"/>
  <c r="Q177" i="8"/>
  <c r="S177" i="8" s="1"/>
  <c r="V177" i="8" s="1"/>
  <c r="AC177" i="8"/>
  <c r="AD177" i="8" s="1"/>
  <c r="AJ177" i="8" s="1"/>
  <c r="H177" i="8"/>
  <c r="D180" i="8"/>
  <c r="E180" i="8" s="1"/>
  <c r="BP187" i="9" l="1"/>
  <c r="BQ187" i="9" s="1"/>
  <c r="BR187" i="9" s="1"/>
  <c r="G187" i="9"/>
  <c r="H187" i="9" s="1"/>
  <c r="BK76" i="9"/>
  <c r="AM76" i="9"/>
  <c r="X77" i="9"/>
  <c r="Z77" i="9"/>
  <c r="Y77" i="9"/>
  <c r="AL77" i="9" s="1"/>
  <c r="AE77" i="9"/>
  <c r="BA77" i="9"/>
  <c r="BE77" i="9" s="1"/>
  <c r="BC77" i="9" s="1"/>
  <c r="C188" i="9"/>
  <c r="B188" i="9"/>
  <c r="AD187" i="9"/>
  <c r="AJ187" i="9" s="1"/>
  <c r="Q187" i="9"/>
  <c r="S187" i="9" s="1"/>
  <c r="V187" i="9" s="1"/>
  <c r="AC187" i="9"/>
  <c r="I186" i="9"/>
  <c r="AX179" i="8"/>
  <c r="AU179" i="8"/>
  <c r="AI179" i="8"/>
  <c r="N179" i="8"/>
  <c r="P179" i="8" s="1"/>
  <c r="U179" i="8" s="1"/>
  <c r="AE70" i="8"/>
  <c r="X70" i="8"/>
  <c r="AK70" i="8" s="1"/>
  <c r="Y70" i="8"/>
  <c r="AL70" i="8" s="1"/>
  <c r="Z70" i="8"/>
  <c r="BA70" i="8"/>
  <c r="BE70" i="8" s="1"/>
  <c r="BC70" i="8" s="1"/>
  <c r="M179" i="8"/>
  <c r="T179" i="8" s="1"/>
  <c r="K180" i="8"/>
  <c r="I177" i="8"/>
  <c r="AW178" i="8"/>
  <c r="AZ178" i="8"/>
  <c r="Q178" i="8"/>
  <c r="S178" i="8" s="1"/>
  <c r="V178" i="8" s="1"/>
  <c r="AC178" i="8"/>
  <c r="AD178" i="8"/>
  <c r="H178" i="8"/>
  <c r="D181" i="8"/>
  <c r="E181" i="8" s="1"/>
  <c r="BP188" i="9" l="1"/>
  <c r="BQ188" i="9" s="1"/>
  <c r="BR188" i="9" s="1"/>
  <c r="G188" i="9"/>
  <c r="H188" i="9" s="1"/>
  <c r="AJ178" i="8"/>
  <c r="BJ77" i="9"/>
  <c r="AA77" i="9"/>
  <c r="BB77" i="9"/>
  <c r="BF77" i="9" s="1"/>
  <c r="BD77" i="9" s="1"/>
  <c r="AK77" i="9"/>
  <c r="AN77" i="9" s="1"/>
  <c r="I187" i="9"/>
  <c r="AD188" i="9"/>
  <c r="AJ188" i="9" s="1"/>
  <c r="C189" i="9"/>
  <c r="B189" i="9"/>
  <c r="Q188" i="9"/>
  <c r="S188" i="9" s="1"/>
  <c r="V188" i="9" s="1"/>
  <c r="AC188" i="9"/>
  <c r="AX180" i="8"/>
  <c r="AU180" i="8"/>
  <c r="AI180" i="8"/>
  <c r="N180" i="8"/>
  <c r="P180" i="8" s="1"/>
  <c r="U180" i="8" s="1"/>
  <c r="BB70" i="8"/>
  <c r="BF70" i="8" s="1"/>
  <c r="BD70" i="8" s="1"/>
  <c r="AN70" i="8"/>
  <c r="BJ70" i="8"/>
  <c r="AA70" i="8"/>
  <c r="M180" i="8"/>
  <c r="T180" i="8" s="1"/>
  <c r="K181" i="8"/>
  <c r="I178" i="8"/>
  <c r="AW179" i="8"/>
  <c r="AZ179" i="8"/>
  <c r="Q179" i="8"/>
  <c r="S179" i="8" s="1"/>
  <c r="V179" i="8" s="1"/>
  <c r="AC179" i="8"/>
  <c r="AD179" i="8"/>
  <c r="AJ179" i="8" s="1"/>
  <c r="H179" i="8"/>
  <c r="D182" i="8"/>
  <c r="E182" i="8" s="1"/>
  <c r="BP189" i="9" l="1"/>
  <c r="BQ189" i="9" s="1"/>
  <c r="BR189" i="9" s="1"/>
  <c r="G189" i="9"/>
  <c r="H189" i="9" s="1"/>
  <c r="BK77" i="9"/>
  <c r="AM77" i="9"/>
  <c r="W78" i="9"/>
  <c r="I188" i="9"/>
  <c r="C190" i="9"/>
  <c r="B190" i="9"/>
  <c r="AD189" i="9"/>
  <c r="AJ189" i="9" s="1"/>
  <c r="Q189" i="9"/>
  <c r="S189" i="9" s="1"/>
  <c r="V189" i="9" s="1"/>
  <c r="AC189" i="9"/>
  <c r="AX181" i="8"/>
  <c r="AI181" i="8"/>
  <c r="AU181" i="8"/>
  <c r="N181" i="8"/>
  <c r="P181" i="8" s="1"/>
  <c r="U181" i="8" s="1"/>
  <c r="W71" i="8"/>
  <c r="BK70" i="8"/>
  <c r="AM70" i="8"/>
  <c r="M181" i="8"/>
  <c r="T181" i="8" s="1"/>
  <c r="K182" i="8"/>
  <c r="I179" i="8"/>
  <c r="AW180" i="8"/>
  <c r="AZ180" i="8"/>
  <c r="AD180" i="8"/>
  <c r="Q180" i="8"/>
  <c r="S180" i="8" s="1"/>
  <c r="V180" i="8" s="1"/>
  <c r="AC180" i="8"/>
  <c r="H180" i="8"/>
  <c r="D183" i="8"/>
  <c r="E183" i="8" s="1"/>
  <c r="BP190" i="9" l="1"/>
  <c r="BQ190" i="9" s="1"/>
  <c r="BR190" i="9" s="1"/>
  <c r="G190" i="9"/>
  <c r="H190" i="9" s="1"/>
  <c r="AJ180" i="8"/>
  <c r="BA78" i="9"/>
  <c r="BE78" i="9" s="1"/>
  <c r="BC78" i="9" s="1"/>
  <c r="AE78" i="9"/>
  <c r="Z78" i="9"/>
  <c r="Y78" i="9"/>
  <c r="AL78" i="9" s="1"/>
  <c r="X78" i="9"/>
  <c r="I189" i="9"/>
  <c r="C191" i="9"/>
  <c r="AD190" i="9"/>
  <c r="AJ190" i="9" s="1"/>
  <c r="B191" i="9"/>
  <c r="Q190" i="9"/>
  <c r="S190" i="9" s="1"/>
  <c r="V190" i="9" s="1"/>
  <c r="AC190" i="9"/>
  <c r="AX182" i="8"/>
  <c r="AU182" i="8"/>
  <c r="AI182" i="8"/>
  <c r="N182" i="8"/>
  <c r="P182" i="8" s="1"/>
  <c r="U182" i="8" s="1"/>
  <c r="BA71" i="8"/>
  <c r="BE71" i="8" s="1"/>
  <c r="BC71" i="8" s="1"/>
  <c r="AE71" i="8"/>
  <c r="Y71" i="8"/>
  <c r="AL71" i="8" s="1"/>
  <c r="X71" i="8"/>
  <c r="AK71" i="8" s="1"/>
  <c r="Z71" i="8"/>
  <c r="M182" i="8"/>
  <c r="T182" i="8" s="1"/>
  <c r="K183" i="8"/>
  <c r="I180" i="8"/>
  <c r="AZ181" i="8"/>
  <c r="AW181" i="8"/>
  <c r="Q181" i="8"/>
  <c r="S181" i="8" s="1"/>
  <c r="V181" i="8" s="1"/>
  <c r="AC181" i="8"/>
  <c r="AD181" i="8"/>
  <c r="AJ181" i="8" s="1"/>
  <c r="H181" i="8"/>
  <c r="D184" i="8"/>
  <c r="E184" i="8" s="1"/>
  <c r="BP191" i="9" l="1"/>
  <c r="BQ191" i="9" s="1"/>
  <c r="BR191" i="9" s="1"/>
  <c r="G191" i="9"/>
  <c r="H191" i="9" s="1"/>
  <c r="AA78" i="9"/>
  <c r="W79" i="9" s="1"/>
  <c r="BJ78" i="9"/>
  <c r="BB78" i="9"/>
  <c r="BF78" i="9" s="1"/>
  <c r="BD78" i="9" s="1"/>
  <c r="AK78" i="9"/>
  <c r="AN78" i="9" s="1"/>
  <c r="Q191" i="9"/>
  <c r="S191" i="9" s="1"/>
  <c r="V191" i="9" s="1"/>
  <c r="AC191" i="9"/>
  <c r="I190" i="9"/>
  <c r="C192" i="9"/>
  <c r="B192" i="9"/>
  <c r="AD191" i="9"/>
  <c r="AJ191" i="9" s="1"/>
  <c r="BJ71" i="8"/>
  <c r="AX183" i="8"/>
  <c r="AU183" i="8"/>
  <c r="AI183" i="8"/>
  <c r="N183" i="8"/>
  <c r="P183" i="8" s="1"/>
  <c r="U183" i="8" s="1"/>
  <c r="AA71" i="8"/>
  <c r="W72" i="8" s="1"/>
  <c r="X72" i="8" s="1"/>
  <c r="AK72" i="8" s="1"/>
  <c r="AN71" i="8"/>
  <c r="BB71" i="8"/>
  <c r="BF71" i="8" s="1"/>
  <c r="BD71" i="8" s="1"/>
  <c r="M183" i="8"/>
  <c r="T183" i="8" s="1"/>
  <c r="K184" i="8"/>
  <c r="I181" i="8"/>
  <c r="AZ182" i="8"/>
  <c r="AW182" i="8"/>
  <c r="AD182" i="8"/>
  <c r="AJ182" i="8" s="1"/>
  <c r="Q182" i="8"/>
  <c r="S182" i="8" s="1"/>
  <c r="V182" i="8" s="1"/>
  <c r="AC182" i="8"/>
  <c r="H182" i="8"/>
  <c r="D185" i="8"/>
  <c r="E185" i="8" s="1"/>
  <c r="BP192" i="9" l="1"/>
  <c r="BQ192" i="9" s="1"/>
  <c r="BR192" i="9" s="1"/>
  <c r="G192" i="9"/>
  <c r="H192" i="9" s="1"/>
  <c r="BK78" i="9"/>
  <c r="AM78" i="9"/>
  <c r="BA79" i="9"/>
  <c r="BE79" i="9" s="1"/>
  <c r="BC79" i="9" s="1"/>
  <c r="AE79" i="9"/>
  <c r="Y79" i="9"/>
  <c r="AL79" i="9" s="1"/>
  <c r="Z79" i="9"/>
  <c r="X79" i="9"/>
  <c r="AD192" i="9"/>
  <c r="AJ192" i="9" s="1"/>
  <c r="C193" i="9"/>
  <c r="B193" i="9"/>
  <c r="Q192" i="9"/>
  <c r="S192" i="9" s="1"/>
  <c r="V192" i="9" s="1"/>
  <c r="AC192" i="9"/>
  <c r="I191" i="9"/>
  <c r="BA72" i="8"/>
  <c r="BE72" i="8" s="1"/>
  <c r="BC72" i="8" s="1"/>
  <c r="AE72" i="8"/>
  <c r="Y72" i="8"/>
  <c r="AL72" i="8" s="1"/>
  <c r="AN72" i="8" s="1"/>
  <c r="Z72" i="8"/>
  <c r="AX184" i="8"/>
  <c r="AU184" i="8"/>
  <c r="AI184" i="8"/>
  <c r="N184" i="8"/>
  <c r="P184" i="8" s="1"/>
  <c r="U184" i="8" s="1"/>
  <c r="BK71" i="8"/>
  <c r="AM71" i="8"/>
  <c r="M184" i="8"/>
  <c r="T184" i="8" s="1"/>
  <c r="K185" i="8"/>
  <c r="I182" i="8"/>
  <c r="AZ183" i="8"/>
  <c r="AW183" i="8"/>
  <c r="Q183" i="8"/>
  <c r="S183" i="8" s="1"/>
  <c r="V183" i="8" s="1"/>
  <c r="AC183" i="8"/>
  <c r="AD183" i="8"/>
  <c r="H183" i="8"/>
  <c r="D186" i="8"/>
  <c r="E186" i="8" s="1"/>
  <c r="BP193" i="9" l="1"/>
  <c r="BQ193" i="9" s="1"/>
  <c r="BR193" i="9" s="1"/>
  <c r="G193" i="9"/>
  <c r="H193" i="9" s="1"/>
  <c r="AJ183" i="8"/>
  <c r="BJ72" i="8"/>
  <c r="BJ79" i="9"/>
  <c r="AA79" i="9"/>
  <c r="BB79" i="9"/>
  <c r="BF79" i="9" s="1"/>
  <c r="BD79" i="9" s="1"/>
  <c r="AK79" i="9"/>
  <c r="AN79" i="9" s="1"/>
  <c r="I192" i="9"/>
  <c r="C194" i="9"/>
  <c r="B194" i="9"/>
  <c r="AD193" i="9"/>
  <c r="AJ193" i="9" s="1"/>
  <c r="AC193" i="9"/>
  <c r="Q193" i="9"/>
  <c r="S193" i="9" s="1"/>
  <c r="V193" i="9" s="1"/>
  <c r="BB72" i="8"/>
  <c r="BF72" i="8" s="1"/>
  <c r="BD72" i="8" s="1"/>
  <c r="AA72" i="8"/>
  <c r="W73" i="8" s="1"/>
  <c r="AX185" i="8"/>
  <c r="AU185" i="8"/>
  <c r="AI185" i="8"/>
  <c r="N185" i="8"/>
  <c r="P185" i="8" s="1"/>
  <c r="U185" i="8" s="1"/>
  <c r="AM72" i="8"/>
  <c r="M185" i="8"/>
  <c r="T185" i="8" s="1"/>
  <c r="K186" i="8"/>
  <c r="I183" i="8"/>
  <c r="AW184" i="8"/>
  <c r="AZ184" i="8"/>
  <c r="Q184" i="8"/>
  <c r="S184" i="8" s="1"/>
  <c r="V184" i="8" s="1"/>
  <c r="AC184" i="8"/>
  <c r="AD184" i="8"/>
  <c r="AJ184" i="8" s="1"/>
  <c r="H184" i="8"/>
  <c r="D187" i="8"/>
  <c r="E187" i="8" s="1"/>
  <c r="BP194" i="9" l="1"/>
  <c r="BQ194" i="9" s="1"/>
  <c r="BR194" i="9" s="1"/>
  <c r="G194" i="9"/>
  <c r="H194" i="9" s="1"/>
  <c r="BK72" i="8"/>
  <c r="BK79" i="9"/>
  <c r="AM79" i="9"/>
  <c r="W80" i="9"/>
  <c r="AD194" i="9"/>
  <c r="AJ194" i="9" s="1"/>
  <c r="C195" i="9"/>
  <c r="B195" i="9"/>
  <c r="Q194" i="9"/>
  <c r="S194" i="9" s="1"/>
  <c r="V194" i="9" s="1"/>
  <c r="AC194" i="9"/>
  <c r="I193" i="9"/>
  <c r="AX186" i="8"/>
  <c r="AU186" i="8"/>
  <c r="AI186" i="8"/>
  <c r="N186" i="8"/>
  <c r="P186" i="8" s="1"/>
  <c r="U186" i="8" s="1"/>
  <c r="Y73" i="8"/>
  <c r="AL73" i="8" s="1"/>
  <c r="X73" i="8"/>
  <c r="AK73" i="8" s="1"/>
  <c r="Z73" i="8"/>
  <c r="AE73" i="8"/>
  <c r="BA73" i="8"/>
  <c r="BE73" i="8" s="1"/>
  <c r="BC73" i="8" s="1"/>
  <c r="M186" i="8"/>
  <c r="T186" i="8" s="1"/>
  <c r="K187" i="8"/>
  <c r="I184" i="8"/>
  <c r="AW185" i="8"/>
  <c r="AZ185" i="8"/>
  <c r="AD185" i="8"/>
  <c r="AJ185" i="8" s="1"/>
  <c r="Q185" i="8"/>
  <c r="S185" i="8" s="1"/>
  <c r="V185" i="8" s="1"/>
  <c r="AC185" i="8"/>
  <c r="H185" i="8"/>
  <c r="D188" i="8"/>
  <c r="E188" i="8" s="1"/>
  <c r="BP195" i="9" l="1"/>
  <c r="BQ195" i="9" s="1"/>
  <c r="BR195" i="9" s="1"/>
  <c r="G195" i="9"/>
  <c r="H195" i="9" s="1"/>
  <c r="Z80" i="9"/>
  <c r="Y80" i="9"/>
  <c r="AL80" i="9" s="1"/>
  <c r="X80" i="9"/>
  <c r="AE80" i="9"/>
  <c r="BA80" i="9"/>
  <c r="BE80" i="9" s="1"/>
  <c r="BC80" i="9" s="1"/>
  <c r="C196" i="9"/>
  <c r="B196" i="9"/>
  <c r="AD195" i="9"/>
  <c r="AJ195" i="9" s="1"/>
  <c r="AC195" i="9"/>
  <c r="Q195" i="9"/>
  <c r="S195" i="9" s="1"/>
  <c r="V195" i="9" s="1"/>
  <c r="I194" i="9"/>
  <c r="AX187" i="8"/>
  <c r="AU187" i="8"/>
  <c r="AI187" i="8"/>
  <c r="N187" i="8"/>
  <c r="P187" i="8" s="1"/>
  <c r="U187" i="8" s="1"/>
  <c r="BJ73" i="8"/>
  <c r="AN73" i="8"/>
  <c r="BB73" i="8"/>
  <c r="BF73" i="8" s="1"/>
  <c r="BD73" i="8" s="1"/>
  <c r="AA73" i="8"/>
  <c r="W74" i="8" s="1"/>
  <c r="M187" i="8"/>
  <c r="T187" i="8" s="1"/>
  <c r="K188" i="8"/>
  <c r="I185" i="8"/>
  <c r="AW186" i="8"/>
  <c r="AZ186" i="8"/>
  <c r="Q186" i="8"/>
  <c r="S186" i="8" s="1"/>
  <c r="V186" i="8" s="1"/>
  <c r="AC186" i="8"/>
  <c r="AD186" i="8" s="1"/>
  <c r="AJ186" i="8" s="1"/>
  <c r="AD187" i="8"/>
  <c r="H186" i="8"/>
  <c r="D189" i="8"/>
  <c r="E189" i="8" s="1"/>
  <c r="BP196" i="9" l="1"/>
  <c r="BQ196" i="9" s="1"/>
  <c r="BR196" i="9" s="1"/>
  <c r="G196" i="9"/>
  <c r="H196" i="9" s="1"/>
  <c r="H187" i="8"/>
  <c r="AA80" i="9"/>
  <c r="W81" i="9" s="1"/>
  <c r="AJ187" i="8"/>
  <c r="BB80" i="9"/>
  <c r="BF80" i="9" s="1"/>
  <c r="BD80" i="9" s="1"/>
  <c r="AK80" i="9"/>
  <c r="AN80" i="9" s="1"/>
  <c r="BJ80" i="9"/>
  <c r="I195" i="9"/>
  <c r="AD196" i="9"/>
  <c r="AJ196" i="9" s="1"/>
  <c r="B197" i="9"/>
  <c r="C197" i="9"/>
  <c r="Q196" i="9"/>
  <c r="S196" i="9" s="1"/>
  <c r="V196" i="9" s="1"/>
  <c r="AC196" i="9"/>
  <c r="AX188" i="8"/>
  <c r="AU188" i="8"/>
  <c r="AI188" i="8"/>
  <c r="N188" i="8"/>
  <c r="P188" i="8" s="1"/>
  <c r="U188" i="8" s="1"/>
  <c r="BK73" i="8"/>
  <c r="AM73" i="8"/>
  <c r="M188" i="8"/>
  <c r="T188" i="8" s="1"/>
  <c r="K189" i="8"/>
  <c r="I186" i="8"/>
  <c r="AW187" i="8"/>
  <c r="AZ187" i="8"/>
  <c r="AD188" i="8"/>
  <c r="AJ188" i="8" s="1"/>
  <c r="Q187" i="8"/>
  <c r="S187" i="8" s="1"/>
  <c r="V187" i="8" s="1"/>
  <c r="AC187" i="8"/>
  <c r="D190" i="8"/>
  <c r="E190" i="8" s="1"/>
  <c r="BP197" i="9" l="1"/>
  <c r="BQ197" i="9" s="1"/>
  <c r="BR197" i="9" s="1"/>
  <c r="G197" i="9"/>
  <c r="H197" i="9" s="1"/>
  <c r="BK80" i="9"/>
  <c r="AM80" i="9"/>
  <c r="X81" i="9"/>
  <c r="BA81" i="9"/>
  <c r="BE81" i="9" s="1"/>
  <c r="BC81" i="9" s="1"/>
  <c r="Z81" i="9"/>
  <c r="Y81" i="9"/>
  <c r="AL81" i="9" s="1"/>
  <c r="AE81" i="9"/>
  <c r="I196" i="9"/>
  <c r="AC197" i="9"/>
  <c r="Q197" i="9"/>
  <c r="S197" i="9" s="1"/>
  <c r="V197" i="9" s="1"/>
  <c r="C198" i="9"/>
  <c r="B198" i="9"/>
  <c r="AD197" i="9"/>
  <c r="AJ197" i="9" s="1"/>
  <c r="AU189" i="8"/>
  <c r="AX189" i="8"/>
  <c r="AI189" i="8"/>
  <c r="N189" i="8"/>
  <c r="P189" i="8" s="1"/>
  <c r="U189" i="8" s="1"/>
  <c r="Y74" i="8"/>
  <c r="AL74" i="8" s="1"/>
  <c r="X74" i="8"/>
  <c r="AK74" i="8" s="1"/>
  <c r="Z74" i="8"/>
  <c r="AE74" i="8"/>
  <c r="BA74" i="8"/>
  <c r="BE74" i="8" s="1"/>
  <c r="BC74" i="8" s="1"/>
  <c r="M189" i="8"/>
  <c r="T189" i="8" s="1"/>
  <c r="K190" i="8"/>
  <c r="I187" i="8"/>
  <c r="AW188" i="8"/>
  <c r="AZ188" i="8"/>
  <c r="Q188" i="8"/>
  <c r="S188" i="8" s="1"/>
  <c r="V188" i="8" s="1"/>
  <c r="AC188" i="8"/>
  <c r="H188" i="8"/>
  <c r="D191" i="8"/>
  <c r="E191" i="8" s="1"/>
  <c r="BP198" i="9" l="1"/>
  <c r="BQ198" i="9" s="1"/>
  <c r="BR198" i="9" s="1"/>
  <c r="G198" i="9"/>
  <c r="H198" i="9" s="1"/>
  <c r="AA81" i="9"/>
  <c r="BB81" i="9"/>
  <c r="BF81" i="9" s="1"/>
  <c r="BD81" i="9" s="1"/>
  <c r="AK81" i="9"/>
  <c r="AN81" i="9" s="1"/>
  <c r="BJ81" i="9"/>
  <c r="I197" i="9"/>
  <c r="C199" i="9"/>
  <c r="B199" i="9"/>
  <c r="Q198" i="9"/>
  <c r="S198" i="9" s="1"/>
  <c r="V198" i="9" s="1"/>
  <c r="AC198" i="9"/>
  <c r="AD198" i="9" s="1"/>
  <c r="AJ198" i="9" s="1"/>
  <c r="AX190" i="8"/>
  <c r="AU190" i="8"/>
  <c r="AI190" i="8"/>
  <c r="N190" i="8"/>
  <c r="P190" i="8" s="1"/>
  <c r="U190" i="8" s="1"/>
  <c r="BJ74" i="8"/>
  <c r="AN74" i="8"/>
  <c r="BB74" i="8"/>
  <c r="BF74" i="8" s="1"/>
  <c r="BD74" i="8" s="1"/>
  <c r="AA74" i="8"/>
  <c r="W75" i="8" s="1"/>
  <c r="M190" i="8"/>
  <c r="T190" i="8" s="1"/>
  <c r="K191" i="8"/>
  <c r="I188" i="8"/>
  <c r="AW189" i="8"/>
  <c r="AZ189" i="8"/>
  <c r="AD190" i="8"/>
  <c r="Q189" i="8"/>
  <c r="S189" i="8" s="1"/>
  <c r="V189" i="8" s="1"/>
  <c r="AC189" i="8"/>
  <c r="AD189" i="8" s="1"/>
  <c r="AJ189" i="8" s="1"/>
  <c r="H189" i="8"/>
  <c r="D192" i="8"/>
  <c r="E192" i="8" s="1"/>
  <c r="BP199" i="9" l="1"/>
  <c r="BQ199" i="9" s="1"/>
  <c r="BR199" i="9" s="1"/>
  <c r="G199" i="9"/>
  <c r="H199" i="9" s="1"/>
  <c r="AJ190" i="8"/>
  <c r="BK81" i="9"/>
  <c r="AM81" i="9"/>
  <c r="W82" i="9"/>
  <c r="C200" i="9"/>
  <c r="B200" i="9"/>
  <c r="Q199" i="9"/>
  <c r="S199" i="9" s="1"/>
  <c r="V199" i="9" s="1"/>
  <c r="AC199" i="9"/>
  <c r="AD199" i="9" s="1"/>
  <c r="AJ199" i="9" s="1"/>
  <c r="I198" i="9"/>
  <c r="AX191" i="8"/>
  <c r="AU191" i="8"/>
  <c r="AI191" i="8"/>
  <c r="N191" i="8"/>
  <c r="P191" i="8" s="1"/>
  <c r="U191" i="8" s="1"/>
  <c r="BK74" i="8"/>
  <c r="AM74" i="8"/>
  <c r="M191" i="8"/>
  <c r="T191" i="8" s="1"/>
  <c r="K192" i="8"/>
  <c r="I189" i="8"/>
  <c r="AW190" i="8"/>
  <c r="AZ190" i="8"/>
  <c r="Q190" i="8"/>
  <c r="S190" i="8" s="1"/>
  <c r="V190" i="8" s="1"/>
  <c r="AC190" i="8"/>
  <c r="AD191" i="8"/>
  <c r="AJ191" i="8" s="1"/>
  <c r="H190" i="8"/>
  <c r="D193" i="8"/>
  <c r="E193" i="8" s="1"/>
  <c r="BP200" i="9" l="1"/>
  <c r="BQ200" i="9" s="1"/>
  <c r="BR200" i="9" s="1"/>
  <c r="G200" i="9"/>
  <c r="H200" i="9" s="1"/>
  <c r="Z82" i="9"/>
  <c r="BA82" i="9"/>
  <c r="BE82" i="9" s="1"/>
  <c r="BC82" i="9" s="1"/>
  <c r="X82" i="9"/>
  <c r="AE82" i="9"/>
  <c r="Y82" i="9"/>
  <c r="AL82" i="9" s="1"/>
  <c r="AD200" i="9"/>
  <c r="AJ200" i="9" s="1"/>
  <c r="C201" i="9"/>
  <c r="B201" i="9"/>
  <c r="Q200" i="9"/>
  <c r="S200" i="9" s="1"/>
  <c r="V200" i="9" s="1"/>
  <c r="AC200" i="9"/>
  <c r="I199" i="9"/>
  <c r="AX192" i="8"/>
  <c r="AU192" i="8"/>
  <c r="AI192" i="8"/>
  <c r="N192" i="8"/>
  <c r="P192" i="8" s="1"/>
  <c r="U192" i="8" s="1"/>
  <c r="AE75" i="8"/>
  <c r="BA75" i="8"/>
  <c r="BE75" i="8" s="1"/>
  <c r="BC75" i="8" s="1"/>
  <c r="X75" i="8"/>
  <c r="AK75" i="8" s="1"/>
  <c r="Y75" i="8"/>
  <c r="AL75" i="8" s="1"/>
  <c r="Z75" i="8"/>
  <c r="M192" i="8"/>
  <c r="T192" i="8" s="1"/>
  <c r="K193" i="8"/>
  <c r="I190" i="8"/>
  <c r="AW191" i="8"/>
  <c r="AZ191" i="8"/>
  <c r="Q191" i="8"/>
  <c r="S191" i="8" s="1"/>
  <c r="V191" i="8" s="1"/>
  <c r="AC191" i="8"/>
  <c r="AD192" i="8"/>
  <c r="AJ192" i="8" s="1"/>
  <c r="H191" i="8"/>
  <c r="D194" i="8"/>
  <c r="E194" i="8" s="1"/>
  <c r="BP201" i="9" l="1"/>
  <c r="BQ201" i="9" s="1"/>
  <c r="BR201" i="9" s="1"/>
  <c r="G201" i="9"/>
  <c r="H201" i="9" s="1"/>
  <c r="BJ82" i="9"/>
  <c r="AA82" i="9"/>
  <c r="AK82" i="9"/>
  <c r="AN82" i="9" s="1"/>
  <c r="BB82" i="9"/>
  <c r="BF82" i="9" s="1"/>
  <c r="BD82" i="9" s="1"/>
  <c r="C202" i="9"/>
  <c r="B202" i="9"/>
  <c r="AD201" i="9"/>
  <c r="AJ201" i="9" s="1"/>
  <c r="Q201" i="9"/>
  <c r="S201" i="9" s="1"/>
  <c r="V201" i="9" s="1"/>
  <c r="AC201" i="9"/>
  <c r="I200" i="9"/>
  <c r="AX193" i="8"/>
  <c r="AU193" i="8"/>
  <c r="AI193" i="8"/>
  <c r="N193" i="8"/>
  <c r="P193" i="8" s="1"/>
  <c r="U193" i="8" s="1"/>
  <c r="AA75" i="8"/>
  <c r="AN75" i="8"/>
  <c r="BB75" i="8"/>
  <c r="BF75" i="8" s="1"/>
  <c r="BD75" i="8" s="1"/>
  <c r="BJ75" i="8"/>
  <c r="M193" i="8"/>
  <c r="T193" i="8" s="1"/>
  <c r="K194" i="8"/>
  <c r="I191" i="8"/>
  <c r="AZ192" i="8"/>
  <c r="AW192" i="8"/>
  <c r="Q192" i="8"/>
  <c r="S192" i="8" s="1"/>
  <c r="V192" i="8" s="1"/>
  <c r="AC192" i="8"/>
  <c r="AD193" i="8"/>
  <c r="AJ193" i="8" s="1"/>
  <c r="H192" i="8"/>
  <c r="D195" i="8"/>
  <c r="E195" i="8" s="1"/>
  <c r="BP202" i="9" l="1"/>
  <c r="BQ202" i="9" s="1"/>
  <c r="BR202" i="9" s="1"/>
  <c r="G202" i="9"/>
  <c r="H202" i="9" s="1"/>
  <c r="BK82" i="9"/>
  <c r="AM82" i="9"/>
  <c r="W83" i="9"/>
  <c r="I201" i="9"/>
  <c r="AD202" i="9"/>
  <c r="AJ202" i="9" s="1"/>
  <c r="C203" i="9"/>
  <c r="B203" i="9"/>
  <c r="Q202" i="9"/>
  <c r="S202" i="9" s="1"/>
  <c r="V202" i="9" s="1"/>
  <c r="AC202" i="9"/>
  <c r="AX194" i="8"/>
  <c r="AU194" i="8"/>
  <c r="AI194" i="8"/>
  <c r="N194" i="8"/>
  <c r="P194" i="8" s="1"/>
  <c r="U194" i="8" s="1"/>
  <c r="W76" i="8"/>
  <c r="Y76" i="8" s="1"/>
  <c r="AL76" i="8" s="1"/>
  <c r="BK75" i="8"/>
  <c r="AM75" i="8"/>
  <c r="M194" i="8"/>
  <c r="T194" i="8" s="1"/>
  <c r="K195" i="8"/>
  <c r="I192" i="8"/>
  <c r="AZ193" i="8"/>
  <c r="AW193" i="8"/>
  <c r="Q193" i="8"/>
  <c r="S193" i="8" s="1"/>
  <c r="V193" i="8" s="1"/>
  <c r="AC193" i="8"/>
  <c r="AD194" i="8"/>
  <c r="AJ194" i="8" s="1"/>
  <c r="H193" i="8"/>
  <c r="D196" i="8"/>
  <c r="E196" i="8" s="1"/>
  <c r="BP203" i="9" l="1"/>
  <c r="BQ203" i="9" s="1"/>
  <c r="BR203" i="9" s="1"/>
  <c r="G203" i="9"/>
  <c r="H203" i="9" s="1"/>
  <c r="BA83" i="9"/>
  <c r="BE83" i="9" s="1"/>
  <c r="BC83" i="9" s="1"/>
  <c r="AE83" i="9"/>
  <c r="Z83" i="9"/>
  <c r="Y83" i="9"/>
  <c r="AL83" i="9" s="1"/>
  <c r="X83" i="9"/>
  <c r="C204" i="9"/>
  <c r="B204" i="9"/>
  <c r="AD203" i="9"/>
  <c r="AJ203" i="9" s="1"/>
  <c r="I202" i="9"/>
  <c r="Q203" i="9"/>
  <c r="S203" i="9" s="1"/>
  <c r="V203" i="9" s="1"/>
  <c r="AC203" i="9"/>
  <c r="AX195" i="8"/>
  <c r="AU195" i="8"/>
  <c r="AI195" i="8"/>
  <c r="N195" i="8"/>
  <c r="P195" i="8" s="1"/>
  <c r="U195" i="8" s="1"/>
  <c r="AE76" i="8"/>
  <c r="X76" i="8"/>
  <c r="AK76" i="8" s="1"/>
  <c r="AN76" i="8" s="1"/>
  <c r="Z76" i="8"/>
  <c r="BA76" i="8"/>
  <c r="BE76" i="8" s="1"/>
  <c r="BC76" i="8" s="1"/>
  <c r="M195" i="8"/>
  <c r="T195" i="8" s="1"/>
  <c r="K196" i="8"/>
  <c r="I193" i="8"/>
  <c r="AW194" i="8"/>
  <c r="AZ194" i="8"/>
  <c r="Q194" i="8"/>
  <c r="S194" i="8" s="1"/>
  <c r="V194" i="8" s="1"/>
  <c r="AC194" i="8"/>
  <c r="AD195" i="8"/>
  <c r="AJ195" i="8" s="1"/>
  <c r="H194" i="8"/>
  <c r="D197" i="8"/>
  <c r="E197" i="8" s="1"/>
  <c r="BP204" i="9" l="1"/>
  <c r="BQ204" i="9" s="1"/>
  <c r="BR204" i="9" s="1"/>
  <c r="G204" i="9"/>
  <c r="H204" i="9" s="1"/>
  <c r="AA83" i="9"/>
  <c r="W84" i="9" s="1"/>
  <c r="BJ83" i="9"/>
  <c r="AK83" i="9"/>
  <c r="AN83" i="9" s="1"/>
  <c r="BB83" i="9"/>
  <c r="BF83" i="9" s="1"/>
  <c r="BD83" i="9" s="1"/>
  <c r="AD204" i="9"/>
  <c r="AJ204" i="9" s="1"/>
  <c r="C205" i="9"/>
  <c r="B205" i="9"/>
  <c r="Q204" i="9"/>
  <c r="S204" i="9" s="1"/>
  <c r="V204" i="9" s="1"/>
  <c r="AC204" i="9"/>
  <c r="I203" i="9"/>
  <c r="AX196" i="8"/>
  <c r="AU196" i="8"/>
  <c r="AI196" i="8"/>
  <c r="N196" i="8"/>
  <c r="P196" i="8" s="1"/>
  <c r="U196" i="8" s="1"/>
  <c r="BB76" i="8"/>
  <c r="BF76" i="8" s="1"/>
  <c r="BD76" i="8" s="1"/>
  <c r="AA76" i="8"/>
  <c r="W77" i="8" s="1"/>
  <c r="BJ76" i="8"/>
  <c r="AM76" i="8"/>
  <c r="M196" i="8"/>
  <c r="T196" i="8" s="1"/>
  <c r="K197" i="8"/>
  <c r="I194" i="8"/>
  <c r="AW195" i="8"/>
  <c r="AZ195" i="8"/>
  <c r="Q195" i="8"/>
  <c r="S195" i="8" s="1"/>
  <c r="V195" i="8" s="1"/>
  <c r="AC195" i="8"/>
  <c r="AD196" i="8"/>
  <c r="AJ196" i="8" s="1"/>
  <c r="H195" i="8"/>
  <c r="D198" i="8"/>
  <c r="E198" i="8" s="1"/>
  <c r="BP205" i="9" l="1"/>
  <c r="BQ205" i="9" s="1"/>
  <c r="BR205" i="9" s="1"/>
  <c r="G205" i="9"/>
  <c r="H205" i="9" s="1"/>
  <c r="Z84" i="9"/>
  <c r="AE84" i="9"/>
  <c r="X84" i="9"/>
  <c r="BA84" i="9"/>
  <c r="BE84" i="9" s="1"/>
  <c r="BC84" i="9" s="1"/>
  <c r="Y84" i="9"/>
  <c r="AL84" i="9" s="1"/>
  <c r="BK83" i="9"/>
  <c r="AM83" i="9"/>
  <c r="C206" i="9"/>
  <c r="B206" i="9"/>
  <c r="AD205" i="9"/>
  <c r="AJ205" i="9" s="1"/>
  <c r="Q205" i="9"/>
  <c r="S205" i="9" s="1"/>
  <c r="V205" i="9" s="1"/>
  <c r="AC205" i="9"/>
  <c r="I204" i="9"/>
  <c r="AU197" i="8"/>
  <c r="AX197" i="8"/>
  <c r="AI197" i="8"/>
  <c r="N197" i="8"/>
  <c r="P197" i="8" s="1"/>
  <c r="U197" i="8" s="1"/>
  <c r="BK76" i="8"/>
  <c r="X77" i="8"/>
  <c r="AK77" i="8" s="1"/>
  <c r="BA77" i="8"/>
  <c r="BE77" i="8" s="1"/>
  <c r="BC77" i="8" s="1"/>
  <c r="Z77" i="8"/>
  <c r="Y77" i="8"/>
  <c r="AL77" i="8" s="1"/>
  <c r="AE77" i="8"/>
  <c r="M197" i="8"/>
  <c r="T197" i="8" s="1"/>
  <c r="K198" i="8"/>
  <c r="I195" i="8"/>
  <c r="AZ196" i="8"/>
  <c r="AW196" i="8"/>
  <c r="Q196" i="8"/>
  <c r="S196" i="8" s="1"/>
  <c r="V196" i="8" s="1"/>
  <c r="AC196" i="8"/>
  <c r="AD197" i="8"/>
  <c r="AJ197" i="8" s="1"/>
  <c r="AD199" i="8"/>
  <c r="H196" i="8"/>
  <c r="D199" i="8"/>
  <c r="E199" i="8" s="1"/>
  <c r="BP206" i="9" l="1"/>
  <c r="BQ206" i="9" s="1"/>
  <c r="BR206" i="9" s="1"/>
  <c r="G206" i="9"/>
  <c r="H206" i="9" s="1"/>
  <c r="AA84" i="9"/>
  <c r="W85" i="9" s="1"/>
  <c r="BB84" i="9"/>
  <c r="BF84" i="9" s="1"/>
  <c r="BD84" i="9" s="1"/>
  <c r="AK84" i="9"/>
  <c r="AN84" i="9" s="1"/>
  <c r="BJ84" i="9"/>
  <c r="I205" i="9"/>
  <c r="AD206" i="9"/>
  <c r="AJ206" i="9" s="1"/>
  <c r="C207" i="9"/>
  <c r="B207" i="9"/>
  <c r="Q206" i="9"/>
  <c r="S206" i="9" s="1"/>
  <c r="V206" i="9" s="1"/>
  <c r="AC206" i="9"/>
  <c r="AX198" i="8"/>
  <c r="AU198" i="8"/>
  <c r="AI198" i="8"/>
  <c r="N198" i="8"/>
  <c r="P198" i="8" s="1"/>
  <c r="U198" i="8" s="1"/>
  <c r="AA77" i="8"/>
  <c r="AN77" i="8"/>
  <c r="BB77" i="8"/>
  <c r="BF77" i="8" s="1"/>
  <c r="BD77" i="8" s="1"/>
  <c r="BJ77" i="8"/>
  <c r="M198" i="8"/>
  <c r="T198" i="8" s="1"/>
  <c r="K199" i="8"/>
  <c r="I196" i="8"/>
  <c r="AD200" i="8"/>
  <c r="AZ197" i="8"/>
  <c r="AW197" i="8"/>
  <c r="Q197" i="8"/>
  <c r="S197" i="8" s="1"/>
  <c r="V197" i="8" s="1"/>
  <c r="AC197" i="8"/>
  <c r="H197" i="8"/>
  <c r="D200" i="8"/>
  <c r="E200" i="8" s="1"/>
  <c r="BP207" i="9" l="1"/>
  <c r="BQ207" i="9" s="1"/>
  <c r="BR207" i="9" s="1"/>
  <c r="G207" i="9"/>
  <c r="H207" i="9" s="1"/>
  <c r="BK84" i="9"/>
  <c r="AM84" i="9"/>
  <c r="Y85" i="9"/>
  <c r="AL85" i="9" s="1"/>
  <c r="AE85" i="9"/>
  <c r="X85" i="9"/>
  <c r="Z85" i="9"/>
  <c r="BA85" i="9"/>
  <c r="BE85" i="9" s="1"/>
  <c r="BC85" i="9" s="1"/>
  <c r="C208" i="9"/>
  <c r="B208" i="9"/>
  <c r="AD207" i="9"/>
  <c r="AJ207" i="9" s="1"/>
  <c r="Q207" i="9"/>
  <c r="S207" i="9" s="1"/>
  <c r="V207" i="9" s="1"/>
  <c r="AC207" i="9"/>
  <c r="I206" i="9"/>
  <c r="AX199" i="8"/>
  <c r="AU199" i="8"/>
  <c r="AI199" i="8"/>
  <c r="N199" i="8"/>
  <c r="P199" i="8" s="1"/>
  <c r="U199" i="8" s="1"/>
  <c r="W78" i="8"/>
  <c r="Z78" i="8" s="1"/>
  <c r="BK77" i="8"/>
  <c r="AM77" i="8"/>
  <c r="M199" i="8"/>
  <c r="T199" i="8" s="1"/>
  <c r="K200" i="8"/>
  <c r="I197" i="8"/>
  <c r="AW198" i="8"/>
  <c r="AZ198" i="8"/>
  <c r="Q198" i="8"/>
  <c r="S198" i="8" s="1"/>
  <c r="V198" i="8" s="1"/>
  <c r="AC198" i="8"/>
  <c r="AD198" i="8" s="1"/>
  <c r="AJ198" i="8" s="1"/>
  <c r="H198" i="8"/>
  <c r="D201" i="8"/>
  <c r="E201" i="8" s="1"/>
  <c r="AD202" i="8"/>
  <c r="BP208" i="9" l="1"/>
  <c r="BQ208" i="9" s="1"/>
  <c r="BR208" i="9" s="1"/>
  <c r="G208" i="9"/>
  <c r="H208" i="9" s="1"/>
  <c r="BJ85" i="9"/>
  <c r="AJ200" i="8"/>
  <c r="AJ199" i="8"/>
  <c r="AK85" i="9"/>
  <c r="AN85" i="9" s="1"/>
  <c r="BB85" i="9"/>
  <c r="BF85" i="9" s="1"/>
  <c r="BD85" i="9" s="1"/>
  <c r="AA85" i="9"/>
  <c r="I207" i="9"/>
  <c r="AD208" i="9"/>
  <c r="AJ208" i="9" s="1"/>
  <c r="C209" i="9"/>
  <c r="B209" i="9"/>
  <c r="Q208" i="9"/>
  <c r="S208" i="9" s="1"/>
  <c r="V208" i="9" s="1"/>
  <c r="AC208" i="9"/>
  <c r="AX200" i="8"/>
  <c r="AU200" i="8"/>
  <c r="AI200" i="8"/>
  <c r="N200" i="8"/>
  <c r="P200" i="8" s="1"/>
  <c r="U200" i="8" s="1"/>
  <c r="BA78" i="8"/>
  <c r="BE78" i="8" s="1"/>
  <c r="BC78" i="8" s="1"/>
  <c r="Y78" i="8"/>
  <c r="AL78" i="8" s="1"/>
  <c r="X78" i="8"/>
  <c r="AK78" i="8" s="1"/>
  <c r="AE78" i="8"/>
  <c r="M200" i="8"/>
  <c r="T200" i="8" s="1"/>
  <c r="I198" i="8"/>
  <c r="AW199" i="8"/>
  <c r="AZ199" i="8"/>
  <c r="Q199" i="8"/>
  <c r="S199" i="8" s="1"/>
  <c r="V199" i="8" s="1"/>
  <c r="AC199" i="8"/>
  <c r="H199" i="8"/>
  <c r="D202" i="8"/>
  <c r="E202" i="8" s="1"/>
  <c r="AD203" i="8"/>
  <c r="BP209" i="9" l="1"/>
  <c r="BQ209" i="9" s="1"/>
  <c r="BR209" i="9" s="1"/>
  <c r="G209" i="9"/>
  <c r="H209" i="9" s="1"/>
  <c r="K201" i="8"/>
  <c r="M201" i="8" s="1"/>
  <c r="T201" i="8" s="1"/>
  <c r="W86" i="9"/>
  <c r="BK85" i="9"/>
  <c r="AM85" i="9"/>
  <c r="Q209" i="9"/>
  <c r="S209" i="9" s="1"/>
  <c r="V209" i="9" s="1"/>
  <c r="AC209" i="9"/>
  <c r="I208" i="9"/>
  <c r="C210" i="9"/>
  <c r="B210" i="9"/>
  <c r="AD209" i="9"/>
  <c r="AJ209" i="9" s="1"/>
  <c r="AX201" i="8"/>
  <c r="AU201" i="8"/>
  <c r="AI201" i="8"/>
  <c r="N201" i="8"/>
  <c r="P201" i="8" s="1"/>
  <c r="U201" i="8" s="1"/>
  <c r="AA78" i="8"/>
  <c r="W79" i="8" s="1"/>
  <c r="AE79" i="8" s="1"/>
  <c r="BJ78" i="8"/>
  <c r="AN78" i="8"/>
  <c r="AM78" i="8" s="1"/>
  <c r="BB78" i="8"/>
  <c r="BF78" i="8" s="1"/>
  <c r="BD78" i="8" s="1"/>
  <c r="I199" i="8"/>
  <c r="AW200" i="8"/>
  <c r="AZ200" i="8"/>
  <c r="Q200" i="8"/>
  <c r="S200" i="8" s="1"/>
  <c r="V200" i="8" s="1"/>
  <c r="AC200" i="8"/>
  <c r="H200" i="8"/>
  <c r="D203" i="8"/>
  <c r="E203" i="8" s="1"/>
  <c r="AD204" i="8"/>
  <c r="BP210" i="9" l="1"/>
  <c r="BQ210" i="9" s="1"/>
  <c r="BR210" i="9" s="1"/>
  <c r="G210" i="9"/>
  <c r="H210" i="9" s="1"/>
  <c r="K202" i="8"/>
  <c r="M202" i="8" s="1"/>
  <c r="T202" i="8" s="1"/>
  <c r="Z86" i="9"/>
  <c r="X86" i="9"/>
  <c r="Y86" i="9"/>
  <c r="AL86" i="9" s="1"/>
  <c r="BA86" i="9"/>
  <c r="BE86" i="9" s="1"/>
  <c r="BC86" i="9" s="1"/>
  <c r="AE86" i="9"/>
  <c r="C211" i="9"/>
  <c r="B211" i="9"/>
  <c r="Q210" i="9"/>
  <c r="S210" i="9" s="1"/>
  <c r="V210" i="9" s="1"/>
  <c r="AC210" i="9"/>
  <c r="AD210" i="9" s="1"/>
  <c r="AJ210" i="9" s="1"/>
  <c r="I209" i="9"/>
  <c r="AX202" i="8"/>
  <c r="AU202" i="8"/>
  <c r="AI202" i="8"/>
  <c r="N202" i="8"/>
  <c r="P202" i="8" s="1"/>
  <c r="U202" i="8" s="1"/>
  <c r="Z79" i="8"/>
  <c r="X79" i="8"/>
  <c r="AK79" i="8" s="1"/>
  <c r="BA79" i="8"/>
  <c r="BE79" i="8" s="1"/>
  <c r="BC79" i="8" s="1"/>
  <c r="Y79" i="8"/>
  <c r="AL79" i="8" s="1"/>
  <c r="BK78" i="8"/>
  <c r="I200" i="8"/>
  <c r="AZ201" i="8"/>
  <c r="AW201" i="8"/>
  <c r="Q201" i="8"/>
  <c r="S201" i="8" s="1"/>
  <c r="V201" i="8" s="1"/>
  <c r="AC201" i="8"/>
  <c r="AD201" i="8" s="1"/>
  <c r="AJ201" i="8" s="1"/>
  <c r="H201" i="8"/>
  <c r="D204" i="8"/>
  <c r="E204" i="8" s="1"/>
  <c r="AD205" i="8"/>
  <c r="BP211" i="9" l="1"/>
  <c r="BQ211" i="9" s="1"/>
  <c r="BR211" i="9" s="1"/>
  <c r="G211" i="9"/>
  <c r="H211" i="9" s="1"/>
  <c r="AJ202" i="8"/>
  <c r="AJ203" i="8"/>
  <c r="K203" i="8"/>
  <c r="M203" i="8" s="1"/>
  <c r="T203" i="8" s="1"/>
  <c r="AA86" i="9"/>
  <c r="W87" i="9" s="1"/>
  <c r="BJ86" i="9"/>
  <c r="AK86" i="9"/>
  <c r="AN86" i="9" s="1"/>
  <c r="BB86" i="9"/>
  <c r="BF86" i="9" s="1"/>
  <c r="BD86" i="9" s="1"/>
  <c r="I210" i="9"/>
  <c r="C212" i="9"/>
  <c r="AD211" i="9"/>
  <c r="AJ211" i="9" s="1"/>
  <c r="B212" i="9"/>
  <c r="Q211" i="9"/>
  <c r="S211" i="9" s="1"/>
  <c r="V211" i="9" s="1"/>
  <c r="AC211" i="9"/>
  <c r="AX203" i="8"/>
  <c r="AU203" i="8"/>
  <c r="AI203" i="8"/>
  <c r="N203" i="8"/>
  <c r="P203" i="8" s="1"/>
  <c r="U203" i="8" s="1"/>
  <c r="AA79" i="8"/>
  <c r="W80" i="8" s="1"/>
  <c r="Y80" i="8" s="1"/>
  <c r="AL80" i="8" s="1"/>
  <c r="AN79" i="8"/>
  <c r="BB79" i="8"/>
  <c r="BF79" i="8" s="1"/>
  <c r="BD79" i="8" s="1"/>
  <c r="BJ79" i="8"/>
  <c r="I201" i="8"/>
  <c r="AZ202" i="8"/>
  <c r="AW202" i="8"/>
  <c r="Q202" i="8"/>
  <c r="S202" i="8" s="1"/>
  <c r="V202" i="8" s="1"/>
  <c r="AC202" i="8"/>
  <c r="H202" i="8"/>
  <c r="D205" i="8"/>
  <c r="E205" i="8" s="1"/>
  <c r="AD206" i="8"/>
  <c r="BP212" i="9" l="1"/>
  <c r="BQ212" i="9" s="1"/>
  <c r="BR212" i="9" s="1"/>
  <c r="G212" i="9"/>
  <c r="H212" i="9" s="1"/>
  <c r="AJ204" i="8"/>
  <c r="K204" i="8"/>
  <c r="M204" i="8" s="1"/>
  <c r="T204" i="8" s="1"/>
  <c r="BA87" i="9"/>
  <c r="BE87" i="9" s="1"/>
  <c r="BC87" i="9" s="1"/>
  <c r="Z87" i="9"/>
  <c r="X87" i="9"/>
  <c r="AE87" i="9"/>
  <c r="Y87" i="9"/>
  <c r="AL87" i="9" s="1"/>
  <c r="BK86" i="9"/>
  <c r="AM86" i="9"/>
  <c r="AD212" i="9"/>
  <c r="AJ212" i="9" s="1"/>
  <c r="C213" i="9"/>
  <c r="B213" i="9"/>
  <c r="I211" i="9"/>
  <c r="Q212" i="9"/>
  <c r="S212" i="9" s="1"/>
  <c r="V212" i="9" s="1"/>
  <c r="AC212" i="9"/>
  <c r="AE80" i="8"/>
  <c r="BA80" i="8"/>
  <c r="BE80" i="8" s="1"/>
  <c r="BC80" i="8" s="1"/>
  <c r="BK79" i="8"/>
  <c r="AX204" i="8"/>
  <c r="AU204" i="8"/>
  <c r="AI204" i="8"/>
  <c r="N204" i="8"/>
  <c r="P204" i="8" s="1"/>
  <c r="U204" i="8" s="1"/>
  <c r="X80" i="8"/>
  <c r="AK80" i="8" s="1"/>
  <c r="AN80" i="8" s="1"/>
  <c r="Z80" i="8"/>
  <c r="AM79" i="8"/>
  <c r="I202" i="8"/>
  <c r="AZ203" i="8"/>
  <c r="AW203" i="8"/>
  <c r="Q203" i="8"/>
  <c r="S203" i="8" s="1"/>
  <c r="V203" i="8" s="1"/>
  <c r="AC203" i="8"/>
  <c r="H203" i="8"/>
  <c r="D206" i="8"/>
  <c r="E206" i="8" s="1"/>
  <c r="AD207" i="8"/>
  <c r="BP213" i="9" l="1"/>
  <c r="BQ213" i="9" s="1"/>
  <c r="BR213" i="9" s="1"/>
  <c r="G213" i="9"/>
  <c r="H213" i="9" s="1"/>
  <c r="AJ205" i="8"/>
  <c r="K205" i="8"/>
  <c r="M205" i="8" s="1"/>
  <c r="T205" i="8" s="1"/>
  <c r="BJ87" i="9"/>
  <c r="BB87" i="9"/>
  <c r="BF87" i="9" s="1"/>
  <c r="BD87" i="9" s="1"/>
  <c r="AK87" i="9"/>
  <c r="AN87" i="9" s="1"/>
  <c r="AA87" i="9"/>
  <c r="Q213" i="9"/>
  <c r="S213" i="9" s="1"/>
  <c r="V213" i="9" s="1"/>
  <c r="AC213" i="9"/>
  <c r="I212" i="9"/>
  <c r="C214" i="9"/>
  <c r="AD213" i="9"/>
  <c r="AJ213" i="9" s="1"/>
  <c r="B214" i="9"/>
  <c r="BJ80" i="8"/>
  <c r="BB80" i="8"/>
  <c r="BF80" i="8" s="1"/>
  <c r="BD80" i="8" s="1"/>
  <c r="AA80" i="8"/>
  <c r="W81" i="8" s="1"/>
  <c r="X81" i="8" s="1"/>
  <c r="AK81" i="8" s="1"/>
  <c r="AU205" i="8"/>
  <c r="AX205" i="8"/>
  <c r="AI205" i="8"/>
  <c r="N205" i="8"/>
  <c r="P205" i="8" s="1"/>
  <c r="U205" i="8" s="1"/>
  <c r="AM80" i="8"/>
  <c r="I203" i="8"/>
  <c r="AW204" i="8"/>
  <c r="AZ204" i="8"/>
  <c r="Q204" i="8"/>
  <c r="S204" i="8" s="1"/>
  <c r="V204" i="8" s="1"/>
  <c r="AC204" i="8"/>
  <c r="H204" i="8"/>
  <c r="D207" i="8"/>
  <c r="E207" i="8" s="1"/>
  <c r="AD208" i="8"/>
  <c r="BP214" i="9" l="1"/>
  <c r="BQ214" i="9" s="1"/>
  <c r="BR214" i="9" s="1"/>
  <c r="G214" i="9"/>
  <c r="H214" i="9" s="1"/>
  <c r="AJ206" i="8"/>
  <c r="K206" i="8"/>
  <c r="M206" i="8" s="1"/>
  <c r="T206" i="8" s="1"/>
  <c r="BK87" i="9"/>
  <c r="AM87" i="9"/>
  <c r="W88" i="9"/>
  <c r="AD214" i="9"/>
  <c r="AJ214" i="9" s="1"/>
  <c r="C215" i="9"/>
  <c r="B215" i="9"/>
  <c r="Q214" i="9"/>
  <c r="S214" i="9" s="1"/>
  <c r="V214" i="9" s="1"/>
  <c r="AC214" i="9"/>
  <c r="I213" i="9"/>
  <c r="Y81" i="8"/>
  <c r="AL81" i="8" s="1"/>
  <c r="AN81" i="8" s="1"/>
  <c r="BA81" i="8"/>
  <c r="BE81" i="8" s="1"/>
  <c r="BC81" i="8" s="1"/>
  <c r="BK80" i="8"/>
  <c r="AE81" i="8"/>
  <c r="Z81" i="8"/>
  <c r="AX206" i="8"/>
  <c r="AU206" i="8"/>
  <c r="AI206" i="8"/>
  <c r="N206" i="8"/>
  <c r="P206" i="8" s="1"/>
  <c r="U206" i="8" s="1"/>
  <c r="I204" i="8"/>
  <c r="AZ205" i="8"/>
  <c r="AW205" i="8"/>
  <c r="Q205" i="8"/>
  <c r="S205" i="8" s="1"/>
  <c r="V205" i="8" s="1"/>
  <c r="AC205" i="8"/>
  <c r="H205" i="8"/>
  <c r="D208" i="8"/>
  <c r="E208" i="8" s="1"/>
  <c r="AD209" i="8"/>
  <c r="BP215" i="9" l="1"/>
  <c r="BQ215" i="9" s="1"/>
  <c r="BR215" i="9" s="1"/>
  <c r="G215" i="9"/>
  <c r="H215" i="9" s="1"/>
  <c r="AJ207" i="8"/>
  <c r="K207" i="8"/>
  <c r="M207" i="8" s="1"/>
  <c r="T207" i="8" s="1"/>
  <c r="X88" i="9"/>
  <c r="Y88" i="9"/>
  <c r="AL88" i="9" s="1"/>
  <c r="Z88" i="9"/>
  <c r="BA88" i="9"/>
  <c r="BE88" i="9" s="1"/>
  <c r="BC88" i="9" s="1"/>
  <c r="AE88" i="9"/>
  <c r="AA81" i="8"/>
  <c r="W82" i="8" s="1"/>
  <c r="X82" i="8" s="1"/>
  <c r="AK82" i="8" s="1"/>
  <c r="Q215" i="9"/>
  <c r="S215" i="9" s="1"/>
  <c r="V215" i="9" s="1"/>
  <c r="AC215" i="9"/>
  <c r="BB81" i="8"/>
  <c r="BF81" i="8" s="1"/>
  <c r="BD81" i="8" s="1"/>
  <c r="I214" i="9"/>
  <c r="C216" i="9"/>
  <c r="AD215" i="9"/>
  <c r="AJ215" i="9" s="1"/>
  <c r="B216" i="9"/>
  <c r="BJ81" i="8"/>
  <c r="AX207" i="8"/>
  <c r="AU207" i="8"/>
  <c r="AI207" i="8"/>
  <c r="N207" i="8"/>
  <c r="P207" i="8" s="1"/>
  <c r="U207" i="8" s="1"/>
  <c r="AM81" i="8"/>
  <c r="I205" i="8"/>
  <c r="AZ206" i="8"/>
  <c r="AW206" i="8"/>
  <c r="Q206" i="8"/>
  <c r="S206" i="8" s="1"/>
  <c r="V206" i="8" s="1"/>
  <c r="AC206" i="8"/>
  <c r="H206" i="8"/>
  <c r="D209" i="8"/>
  <c r="E209" i="8" s="1"/>
  <c r="BP216" i="9" l="1"/>
  <c r="BQ216" i="9" s="1"/>
  <c r="BR216" i="9" s="1"/>
  <c r="G216" i="9"/>
  <c r="H216" i="9" s="1"/>
  <c r="AJ208" i="8"/>
  <c r="K208" i="8"/>
  <c r="M208" i="8" s="1"/>
  <c r="T208" i="8" s="1"/>
  <c r="BK81" i="8"/>
  <c r="BJ88" i="9"/>
  <c r="AA88" i="9"/>
  <c r="W89" i="9" s="1"/>
  <c r="BB88" i="9"/>
  <c r="BF88" i="9" s="1"/>
  <c r="BD88" i="9" s="1"/>
  <c r="AK88" i="9"/>
  <c r="AN88" i="9" s="1"/>
  <c r="I215" i="9"/>
  <c r="AD216" i="9"/>
  <c r="AJ216" i="9" s="1"/>
  <c r="C217" i="9"/>
  <c r="B217" i="9"/>
  <c r="Q216" i="9"/>
  <c r="S216" i="9" s="1"/>
  <c r="V216" i="9" s="1"/>
  <c r="AC216" i="9"/>
  <c r="Y82" i="8"/>
  <c r="AL82" i="8" s="1"/>
  <c r="AN82" i="8" s="1"/>
  <c r="BA82" i="8"/>
  <c r="BE82" i="8" s="1"/>
  <c r="BC82" i="8" s="1"/>
  <c r="AX208" i="8"/>
  <c r="AU208" i="8"/>
  <c r="AI208" i="8"/>
  <c r="N208" i="8"/>
  <c r="P208" i="8" s="1"/>
  <c r="U208" i="8" s="1"/>
  <c r="AE82" i="8"/>
  <c r="Z82" i="8"/>
  <c r="I206" i="8"/>
  <c r="AW207" i="8"/>
  <c r="AZ207" i="8"/>
  <c r="Q207" i="8"/>
  <c r="S207" i="8" s="1"/>
  <c r="V207" i="8" s="1"/>
  <c r="AC207" i="8"/>
  <c r="H207" i="8"/>
  <c r="D210" i="8"/>
  <c r="E210" i="8" s="1"/>
  <c r="AD211" i="8"/>
  <c r="BP217" i="9" l="1"/>
  <c r="BQ217" i="9" s="1"/>
  <c r="BR217" i="9" s="1"/>
  <c r="G217" i="9"/>
  <c r="H217" i="9" s="1"/>
  <c r="AJ209" i="8"/>
  <c r="K209" i="8"/>
  <c r="M209" i="8" s="1"/>
  <c r="T209" i="8" s="1"/>
  <c r="BK88" i="9"/>
  <c r="AM88" i="9"/>
  <c r="Z89" i="9"/>
  <c r="AE89" i="9"/>
  <c r="BA89" i="9"/>
  <c r="BE89" i="9" s="1"/>
  <c r="BC89" i="9" s="1"/>
  <c r="Y89" i="9"/>
  <c r="AL89" i="9" s="1"/>
  <c r="X89" i="9"/>
  <c r="Q217" i="9"/>
  <c r="S217" i="9" s="1"/>
  <c r="V217" i="9" s="1"/>
  <c r="AC217" i="9"/>
  <c r="AA82" i="8"/>
  <c r="W83" i="8" s="1"/>
  <c r="Y83" i="8" s="1"/>
  <c r="I216" i="9"/>
  <c r="C218" i="9"/>
  <c r="AD217" i="9"/>
  <c r="AJ217" i="9" s="1"/>
  <c r="B218" i="9"/>
  <c r="BB82" i="8"/>
  <c r="BF82" i="8" s="1"/>
  <c r="BD82" i="8" s="1"/>
  <c r="BJ82" i="8"/>
  <c r="AX209" i="8"/>
  <c r="AU209" i="8"/>
  <c r="AI209" i="8"/>
  <c r="N209" i="8"/>
  <c r="P209" i="8" s="1"/>
  <c r="U209" i="8" s="1"/>
  <c r="AM82" i="8"/>
  <c r="K210" i="8"/>
  <c r="I207" i="8"/>
  <c r="AW208" i="8"/>
  <c r="AZ208" i="8"/>
  <c r="Q208" i="8"/>
  <c r="S208" i="8" s="1"/>
  <c r="V208" i="8" s="1"/>
  <c r="AC208" i="8"/>
  <c r="H208" i="8"/>
  <c r="D211" i="8"/>
  <c r="E211" i="8" s="1"/>
  <c r="AD212" i="8"/>
  <c r="BP218" i="9" l="1"/>
  <c r="BQ218" i="9" s="1"/>
  <c r="BR218" i="9" s="1"/>
  <c r="G218" i="9"/>
  <c r="H218" i="9" s="1"/>
  <c r="AA89" i="9"/>
  <c r="W90" i="9" s="1"/>
  <c r="BJ89" i="9"/>
  <c r="BB89" i="9"/>
  <c r="BF89" i="9" s="1"/>
  <c r="BD89" i="9" s="1"/>
  <c r="AK89" i="9"/>
  <c r="AN89" i="9" s="1"/>
  <c r="AD218" i="9"/>
  <c r="AJ218" i="9" s="1"/>
  <c r="C219" i="9"/>
  <c r="B219" i="9"/>
  <c r="Q218" i="9"/>
  <c r="S218" i="9" s="1"/>
  <c r="V218" i="9" s="1"/>
  <c r="AC218" i="9"/>
  <c r="BK82" i="8"/>
  <c r="I217" i="9"/>
  <c r="AX210" i="8"/>
  <c r="AU210" i="8"/>
  <c r="AI210" i="8"/>
  <c r="N210" i="8"/>
  <c r="P210" i="8" s="1"/>
  <c r="U210" i="8" s="1"/>
  <c r="BA83" i="8"/>
  <c r="BE83" i="8" s="1"/>
  <c r="BC83" i="8" s="1"/>
  <c r="Z83" i="8"/>
  <c r="AE83" i="8"/>
  <c r="AL83" i="8"/>
  <c r="X83" i="8"/>
  <c r="AK83" i="8" s="1"/>
  <c r="M210" i="8"/>
  <c r="T210" i="8" s="1"/>
  <c r="K211" i="8"/>
  <c r="I208" i="8"/>
  <c r="AZ209" i="8"/>
  <c r="AW209" i="8"/>
  <c r="Q209" i="8"/>
  <c r="S209" i="8" s="1"/>
  <c r="V209" i="8" s="1"/>
  <c r="AC209" i="8"/>
  <c r="H209" i="8"/>
  <c r="D212" i="8"/>
  <c r="E212" i="8" s="1"/>
  <c r="BP219" i="9" l="1"/>
  <c r="BQ219" i="9" s="1"/>
  <c r="BR219" i="9" s="1"/>
  <c r="G219" i="9"/>
  <c r="H219" i="9" s="1"/>
  <c r="BK89" i="9"/>
  <c r="AM89" i="9"/>
  <c r="BA90" i="9"/>
  <c r="BE90" i="9" s="1"/>
  <c r="BC90" i="9" s="1"/>
  <c r="Z90" i="9"/>
  <c r="AE90" i="9"/>
  <c r="X90" i="9"/>
  <c r="Y90" i="9"/>
  <c r="AL90" i="9" s="1"/>
  <c r="I218" i="9"/>
  <c r="C220" i="9"/>
  <c r="B220" i="9"/>
  <c r="AD219" i="9"/>
  <c r="AJ219" i="9" s="1"/>
  <c r="Q219" i="9"/>
  <c r="S219" i="9" s="1"/>
  <c r="V219" i="9" s="1"/>
  <c r="AC219" i="9"/>
  <c r="AX211" i="8"/>
  <c r="AU211" i="8"/>
  <c r="AI211" i="8"/>
  <c r="N211" i="8"/>
  <c r="P211" i="8" s="1"/>
  <c r="U211" i="8" s="1"/>
  <c r="BJ83" i="8"/>
  <c r="AA83" i="8"/>
  <c r="W84" i="8" s="1"/>
  <c r="AN83" i="8"/>
  <c r="BB83" i="8"/>
  <c r="BF83" i="8" s="1"/>
  <c r="BD83" i="8" s="1"/>
  <c r="M211" i="8"/>
  <c r="T211" i="8" s="1"/>
  <c r="K212" i="8"/>
  <c r="I209" i="8"/>
  <c r="AW210" i="8"/>
  <c r="AZ210" i="8"/>
  <c r="Q210" i="8"/>
  <c r="S210" i="8" s="1"/>
  <c r="V210" i="8" s="1"/>
  <c r="AC210" i="8"/>
  <c r="AD210" i="8" s="1"/>
  <c r="AJ210" i="8" s="1"/>
  <c r="H210" i="8"/>
  <c r="D213" i="8"/>
  <c r="E213" i="8" s="1"/>
  <c r="AD214" i="8"/>
  <c r="BP220" i="9" l="1"/>
  <c r="BQ220" i="9" s="1"/>
  <c r="BR220" i="9" s="1"/>
  <c r="G220" i="9"/>
  <c r="H220" i="9" s="1"/>
  <c r="AJ212" i="8"/>
  <c r="AJ211" i="8"/>
  <c r="BJ90" i="9"/>
  <c r="AK90" i="9"/>
  <c r="AN90" i="9" s="1"/>
  <c r="BB90" i="9"/>
  <c r="BF90" i="9" s="1"/>
  <c r="BD90" i="9" s="1"/>
  <c r="AA90" i="9"/>
  <c r="B221" i="9"/>
  <c r="AD220" i="9"/>
  <c r="AJ220" i="9" s="1"/>
  <c r="C221" i="9"/>
  <c r="Q220" i="9"/>
  <c r="S220" i="9" s="1"/>
  <c r="V220" i="9" s="1"/>
  <c r="AC220" i="9"/>
  <c r="I219" i="9"/>
  <c r="AX212" i="8"/>
  <c r="AU212" i="8"/>
  <c r="AI212" i="8"/>
  <c r="N212" i="8"/>
  <c r="P212" i="8" s="1"/>
  <c r="U212" i="8" s="1"/>
  <c r="BK83" i="8"/>
  <c r="AM83" i="8"/>
  <c r="M212" i="8"/>
  <c r="T212" i="8" s="1"/>
  <c r="I210" i="8"/>
  <c r="AW211" i="8"/>
  <c r="AZ211" i="8"/>
  <c r="Q211" i="8"/>
  <c r="S211" i="8" s="1"/>
  <c r="V211" i="8" s="1"/>
  <c r="AC211" i="8"/>
  <c r="H211" i="8"/>
  <c r="D214" i="8"/>
  <c r="E214" i="8" s="1"/>
  <c r="AD215" i="8"/>
  <c r="BP221" i="9" l="1"/>
  <c r="BQ221" i="9" s="1"/>
  <c r="BR221" i="9" s="1"/>
  <c r="G221" i="9"/>
  <c r="H221" i="9" s="1"/>
  <c r="K213" i="8"/>
  <c r="M213" i="8" s="1"/>
  <c r="T213" i="8" s="1"/>
  <c r="W91" i="9"/>
  <c r="BK90" i="9"/>
  <c r="AM90" i="9"/>
  <c r="I220" i="9"/>
  <c r="AC221" i="9"/>
  <c r="Q221" i="9"/>
  <c r="S221" i="9" s="1"/>
  <c r="V221" i="9" s="1"/>
  <c r="C222" i="9"/>
  <c r="B222" i="9"/>
  <c r="AD221" i="9"/>
  <c r="AJ221" i="9" s="1"/>
  <c r="AU213" i="8"/>
  <c r="AX213" i="8"/>
  <c r="AI213" i="8"/>
  <c r="N213" i="8"/>
  <c r="P213" i="8" s="1"/>
  <c r="U213" i="8" s="1"/>
  <c r="X84" i="8"/>
  <c r="AK84" i="8" s="1"/>
  <c r="AE84" i="8"/>
  <c r="BA84" i="8"/>
  <c r="BE84" i="8" s="1"/>
  <c r="BC84" i="8" s="1"/>
  <c r="Y84" i="8"/>
  <c r="AL84" i="8" s="1"/>
  <c r="Z84" i="8"/>
  <c r="I211" i="8"/>
  <c r="AW212" i="8"/>
  <c r="AZ212" i="8"/>
  <c r="Q212" i="8"/>
  <c r="S212" i="8" s="1"/>
  <c r="V212" i="8" s="1"/>
  <c r="AC212" i="8"/>
  <c r="H212" i="8"/>
  <c r="D215" i="8"/>
  <c r="E215" i="8" s="1"/>
  <c r="AD216" i="8"/>
  <c r="BP222" i="9" l="1"/>
  <c r="BQ222" i="9" s="1"/>
  <c r="BR222" i="9" s="1"/>
  <c r="G222" i="9"/>
  <c r="H222" i="9" s="1"/>
  <c r="K214" i="8"/>
  <c r="M214" i="8" s="1"/>
  <c r="T214" i="8" s="1"/>
  <c r="X91" i="9"/>
  <c r="AE91" i="9"/>
  <c r="Y91" i="9"/>
  <c r="AL91" i="9" s="1"/>
  <c r="BA91" i="9"/>
  <c r="BE91" i="9" s="1"/>
  <c r="BC91" i="9" s="1"/>
  <c r="Z91" i="9"/>
  <c r="B223" i="9"/>
  <c r="C223" i="9"/>
  <c r="Q222" i="9"/>
  <c r="S222" i="9" s="1"/>
  <c r="V222" i="9" s="1"/>
  <c r="AC222" i="9"/>
  <c r="AD222" i="9" s="1"/>
  <c r="AJ222" i="9" s="1"/>
  <c r="I221" i="9"/>
  <c r="AX214" i="8"/>
  <c r="AU214" i="8"/>
  <c r="AI214" i="8"/>
  <c r="N214" i="8"/>
  <c r="P214" i="8" s="1"/>
  <c r="U214" i="8" s="1"/>
  <c r="AA84" i="8"/>
  <c r="W85" i="8" s="1"/>
  <c r="BJ84" i="8"/>
  <c r="BB84" i="8"/>
  <c r="BF84" i="8" s="1"/>
  <c r="BD84" i="8" s="1"/>
  <c r="AN84" i="8"/>
  <c r="I212" i="8"/>
  <c r="AW213" i="8"/>
  <c r="AZ213" i="8"/>
  <c r="Q213" i="8"/>
  <c r="S213" i="8" s="1"/>
  <c r="V213" i="8" s="1"/>
  <c r="AC213" i="8"/>
  <c r="AD213" i="8" s="1"/>
  <c r="AJ213" i="8" s="1"/>
  <c r="H213" i="8"/>
  <c r="D216" i="8"/>
  <c r="E216" i="8" s="1"/>
  <c r="AD217" i="8"/>
  <c r="BP223" i="9" l="1"/>
  <c r="BQ223" i="9" s="1"/>
  <c r="BR223" i="9" s="1"/>
  <c r="G223" i="9"/>
  <c r="H223" i="9" s="1"/>
  <c r="AJ214" i="8"/>
  <c r="AJ215" i="8"/>
  <c r="K215" i="8"/>
  <c r="M215" i="8" s="1"/>
  <c r="T215" i="8" s="1"/>
  <c r="AA91" i="9"/>
  <c r="W92" i="9" s="1"/>
  <c r="BJ91" i="9"/>
  <c r="BB91" i="9"/>
  <c r="BF91" i="9" s="1"/>
  <c r="BD91" i="9" s="1"/>
  <c r="AK91" i="9"/>
  <c r="AN91" i="9" s="1"/>
  <c r="I222" i="9"/>
  <c r="AC223" i="9"/>
  <c r="AD223" i="9" s="1"/>
  <c r="AJ223" i="9" s="1"/>
  <c r="Q223" i="9"/>
  <c r="S223" i="9" s="1"/>
  <c r="V223" i="9" s="1"/>
  <c r="C224" i="9"/>
  <c r="B224" i="9"/>
  <c r="AX215" i="8"/>
  <c r="AU215" i="8"/>
  <c r="AI215" i="8"/>
  <c r="N215" i="8"/>
  <c r="P215" i="8" s="1"/>
  <c r="U215" i="8" s="1"/>
  <c r="AE85" i="8"/>
  <c r="BA85" i="8"/>
  <c r="BE85" i="8" s="1"/>
  <c r="BC85" i="8" s="1"/>
  <c r="X85" i="8"/>
  <c r="AK85" i="8" s="1"/>
  <c r="Z85" i="8"/>
  <c r="Y85" i="8"/>
  <c r="AL85" i="8" s="1"/>
  <c r="BK84" i="8"/>
  <c r="AM84" i="8"/>
  <c r="I213" i="8"/>
  <c r="AW214" i="8"/>
  <c r="AZ214" i="8"/>
  <c r="Q214" i="8"/>
  <c r="S214" i="8" s="1"/>
  <c r="V214" i="8" s="1"/>
  <c r="AC214" i="8"/>
  <c r="H214" i="8"/>
  <c r="D217" i="8"/>
  <c r="E217" i="8" s="1"/>
  <c r="AD218" i="8"/>
  <c r="BP224" i="9" l="1"/>
  <c r="BQ224" i="9" s="1"/>
  <c r="BR224" i="9" s="1"/>
  <c r="G224" i="9"/>
  <c r="H224" i="9" s="1"/>
  <c r="AJ216" i="8"/>
  <c r="K216" i="8"/>
  <c r="M216" i="8" s="1"/>
  <c r="T216" i="8" s="1"/>
  <c r="BK91" i="9"/>
  <c r="AM91" i="9"/>
  <c r="Z92" i="9"/>
  <c r="BA92" i="9"/>
  <c r="BE92" i="9" s="1"/>
  <c r="BC92" i="9" s="1"/>
  <c r="X92" i="9"/>
  <c r="Y92" i="9"/>
  <c r="AL92" i="9" s="1"/>
  <c r="AE92" i="9"/>
  <c r="I223" i="9"/>
  <c r="B225" i="9"/>
  <c r="AD224" i="9"/>
  <c r="AJ224" i="9" s="1"/>
  <c r="C225" i="9"/>
  <c r="Q224" i="9"/>
  <c r="S224" i="9" s="1"/>
  <c r="V224" i="9" s="1"/>
  <c r="AC224" i="9"/>
  <c r="AX216" i="8"/>
  <c r="AU216" i="8"/>
  <c r="AI216" i="8"/>
  <c r="N216" i="8"/>
  <c r="P216" i="8" s="1"/>
  <c r="U216" i="8" s="1"/>
  <c r="BB85" i="8"/>
  <c r="BF85" i="8" s="1"/>
  <c r="BD85" i="8" s="1"/>
  <c r="AN85" i="8"/>
  <c r="AA85" i="8"/>
  <c r="W86" i="8" s="1"/>
  <c r="BJ85" i="8"/>
  <c r="I214" i="8"/>
  <c r="AZ215" i="8"/>
  <c r="AW215" i="8"/>
  <c r="Q215" i="8"/>
  <c r="S215" i="8" s="1"/>
  <c r="V215" i="8" s="1"/>
  <c r="AC215" i="8"/>
  <c r="H215" i="8"/>
  <c r="D218" i="8"/>
  <c r="E218" i="8" s="1"/>
  <c r="AD219" i="8"/>
  <c r="BP225" i="9" l="1"/>
  <c r="BQ225" i="9" s="1"/>
  <c r="BR225" i="9" s="1"/>
  <c r="G225" i="9"/>
  <c r="H225" i="9" s="1"/>
  <c r="AJ217" i="8"/>
  <c r="K217" i="8"/>
  <c r="M217" i="8" s="1"/>
  <c r="T217" i="8" s="1"/>
  <c r="BB92" i="9"/>
  <c r="BF92" i="9" s="1"/>
  <c r="BD92" i="9" s="1"/>
  <c r="AK92" i="9"/>
  <c r="AN92" i="9" s="1"/>
  <c r="AA92" i="9"/>
  <c r="BJ92" i="9"/>
  <c r="AC225" i="9"/>
  <c r="Q225" i="9"/>
  <c r="S225" i="9" s="1"/>
  <c r="V225" i="9" s="1"/>
  <c r="C226" i="9"/>
  <c r="B226" i="9"/>
  <c r="AD225" i="9"/>
  <c r="AJ225" i="9" s="1"/>
  <c r="I224" i="9"/>
  <c r="AX217" i="8"/>
  <c r="AU217" i="8"/>
  <c r="AI217" i="8"/>
  <c r="N217" i="8"/>
  <c r="P217" i="8" s="1"/>
  <c r="U217" i="8" s="1"/>
  <c r="BK85" i="8"/>
  <c r="AM85" i="8"/>
  <c r="I215" i="8"/>
  <c r="AZ216" i="8"/>
  <c r="AW216" i="8"/>
  <c r="Q216" i="8"/>
  <c r="S216" i="8" s="1"/>
  <c r="V216" i="8" s="1"/>
  <c r="AC216" i="8"/>
  <c r="H216" i="8"/>
  <c r="D219" i="8"/>
  <c r="E219" i="8" s="1"/>
  <c r="AD220" i="8"/>
  <c r="BP226" i="9" l="1"/>
  <c r="BQ226" i="9" s="1"/>
  <c r="BR226" i="9" s="1"/>
  <c r="G226" i="9"/>
  <c r="H226" i="9" s="1"/>
  <c r="AJ218" i="8"/>
  <c r="K218" i="8"/>
  <c r="M218" i="8" s="1"/>
  <c r="T218" i="8" s="1"/>
  <c r="BK92" i="9"/>
  <c r="AM92" i="9"/>
  <c r="W93" i="9"/>
  <c r="B227" i="9"/>
  <c r="AD226" i="9"/>
  <c r="AJ226" i="9" s="1"/>
  <c r="C227" i="9"/>
  <c r="Q226" i="9"/>
  <c r="S226" i="9" s="1"/>
  <c r="V226" i="9" s="1"/>
  <c r="AC226" i="9"/>
  <c r="I225" i="9"/>
  <c r="AX218" i="8"/>
  <c r="AU218" i="8"/>
  <c r="AI218" i="8"/>
  <c r="N218" i="8"/>
  <c r="P218" i="8" s="1"/>
  <c r="U218" i="8" s="1"/>
  <c r="BA86" i="8"/>
  <c r="BE86" i="8" s="1"/>
  <c r="BC86" i="8" s="1"/>
  <c r="Z86" i="8"/>
  <c r="AE86" i="8"/>
  <c r="Y86" i="8"/>
  <c r="AL86" i="8" s="1"/>
  <c r="X86" i="8"/>
  <c r="AK86" i="8" s="1"/>
  <c r="I216" i="8"/>
  <c r="AZ217" i="8"/>
  <c r="AW217" i="8"/>
  <c r="Q217" i="8"/>
  <c r="S217" i="8" s="1"/>
  <c r="V217" i="8" s="1"/>
  <c r="AC217" i="8"/>
  <c r="H217" i="8"/>
  <c r="D220" i="8"/>
  <c r="E220" i="8" s="1"/>
  <c r="AD221" i="8"/>
  <c r="BP227" i="9" l="1"/>
  <c r="BQ227" i="9" s="1"/>
  <c r="BR227" i="9" s="1"/>
  <c r="G227" i="9"/>
  <c r="H227" i="9" s="1"/>
  <c r="AJ219" i="8"/>
  <c r="K219" i="8"/>
  <c r="M219" i="8" s="1"/>
  <c r="T219" i="8" s="1"/>
  <c r="Y93" i="9"/>
  <c r="AL93" i="9" s="1"/>
  <c r="X93" i="9"/>
  <c r="AE93" i="9"/>
  <c r="Z93" i="9"/>
  <c r="BA93" i="9"/>
  <c r="BE93" i="9" s="1"/>
  <c r="BC93" i="9" s="1"/>
  <c r="AC227" i="9"/>
  <c r="Q227" i="9"/>
  <c r="S227" i="9" s="1"/>
  <c r="V227" i="9" s="1"/>
  <c r="C228" i="9"/>
  <c r="B228" i="9"/>
  <c r="AD227" i="9"/>
  <c r="AJ227" i="9" s="1"/>
  <c r="I226" i="9"/>
  <c r="BJ86" i="8"/>
  <c r="AX219" i="8"/>
  <c r="AU219" i="8"/>
  <c r="AI219" i="8"/>
  <c r="N219" i="8"/>
  <c r="P219" i="8" s="1"/>
  <c r="U219" i="8" s="1"/>
  <c r="AA86" i="8"/>
  <c r="W87" i="8" s="1"/>
  <c r="BB86" i="8"/>
  <c r="BF86" i="8" s="1"/>
  <c r="BD86" i="8" s="1"/>
  <c r="AN86" i="8"/>
  <c r="I217" i="8"/>
  <c r="AW218" i="8"/>
  <c r="AZ218" i="8"/>
  <c r="Q218" i="8"/>
  <c r="S218" i="8" s="1"/>
  <c r="V218" i="8" s="1"/>
  <c r="AC218" i="8"/>
  <c r="H218" i="8"/>
  <c r="D221" i="8"/>
  <c r="E221" i="8" s="1"/>
  <c r="BP228" i="9" l="1"/>
  <c r="BQ228" i="9" s="1"/>
  <c r="BR228" i="9" s="1"/>
  <c r="G228" i="9"/>
  <c r="H228" i="9" s="1"/>
  <c r="AJ220" i="8"/>
  <c r="K220" i="8"/>
  <c r="M220" i="8" s="1"/>
  <c r="T220" i="8" s="1"/>
  <c r="AA93" i="9"/>
  <c r="W94" i="9" s="1"/>
  <c r="AK93" i="9"/>
  <c r="AN93" i="9" s="1"/>
  <c r="BB93" i="9"/>
  <c r="BF93" i="9" s="1"/>
  <c r="BD93" i="9" s="1"/>
  <c r="BJ93" i="9"/>
  <c r="I227" i="9"/>
  <c r="B229" i="9"/>
  <c r="AD228" i="9"/>
  <c r="AJ228" i="9" s="1"/>
  <c r="C229" i="9"/>
  <c r="Q228" i="9"/>
  <c r="S228" i="9" s="1"/>
  <c r="V228" i="9" s="1"/>
  <c r="AC228" i="9"/>
  <c r="AX220" i="8"/>
  <c r="AU220" i="8"/>
  <c r="AI220" i="8"/>
  <c r="N220" i="8"/>
  <c r="P220" i="8" s="1"/>
  <c r="U220" i="8" s="1"/>
  <c r="BK86" i="8"/>
  <c r="AM86" i="8"/>
  <c r="Y87" i="8"/>
  <c r="AL87" i="8" s="1"/>
  <c r="X87" i="8"/>
  <c r="AK87" i="8" s="1"/>
  <c r="BA87" i="8"/>
  <c r="BE87" i="8" s="1"/>
  <c r="BC87" i="8" s="1"/>
  <c r="AE87" i="8"/>
  <c r="Z87" i="8"/>
  <c r="I218" i="8"/>
  <c r="AW219" i="8"/>
  <c r="AZ219" i="8"/>
  <c r="Q219" i="8"/>
  <c r="S219" i="8" s="1"/>
  <c r="V219" i="8" s="1"/>
  <c r="AC219" i="8"/>
  <c r="H219" i="8"/>
  <c r="D222" i="8"/>
  <c r="E222" i="8" s="1"/>
  <c r="AD223" i="8"/>
  <c r="BP229" i="9" l="1"/>
  <c r="BQ229" i="9" s="1"/>
  <c r="BR229" i="9" s="1"/>
  <c r="G229" i="9"/>
  <c r="H229" i="9" s="1"/>
  <c r="AJ221" i="8"/>
  <c r="K221" i="8"/>
  <c r="M221" i="8" s="1"/>
  <c r="T221" i="8" s="1"/>
  <c r="BK93" i="9"/>
  <c r="AM93" i="9"/>
  <c r="AE94" i="9"/>
  <c r="Y94" i="9"/>
  <c r="AL94" i="9" s="1"/>
  <c r="Z94" i="9"/>
  <c r="X94" i="9"/>
  <c r="BA94" i="9"/>
  <c r="BE94" i="9" s="1"/>
  <c r="BC94" i="9" s="1"/>
  <c r="AC229" i="9"/>
  <c r="Q229" i="9"/>
  <c r="S229" i="9" s="1"/>
  <c r="V229" i="9" s="1"/>
  <c r="I228" i="9"/>
  <c r="C230" i="9"/>
  <c r="B230" i="9"/>
  <c r="AD229" i="9"/>
  <c r="AJ229" i="9" s="1"/>
  <c r="AU221" i="8"/>
  <c r="AI221" i="8"/>
  <c r="AX221" i="8"/>
  <c r="N221" i="8"/>
  <c r="P221" i="8" s="1"/>
  <c r="U221" i="8" s="1"/>
  <c r="BJ87" i="8"/>
  <c r="AN87" i="8"/>
  <c r="BB87" i="8"/>
  <c r="BF87" i="8" s="1"/>
  <c r="BD87" i="8" s="1"/>
  <c r="AA87" i="8"/>
  <c r="W88" i="8" s="1"/>
  <c r="K222" i="8"/>
  <c r="I219" i="8"/>
  <c r="AZ220" i="8"/>
  <c r="AW220" i="8"/>
  <c r="Q220" i="8"/>
  <c r="S220" i="8" s="1"/>
  <c r="V220" i="8" s="1"/>
  <c r="AC220" i="8"/>
  <c r="H220" i="8"/>
  <c r="D223" i="8"/>
  <c r="E223" i="8" s="1"/>
  <c r="AD224" i="8"/>
  <c r="BP230" i="9" l="1"/>
  <c r="BQ230" i="9" s="1"/>
  <c r="BR230" i="9" s="1"/>
  <c r="G230" i="9"/>
  <c r="H230" i="9" s="1"/>
  <c r="BJ94" i="9"/>
  <c r="AA94" i="9"/>
  <c r="W95" i="9" s="1"/>
  <c r="AK94" i="9"/>
  <c r="AN94" i="9" s="1"/>
  <c r="BB94" i="9"/>
  <c r="BF94" i="9" s="1"/>
  <c r="BD94" i="9" s="1"/>
  <c r="B231" i="9"/>
  <c r="AD230" i="9"/>
  <c r="AJ230" i="9" s="1"/>
  <c r="C231" i="9"/>
  <c r="I229" i="9"/>
  <c r="Q230" i="9"/>
  <c r="S230" i="9" s="1"/>
  <c r="V230" i="9" s="1"/>
  <c r="AC230" i="9"/>
  <c r="AX222" i="8"/>
  <c r="AU222" i="8"/>
  <c r="AI222" i="8"/>
  <c r="N222" i="8"/>
  <c r="P222" i="8" s="1"/>
  <c r="U222" i="8" s="1"/>
  <c r="BK87" i="8"/>
  <c r="AM87" i="8"/>
  <c r="M222" i="8"/>
  <c r="T222" i="8" s="1"/>
  <c r="K223" i="8"/>
  <c r="I220" i="8"/>
  <c r="AW221" i="8"/>
  <c r="AZ221" i="8"/>
  <c r="Q221" i="8"/>
  <c r="S221" i="8" s="1"/>
  <c r="V221" i="8" s="1"/>
  <c r="AC221" i="8"/>
  <c r="H221" i="8"/>
  <c r="D224" i="8"/>
  <c r="E224" i="8" s="1"/>
  <c r="BP231" i="9" l="1"/>
  <c r="BQ231" i="9" s="1"/>
  <c r="BR231" i="9" s="1"/>
  <c r="G231" i="9"/>
  <c r="H231" i="9" s="1"/>
  <c r="BK94" i="9"/>
  <c r="AM94" i="9"/>
  <c r="Y95" i="9"/>
  <c r="AL95" i="9" s="1"/>
  <c r="BA95" i="9"/>
  <c r="BE95" i="9" s="1"/>
  <c r="BC95" i="9" s="1"/>
  <c r="X95" i="9"/>
  <c r="AE95" i="9"/>
  <c r="Z95" i="9"/>
  <c r="I230" i="9"/>
  <c r="AC231" i="9"/>
  <c r="Q231" i="9"/>
  <c r="S231" i="9" s="1"/>
  <c r="V231" i="9" s="1"/>
  <c r="C232" i="9"/>
  <c r="B232" i="9"/>
  <c r="AD231" i="9"/>
  <c r="AJ231" i="9" s="1"/>
  <c r="AX223" i="8"/>
  <c r="AU223" i="8"/>
  <c r="AI223" i="8"/>
  <c r="N223" i="8"/>
  <c r="P223" i="8" s="1"/>
  <c r="U223" i="8" s="1"/>
  <c r="Z88" i="8"/>
  <c r="Y88" i="8"/>
  <c r="AL88" i="8" s="1"/>
  <c r="BA88" i="8"/>
  <c r="BE88" i="8" s="1"/>
  <c r="BC88" i="8" s="1"/>
  <c r="X88" i="8"/>
  <c r="AK88" i="8" s="1"/>
  <c r="AE88" i="8"/>
  <c r="M223" i="8"/>
  <c r="T223" i="8" s="1"/>
  <c r="K224" i="8"/>
  <c r="I221" i="8"/>
  <c r="AZ222" i="8"/>
  <c r="AW222" i="8"/>
  <c r="Q222" i="8"/>
  <c r="S222" i="8" s="1"/>
  <c r="V222" i="8" s="1"/>
  <c r="AC222" i="8"/>
  <c r="AD222" i="8" s="1"/>
  <c r="AJ222" i="8" s="1"/>
  <c r="H222" i="8"/>
  <c r="D225" i="8"/>
  <c r="E225" i="8" s="1"/>
  <c r="AD226" i="8"/>
  <c r="BP232" i="9" l="1"/>
  <c r="BQ232" i="9" s="1"/>
  <c r="BR232" i="9" s="1"/>
  <c r="G232" i="9"/>
  <c r="H232" i="9" s="1"/>
  <c r="AJ224" i="8"/>
  <c r="AA95" i="9"/>
  <c r="W96" i="9" s="1"/>
  <c r="AJ223" i="8"/>
  <c r="AK95" i="9"/>
  <c r="AN95" i="9" s="1"/>
  <c r="BB95" i="9"/>
  <c r="BF95" i="9" s="1"/>
  <c r="BD95" i="9" s="1"/>
  <c r="BJ95" i="9"/>
  <c r="AD232" i="9"/>
  <c r="AJ232" i="9" s="1"/>
  <c r="C233" i="9"/>
  <c r="B233" i="9"/>
  <c r="I231" i="9"/>
  <c r="Q232" i="9"/>
  <c r="S232" i="9" s="1"/>
  <c r="V232" i="9" s="1"/>
  <c r="AC232" i="9"/>
  <c r="AX224" i="8"/>
  <c r="AU224" i="8"/>
  <c r="AI224" i="8"/>
  <c r="N224" i="8"/>
  <c r="P224" i="8" s="1"/>
  <c r="U224" i="8" s="1"/>
  <c r="AA88" i="8"/>
  <c r="W89" i="8" s="1"/>
  <c r="BJ88" i="8"/>
  <c r="BB88" i="8"/>
  <c r="BF88" i="8" s="1"/>
  <c r="BD88" i="8" s="1"/>
  <c r="AN88" i="8"/>
  <c r="M224" i="8"/>
  <c r="T224" i="8" s="1"/>
  <c r="I222" i="8"/>
  <c r="AZ223" i="8"/>
  <c r="AW223" i="8"/>
  <c r="Q223" i="8"/>
  <c r="S223" i="8" s="1"/>
  <c r="V223" i="8" s="1"/>
  <c r="AC223" i="8"/>
  <c r="H223" i="8"/>
  <c r="D226" i="8"/>
  <c r="E226" i="8" s="1"/>
  <c r="AD227" i="8"/>
  <c r="BP233" i="9" l="1"/>
  <c r="BQ233" i="9" s="1"/>
  <c r="BR233" i="9" s="1"/>
  <c r="G233" i="9"/>
  <c r="H233" i="9" s="1"/>
  <c r="K225" i="8"/>
  <c r="M225" i="8" s="1"/>
  <c r="T225" i="8" s="1"/>
  <c r="Y96" i="9"/>
  <c r="AL96" i="9" s="1"/>
  <c r="BA96" i="9"/>
  <c r="BE96" i="9" s="1"/>
  <c r="BC96" i="9" s="1"/>
  <c r="AE96" i="9"/>
  <c r="X96" i="9"/>
  <c r="Z96" i="9"/>
  <c r="BK95" i="9"/>
  <c r="AM95" i="9"/>
  <c r="I232" i="9"/>
  <c r="C234" i="9"/>
  <c r="B234" i="9"/>
  <c r="AD233" i="9"/>
  <c r="AJ233" i="9" s="1"/>
  <c r="AC233" i="9"/>
  <c r="Q233" i="9"/>
  <c r="S233" i="9" s="1"/>
  <c r="V233" i="9" s="1"/>
  <c r="AX225" i="8"/>
  <c r="AU225" i="8"/>
  <c r="AI225" i="8"/>
  <c r="N225" i="8"/>
  <c r="P225" i="8" s="1"/>
  <c r="U225" i="8" s="1"/>
  <c r="BK88" i="8"/>
  <c r="AM88" i="8"/>
  <c r="I223" i="8"/>
  <c r="AW224" i="8"/>
  <c r="AZ224" i="8"/>
  <c r="Q224" i="8"/>
  <c r="S224" i="8" s="1"/>
  <c r="V224" i="8" s="1"/>
  <c r="AC224" i="8"/>
  <c r="H224" i="8"/>
  <c r="D227" i="8"/>
  <c r="E227" i="8" s="1"/>
  <c r="AD228" i="8"/>
  <c r="BP234" i="9" l="1"/>
  <c r="BQ234" i="9" s="1"/>
  <c r="BR234" i="9" s="1"/>
  <c r="G234" i="9"/>
  <c r="H234" i="9" s="1"/>
  <c r="K226" i="8"/>
  <c r="M226" i="8" s="1"/>
  <c r="T226" i="8" s="1"/>
  <c r="BJ96" i="9"/>
  <c r="AA96" i="9"/>
  <c r="W97" i="9" s="1"/>
  <c r="BB96" i="9"/>
  <c r="BF96" i="9" s="1"/>
  <c r="BD96" i="9" s="1"/>
  <c r="AK96" i="9"/>
  <c r="AN96" i="9" s="1"/>
  <c r="B235" i="9"/>
  <c r="C235" i="9"/>
  <c r="Q234" i="9"/>
  <c r="S234" i="9" s="1"/>
  <c r="V234" i="9" s="1"/>
  <c r="AC234" i="9"/>
  <c r="AD234" i="9" s="1"/>
  <c r="AJ234" i="9" s="1"/>
  <c r="I233" i="9"/>
  <c r="AX226" i="8"/>
  <c r="AU226" i="8"/>
  <c r="AI226" i="8"/>
  <c r="N226" i="8"/>
  <c r="P226" i="8" s="1"/>
  <c r="U226" i="8" s="1"/>
  <c r="Y89" i="8"/>
  <c r="AL89" i="8" s="1"/>
  <c r="AE89" i="8"/>
  <c r="X89" i="8"/>
  <c r="AK89" i="8" s="1"/>
  <c r="BA89" i="8"/>
  <c r="BE89" i="8" s="1"/>
  <c r="BC89" i="8" s="1"/>
  <c r="Z89" i="8"/>
  <c r="I224" i="8"/>
  <c r="AW225" i="8"/>
  <c r="AZ225" i="8"/>
  <c r="Q225" i="8"/>
  <c r="S225" i="8" s="1"/>
  <c r="V225" i="8" s="1"/>
  <c r="AC225" i="8"/>
  <c r="AD225" i="8" s="1"/>
  <c r="AJ225" i="8" s="1"/>
  <c r="H225" i="8"/>
  <c r="D228" i="8"/>
  <c r="E228" i="8" s="1"/>
  <c r="AD229" i="8"/>
  <c r="BP235" i="9" l="1"/>
  <c r="BQ235" i="9" s="1"/>
  <c r="BR235" i="9" s="1"/>
  <c r="G235" i="9"/>
  <c r="H235" i="9" s="1"/>
  <c r="AJ226" i="8"/>
  <c r="AJ227" i="8"/>
  <c r="K227" i="8"/>
  <c r="M227" i="8" s="1"/>
  <c r="T227" i="8" s="1"/>
  <c r="Z97" i="9"/>
  <c r="X97" i="9"/>
  <c r="BA97" i="9"/>
  <c r="BE97" i="9" s="1"/>
  <c r="BC97" i="9" s="1"/>
  <c r="Y97" i="9"/>
  <c r="AL97" i="9" s="1"/>
  <c r="AE97" i="9"/>
  <c r="BK96" i="9"/>
  <c r="AM96" i="9"/>
  <c r="Q235" i="9"/>
  <c r="S235" i="9" s="1"/>
  <c r="V235" i="9" s="1"/>
  <c r="AC235" i="9"/>
  <c r="AD235" i="9" s="1"/>
  <c r="AJ235" i="9" s="1"/>
  <c r="C236" i="9"/>
  <c r="B236" i="9"/>
  <c r="I234" i="9"/>
  <c r="AX227" i="8"/>
  <c r="AU227" i="8"/>
  <c r="AI227" i="8"/>
  <c r="N227" i="8"/>
  <c r="P227" i="8" s="1"/>
  <c r="U227" i="8" s="1"/>
  <c r="AN89" i="8"/>
  <c r="BB89" i="8"/>
  <c r="BF89" i="8" s="1"/>
  <c r="BD89" i="8" s="1"/>
  <c r="BJ89" i="8"/>
  <c r="AA89" i="8"/>
  <c r="W90" i="8" s="1"/>
  <c r="I225" i="8"/>
  <c r="AZ226" i="8"/>
  <c r="AW226" i="8"/>
  <c r="Q226" i="8"/>
  <c r="S226" i="8" s="1"/>
  <c r="V226" i="8" s="1"/>
  <c r="AC226" i="8"/>
  <c r="H226" i="8"/>
  <c r="D229" i="8"/>
  <c r="E229" i="8" s="1"/>
  <c r="AD230" i="8"/>
  <c r="BP236" i="9" l="1"/>
  <c r="BQ236" i="9" s="1"/>
  <c r="BR236" i="9" s="1"/>
  <c r="G236" i="9"/>
  <c r="H236" i="9" s="1"/>
  <c r="AJ228" i="8"/>
  <c r="K228" i="8"/>
  <c r="M228" i="8" s="1"/>
  <c r="T228" i="8" s="1"/>
  <c r="AA97" i="9"/>
  <c r="W98" i="9" s="1"/>
  <c r="BJ97" i="9"/>
  <c r="BB97" i="9"/>
  <c r="BF97" i="9" s="1"/>
  <c r="BD97" i="9" s="1"/>
  <c r="AK97" i="9"/>
  <c r="AN97" i="9" s="1"/>
  <c r="I235" i="9"/>
  <c r="AD236" i="9"/>
  <c r="AJ236" i="9" s="1"/>
  <c r="C237" i="9"/>
  <c r="B237" i="9"/>
  <c r="Q236" i="9"/>
  <c r="S236" i="9" s="1"/>
  <c r="V236" i="9" s="1"/>
  <c r="AC236" i="9"/>
  <c r="AX228" i="8"/>
  <c r="AU228" i="8"/>
  <c r="AI228" i="8"/>
  <c r="N228" i="8"/>
  <c r="P228" i="8" s="1"/>
  <c r="U228" i="8" s="1"/>
  <c r="BK89" i="8"/>
  <c r="AM89" i="8"/>
  <c r="I226" i="8"/>
  <c r="AW227" i="8"/>
  <c r="AZ227" i="8"/>
  <c r="Q227" i="8"/>
  <c r="S227" i="8" s="1"/>
  <c r="V227" i="8" s="1"/>
  <c r="AC227" i="8"/>
  <c r="H227" i="8"/>
  <c r="D230" i="8"/>
  <c r="E230" i="8" s="1"/>
  <c r="AD231" i="8"/>
  <c r="BP237" i="9" l="1"/>
  <c r="BQ237" i="9" s="1"/>
  <c r="BR237" i="9" s="1"/>
  <c r="G237" i="9"/>
  <c r="H237" i="9" s="1"/>
  <c r="AJ229" i="8"/>
  <c r="K229" i="8"/>
  <c r="M229" i="8" s="1"/>
  <c r="T229" i="8" s="1"/>
  <c r="BK97" i="9"/>
  <c r="AM97" i="9"/>
  <c r="X98" i="9"/>
  <c r="Y98" i="9"/>
  <c r="AL98" i="9" s="1"/>
  <c r="Z98" i="9"/>
  <c r="BA98" i="9"/>
  <c r="BE98" i="9" s="1"/>
  <c r="BC98" i="9" s="1"/>
  <c r="AE98" i="9"/>
  <c r="C238" i="9"/>
  <c r="B238" i="9"/>
  <c r="AD237" i="9"/>
  <c r="AJ237" i="9" s="1"/>
  <c r="Q237" i="9"/>
  <c r="S237" i="9" s="1"/>
  <c r="V237" i="9" s="1"/>
  <c r="AC237" i="9"/>
  <c r="I236" i="9"/>
  <c r="AI229" i="8"/>
  <c r="AU229" i="8"/>
  <c r="AX229" i="8"/>
  <c r="N229" i="8"/>
  <c r="P229" i="8" s="1"/>
  <c r="U229" i="8" s="1"/>
  <c r="BA90" i="8"/>
  <c r="BE90" i="8" s="1"/>
  <c r="BC90" i="8" s="1"/>
  <c r="Y90" i="8"/>
  <c r="AL90" i="8" s="1"/>
  <c r="X90" i="8"/>
  <c r="AK90" i="8" s="1"/>
  <c r="AE90" i="8"/>
  <c r="Z90" i="8"/>
  <c r="I227" i="8"/>
  <c r="AZ228" i="8"/>
  <c r="AW228" i="8"/>
  <c r="Q228" i="8"/>
  <c r="S228" i="8" s="1"/>
  <c r="V228" i="8" s="1"/>
  <c r="AC228" i="8"/>
  <c r="H228" i="8"/>
  <c r="D231" i="8"/>
  <c r="E231" i="8" s="1"/>
  <c r="AD232" i="8"/>
  <c r="BP238" i="9" l="1"/>
  <c r="BQ238" i="9" s="1"/>
  <c r="BR238" i="9" s="1"/>
  <c r="G238" i="9"/>
  <c r="H238" i="9" s="1"/>
  <c r="AJ230" i="8"/>
  <c r="K230" i="8"/>
  <c r="M230" i="8" s="1"/>
  <c r="T230" i="8" s="1"/>
  <c r="AK98" i="9"/>
  <c r="AN98" i="9" s="1"/>
  <c r="BB98" i="9"/>
  <c r="BF98" i="9" s="1"/>
  <c r="BD98" i="9" s="1"/>
  <c r="AA98" i="9"/>
  <c r="BJ98" i="9"/>
  <c r="AD238" i="9"/>
  <c r="AJ238" i="9" s="1"/>
  <c r="B239" i="9"/>
  <c r="C239" i="9"/>
  <c r="I237" i="9"/>
  <c r="Q238" i="9"/>
  <c r="S238" i="9" s="1"/>
  <c r="V238" i="9" s="1"/>
  <c r="AC238" i="9"/>
  <c r="AX230" i="8"/>
  <c r="AU230" i="8"/>
  <c r="AI230" i="8"/>
  <c r="N230" i="8"/>
  <c r="P230" i="8" s="1"/>
  <c r="U230" i="8" s="1"/>
  <c r="BJ90" i="8"/>
  <c r="AN90" i="8"/>
  <c r="BB90" i="8"/>
  <c r="BF90" i="8" s="1"/>
  <c r="BD90" i="8" s="1"/>
  <c r="AA90" i="8"/>
  <c r="W91" i="8" s="1"/>
  <c r="I228" i="8"/>
  <c r="AW229" i="8"/>
  <c r="AZ229" i="8"/>
  <c r="Q229" i="8"/>
  <c r="S229" i="8" s="1"/>
  <c r="V229" i="8" s="1"/>
  <c r="AC229" i="8"/>
  <c r="H229" i="8"/>
  <c r="D232" i="8"/>
  <c r="E232" i="8" s="1"/>
  <c r="AD233" i="8"/>
  <c r="BP239" i="9" l="1"/>
  <c r="BQ239" i="9" s="1"/>
  <c r="BR239" i="9" s="1"/>
  <c r="G239" i="9"/>
  <c r="H239" i="9" s="1"/>
  <c r="AJ231" i="8"/>
  <c r="K231" i="8"/>
  <c r="M231" i="8" s="1"/>
  <c r="T231" i="8" s="1"/>
  <c r="W99" i="9"/>
  <c r="BK98" i="9"/>
  <c r="AM98" i="9"/>
  <c r="I238" i="9"/>
  <c r="AC239" i="9"/>
  <c r="Q239" i="9"/>
  <c r="S239" i="9" s="1"/>
  <c r="V239" i="9" s="1"/>
  <c r="C240" i="9"/>
  <c r="B240" i="9"/>
  <c r="AD239" i="9"/>
  <c r="AJ239" i="9" s="1"/>
  <c r="AX231" i="8"/>
  <c r="AU231" i="8"/>
  <c r="AI231" i="8"/>
  <c r="N231" i="8"/>
  <c r="P231" i="8" s="1"/>
  <c r="U231" i="8" s="1"/>
  <c r="BK90" i="8"/>
  <c r="AM90" i="8"/>
  <c r="I229" i="8"/>
  <c r="AW230" i="8"/>
  <c r="AZ230" i="8"/>
  <c r="Q230" i="8"/>
  <c r="S230" i="8" s="1"/>
  <c r="V230" i="8" s="1"/>
  <c r="AC230" i="8"/>
  <c r="H230" i="8"/>
  <c r="D233" i="8"/>
  <c r="E233" i="8" s="1"/>
  <c r="BP240" i="9" l="1"/>
  <c r="BQ240" i="9" s="1"/>
  <c r="BR240" i="9" s="1"/>
  <c r="G240" i="9"/>
  <c r="H240" i="9" s="1"/>
  <c r="AJ232" i="8"/>
  <c r="K232" i="8"/>
  <c r="M232" i="8" s="1"/>
  <c r="T232" i="8" s="1"/>
  <c r="Z99" i="9"/>
  <c r="BA99" i="9"/>
  <c r="BE99" i="9" s="1"/>
  <c r="BC99" i="9" s="1"/>
  <c r="AE99" i="9"/>
  <c r="X99" i="9"/>
  <c r="Y99" i="9"/>
  <c r="AL99" i="9" s="1"/>
  <c r="AD240" i="9"/>
  <c r="AJ240" i="9" s="1"/>
  <c r="B241" i="9"/>
  <c r="C241" i="9"/>
  <c r="Q240" i="9"/>
  <c r="S240" i="9" s="1"/>
  <c r="V240" i="9" s="1"/>
  <c r="AC240" i="9"/>
  <c r="I239" i="9"/>
  <c r="AX232" i="8"/>
  <c r="AU232" i="8"/>
  <c r="AI232" i="8"/>
  <c r="N232" i="8"/>
  <c r="P232" i="8" s="1"/>
  <c r="U232" i="8" s="1"/>
  <c r="AE91" i="8"/>
  <c r="BA91" i="8"/>
  <c r="BE91" i="8" s="1"/>
  <c r="BC91" i="8" s="1"/>
  <c r="X91" i="8"/>
  <c r="AK91" i="8" s="1"/>
  <c r="Y91" i="8"/>
  <c r="AL91" i="8" s="1"/>
  <c r="Z91" i="8"/>
  <c r="I230" i="8"/>
  <c r="AW231" i="8"/>
  <c r="AZ231" i="8"/>
  <c r="Q231" i="8"/>
  <c r="S231" i="8" s="1"/>
  <c r="V231" i="8" s="1"/>
  <c r="AC231" i="8"/>
  <c r="H231" i="8"/>
  <c r="D234" i="8"/>
  <c r="E234" i="8" s="1"/>
  <c r="AD235" i="8"/>
  <c r="BP241" i="9" l="1"/>
  <c r="BQ241" i="9" s="1"/>
  <c r="BR241" i="9" s="1"/>
  <c r="G241" i="9"/>
  <c r="H241" i="9" s="1"/>
  <c r="AJ233" i="8"/>
  <c r="K233" i="8"/>
  <c r="M233" i="8" s="1"/>
  <c r="T233" i="8" s="1"/>
  <c r="BJ99" i="9"/>
  <c r="AK99" i="9"/>
  <c r="AN99" i="9" s="1"/>
  <c r="BB99" i="9"/>
  <c r="BF99" i="9" s="1"/>
  <c r="BD99" i="9" s="1"/>
  <c r="AA99" i="9"/>
  <c r="AC241" i="9"/>
  <c r="Q241" i="9"/>
  <c r="S241" i="9" s="1"/>
  <c r="V241" i="9" s="1"/>
  <c r="I240" i="9"/>
  <c r="C242" i="9"/>
  <c r="B242" i="9"/>
  <c r="AD241" i="9"/>
  <c r="AJ241" i="9" s="1"/>
  <c r="AX233" i="8"/>
  <c r="AU233" i="8"/>
  <c r="AI233" i="8"/>
  <c r="N233" i="8"/>
  <c r="P233" i="8" s="1"/>
  <c r="U233" i="8" s="1"/>
  <c r="AA91" i="8"/>
  <c r="W92" i="8" s="1"/>
  <c r="BB91" i="8"/>
  <c r="BF91" i="8" s="1"/>
  <c r="BD91" i="8" s="1"/>
  <c r="AN91" i="8"/>
  <c r="BJ91" i="8"/>
  <c r="K234" i="8"/>
  <c r="I231" i="8"/>
  <c r="AW232" i="8"/>
  <c r="AZ232" i="8"/>
  <c r="Q232" i="8"/>
  <c r="S232" i="8" s="1"/>
  <c r="V232" i="8" s="1"/>
  <c r="AC232" i="8"/>
  <c r="H232" i="8"/>
  <c r="D235" i="8"/>
  <c r="E235" i="8" s="1"/>
  <c r="AD236" i="8"/>
  <c r="BP242" i="9" l="1"/>
  <c r="BQ242" i="9" s="1"/>
  <c r="BR242" i="9" s="1"/>
  <c r="G242" i="9"/>
  <c r="H242" i="9" s="1"/>
  <c r="W100" i="9"/>
  <c r="BK99" i="9"/>
  <c r="AM99" i="9"/>
  <c r="AD242" i="9"/>
  <c r="AJ242" i="9" s="1"/>
  <c r="B243" i="9"/>
  <c r="C243" i="9"/>
  <c r="Q242" i="9"/>
  <c r="S242" i="9" s="1"/>
  <c r="V242" i="9" s="1"/>
  <c r="AC242" i="9"/>
  <c r="I241" i="9"/>
  <c r="AX234" i="8"/>
  <c r="AU234" i="8"/>
  <c r="AI234" i="8"/>
  <c r="N234" i="8"/>
  <c r="P234" i="8" s="1"/>
  <c r="U234" i="8" s="1"/>
  <c r="Z92" i="8"/>
  <c r="AE92" i="8"/>
  <c r="Y92" i="8"/>
  <c r="AL92" i="8" s="1"/>
  <c r="BA92" i="8"/>
  <c r="BE92" i="8" s="1"/>
  <c r="BC92" i="8" s="1"/>
  <c r="X92" i="8"/>
  <c r="AK92" i="8" s="1"/>
  <c r="BK91" i="8"/>
  <c r="AM91" i="8"/>
  <c r="M234" i="8"/>
  <c r="T234" i="8" s="1"/>
  <c r="K235" i="8"/>
  <c r="I232" i="8"/>
  <c r="AW233" i="8"/>
  <c r="AZ233" i="8"/>
  <c r="Q233" i="8"/>
  <c r="S233" i="8" s="1"/>
  <c r="V233" i="8" s="1"/>
  <c r="AC233" i="8"/>
  <c r="H233" i="8"/>
  <c r="D236" i="8"/>
  <c r="E236" i="8" s="1"/>
  <c r="BP243" i="9" l="1"/>
  <c r="BQ243" i="9" s="1"/>
  <c r="BR243" i="9" s="1"/>
  <c r="G243" i="9"/>
  <c r="H243" i="9" s="1"/>
  <c r="BA100" i="9"/>
  <c r="BE100" i="9" s="1"/>
  <c r="BC100" i="9" s="1"/>
  <c r="AE100" i="9"/>
  <c r="X100" i="9"/>
  <c r="Y100" i="9"/>
  <c r="AL100" i="9" s="1"/>
  <c r="Z100" i="9"/>
  <c r="I242" i="9"/>
  <c r="AC243" i="9"/>
  <c r="Q243" i="9"/>
  <c r="S243" i="9" s="1"/>
  <c r="V243" i="9" s="1"/>
  <c r="C244" i="9"/>
  <c r="B244" i="9"/>
  <c r="AD243" i="9"/>
  <c r="AJ243" i="9" s="1"/>
  <c r="AX235" i="8"/>
  <c r="AU235" i="8"/>
  <c r="AI235" i="8"/>
  <c r="N235" i="8"/>
  <c r="P235" i="8" s="1"/>
  <c r="U235" i="8" s="1"/>
  <c r="BJ92" i="8"/>
  <c r="AA92" i="8"/>
  <c r="W93" i="8" s="1"/>
  <c r="BB92" i="8"/>
  <c r="BF92" i="8" s="1"/>
  <c r="BD92" i="8" s="1"/>
  <c r="AN92" i="8"/>
  <c r="M235" i="8"/>
  <c r="T235" i="8" s="1"/>
  <c r="I233" i="8"/>
  <c r="AZ234" i="8"/>
  <c r="AW234" i="8"/>
  <c r="Q234" i="8"/>
  <c r="S234" i="8" s="1"/>
  <c r="V234" i="8" s="1"/>
  <c r="AC234" i="8"/>
  <c r="AD234" i="8" s="1"/>
  <c r="AJ234" i="8" s="1"/>
  <c r="H234" i="8"/>
  <c r="D237" i="8"/>
  <c r="E237" i="8" s="1"/>
  <c r="AD238" i="8"/>
  <c r="BP244" i="9" l="1"/>
  <c r="BQ244" i="9" s="1"/>
  <c r="BR244" i="9" s="1"/>
  <c r="G244" i="9"/>
  <c r="H244" i="9" s="1"/>
  <c r="AJ236" i="8"/>
  <c r="K236" i="8"/>
  <c r="M236" i="8" s="1"/>
  <c r="T236" i="8" s="1"/>
  <c r="AA100" i="9"/>
  <c r="W101" i="9" s="1"/>
  <c r="AJ235" i="8"/>
  <c r="BJ100" i="9"/>
  <c r="BB100" i="9"/>
  <c r="BF100" i="9" s="1"/>
  <c r="BD100" i="9" s="1"/>
  <c r="AK100" i="9"/>
  <c r="AN100" i="9" s="1"/>
  <c r="AD244" i="9"/>
  <c r="AJ244" i="9" s="1"/>
  <c r="B245" i="9"/>
  <c r="C245" i="9"/>
  <c r="I243" i="9"/>
  <c r="Q244" i="9"/>
  <c r="S244" i="9" s="1"/>
  <c r="V244" i="9" s="1"/>
  <c r="AC244" i="9"/>
  <c r="AX236" i="8"/>
  <c r="AU236" i="8"/>
  <c r="AI236" i="8"/>
  <c r="N236" i="8"/>
  <c r="P236" i="8" s="1"/>
  <c r="U236" i="8" s="1"/>
  <c r="BK92" i="8"/>
  <c r="AM92" i="8"/>
  <c r="I234" i="8"/>
  <c r="AZ235" i="8"/>
  <c r="AW235" i="8"/>
  <c r="Q235" i="8"/>
  <c r="S235" i="8" s="1"/>
  <c r="V235" i="8" s="1"/>
  <c r="AC235" i="8"/>
  <c r="H235" i="8"/>
  <c r="D238" i="8"/>
  <c r="E238" i="8" s="1"/>
  <c r="AD239" i="8"/>
  <c r="BP245" i="9" l="1"/>
  <c r="BQ245" i="9" s="1"/>
  <c r="BR245" i="9" s="1"/>
  <c r="G245" i="9"/>
  <c r="H245" i="9" s="1"/>
  <c r="K237" i="8"/>
  <c r="M237" i="8" s="1"/>
  <c r="T237" i="8" s="1"/>
  <c r="Y101" i="9"/>
  <c r="AL101" i="9" s="1"/>
  <c r="X101" i="9"/>
  <c r="BA101" i="9"/>
  <c r="BE101" i="9" s="1"/>
  <c r="BC101" i="9" s="1"/>
  <c r="AE101" i="9"/>
  <c r="Z101" i="9"/>
  <c r="BK100" i="9"/>
  <c r="AM100" i="9"/>
  <c r="AC245" i="9"/>
  <c r="Q245" i="9"/>
  <c r="S245" i="9" s="1"/>
  <c r="V245" i="9" s="1"/>
  <c r="C246" i="9"/>
  <c r="B246" i="9"/>
  <c r="AD245" i="9"/>
  <c r="AJ245" i="9" s="1"/>
  <c r="I244" i="9"/>
  <c r="AI237" i="8"/>
  <c r="AU237" i="8"/>
  <c r="AX237" i="8"/>
  <c r="N237" i="8"/>
  <c r="P237" i="8" s="1"/>
  <c r="U237" i="8" s="1"/>
  <c r="AE93" i="8"/>
  <c r="BA93" i="8"/>
  <c r="BE93" i="8" s="1"/>
  <c r="BC93" i="8" s="1"/>
  <c r="X93" i="8"/>
  <c r="AK93" i="8" s="1"/>
  <c r="Z93" i="8"/>
  <c r="Y93" i="8"/>
  <c r="AL93" i="8" s="1"/>
  <c r="I235" i="8"/>
  <c r="AZ236" i="8"/>
  <c r="AW236" i="8"/>
  <c r="Q236" i="8"/>
  <c r="S236" i="8" s="1"/>
  <c r="V236" i="8" s="1"/>
  <c r="AC236" i="8"/>
  <c r="H236" i="8"/>
  <c r="D239" i="8"/>
  <c r="E239" i="8" s="1"/>
  <c r="AD240" i="8"/>
  <c r="BP246" i="9" l="1"/>
  <c r="BQ246" i="9" s="1"/>
  <c r="BR246" i="9" s="1"/>
  <c r="G246" i="9"/>
  <c r="H246" i="9" s="1"/>
  <c r="K238" i="8"/>
  <c r="M238" i="8" s="1"/>
  <c r="T238" i="8" s="1"/>
  <c r="BJ101" i="9"/>
  <c r="BB101" i="9"/>
  <c r="BF101" i="9" s="1"/>
  <c r="BD101" i="9" s="1"/>
  <c r="AK101" i="9"/>
  <c r="AN101" i="9" s="1"/>
  <c r="AA101" i="9"/>
  <c r="B247" i="9"/>
  <c r="C247" i="9"/>
  <c r="Q246" i="9"/>
  <c r="S246" i="9" s="1"/>
  <c r="V246" i="9" s="1"/>
  <c r="AC246" i="9"/>
  <c r="AD246" i="9" s="1"/>
  <c r="AJ246" i="9" s="1"/>
  <c r="I245" i="9"/>
  <c r="AX238" i="8"/>
  <c r="AI238" i="8"/>
  <c r="AU238" i="8"/>
  <c r="N238" i="8"/>
  <c r="P238" i="8" s="1"/>
  <c r="U238" i="8" s="1"/>
  <c r="AA93" i="8"/>
  <c r="W94" i="8" s="1"/>
  <c r="BB93" i="8"/>
  <c r="BF93" i="8" s="1"/>
  <c r="BD93" i="8" s="1"/>
  <c r="AN93" i="8"/>
  <c r="BJ93" i="8"/>
  <c r="I236" i="8"/>
  <c r="AZ237" i="8"/>
  <c r="AW237" i="8"/>
  <c r="Q237" i="8"/>
  <c r="S237" i="8" s="1"/>
  <c r="V237" i="8" s="1"/>
  <c r="AC237" i="8"/>
  <c r="AD237" i="8" s="1"/>
  <c r="AJ237" i="8" s="1"/>
  <c r="H237" i="8"/>
  <c r="D240" i="8"/>
  <c r="E240" i="8" s="1"/>
  <c r="AD241" i="8"/>
  <c r="BP247" i="9" l="1"/>
  <c r="BQ247" i="9" s="1"/>
  <c r="BR247" i="9" s="1"/>
  <c r="G247" i="9"/>
  <c r="H247" i="9" s="1"/>
  <c r="AJ238" i="8"/>
  <c r="AJ239" i="8"/>
  <c r="K239" i="8"/>
  <c r="M239" i="8" s="1"/>
  <c r="T239" i="8" s="1"/>
  <c r="W102" i="9"/>
  <c r="BK101" i="9"/>
  <c r="AM101" i="9"/>
  <c r="C248" i="9"/>
  <c r="B248" i="9"/>
  <c r="I246" i="9"/>
  <c r="AC247" i="9"/>
  <c r="AD247" i="9" s="1"/>
  <c r="AJ247" i="9" s="1"/>
  <c r="Q247" i="9"/>
  <c r="S247" i="9" s="1"/>
  <c r="V247" i="9" s="1"/>
  <c r="AX239" i="8"/>
  <c r="AU239" i="8"/>
  <c r="AI239" i="8"/>
  <c r="N239" i="8"/>
  <c r="P239" i="8" s="1"/>
  <c r="U239" i="8" s="1"/>
  <c r="BK93" i="8"/>
  <c r="AM93" i="8"/>
  <c r="I237" i="8"/>
  <c r="AW238" i="8"/>
  <c r="AZ238" i="8"/>
  <c r="Q238" i="8"/>
  <c r="S238" i="8" s="1"/>
  <c r="V238" i="8" s="1"/>
  <c r="AC238" i="8"/>
  <c r="H238" i="8"/>
  <c r="D241" i="8"/>
  <c r="E241" i="8" s="1"/>
  <c r="AD242" i="8"/>
  <c r="BP248" i="9" l="1"/>
  <c r="BQ248" i="9" s="1"/>
  <c r="BR248" i="9" s="1"/>
  <c r="G248" i="9"/>
  <c r="H248" i="9" s="1"/>
  <c r="AJ240" i="8"/>
  <c r="K240" i="8"/>
  <c r="M240" i="8" s="1"/>
  <c r="T240" i="8" s="1"/>
  <c r="BA102" i="9"/>
  <c r="BE102" i="9" s="1"/>
  <c r="BC102" i="9" s="1"/>
  <c r="AE102" i="9"/>
  <c r="Z102" i="9"/>
  <c r="X102" i="9"/>
  <c r="Y102" i="9"/>
  <c r="AL102" i="9" s="1"/>
  <c r="Q248" i="9"/>
  <c r="S248" i="9" s="1"/>
  <c r="V248" i="9" s="1"/>
  <c r="AC248" i="9"/>
  <c r="I247" i="9"/>
  <c r="C249" i="9"/>
  <c r="B249" i="9"/>
  <c r="AD248" i="9"/>
  <c r="AJ248" i="9" s="1"/>
  <c r="AX240" i="8"/>
  <c r="AU240" i="8"/>
  <c r="AI240" i="8"/>
  <c r="N240" i="8"/>
  <c r="P240" i="8" s="1"/>
  <c r="U240" i="8" s="1"/>
  <c r="X94" i="8"/>
  <c r="AK94" i="8" s="1"/>
  <c r="Z94" i="8"/>
  <c r="AE94" i="8"/>
  <c r="Y94" i="8"/>
  <c r="AL94" i="8" s="1"/>
  <c r="BA94" i="8"/>
  <c r="BE94" i="8" s="1"/>
  <c r="BC94" i="8" s="1"/>
  <c r="I238" i="8"/>
  <c r="AW239" i="8"/>
  <c r="AZ239" i="8"/>
  <c r="Q239" i="8"/>
  <c r="S239" i="8" s="1"/>
  <c r="V239" i="8" s="1"/>
  <c r="AC239" i="8"/>
  <c r="H239" i="8"/>
  <c r="D242" i="8"/>
  <c r="E242" i="8" s="1"/>
  <c r="AD243" i="8"/>
  <c r="BP249" i="9" l="1"/>
  <c r="BQ249" i="9" s="1"/>
  <c r="BR249" i="9" s="1"/>
  <c r="G249" i="9"/>
  <c r="H249" i="9" s="1"/>
  <c r="AJ241" i="8"/>
  <c r="K241" i="8"/>
  <c r="M241" i="8" s="1"/>
  <c r="T241" i="8" s="1"/>
  <c r="BJ102" i="9"/>
  <c r="AA102" i="9"/>
  <c r="W103" i="9" s="1"/>
  <c r="AK102" i="9"/>
  <c r="AN102" i="9" s="1"/>
  <c r="BB102" i="9"/>
  <c r="BF102" i="9" s="1"/>
  <c r="BD102" i="9" s="1"/>
  <c r="Q249" i="9"/>
  <c r="S249" i="9" s="1"/>
  <c r="V249" i="9" s="1"/>
  <c r="AC249" i="9"/>
  <c r="I248" i="9"/>
  <c r="AD249" i="9"/>
  <c r="AJ249" i="9" s="1"/>
  <c r="B250" i="9"/>
  <c r="C250" i="9"/>
  <c r="AX241" i="8"/>
  <c r="AU241" i="8"/>
  <c r="AI241" i="8"/>
  <c r="N241" i="8"/>
  <c r="P241" i="8" s="1"/>
  <c r="U241" i="8" s="1"/>
  <c r="BJ94" i="8"/>
  <c r="BB94" i="8"/>
  <c r="BF94" i="8" s="1"/>
  <c r="BD94" i="8" s="1"/>
  <c r="AN94" i="8"/>
  <c r="AA94" i="8"/>
  <c r="W95" i="8" s="1"/>
  <c r="I239" i="8"/>
  <c r="AW240" i="8"/>
  <c r="AZ240" i="8"/>
  <c r="Q240" i="8"/>
  <c r="S240" i="8" s="1"/>
  <c r="V240" i="8" s="1"/>
  <c r="AC240" i="8"/>
  <c r="H240" i="8"/>
  <c r="D243" i="8"/>
  <c r="E243" i="8" s="1"/>
  <c r="AD244" i="8"/>
  <c r="BP250" i="9" l="1"/>
  <c r="BQ250" i="9" s="1"/>
  <c r="BR250" i="9" s="1"/>
  <c r="G250" i="9"/>
  <c r="H250" i="9" s="1"/>
  <c r="AJ242" i="8"/>
  <c r="K242" i="8"/>
  <c r="M242" i="8" s="1"/>
  <c r="T242" i="8" s="1"/>
  <c r="BK102" i="9"/>
  <c r="AM102" i="9"/>
  <c r="X103" i="9"/>
  <c r="BA103" i="9"/>
  <c r="BE103" i="9" s="1"/>
  <c r="BC103" i="9" s="1"/>
  <c r="AE103" i="9"/>
  <c r="Z103" i="9"/>
  <c r="Y103" i="9"/>
  <c r="AL103" i="9" s="1"/>
  <c r="Q250" i="9"/>
  <c r="S250" i="9" s="1"/>
  <c r="V250" i="9" s="1"/>
  <c r="AC250" i="9"/>
  <c r="C251" i="9"/>
  <c r="B251" i="9"/>
  <c r="AD250" i="9"/>
  <c r="AJ250" i="9" s="1"/>
  <c r="I249" i="9"/>
  <c r="AX242" i="8"/>
  <c r="AU242" i="8"/>
  <c r="AI242" i="8"/>
  <c r="N242" i="8"/>
  <c r="P242" i="8" s="1"/>
  <c r="U242" i="8" s="1"/>
  <c r="BK94" i="8"/>
  <c r="AM94" i="8"/>
  <c r="I240" i="8"/>
  <c r="AW241" i="8"/>
  <c r="AZ241" i="8"/>
  <c r="Q241" i="8"/>
  <c r="S241" i="8" s="1"/>
  <c r="V241" i="8" s="1"/>
  <c r="AC241" i="8"/>
  <c r="H241" i="8"/>
  <c r="D244" i="8"/>
  <c r="E244" i="8" s="1"/>
  <c r="AD245" i="8"/>
  <c r="BP251" i="9" l="1"/>
  <c r="BQ251" i="9" s="1"/>
  <c r="BR251" i="9" s="1"/>
  <c r="G251" i="9"/>
  <c r="H251" i="9" s="1"/>
  <c r="AJ243" i="8"/>
  <c r="K243" i="8"/>
  <c r="M243" i="8" s="1"/>
  <c r="T243" i="8" s="1"/>
  <c r="BJ103" i="9"/>
  <c r="AK103" i="9"/>
  <c r="AN103" i="9" s="1"/>
  <c r="BB103" i="9"/>
  <c r="BF103" i="9" s="1"/>
  <c r="BD103" i="9" s="1"/>
  <c r="AA103" i="9"/>
  <c r="Q251" i="9"/>
  <c r="S251" i="9" s="1"/>
  <c r="V251" i="9" s="1"/>
  <c r="AC251" i="9"/>
  <c r="I250" i="9"/>
  <c r="AD251" i="9"/>
  <c r="B252" i="9"/>
  <c r="C252" i="9"/>
  <c r="AX243" i="8"/>
  <c r="AU243" i="8"/>
  <c r="AI243" i="8"/>
  <c r="N243" i="8"/>
  <c r="P243" i="8" s="1"/>
  <c r="U243" i="8" s="1"/>
  <c r="AE95" i="8"/>
  <c r="X95" i="8"/>
  <c r="AK95" i="8" s="1"/>
  <c r="Y95" i="8"/>
  <c r="AL95" i="8" s="1"/>
  <c r="BA95" i="8"/>
  <c r="BE95" i="8" s="1"/>
  <c r="BC95" i="8" s="1"/>
  <c r="Z95" i="8"/>
  <c r="I241" i="8"/>
  <c r="AZ242" i="8"/>
  <c r="AW242" i="8"/>
  <c r="Q242" i="8"/>
  <c r="S242" i="8" s="1"/>
  <c r="V242" i="8" s="1"/>
  <c r="AC242" i="8"/>
  <c r="H242" i="8"/>
  <c r="D245" i="8"/>
  <c r="E245" i="8" s="1"/>
  <c r="BP252" i="9" l="1"/>
  <c r="BQ252" i="9" s="1"/>
  <c r="BR252" i="9" s="1"/>
  <c r="G252" i="9"/>
  <c r="H252" i="9" s="1"/>
  <c r="AJ244" i="8"/>
  <c r="K244" i="8"/>
  <c r="M244" i="8" s="1"/>
  <c r="T244" i="8" s="1"/>
  <c r="W104" i="9"/>
  <c r="BK103" i="9"/>
  <c r="AM103" i="9"/>
  <c r="AC252" i="9"/>
  <c r="Q252" i="9"/>
  <c r="S252" i="9" s="1"/>
  <c r="V252" i="9" s="1"/>
  <c r="I251" i="9"/>
  <c r="C253" i="9"/>
  <c r="B253" i="9"/>
  <c r="AD252" i="9"/>
  <c r="AX244" i="8"/>
  <c r="AU244" i="8"/>
  <c r="AI244" i="8"/>
  <c r="N244" i="8"/>
  <c r="P244" i="8" s="1"/>
  <c r="U244" i="8" s="1"/>
  <c r="BJ95" i="8"/>
  <c r="BB95" i="8"/>
  <c r="BF95" i="8" s="1"/>
  <c r="BD95" i="8" s="1"/>
  <c r="AN95" i="8"/>
  <c r="AA95" i="8"/>
  <c r="W96" i="8" s="1"/>
  <c r="I242" i="8"/>
  <c r="AZ243" i="8"/>
  <c r="AW243" i="8"/>
  <c r="Q243" i="8"/>
  <c r="S243" i="8" s="1"/>
  <c r="V243" i="8" s="1"/>
  <c r="AC243" i="8"/>
  <c r="H243" i="8"/>
  <c r="D246" i="8"/>
  <c r="E246" i="8" s="1"/>
  <c r="AD247" i="8"/>
  <c r="BP253" i="9" l="1"/>
  <c r="BQ253" i="9" s="1"/>
  <c r="BR253" i="9" s="1"/>
  <c r="G253" i="9"/>
  <c r="H253" i="9" s="1"/>
  <c r="AJ245" i="8"/>
  <c r="K245" i="8"/>
  <c r="M245" i="8" s="1"/>
  <c r="T245" i="8" s="1"/>
  <c r="BA104" i="9"/>
  <c r="BE104" i="9" s="1"/>
  <c r="BC104" i="9" s="1"/>
  <c r="Y104" i="9"/>
  <c r="AL104" i="9" s="1"/>
  <c r="AE104" i="9"/>
  <c r="X104" i="9"/>
  <c r="Z104" i="9"/>
  <c r="Q253" i="9"/>
  <c r="S253" i="9" s="1"/>
  <c r="V253" i="9" s="1"/>
  <c r="AC253" i="9"/>
  <c r="I252" i="9"/>
  <c r="AD253" i="9"/>
  <c r="B254" i="9"/>
  <c r="C254" i="9"/>
  <c r="AX245" i="8"/>
  <c r="AU245" i="8"/>
  <c r="AI245" i="8"/>
  <c r="N245" i="8"/>
  <c r="P245" i="8" s="1"/>
  <c r="U245" i="8" s="1"/>
  <c r="BK95" i="8"/>
  <c r="AM95" i="8"/>
  <c r="K246" i="8"/>
  <c r="I243" i="8"/>
  <c r="AW244" i="8"/>
  <c r="AZ244" i="8"/>
  <c r="Q244" i="8"/>
  <c r="S244" i="8" s="1"/>
  <c r="V244" i="8" s="1"/>
  <c r="AC244" i="8"/>
  <c r="H244" i="8"/>
  <c r="D247" i="8"/>
  <c r="E247" i="8" s="1"/>
  <c r="AD248" i="8"/>
  <c r="BP254" i="9" l="1"/>
  <c r="BQ254" i="9" s="1"/>
  <c r="BR254" i="9" s="1"/>
  <c r="G254" i="9"/>
  <c r="H254" i="9" s="1"/>
  <c r="BJ104" i="9"/>
  <c r="AK104" i="9"/>
  <c r="AN104" i="9" s="1"/>
  <c r="BB104" i="9"/>
  <c r="BF104" i="9" s="1"/>
  <c r="BD104" i="9" s="1"/>
  <c r="AA104" i="9"/>
  <c r="AC254" i="9"/>
  <c r="Q254" i="9"/>
  <c r="S254" i="9" s="1"/>
  <c r="V254" i="9" s="1"/>
  <c r="C255" i="9"/>
  <c r="B255" i="9"/>
  <c r="AD254" i="9"/>
  <c r="I253" i="9"/>
  <c r="AX246" i="8"/>
  <c r="AU246" i="8"/>
  <c r="AI246" i="8"/>
  <c r="N246" i="8"/>
  <c r="P246" i="8" s="1"/>
  <c r="U246" i="8" s="1"/>
  <c r="Z96" i="8"/>
  <c r="BA96" i="8"/>
  <c r="BE96" i="8" s="1"/>
  <c r="BC96" i="8" s="1"/>
  <c r="Y96" i="8"/>
  <c r="AL96" i="8" s="1"/>
  <c r="AE96" i="8"/>
  <c r="X96" i="8"/>
  <c r="AK96" i="8" s="1"/>
  <c r="M246" i="8"/>
  <c r="T246" i="8" s="1"/>
  <c r="K247" i="8"/>
  <c r="I244" i="8"/>
  <c r="AW245" i="8"/>
  <c r="AZ245" i="8"/>
  <c r="Q245" i="8"/>
  <c r="S245" i="8" s="1"/>
  <c r="V245" i="8" s="1"/>
  <c r="AC245" i="8"/>
  <c r="H245" i="8"/>
  <c r="D248" i="8"/>
  <c r="E248" i="8" s="1"/>
  <c r="BP255" i="9" l="1"/>
  <c r="BQ255" i="9" s="1"/>
  <c r="BR255" i="9" s="1"/>
  <c r="G255" i="9"/>
  <c r="H255" i="9" s="1"/>
  <c r="W105" i="9"/>
  <c r="BK104" i="9"/>
  <c r="AM104" i="9"/>
  <c r="AD255" i="9"/>
  <c r="B256" i="9"/>
  <c r="C256" i="9"/>
  <c r="Q255" i="9"/>
  <c r="S255" i="9" s="1"/>
  <c r="V255" i="9" s="1"/>
  <c r="AC255" i="9"/>
  <c r="I254" i="9"/>
  <c r="AX247" i="8"/>
  <c r="AU247" i="8"/>
  <c r="AI247" i="8"/>
  <c r="N247" i="8"/>
  <c r="P247" i="8" s="1"/>
  <c r="U247" i="8" s="1"/>
  <c r="BJ96" i="8"/>
  <c r="AA96" i="8"/>
  <c r="W97" i="8" s="1"/>
  <c r="AN96" i="8"/>
  <c r="BB96" i="8"/>
  <c r="BF96" i="8" s="1"/>
  <c r="BD96" i="8" s="1"/>
  <c r="M247" i="8"/>
  <c r="T247" i="8" s="1"/>
  <c r="K248" i="8"/>
  <c r="I245" i="8"/>
  <c r="AW246" i="8"/>
  <c r="AZ246" i="8"/>
  <c r="Q246" i="8"/>
  <c r="S246" i="8" s="1"/>
  <c r="V246" i="8" s="1"/>
  <c r="AC246" i="8"/>
  <c r="AD246" i="8" s="1"/>
  <c r="AJ246" i="8" s="1"/>
  <c r="H246" i="8"/>
  <c r="D249" i="8"/>
  <c r="E249" i="8" s="1"/>
  <c r="AD250" i="8"/>
  <c r="BP256" i="9" l="1"/>
  <c r="BQ256" i="9" s="1"/>
  <c r="BR256" i="9" s="1"/>
  <c r="G256" i="9"/>
  <c r="H256" i="9" s="1"/>
  <c r="AJ247" i="8"/>
  <c r="AJ248" i="8"/>
  <c r="Z105" i="9"/>
  <c r="AE105" i="9"/>
  <c r="Y105" i="9"/>
  <c r="AL105" i="9" s="1"/>
  <c r="X105" i="9"/>
  <c r="BA105" i="9"/>
  <c r="BE105" i="9" s="1"/>
  <c r="BC105" i="9" s="1"/>
  <c r="I255" i="9"/>
  <c r="C257" i="9"/>
  <c r="B257" i="9"/>
  <c r="AD256" i="9"/>
  <c r="AC256" i="9"/>
  <c r="Q256" i="9"/>
  <c r="S256" i="9" s="1"/>
  <c r="V256" i="9" s="1"/>
  <c r="AX248" i="8"/>
  <c r="AU248" i="8"/>
  <c r="AI248" i="8"/>
  <c r="N248" i="8"/>
  <c r="P248" i="8" s="1"/>
  <c r="U248" i="8" s="1"/>
  <c r="BK96" i="8"/>
  <c r="AM96" i="8"/>
  <c r="M248" i="8"/>
  <c r="T248" i="8" s="1"/>
  <c r="I246" i="8"/>
  <c r="AZ247" i="8"/>
  <c r="AW247" i="8"/>
  <c r="Q247" i="8"/>
  <c r="S247" i="8" s="1"/>
  <c r="V247" i="8" s="1"/>
  <c r="AC247" i="8"/>
  <c r="H247" i="8"/>
  <c r="D250" i="8"/>
  <c r="E250" i="8" s="1"/>
  <c r="AD251" i="8"/>
  <c r="BP257" i="9" l="1"/>
  <c r="BQ257" i="9" s="1"/>
  <c r="BR257" i="9" s="1"/>
  <c r="G257" i="9"/>
  <c r="H257" i="9" s="1"/>
  <c r="K249" i="8"/>
  <c r="M249" i="8" s="1"/>
  <c r="T249" i="8" s="1"/>
  <c r="BJ105" i="9"/>
  <c r="AA105" i="9"/>
  <c r="BB105" i="9"/>
  <c r="BF105" i="9" s="1"/>
  <c r="BD105" i="9" s="1"/>
  <c r="AK105" i="9"/>
  <c r="AN105" i="9" s="1"/>
  <c r="AD257" i="9"/>
  <c r="AE257" i="9" s="1"/>
  <c r="B258" i="9"/>
  <c r="C258" i="9"/>
  <c r="Q257" i="9"/>
  <c r="S257" i="9" s="1"/>
  <c r="V257" i="9" s="1"/>
  <c r="Z257" i="9" s="1"/>
  <c r="AA257" i="9" s="1"/>
  <c r="AK257" i="9"/>
  <c r="AN257" i="9" s="1"/>
  <c r="AC257" i="9"/>
  <c r="I256" i="9"/>
  <c r="AX249" i="8"/>
  <c r="AU249" i="8"/>
  <c r="AI249" i="8"/>
  <c r="N249" i="8"/>
  <c r="P249" i="8" s="1"/>
  <c r="U249" i="8" s="1"/>
  <c r="Z97" i="8"/>
  <c r="BA97" i="8"/>
  <c r="BE97" i="8" s="1"/>
  <c r="BC97" i="8" s="1"/>
  <c r="Y97" i="8"/>
  <c r="AL97" i="8" s="1"/>
  <c r="AE97" i="8"/>
  <c r="X97" i="8"/>
  <c r="AK97" i="8" s="1"/>
  <c r="I247" i="8"/>
  <c r="AW248" i="8"/>
  <c r="AZ248" i="8"/>
  <c r="Q248" i="8"/>
  <c r="S248" i="8" s="1"/>
  <c r="V248" i="8" s="1"/>
  <c r="AC248" i="8"/>
  <c r="H248" i="8"/>
  <c r="AD252" i="8"/>
  <c r="BP258" i="9" l="1"/>
  <c r="BQ258" i="9" s="1"/>
  <c r="BR258" i="9" s="1"/>
  <c r="G258" i="9"/>
  <c r="H258" i="9" s="1"/>
  <c r="K250" i="8"/>
  <c r="M250" i="8" s="1"/>
  <c r="T250" i="8" s="1"/>
  <c r="BM257" i="9"/>
  <c r="BU257" i="9"/>
  <c r="W106" i="9"/>
  <c r="BK105" i="9"/>
  <c r="AM105" i="9"/>
  <c r="C259" i="9"/>
  <c r="B259" i="9"/>
  <c r="BJ257" i="9"/>
  <c r="BK257" i="9"/>
  <c r="I257" i="9"/>
  <c r="AK258" i="9"/>
  <c r="AN258" i="9" s="1"/>
  <c r="BK258" i="9" s="1"/>
  <c r="AC258" i="9"/>
  <c r="AD258" i="9" s="1"/>
  <c r="AE258" i="9" s="1"/>
  <c r="Q258" i="9"/>
  <c r="S258" i="9" s="1"/>
  <c r="V258" i="9" s="1"/>
  <c r="Z258" i="9" s="1"/>
  <c r="AA258" i="9" s="1"/>
  <c r="AX250" i="8"/>
  <c r="AU250" i="8"/>
  <c r="AI250" i="8"/>
  <c r="N250" i="8"/>
  <c r="P250" i="8" s="1"/>
  <c r="U250" i="8" s="1"/>
  <c r="BJ97" i="8"/>
  <c r="AA97" i="8"/>
  <c r="W98" i="8" s="1"/>
  <c r="BB97" i="8"/>
  <c r="BF97" i="8" s="1"/>
  <c r="BD97" i="8" s="1"/>
  <c r="AN97" i="8"/>
  <c r="I248" i="8"/>
  <c r="AW249" i="8"/>
  <c r="AZ249" i="8"/>
  <c r="Q249" i="8"/>
  <c r="S249" i="8" s="1"/>
  <c r="V249" i="8" s="1"/>
  <c r="AC249" i="8"/>
  <c r="AD249" i="8" s="1"/>
  <c r="AJ249" i="8" s="1"/>
  <c r="H249" i="8"/>
  <c r="D252" i="8"/>
  <c r="E252" i="8" s="1"/>
  <c r="AD253" i="8"/>
  <c r="BP259" i="9" l="1"/>
  <c r="BQ259" i="9" s="1"/>
  <c r="BR259" i="9" s="1"/>
  <c r="G259" i="9"/>
  <c r="H259" i="9" s="1"/>
  <c r="AJ250" i="8"/>
  <c r="AJ251" i="8"/>
  <c r="K251" i="8"/>
  <c r="M251" i="8" s="1"/>
  <c r="T251" i="8" s="1"/>
  <c r="BM258" i="9"/>
  <c r="BU258" i="9"/>
  <c r="BX257" i="9"/>
  <c r="BP257" i="8" s="1"/>
  <c r="Y106" i="9"/>
  <c r="AL106" i="9" s="1"/>
  <c r="BA106" i="9"/>
  <c r="BE106" i="9" s="1"/>
  <c r="BC106" i="9" s="1"/>
  <c r="Z106" i="9"/>
  <c r="AE106" i="9"/>
  <c r="X106" i="9"/>
  <c r="BJ258" i="9"/>
  <c r="AD259" i="9"/>
  <c r="AE259" i="9" s="1"/>
  <c r="BJ259" i="9" s="1"/>
  <c r="B260" i="9"/>
  <c r="C260" i="9"/>
  <c r="Q259" i="9"/>
  <c r="S259" i="9" s="1"/>
  <c r="V259" i="9" s="1"/>
  <c r="Z259" i="9" s="1"/>
  <c r="AA259" i="9" s="1"/>
  <c r="AK259" i="9"/>
  <c r="AN259" i="9" s="1"/>
  <c r="AC259" i="9"/>
  <c r="I258" i="9"/>
  <c r="AX251" i="8"/>
  <c r="N251" i="8"/>
  <c r="P251" i="8" s="1"/>
  <c r="U251" i="8" s="1"/>
  <c r="AU251" i="8"/>
  <c r="AI251" i="8"/>
  <c r="BK97" i="8"/>
  <c r="AM97" i="8"/>
  <c r="I249" i="8"/>
  <c r="AZ250" i="8"/>
  <c r="AW250" i="8"/>
  <c r="Q250" i="8"/>
  <c r="S250" i="8" s="1"/>
  <c r="V250" i="8" s="1"/>
  <c r="AC250" i="8"/>
  <c r="H250" i="8"/>
  <c r="D253" i="8"/>
  <c r="E253" i="8" s="1"/>
  <c r="AD254" i="8"/>
  <c r="BP260" i="9" l="1"/>
  <c r="BQ260" i="9" s="1"/>
  <c r="BR260" i="9" s="1"/>
  <c r="G260" i="9"/>
  <c r="H260" i="9" s="1"/>
  <c r="AJ252" i="8"/>
  <c r="K252" i="8"/>
  <c r="M252" i="8" s="1"/>
  <c r="T252" i="8" s="1"/>
  <c r="BM259" i="9"/>
  <c r="BU259" i="9"/>
  <c r="BX258" i="9"/>
  <c r="BP258" i="8" s="1"/>
  <c r="BJ106" i="9"/>
  <c r="AK106" i="9"/>
  <c r="AN106" i="9" s="1"/>
  <c r="BB106" i="9"/>
  <c r="BF106" i="9" s="1"/>
  <c r="BD106" i="9" s="1"/>
  <c r="AA106" i="9"/>
  <c r="BK259" i="9"/>
  <c r="I259" i="9"/>
  <c r="AK260" i="9"/>
  <c r="AN260" i="9" s="1"/>
  <c r="AC260" i="9"/>
  <c r="Q260" i="9"/>
  <c r="S260" i="9" s="1"/>
  <c r="V260" i="9" s="1"/>
  <c r="Z260" i="9" s="1"/>
  <c r="AA260" i="9" s="1"/>
  <c r="C261" i="9"/>
  <c r="B261" i="9"/>
  <c r="AD260" i="9"/>
  <c r="AE260" i="9" s="1"/>
  <c r="AX252" i="8"/>
  <c r="AU252" i="8"/>
  <c r="AI252" i="8"/>
  <c r="N252" i="8"/>
  <c r="P252" i="8" s="1"/>
  <c r="U252" i="8" s="1"/>
  <c r="X98" i="8"/>
  <c r="AK98" i="8" s="1"/>
  <c r="BA98" i="8"/>
  <c r="BE98" i="8" s="1"/>
  <c r="BC98" i="8" s="1"/>
  <c r="AE98" i="8"/>
  <c r="Z98" i="8"/>
  <c r="Y98" i="8"/>
  <c r="AL98" i="8" s="1"/>
  <c r="I250" i="8"/>
  <c r="J5" i="8" s="1"/>
  <c r="F22" i="21" s="1"/>
  <c r="AZ251" i="8"/>
  <c r="AW251" i="8"/>
  <c r="Q251" i="8"/>
  <c r="S251" i="8" s="1"/>
  <c r="V251" i="8" s="1"/>
  <c r="AC251" i="8"/>
  <c r="H251" i="8"/>
  <c r="D254" i="8"/>
  <c r="E254" i="8" s="1"/>
  <c r="AD255" i="8"/>
  <c r="BP261" i="9" l="1"/>
  <c r="BQ261" i="9" s="1"/>
  <c r="BR261" i="9" s="1"/>
  <c r="G261" i="9"/>
  <c r="H261" i="9" s="1"/>
  <c r="AJ253" i="8"/>
  <c r="K253" i="8"/>
  <c r="M253" i="8" s="1"/>
  <c r="T253" i="8" s="1"/>
  <c r="BM260" i="9"/>
  <c r="BU260" i="9"/>
  <c r="BX259" i="9"/>
  <c r="BP259" i="8" s="1"/>
  <c r="W107" i="9"/>
  <c r="BK106" i="9"/>
  <c r="AM106" i="9"/>
  <c r="BK260" i="9"/>
  <c r="BJ260" i="9"/>
  <c r="AD261" i="9"/>
  <c r="AE261" i="9" s="1"/>
  <c r="BJ261" i="9" s="1"/>
  <c r="B262" i="9"/>
  <c r="C262" i="9"/>
  <c r="Q261" i="9"/>
  <c r="S261" i="9" s="1"/>
  <c r="V261" i="9" s="1"/>
  <c r="Z261" i="9" s="1"/>
  <c r="AA261" i="9" s="1"/>
  <c r="AK261" i="9"/>
  <c r="AN261" i="9" s="1"/>
  <c r="BK261" i="9" s="1"/>
  <c r="AC261" i="9"/>
  <c r="I260" i="9"/>
  <c r="AX253" i="8"/>
  <c r="AU253" i="8"/>
  <c r="AI253" i="8"/>
  <c r="N253" i="8"/>
  <c r="P253" i="8" s="1"/>
  <c r="U253" i="8" s="1"/>
  <c r="BJ98" i="8"/>
  <c r="AA98" i="8"/>
  <c r="W99" i="8" s="1"/>
  <c r="AN98" i="8"/>
  <c r="BB98" i="8"/>
  <c r="BF98" i="8" s="1"/>
  <c r="BD98" i="8" s="1"/>
  <c r="I251" i="8"/>
  <c r="AW252" i="8"/>
  <c r="AZ252" i="8"/>
  <c r="Q252" i="8"/>
  <c r="S252" i="8" s="1"/>
  <c r="V252" i="8" s="1"/>
  <c r="AC252" i="8"/>
  <c r="H252" i="8"/>
  <c r="D255" i="8"/>
  <c r="E255" i="8" s="1"/>
  <c r="AD256" i="8"/>
  <c r="BP262" i="9" l="1"/>
  <c r="BQ262" i="9" s="1"/>
  <c r="BR262" i="9" s="1"/>
  <c r="G262" i="9"/>
  <c r="H262" i="9" s="1"/>
  <c r="AJ254" i="8"/>
  <c r="K254" i="8"/>
  <c r="M254" i="8" s="1"/>
  <c r="T254" i="8" s="1"/>
  <c r="BM261" i="9"/>
  <c r="BU261" i="9"/>
  <c r="BX260" i="9"/>
  <c r="BP260" i="8" s="1"/>
  <c r="Y107" i="9"/>
  <c r="AL107" i="9" s="1"/>
  <c r="BA107" i="9"/>
  <c r="BE107" i="9" s="1"/>
  <c r="BC107" i="9" s="1"/>
  <c r="AE107" i="9"/>
  <c r="X107" i="9"/>
  <c r="Z107" i="9"/>
  <c r="I261" i="9"/>
  <c r="AK262" i="9"/>
  <c r="AN262" i="9" s="1"/>
  <c r="AC262" i="9"/>
  <c r="Q262" i="9"/>
  <c r="S262" i="9" s="1"/>
  <c r="V262" i="9" s="1"/>
  <c r="Z262" i="9" s="1"/>
  <c r="AA262" i="9" s="1"/>
  <c r="C263" i="9"/>
  <c r="B263" i="9"/>
  <c r="AD262" i="9"/>
  <c r="AE262" i="9" s="1"/>
  <c r="AX254" i="8"/>
  <c r="N254" i="8"/>
  <c r="P254" i="8" s="1"/>
  <c r="U254" i="8" s="1"/>
  <c r="AU254" i="8"/>
  <c r="AI254" i="8"/>
  <c r="BK98" i="8"/>
  <c r="AM98" i="8"/>
  <c r="BA99" i="8"/>
  <c r="BE99" i="8" s="1"/>
  <c r="BC99" i="8" s="1"/>
  <c r="AE99" i="8"/>
  <c r="Z99" i="8"/>
  <c r="Y99" i="8"/>
  <c r="AL99" i="8" s="1"/>
  <c r="X99" i="8"/>
  <c r="AK99" i="8" s="1"/>
  <c r="I252" i="8"/>
  <c r="AW253" i="8"/>
  <c r="AZ253" i="8"/>
  <c r="Q253" i="8"/>
  <c r="S253" i="8" s="1"/>
  <c r="V253" i="8" s="1"/>
  <c r="AC253" i="8"/>
  <c r="H253" i="8"/>
  <c r="D256" i="8"/>
  <c r="E256" i="8" s="1"/>
  <c r="AD257" i="8"/>
  <c r="BP263" i="9" l="1"/>
  <c r="BQ263" i="9" s="1"/>
  <c r="BR263" i="9" s="1"/>
  <c r="G263" i="9"/>
  <c r="H263" i="9" s="1"/>
  <c r="AJ255" i="8"/>
  <c r="K255" i="8"/>
  <c r="M255" i="8" s="1"/>
  <c r="T255" i="8" s="1"/>
  <c r="BX261" i="9"/>
  <c r="BP261" i="8" s="1"/>
  <c r="BM262" i="9"/>
  <c r="BU262" i="9"/>
  <c r="BJ107" i="9"/>
  <c r="AK107" i="9"/>
  <c r="AN107" i="9" s="1"/>
  <c r="BB107" i="9"/>
  <c r="BF107" i="9" s="1"/>
  <c r="BD107" i="9" s="1"/>
  <c r="AA107" i="9"/>
  <c r="Q263" i="9"/>
  <c r="S263" i="9" s="1"/>
  <c r="V263" i="9" s="1"/>
  <c r="Z263" i="9" s="1"/>
  <c r="AA263" i="9" s="1"/>
  <c r="AK263" i="9"/>
  <c r="AN263" i="9" s="1"/>
  <c r="AC263" i="9"/>
  <c r="AD263" i="9"/>
  <c r="AE263" i="9" s="1"/>
  <c r="BJ263" i="9" s="1"/>
  <c r="C264" i="9"/>
  <c r="B264" i="9"/>
  <c r="BK262" i="9"/>
  <c r="BJ262" i="9"/>
  <c r="I262" i="9"/>
  <c r="AX255" i="8"/>
  <c r="N255" i="8"/>
  <c r="P255" i="8" s="1"/>
  <c r="U255" i="8" s="1"/>
  <c r="AU255" i="8"/>
  <c r="AI255" i="8"/>
  <c r="BJ99" i="8"/>
  <c r="AA99" i="8"/>
  <c r="BB99" i="8"/>
  <c r="BF99" i="8" s="1"/>
  <c r="BD99" i="8" s="1"/>
  <c r="AN99" i="8"/>
  <c r="I253" i="8"/>
  <c r="AW254" i="8"/>
  <c r="AZ254" i="8"/>
  <c r="Q254" i="8"/>
  <c r="S254" i="8" s="1"/>
  <c r="V254" i="8" s="1"/>
  <c r="AC254" i="8"/>
  <c r="H254" i="8"/>
  <c r="D257" i="8"/>
  <c r="E257" i="8" s="1"/>
  <c r="BP264" i="9" l="1"/>
  <c r="BQ264" i="9" s="1"/>
  <c r="BR264" i="9" s="1"/>
  <c r="G264" i="9"/>
  <c r="H264" i="9" s="1"/>
  <c r="AJ256" i="8"/>
  <c r="K256" i="8"/>
  <c r="M256" i="8" s="1"/>
  <c r="T256" i="8" s="1"/>
  <c r="BM263" i="9"/>
  <c r="BU263" i="9"/>
  <c r="BX262" i="9"/>
  <c r="BP262" i="8" s="1"/>
  <c r="W108" i="9"/>
  <c r="BK107" i="9"/>
  <c r="AM107" i="9"/>
  <c r="BK263" i="9"/>
  <c r="C265" i="9"/>
  <c r="AD264" i="9"/>
  <c r="AE264" i="9" s="1"/>
  <c r="B265" i="9"/>
  <c r="I263" i="9"/>
  <c r="AC264" i="9"/>
  <c r="AK264" i="9"/>
  <c r="AN264" i="9" s="1"/>
  <c r="Q264" i="9"/>
  <c r="S264" i="9" s="1"/>
  <c r="V264" i="9" s="1"/>
  <c r="Z264" i="9" s="1"/>
  <c r="AA264" i="9" s="1"/>
  <c r="AX256" i="8"/>
  <c r="N256" i="8"/>
  <c r="P256" i="8" s="1"/>
  <c r="U256" i="8" s="1"/>
  <c r="AU256" i="8"/>
  <c r="AI256" i="8"/>
  <c r="W100" i="8"/>
  <c r="Y100" i="8" s="1"/>
  <c r="AL100" i="8" s="1"/>
  <c r="BK99" i="8"/>
  <c r="AM99" i="8"/>
  <c r="I254" i="8"/>
  <c r="AW255" i="8"/>
  <c r="AZ255" i="8"/>
  <c r="Q255" i="8"/>
  <c r="S255" i="8" s="1"/>
  <c r="V255" i="8" s="1"/>
  <c r="AC255" i="8"/>
  <c r="H255" i="8"/>
  <c r="D258" i="8"/>
  <c r="E258" i="8" s="1"/>
  <c r="AD259" i="8"/>
  <c r="BP265" i="9" l="1"/>
  <c r="BQ265" i="9" s="1"/>
  <c r="BR265" i="9" s="1"/>
  <c r="G265" i="9"/>
  <c r="H265" i="9" s="1"/>
  <c r="AJ257" i="8"/>
  <c r="K257" i="8"/>
  <c r="M257" i="8" s="1"/>
  <c r="T257" i="8" s="1"/>
  <c r="BM264" i="9"/>
  <c r="BU264" i="9"/>
  <c r="BX263" i="9"/>
  <c r="BP263" i="8" s="1"/>
  <c r="Y108" i="9"/>
  <c r="AL108" i="9" s="1"/>
  <c r="Z108" i="9"/>
  <c r="BA108" i="9"/>
  <c r="BE108" i="9" s="1"/>
  <c r="BC108" i="9" s="1"/>
  <c r="AE108" i="9"/>
  <c r="X108" i="9"/>
  <c r="I264" i="9"/>
  <c r="AD265" i="9"/>
  <c r="AE265" i="9" s="1"/>
  <c r="B266" i="9"/>
  <c r="C266" i="9"/>
  <c r="BJ264" i="9"/>
  <c r="BK264" i="9"/>
  <c r="Q265" i="9"/>
  <c r="S265" i="9" s="1"/>
  <c r="V265" i="9" s="1"/>
  <c r="Z265" i="9" s="1"/>
  <c r="AA265" i="9" s="1"/>
  <c r="AK265" i="9"/>
  <c r="AN265" i="9" s="1"/>
  <c r="BK265" i="9" s="1"/>
  <c r="AC265" i="9"/>
  <c r="CI256" i="8"/>
  <c r="AX257" i="8"/>
  <c r="AU257" i="8"/>
  <c r="AI257" i="8"/>
  <c r="N257" i="8"/>
  <c r="P257" i="8" s="1"/>
  <c r="U257" i="8" s="1"/>
  <c r="CH256" i="8"/>
  <c r="X100" i="8"/>
  <c r="AE100" i="8"/>
  <c r="BA100" i="8"/>
  <c r="BE100" i="8" s="1"/>
  <c r="BC100" i="8" s="1"/>
  <c r="Z100" i="8"/>
  <c r="I255" i="8"/>
  <c r="AZ256" i="8"/>
  <c r="AW256" i="8"/>
  <c r="Q256" i="8"/>
  <c r="S256" i="8" s="1"/>
  <c r="V256" i="8" s="1"/>
  <c r="AC256" i="8"/>
  <c r="H256" i="8"/>
  <c r="D259" i="8"/>
  <c r="E259" i="8" s="1"/>
  <c r="AD260" i="8"/>
  <c r="BP266" i="9" l="1"/>
  <c r="BQ266" i="9" s="1"/>
  <c r="BR266" i="9" s="1"/>
  <c r="G266" i="9"/>
  <c r="H266" i="9" s="1"/>
  <c r="AJ258" i="8"/>
  <c r="K258" i="8"/>
  <c r="M258" i="8" s="1"/>
  <c r="T258" i="8" s="1"/>
  <c r="BM265" i="9"/>
  <c r="BU265" i="9"/>
  <c r="BX264" i="9"/>
  <c r="BP264" i="8" s="1"/>
  <c r="BJ108" i="9"/>
  <c r="BB108" i="9"/>
  <c r="BF108" i="9" s="1"/>
  <c r="BD108" i="9" s="1"/>
  <c r="AK108" i="9"/>
  <c r="AN108" i="9" s="1"/>
  <c r="AA108" i="9"/>
  <c r="AK266" i="9"/>
  <c r="AN266" i="9" s="1"/>
  <c r="AC266" i="9"/>
  <c r="Q266" i="9"/>
  <c r="S266" i="9" s="1"/>
  <c r="V266" i="9" s="1"/>
  <c r="Z266" i="9" s="1"/>
  <c r="AA266" i="9" s="1"/>
  <c r="C267" i="9"/>
  <c r="B267" i="9"/>
  <c r="AD266" i="9"/>
  <c r="AE266" i="9" s="1"/>
  <c r="I265" i="9"/>
  <c r="BJ265" i="9"/>
  <c r="CH257" i="8"/>
  <c r="CI257" i="8"/>
  <c r="AX258" i="8"/>
  <c r="AU258" i="8"/>
  <c r="AI258" i="8"/>
  <c r="N258" i="8"/>
  <c r="P258" i="8" s="1"/>
  <c r="U258" i="8" s="1"/>
  <c r="BB100" i="8"/>
  <c r="BF100" i="8" s="1"/>
  <c r="BD100" i="8" s="1"/>
  <c r="AK100" i="8"/>
  <c r="AN100" i="8" s="1"/>
  <c r="AM100" i="8" s="1"/>
  <c r="BJ100" i="8"/>
  <c r="AA100" i="8"/>
  <c r="W101" i="8" s="1"/>
  <c r="I256" i="8"/>
  <c r="AW257" i="8"/>
  <c r="AZ257" i="8"/>
  <c r="Q257" i="8"/>
  <c r="S257" i="8" s="1"/>
  <c r="V257" i="8" s="1"/>
  <c r="AC257" i="8"/>
  <c r="H257" i="8"/>
  <c r="D260" i="8"/>
  <c r="E260" i="8" s="1"/>
  <c r="BP267" i="9" l="1"/>
  <c r="BQ267" i="9" s="1"/>
  <c r="BR267" i="9" s="1"/>
  <c r="G267" i="9"/>
  <c r="H267" i="9" s="1"/>
  <c r="AJ259" i="8"/>
  <c r="K259" i="8"/>
  <c r="M259" i="8" s="1"/>
  <c r="T259" i="8" s="1"/>
  <c r="BM266" i="9"/>
  <c r="BU266" i="9"/>
  <c r="BX265" i="9"/>
  <c r="BP265" i="8" s="1"/>
  <c r="W109" i="9"/>
  <c r="BK108" i="9"/>
  <c r="AM108" i="9"/>
  <c r="AD267" i="9"/>
  <c r="AE267" i="9" s="1"/>
  <c r="B268" i="9"/>
  <c r="C268" i="9"/>
  <c r="Q267" i="9"/>
  <c r="S267" i="9" s="1"/>
  <c r="V267" i="9" s="1"/>
  <c r="Z267" i="9" s="1"/>
  <c r="AA267" i="9" s="1"/>
  <c r="AK267" i="9"/>
  <c r="AN267" i="9" s="1"/>
  <c r="AC267" i="9"/>
  <c r="BK266" i="9"/>
  <c r="I266" i="9"/>
  <c r="BJ266" i="9"/>
  <c r="CH258" i="8"/>
  <c r="CI258" i="8"/>
  <c r="AX259" i="8"/>
  <c r="AU259" i="8"/>
  <c r="AI259" i="8"/>
  <c r="N259" i="8"/>
  <c r="P259" i="8" s="1"/>
  <c r="U259" i="8" s="1"/>
  <c r="BK100" i="8"/>
  <c r="I257" i="8"/>
  <c r="AZ258" i="8"/>
  <c r="AW258" i="8"/>
  <c r="Q258" i="8"/>
  <c r="S258" i="8" s="1"/>
  <c r="V258" i="8" s="1"/>
  <c r="AC258" i="8"/>
  <c r="AD258" i="8" s="1"/>
  <c r="H258" i="8"/>
  <c r="D261" i="8"/>
  <c r="E261" i="8" s="1"/>
  <c r="AD262" i="8"/>
  <c r="BP268" i="9" l="1"/>
  <c r="BQ268" i="9" s="1"/>
  <c r="BR268" i="9" s="1"/>
  <c r="G268" i="9"/>
  <c r="H268" i="9" s="1"/>
  <c r="AJ260" i="8"/>
  <c r="K260" i="8"/>
  <c r="M260" i="8" s="1"/>
  <c r="T260" i="8" s="1"/>
  <c r="BM267" i="9"/>
  <c r="BU267" i="9"/>
  <c r="BX266" i="9"/>
  <c r="BP266" i="8" s="1"/>
  <c r="X109" i="9"/>
  <c r="BA109" i="9"/>
  <c r="BE109" i="9" s="1"/>
  <c r="BC109" i="9" s="1"/>
  <c r="AE109" i="9"/>
  <c r="Z109" i="9"/>
  <c r="Y109" i="9"/>
  <c r="AL109" i="9" s="1"/>
  <c r="AK268" i="9"/>
  <c r="AN268" i="9" s="1"/>
  <c r="AC268" i="9"/>
  <c r="Q268" i="9"/>
  <c r="S268" i="9" s="1"/>
  <c r="V268" i="9" s="1"/>
  <c r="Z268" i="9" s="1"/>
  <c r="AA268" i="9" s="1"/>
  <c r="BK267" i="9"/>
  <c r="C269" i="9"/>
  <c r="B269" i="9"/>
  <c r="AD268" i="9"/>
  <c r="AE268" i="9" s="1"/>
  <c r="BJ267" i="9"/>
  <c r="I267" i="9"/>
  <c r="CH259" i="8"/>
  <c r="CI259" i="8"/>
  <c r="AX260" i="8"/>
  <c r="AU260" i="8"/>
  <c r="AI260" i="8"/>
  <c r="N260" i="8"/>
  <c r="P260" i="8" s="1"/>
  <c r="U260" i="8" s="1"/>
  <c r="AE101" i="8"/>
  <c r="BA101" i="8"/>
  <c r="BE101" i="8" s="1"/>
  <c r="BC101" i="8" s="1"/>
  <c r="Y101" i="8"/>
  <c r="AL101" i="8" s="1"/>
  <c r="X101" i="8"/>
  <c r="AK101" i="8" s="1"/>
  <c r="Z101" i="8"/>
  <c r="I258" i="8"/>
  <c r="AW259" i="8"/>
  <c r="AZ259" i="8"/>
  <c r="Q259" i="8"/>
  <c r="S259" i="8" s="1"/>
  <c r="V259" i="8" s="1"/>
  <c r="AC259" i="8"/>
  <c r="H259" i="8"/>
  <c r="D262" i="8"/>
  <c r="E262" i="8" s="1"/>
  <c r="AD263" i="8"/>
  <c r="BP269" i="9" l="1"/>
  <c r="BQ269" i="9" s="1"/>
  <c r="BR269" i="9" s="1"/>
  <c r="G269" i="9"/>
  <c r="H269" i="9" s="1"/>
  <c r="AJ261" i="8"/>
  <c r="K261" i="8"/>
  <c r="M261" i="8" s="1"/>
  <c r="T261" i="8" s="1"/>
  <c r="BJ109" i="9"/>
  <c r="BM268" i="9"/>
  <c r="BU268" i="9"/>
  <c r="BX267" i="9"/>
  <c r="BP267" i="8" s="1"/>
  <c r="AA109" i="9"/>
  <c r="BB109" i="9"/>
  <c r="BF109" i="9" s="1"/>
  <c r="BD109" i="9" s="1"/>
  <c r="AK109" i="9"/>
  <c r="AN109" i="9" s="1"/>
  <c r="AD269" i="9"/>
  <c r="AE269" i="9" s="1"/>
  <c r="B270" i="9"/>
  <c r="C270" i="9"/>
  <c r="Q269" i="9"/>
  <c r="S269" i="9" s="1"/>
  <c r="V269" i="9" s="1"/>
  <c r="Z269" i="9" s="1"/>
  <c r="AA269" i="9" s="1"/>
  <c r="AK269" i="9"/>
  <c r="AN269" i="9" s="1"/>
  <c r="AC269" i="9"/>
  <c r="BK268" i="9"/>
  <c r="I268" i="9"/>
  <c r="BJ268" i="9"/>
  <c r="CI260" i="8"/>
  <c r="AX261" i="8"/>
  <c r="CH260" i="8"/>
  <c r="AU261" i="8"/>
  <c r="AI261" i="8"/>
  <c r="N261" i="8"/>
  <c r="P261" i="8" s="1"/>
  <c r="U261" i="8" s="1"/>
  <c r="BB101" i="8"/>
  <c r="BF101" i="8" s="1"/>
  <c r="BD101" i="8" s="1"/>
  <c r="AN101" i="8"/>
  <c r="BJ101" i="8"/>
  <c r="AA101" i="8"/>
  <c r="W102" i="8" s="1"/>
  <c r="I259" i="8"/>
  <c r="AW260" i="8"/>
  <c r="AZ260" i="8"/>
  <c r="Q260" i="8"/>
  <c r="S260" i="8" s="1"/>
  <c r="V260" i="8" s="1"/>
  <c r="AC260" i="8"/>
  <c r="H260" i="8"/>
  <c r="D263" i="8"/>
  <c r="E263" i="8" s="1"/>
  <c r="AD264" i="8"/>
  <c r="BP270" i="9" l="1"/>
  <c r="BQ270" i="9" s="1"/>
  <c r="BR270" i="9" s="1"/>
  <c r="G270" i="9"/>
  <c r="H270" i="9" s="1"/>
  <c r="AJ262" i="8"/>
  <c r="K262" i="8"/>
  <c r="M262" i="8" s="1"/>
  <c r="T262" i="8" s="1"/>
  <c r="BM269" i="9"/>
  <c r="BU269" i="9"/>
  <c r="BX268" i="9"/>
  <c r="BP268" i="8" s="1"/>
  <c r="BK109" i="9"/>
  <c r="AM109" i="9"/>
  <c r="W110" i="9"/>
  <c r="I269" i="9"/>
  <c r="AK270" i="9"/>
  <c r="AN270" i="9" s="1"/>
  <c r="AC270" i="9"/>
  <c r="AD270" i="9" s="1"/>
  <c r="AE270" i="9" s="1"/>
  <c r="Q270" i="9"/>
  <c r="S270" i="9" s="1"/>
  <c r="V270" i="9" s="1"/>
  <c r="Z270" i="9" s="1"/>
  <c r="AA270" i="9" s="1"/>
  <c r="BK269" i="9"/>
  <c r="C271" i="9"/>
  <c r="B271" i="9"/>
  <c r="BJ269" i="9"/>
  <c r="AX262" i="8"/>
  <c r="CH261" i="8"/>
  <c r="CI261" i="8"/>
  <c r="N262" i="8"/>
  <c r="P262" i="8" s="1"/>
  <c r="U262" i="8" s="1"/>
  <c r="AU262" i="8"/>
  <c r="AI262" i="8"/>
  <c r="BK101" i="8"/>
  <c r="AM101" i="8"/>
  <c r="I260" i="8"/>
  <c r="AZ261" i="8"/>
  <c r="AW261" i="8"/>
  <c r="Q261" i="8"/>
  <c r="S261" i="8" s="1"/>
  <c r="V261" i="8" s="1"/>
  <c r="AC261" i="8"/>
  <c r="AD261" i="8" s="1"/>
  <c r="H261" i="8"/>
  <c r="D264" i="8"/>
  <c r="E264" i="8" s="1"/>
  <c r="AD265" i="8"/>
  <c r="BP271" i="9" l="1"/>
  <c r="BQ271" i="9" s="1"/>
  <c r="BR271" i="9" s="1"/>
  <c r="G271" i="9"/>
  <c r="H271" i="9" s="1"/>
  <c r="AJ263" i="8"/>
  <c r="K263" i="8"/>
  <c r="M263" i="8" s="1"/>
  <c r="T263" i="8" s="1"/>
  <c r="BM270" i="9"/>
  <c r="BU270" i="9"/>
  <c r="BX269" i="9"/>
  <c r="BP269" i="8" s="1"/>
  <c r="X110" i="9"/>
  <c r="Y110" i="9"/>
  <c r="AL110" i="9" s="1"/>
  <c r="AE110" i="9"/>
  <c r="Z110" i="9"/>
  <c r="BA110" i="9"/>
  <c r="BE110" i="9" s="1"/>
  <c r="BC110" i="9" s="1"/>
  <c r="BJ270" i="9"/>
  <c r="BK270" i="9"/>
  <c r="AD271" i="9"/>
  <c r="AE271" i="9" s="1"/>
  <c r="B272" i="9"/>
  <c r="C272" i="9"/>
  <c r="Q271" i="9"/>
  <c r="S271" i="9" s="1"/>
  <c r="V271" i="9" s="1"/>
  <c r="Z271" i="9" s="1"/>
  <c r="AA271" i="9" s="1"/>
  <c r="AK271" i="9"/>
  <c r="AN271" i="9" s="1"/>
  <c r="AC271" i="9"/>
  <c r="I270" i="9"/>
  <c r="AX263" i="8"/>
  <c r="CH262" i="8"/>
  <c r="CI262" i="8"/>
  <c r="N263" i="8"/>
  <c r="P263" i="8" s="1"/>
  <c r="U263" i="8" s="1"/>
  <c r="AU263" i="8"/>
  <c r="AI263" i="8"/>
  <c r="W263" i="8"/>
  <c r="BM263" i="8" s="1"/>
  <c r="X102" i="8"/>
  <c r="AK102" i="8" s="1"/>
  <c r="BA102" i="8"/>
  <c r="BE102" i="8" s="1"/>
  <c r="BC102" i="8" s="1"/>
  <c r="Z102" i="8"/>
  <c r="AE102" i="8"/>
  <c r="Y102" i="8"/>
  <c r="AL102" i="8" s="1"/>
  <c r="I261" i="8"/>
  <c r="AW262" i="8"/>
  <c r="AZ262" i="8"/>
  <c r="Q262" i="8"/>
  <c r="S262" i="8" s="1"/>
  <c r="V262" i="8" s="1"/>
  <c r="AC262" i="8"/>
  <c r="H262" i="8"/>
  <c r="D265" i="8"/>
  <c r="E265" i="8" s="1"/>
  <c r="AD266" i="8"/>
  <c r="BP272" i="9" l="1"/>
  <c r="BQ272" i="9" s="1"/>
  <c r="BR272" i="9" s="1"/>
  <c r="G272" i="9"/>
  <c r="H272" i="9" s="1"/>
  <c r="AJ264" i="8"/>
  <c r="K264" i="8"/>
  <c r="M264" i="8" s="1"/>
  <c r="T264" i="8" s="1"/>
  <c r="BM271" i="9"/>
  <c r="BU271" i="9"/>
  <c r="BX270" i="9"/>
  <c r="BP270" i="8" s="1"/>
  <c r="BJ110" i="9"/>
  <c r="AA110" i="9"/>
  <c r="BB110" i="9"/>
  <c r="BF110" i="9" s="1"/>
  <c r="BD110" i="9" s="1"/>
  <c r="AK110" i="9"/>
  <c r="AN110" i="9" s="1"/>
  <c r="C273" i="9"/>
  <c r="B273" i="9"/>
  <c r="AD272" i="9"/>
  <c r="AE272" i="9" s="1"/>
  <c r="BJ271" i="9"/>
  <c r="I271" i="9"/>
  <c r="BK271" i="9"/>
  <c r="AK272" i="9"/>
  <c r="AN272" i="9" s="1"/>
  <c r="AC272" i="9"/>
  <c r="Q272" i="9"/>
  <c r="S272" i="9" s="1"/>
  <c r="V272" i="9" s="1"/>
  <c r="Z272" i="9" s="1"/>
  <c r="AA272" i="9" s="1"/>
  <c r="AX264" i="8"/>
  <c r="CH263" i="8"/>
  <c r="CI263" i="8"/>
  <c r="N264" i="8"/>
  <c r="P264" i="8" s="1"/>
  <c r="U264" i="8" s="1"/>
  <c r="AU264" i="8"/>
  <c r="AI264" i="8"/>
  <c r="W264" i="8"/>
  <c r="BM264" i="8" s="1"/>
  <c r="BJ102" i="8"/>
  <c r="BB102" i="8"/>
  <c r="BF102" i="8" s="1"/>
  <c r="BD102" i="8" s="1"/>
  <c r="AN102" i="8"/>
  <c r="AA102" i="8"/>
  <c r="W103" i="8" s="1"/>
  <c r="I262" i="8"/>
  <c r="AW263" i="8"/>
  <c r="AZ263" i="8"/>
  <c r="Q263" i="8"/>
  <c r="S263" i="8" s="1"/>
  <c r="V263" i="8" s="1"/>
  <c r="AC263" i="8"/>
  <c r="H263" i="8"/>
  <c r="D266" i="8"/>
  <c r="E266" i="8" s="1"/>
  <c r="AD267" i="8"/>
  <c r="BP273" i="9" l="1"/>
  <c r="BQ273" i="9" s="1"/>
  <c r="BR273" i="9" s="1"/>
  <c r="G273" i="9"/>
  <c r="H273" i="9" s="1"/>
  <c r="AJ265" i="8"/>
  <c r="K265" i="8"/>
  <c r="M265" i="8" s="1"/>
  <c r="T265" i="8" s="1"/>
  <c r="BM272" i="9"/>
  <c r="BU272" i="9"/>
  <c r="BX271" i="9"/>
  <c r="BP271" i="8" s="1"/>
  <c r="W111" i="9"/>
  <c r="BK110" i="9"/>
  <c r="AM110" i="9"/>
  <c r="BJ272" i="9"/>
  <c r="B274" i="9"/>
  <c r="AD273" i="9"/>
  <c r="AE273" i="9" s="1"/>
  <c r="C274" i="9"/>
  <c r="BK272" i="9"/>
  <c r="Q273" i="9"/>
  <c r="S273" i="9" s="1"/>
  <c r="V273" i="9" s="1"/>
  <c r="Z273" i="9" s="1"/>
  <c r="AA273" i="9" s="1"/>
  <c r="AK273" i="9"/>
  <c r="AN273" i="9" s="1"/>
  <c r="BK273" i="9" s="1"/>
  <c r="AC273" i="9"/>
  <c r="I272" i="9"/>
  <c r="CI264" i="8"/>
  <c r="AX265" i="8"/>
  <c r="AU265" i="8"/>
  <c r="AI265" i="8"/>
  <c r="W265" i="8"/>
  <c r="BM265" i="8" s="1"/>
  <c r="N265" i="8"/>
  <c r="P265" i="8" s="1"/>
  <c r="U265" i="8" s="1"/>
  <c r="CH264" i="8"/>
  <c r="BK102" i="8"/>
  <c r="AM102" i="8"/>
  <c r="I263" i="8"/>
  <c r="AZ264" i="8"/>
  <c r="AW264" i="8"/>
  <c r="Q264" i="8"/>
  <c r="S264" i="8" s="1"/>
  <c r="V264" i="8" s="1"/>
  <c r="AC264" i="8"/>
  <c r="H264" i="8"/>
  <c r="D267" i="8"/>
  <c r="E267" i="8" s="1"/>
  <c r="AD268" i="8"/>
  <c r="BP274" i="9" l="1"/>
  <c r="BQ274" i="9" s="1"/>
  <c r="BR274" i="9" s="1"/>
  <c r="G274" i="9"/>
  <c r="H274" i="9" s="1"/>
  <c r="AJ266" i="8"/>
  <c r="K266" i="8"/>
  <c r="M266" i="8" s="1"/>
  <c r="T266" i="8" s="1"/>
  <c r="BM273" i="9"/>
  <c r="BU273" i="9"/>
  <c r="BX272" i="9"/>
  <c r="BP272" i="8" s="1"/>
  <c r="Z111" i="9"/>
  <c r="BA111" i="9"/>
  <c r="BE111" i="9" s="1"/>
  <c r="BC111" i="9" s="1"/>
  <c r="AE111" i="9"/>
  <c r="X111" i="9"/>
  <c r="Y111" i="9"/>
  <c r="AL111" i="9" s="1"/>
  <c r="I273" i="9"/>
  <c r="AK274" i="9"/>
  <c r="AN274" i="9" s="1"/>
  <c r="AC274" i="9"/>
  <c r="Q274" i="9"/>
  <c r="S274" i="9" s="1"/>
  <c r="V274" i="9" s="1"/>
  <c r="Z274" i="9" s="1"/>
  <c r="AA274" i="9" s="1"/>
  <c r="BJ273" i="9"/>
  <c r="C275" i="9"/>
  <c r="AD274" i="9"/>
  <c r="AE274" i="9" s="1"/>
  <c r="B275" i="9"/>
  <c r="CH265" i="8"/>
  <c r="CI265" i="8"/>
  <c r="AX266" i="8"/>
  <c r="AU266" i="8"/>
  <c r="AI266" i="8"/>
  <c r="W266" i="8"/>
  <c r="BM266" i="8" s="1"/>
  <c r="N266" i="8"/>
  <c r="P266" i="8" s="1"/>
  <c r="U266" i="8" s="1"/>
  <c r="BA103" i="8"/>
  <c r="BE103" i="8" s="1"/>
  <c r="BC103" i="8" s="1"/>
  <c r="Z103" i="8"/>
  <c r="AE103" i="8"/>
  <c r="Y103" i="8"/>
  <c r="AL103" i="8" s="1"/>
  <c r="X103" i="8"/>
  <c r="AK103" i="8" s="1"/>
  <c r="I264" i="8"/>
  <c r="AW265" i="8"/>
  <c r="AZ265" i="8"/>
  <c r="Q265" i="8"/>
  <c r="S265" i="8" s="1"/>
  <c r="V265" i="8" s="1"/>
  <c r="AC265" i="8"/>
  <c r="H265" i="8"/>
  <c r="D268" i="8"/>
  <c r="E268" i="8" s="1"/>
  <c r="AD269" i="8"/>
  <c r="BP275" i="9" l="1"/>
  <c r="BQ275" i="9" s="1"/>
  <c r="BR275" i="9" s="1"/>
  <c r="G275" i="9"/>
  <c r="H275" i="9" s="1"/>
  <c r="AJ267" i="8"/>
  <c r="K267" i="8"/>
  <c r="M267" i="8" s="1"/>
  <c r="T267" i="8" s="1"/>
  <c r="BX273" i="9"/>
  <c r="BP273" i="8" s="1"/>
  <c r="BJ111" i="9"/>
  <c r="BM274" i="9"/>
  <c r="BU274" i="9"/>
  <c r="AA111" i="9"/>
  <c r="W112" i="9" s="1"/>
  <c r="AK111" i="9"/>
  <c r="AN111" i="9" s="1"/>
  <c r="BB111" i="9"/>
  <c r="BF111" i="9" s="1"/>
  <c r="BD111" i="9" s="1"/>
  <c r="AK275" i="9"/>
  <c r="AN275" i="9" s="1"/>
  <c r="BK275" i="9" s="1"/>
  <c r="Q275" i="9"/>
  <c r="S275" i="9" s="1"/>
  <c r="V275" i="9" s="1"/>
  <c r="Z275" i="9" s="1"/>
  <c r="AA275" i="9" s="1"/>
  <c r="AC275" i="9"/>
  <c r="I274" i="9"/>
  <c r="BK274" i="9"/>
  <c r="C276" i="9"/>
  <c r="B276" i="9"/>
  <c r="AD275" i="9"/>
  <c r="AE275" i="9" s="1"/>
  <c r="BJ274" i="9"/>
  <c r="CH266" i="8"/>
  <c r="CI266" i="8"/>
  <c r="AX267" i="8"/>
  <c r="AU267" i="8"/>
  <c r="AI267" i="8"/>
  <c r="W267" i="8"/>
  <c r="BM267" i="8" s="1"/>
  <c r="N267" i="8"/>
  <c r="P267" i="8" s="1"/>
  <c r="U267" i="8" s="1"/>
  <c r="BJ103" i="8"/>
  <c r="BB103" i="8"/>
  <c r="BF103" i="8" s="1"/>
  <c r="BD103" i="8" s="1"/>
  <c r="AN103" i="8"/>
  <c r="AA103" i="8"/>
  <c r="W104" i="8" s="1"/>
  <c r="I265" i="8"/>
  <c r="AW266" i="8"/>
  <c r="AZ266" i="8"/>
  <c r="Q266" i="8"/>
  <c r="S266" i="8" s="1"/>
  <c r="V266" i="8" s="1"/>
  <c r="AC266" i="8"/>
  <c r="H266" i="8"/>
  <c r="D269" i="8"/>
  <c r="E269" i="8" s="1"/>
  <c r="BP276" i="9" l="1"/>
  <c r="BQ276" i="9" s="1"/>
  <c r="BR276" i="9" s="1"/>
  <c r="G276" i="9"/>
  <c r="H276" i="9" s="1"/>
  <c r="AJ268" i="8"/>
  <c r="K268" i="8"/>
  <c r="M268" i="8" s="1"/>
  <c r="T268" i="8" s="1"/>
  <c r="BM275" i="9"/>
  <c r="BU275" i="9"/>
  <c r="BX274" i="9"/>
  <c r="BP274" i="8" s="1"/>
  <c r="Y112" i="9"/>
  <c r="AL112" i="9" s="1"/>
  <c r="Z112" i="9"/>
  <c r="BA112" i="9"/>
  <c r="BE112" i="9" s="1"/>
  <c r="BC112" i="9" s="1"/>
  <c r="AE112" i="9"/>
  <c r="X112" i="9"/>
  <c r="BK111" i="9"/>
  <c r="AM111" i="9"/>
  <c r="BJ275" i="9"/>
  <c r="AD276" i="9"/>
  <c r="AE276" i="9" s="1"/>
  <c r="B277" i="9"/>
  <c r="C277" i="9"/>
  <c r="Q276" i="9"/>
  <c r="S276" i="9" s="1"/>
  <c r="V276" i="9" s="1"/>
  <c r="Z276" i="9" s="1"/>
  <c r="AA276" i="9" s="1"/>
  <c r="AK276" i="9"/>
  <c r="AN276" i="9" s="1"/>
  <c r="AC276" i="9"/>
  <c r="I275" i="9"/>
  <c r="CH267" i="8"/>
  <c r="CI267" i="8"/>
  <c r="AX268" i="8"/>
  <c r="AU268" i="8"/>
  <c r="AI268" i="8"/>
  <c r="W268" i="8"/>
  <c r="BM268" i="8" s="1"/>
  <c r="N268" i="8"/>
  <c r="P268" i="8" s="1"/>
  <c r="U268" i="8" s="1"/>
  <c r="BK103" i="8"/>
  <c r="AM103" i="8"/>
  <c r="I266" i="8"/>
  <c r="AZ267" i="8"/>
  <c r="AW267" i="8"/>
  <c r="Q267" i="8"/>
  <c r="S267" i="8" s="1"/>
  <c r="V267" i="8" s="1"/>
  <c r="AC267" i="8"/>
  <c r="H267" i="8"/>
  <c r="D270" i="8"/>
  <c r="E270" i="8" s="1"/>
  <c r="AD271" i="8"/>
  <c r="BP277" i="9" l="1"/>
  <c r="BQ277" i="9" s="1"/>
  <c r="BR277" i="9" s="1"/>
  <c r="G277" i="9"/>
  <c r="H277" i="9" s="1"/>
  <c r="AJ269" i="8"/>
  <c r="K269" i="8"/>
  <c r="M269" i="8" s="1"/>
  <c r="T269" i="8" s="1"/>
  <c r="BM276" i="9"/>
  <c r="BU276" i="9"/>
  <c r="BX275" i="9"/>
  <c r="BP275" i="8" s="1"/>
  <c r="BJ112" i="9"/>
  <c r="AK112" i="9"/>
  <c r="AN112" i="9" s="1"/>
  <c r="BB112" i="9"/>
  <c r="BF112" i="9" s="1"/>
  <c r="BD112" i="9" s="1"/>
  <c r="AA112" i="9"/>
  <c r="AK277" i="9"/>
  <c r="AN277" i="9" s="1"/>
  <c r="AC277" i="9"/>
  <c r="Q277" i="9"/>
  <c r="S277" i="9" s="1"/>
  <c r="V277" i="9" s="1"/>
  <c r="Z277" i="9" s="1"/>
  <c r="AA277" i="9" s="1"/>
  <c r="I276" i="9"/>
  <c r="C278" i="9"/>
  <c r="B278" i="9"/>
  <c r="AD277" i="9"/>
  <c r="AE277" i="9" s="1"/>
  <c r="BK276" i="9"/>
  <c r="BJ276" i="9"/>
  <c r="CI268" i="8"/>
  <c r="AX269" i="8"/>
  <c r="AU269" i="8"/>
  <c r="AI269" i="8"/>
  <c r="W269" i="8"/>
  <c r="BM269" i="8" s="1"/>
  <c r="CH268" i="8"/>
  <c r="N269" i="8"/>
  <c r="P269" i="8" s="1"/>
  <c r="U269" i="8" s="1"/>
  <c r="BA104" i="8"/>
  <c r="BE104" i="8" s="1"/>
  <c r="BC104" i="8" s="1"/>
  <c r="Y104" i="8"/>
  <c r="AL104" i="8" s="1"/>
  <c r="AE104" i="8"/>
  <c r="Z104" i="8"/>
  <c r="X104" i="8"/>
  <c r="AK104" i="8" s="1"/>
  <c r="I267" i="8"/>
  <c r="AW268" i="8"/>
  <c r="AZ268" i="8"/>
  <c r="Q268" i="8"/>
  <c r="S268" i="8" s="1"/>
  <c r="V268" i="8" s="1"/>
  <c r="AC268" i="8"/>
  <c r="H268" i="8"/>
  <c r="D271" i="8"/>
  <c r="E271" i="8" s="1"/>
  <c r="AD272" i="8"/>
  <c r="BP278" i="9" l="1"/>
  <c r="BQ278" i="9" s="1"/>
  <c r="BR278" i="9" s="1"/>
  <c r="G278" i="9"/>
  <c r="H278" i="9" s="1"/>
  <c r="AJ270" i="8"/>
  <c r="K270" i="8"/>
  <c r="M270" i="8" s="1"/>
  <c r="T270" i="8" s="1"/>
  <c r="BM277" i="9"/>
  <c r="BU277" i="9"/>
  <c r="BX276" i="9"/>
  <c r="BP276" i="8" s="1"/>
  <c r="W113" i="9"/>
  <c r="BK112" i="9"/>
  <c r="AM112" i="9"/>
  <c r="I277" i="9"/>
  <c r="BK277" i="9"/>
  <c r="BJ277" i="9"/>
  <c r="AD278" i="9"/>
  <c r="AE278" i="9" s="1"/>
  <c r="BJ278" i="9" s="1"/>
  <c r="B279" i="9"/>
  <c r="C279" i="9"/>
  <c r="Q278" i="9"/>
  <c r="S278" i="9" s="1"/>
  <c r="V278" i="9" s="1"/>
  <c r="Z278" i="9" s="1"/>
  <c r="AA278" i="9" s="1"/>
  <c r="AK278" i="9"/>
  <c r="AN278" i="9" s="1"/>
  <c r="AC278" i="9"/>
  <c r="AX270" i="8"/>
  <c r="CH269" i="8"/>
  <c r="CI269" i="8"/>
  <c r="AU270" i="8"/>
  <c r="AI270" i="8"/>
  <c r="W270" i="8"/>
  <c r="BM270" i="8" s="1"/>
  <c r="N270" i="8"/>
  <c r="P270" i="8" s="1"/>
  <c r="U270" i="8" s="1"/>
  <c r="BJ104" i="8"/>
  <c r="AA104" i="8"/>
  <c r="W105" i="8" s="1"/>
  <c r="BB104" i="8"/>
  <c r="BF104" i="8" s="1"/>
  <c r="BD104" i="8" s="1"/>
  <c r="AN104" i="8"/>
  <c r="I268" i="8"/>
  <c r="AW269" i="8"/>
  <c r="AZ269" i="8"/>
  <c r="Q269" i="8"/>
  <c r="S269" i="8" s="1"/>
  <c r="V269" i="8" s="1"/>
  <c r="AC269" i="8"/>
  <c r="H269" i="8"/>
  <c r="D272" i="8"/>
  <c r="E272" i="8" s="1"/>
  <c r="BP279" i="9" l="1"/>
  <c r="BQ279" i="9" s="1"/>
  <c r="BR279" i="9" s="1"/>
  <c r="G279" i="9"/>
  <c r="H279" i="9" s="1"/>
  <c r="AJ271" i="8"/>
  <c r="K271" i="8"/>
  <c r="M271" i="8" s="1"/>
  <c r="T271" i="8" s="1"/>
  <c r="BM278" i="9"/>
  <c r="BU278" i="9"/>
  <c r="BX277" i="9"/>
  <c r="BP277" i="8" s="1"/>
  <c r="Z113" i="9"/>
  <c r="Y113" i="9"/>
  <c r="AL113" i="9" s="1"/>
  <c r="BA113" i="9"/>
  <c r="BE113" i="9" s="1"/>
  <c r="BC113" i="9" s="1"/>
  <c r="X113" i="9"/>
  <c r="AE113" i="9"/>
  <c r="BK278" i="9"/>
  <c r="AK279" i="9"/>
  <c r="AN279" i="9" s="1"/>
  <c r="BK279" i="9" s="1"/>
  <c r="AC279" i="9"/>
  <c r="Q279" i="9"/>
  <c r="S279" i="9" s="1"/>
  <c r="V279" i="9" s="1"/>
  <c r="Z279" i="9" s="1"/>
  <c r="AA279" i="9" s="1"/>
  <c r="C280" i="9"/>
  <c r="B280" i="9"/>
  <c r="AD279" i="9"/>
  <c r="AE279" i="9" s="1"/>
  <c r="I278" i="9"/>
  <c r="AX271" i="8"/>
  <c r="CH270" i="8"/>
  <c r="CI270" i="8"/>
  <c r="N271" i="8"/>
  <c r="P271" i="8" s="1"/>
  <c r="U271" i="8" s="1"/>
  <c r="AU271" i="8"/>
  <c r="AI271" i="8"/>
  <c r="W271" i="8"/>
  <c r="BM271" i="8" s="1"/>
  <c r="BK104" i="8"/>
  <c r="AM104" i="8"/>
  <c r="I269" i="8"/>
  <c r="AZ270" i="8"/>
  <c r="AW270" i="8"/>
  <c r="Q270" i="8"/>
  <c r="S270" i="8" s="1"/>
  <c r="V270" i="8" s="1"/>
  <c r="AC270" i="8"/>
  <c r="AD270" i="8" s="1"/>
  <c r="BT270" i="8"/>
  <c r="H270" i="8"/>
  <c r="D273" i="8"/>
  <c r="E273" i="8" s="1"/>
  <c r="AD274" i="8"/>
  <c r="BP280" i="9" l="1"/>
  <c r="BQ280" i="9" s="1"/>
  <c r="BR280" i="9" s="1"/>
  <c r="G280" i="9"/>
  <c r="H280" i="9" s="1"/>
  <c r="AJ272" i="8"/>
  <c r="K272" i="8"/>
  <c r="M272" i="8" s="1"/>
  <c r="T272" i="8" s="1"/>
  <c r="BM279" i="9"/>
  <c r="BU279" i="9"/>
  <c r="BX278" i="9"/>
  <c r="BP278" i="8" s="1"/>
  <c r="BJ113" i="9"/>
  <c r="AK113" i="9"/>
  <c r="AN113" i="9" s="1"/>
  <c r="BB113" i="9"/>
  <c r="BF113" i="9" s="1"/>
  <c r="BD113" i="9" s="1"/>
  <c r="AA113" i="9"/>
  <c r="I279" i="9"/>
  <c r="BJ279" i="9"/>
  <c r="AD280" i="9"/>
  <c r="AE280" i="9" s="1"/>
  <c r="B281" i="9"/>
  <c r="C281" i="9"/>
  <c r="Q280" i="9"/>
  <c r="S280" i="9" s="1"/>
  <c r="V280" i="9" s="1"/>
  <c r="Z280" i="9" s="1"/>
  <c r="AA280" i="9" s="1"/>
  <c r="AK280" i="9"/>
  <c r="AN280" i="9" s="1"/>
  <c r="AC280" i="9"/>
  <c r="AX272" i="8"/>
  <c r="CH271" i="8"/>
  <c r="CI271" i="8"/>
  <c r="N272" i="8"/>
  <c r="P272" i="8" s="1"/>
  <c r="U272" i="8" s="1"/>
  <c r="AU272" i="8"/>
  <c r="AI272" i="8"/>
  <c r="W272" i="8"/>
  <c r="BM272" i="8" s="1"/>
  <c r="Y105" i="8"/>
  <c r="AL105" i="8" s="1"/>
  <c r="BA105" i="8"/>
  <c r="BE105" i="8" s="1"/>
  <c r="BC105" i="8" s="1"/>
  <c r="AE105" i="8"/>
  <c r="X105" i="8"/>
  <c r="AK105" i="8" s="1"/>
  <c r="Z105" i="8"/>
  <c r="I270" i="8"/>
  <c r="AZ271" i="8"/>
  <c r="AW271" i="8"/>
  <c r="BC270" i="8"/>
  <c r="BD270" i="8"/>
  <c r="BG270" i="8"/>
  <c r="BA270" i="8"/>
  <c r="BE270" i="8" s="1"/>
  <c r="X270" i="8"/>
  <c r="AK270" i="8" s="1"/>
  <c r="AO270" i="8"/>
  <c r="AM270" i="8"/>
  <c r="AF270" i="8"/>
  <c r="Y270" i="8"/>
  <c r="AL270" i="8" s="1"/>
  <c r="Z270" i="8"/>
  <c r="AE270" i="8"/>
  <c r="Q271" i="8"/>
  <c r="S271" i="8" s="1"/>
  <c r="V271" i="8" s="1"/>
  <c r="AC271" i="8"/>
  <c r="BT271" i="8"/>
  <c r="H271" i="8"/>
  <c r="D274" i="8"/>
  <c r="E274" i="8" s="1"/>
  <c r="AD275" i="8"/>
  <c r="BP281" i="9" l="1"/>
  <c r="BQ281" i="9" s="1"/>
  <c r="BR281" i="9" s="1"/>
  <c r="G281" i="9"/>
  <c r="H281" i="9" s="1"/>
  <c r="AJ273" i="8"/>
  <c r="K273" i="8"/>
  <c r="M273" i="8" s="1"/>
  <c r="T273" i="8" s="1"/>
  <c r="BX279" i="9"/>
  <c r="BP279" i="8" s="1"/>
  <c r="BM280" i="9"/>
  <c r="BU280" i="9"/>
  <c r="W114" i="9"/>
  <c r="BK113" i="9"/>
  <c r="AM113" i="9"/>
  <c r="BK280" i="9"/>
  <c r="AK281" i="9"/>
  <c r="AN281" i="9" s="1"/>
  <c r="BK281" i="9" s="1"/>
  <c r="AC281" i="9"/>
  <c r="Q281" i="9"/>
  <c r="S281" i="9" s="1"/>
  <c r="V281" i="9" s="1"/>
  <c r="Z281" i="9" s="1"/>
  <c r="AA281" i="9" s="1"/>
  <c r="C282" i="9"/>
  <c r="B282" i="9"/>
  <c r="AD281" i="9"/>
  <c r="AE281" i="9" s="1"/>
  <c r="BJ281" i="9" s="1"/>
  <c r="I280" i="9"/>
  <c r="BJ280" i="9"/>
  <c r="CI272" i="8"/>
  <c r="AX273" i="8"/>
  <c r="AU273" i="8"/>
  <c r="AI273" i="8"/>
  <c r="W273" i="8"/>
  <c r="BM273" i="8" s="1"/>
  <c r="N273" i="8"/>
  <c r="P273" i="8" s="1"/>
  <c r="U273" i="8" s="1"/>
  <c r="CH272" i="8"/>
  <c r="BJ105" i="8"/>
  <c r="AN105" i="8"/>
  <c r="BB105" i="8"/>
  <c r="BF105" i="8" s="1"/>
  <c r="BD105" i="8" s="1"/>
  <c r="AA105" i="8"/>
  <c r="W106" i="8" s="1"/>
  <c r="I271" i="8"/>
  <c r="BJ270" i="8"/>
  <c r="AN270" i="8"/>
  <c r="BB270" i="8"/>
  <c r="BF270" i="8" s="1"/>
  <c r="BC271" i="8"/>
  <c r="BD271" i="8"/>
  <c r="BG271" i="8"/>
  <c r="AA270" i="8"/>
  <c r="BQ270" i="8" s="1"/>
  <c r="AW272" i="8"/>
  <c r="AZ272" i="8"/>
  <c r="BA271" i="8"/>
  <c r="BE271" i="8" s="1"/>
  <c r="Y271" i="8"/>
  <c r="AL271" i="8" s="1"/>
  <c r="AM271" i="8"/>
  <c r="AO271" i="8"/>
  <c r="Z271" i="8"/>
  <c r="AF271" i="8"/>
  <c r="X271" i="8"/>
  <c r="AK271" i="8" s="1"/>
  <c r="AE271" i="8"/>
  <c r="Q272" i="8"/>
  <c r="S272" i="8" s="1"/>
  <c r="V272" i="8" s="1"/>
  <c r="BT272" i="8"/>
  <c r="AC272" i="8"/>
  <c r="H272" i="8"/>
  <c r="D275" i="8"/>
  <c r="E275" i="8" s="1"/>
  <c r="AD276" i="8"/>
  <c r="BP282" i="9" l="1"/>
  <c r="BQ282" i="9" s="1"/>
  <c r="BR282" i="9" s="1"/>
  <c r="G282" i="9"/>
  <c r="H282" i="9" s="1"/>
  <c r="AJ274" i="8"/>
  <c r="K274" i="8"/>
  <c r="M274" i="8" s="1"/>
  <c r="T274" i="8" s="1"/>
  <c r="BM281" i="9"/>
  <c r="BU281" i="9"/>
  <c r="BX280" i="9"/>
  <c r="BP280" i="8" s="1"/>
  <c r="Z114" i="9"/>
  <c r="BA114" i="9"/>
  <c r="BE114" i="9" s="1"/>
  <c r="BC114" i="9" s="1"/>
  <c r="X114" i="9"/>
  <c r="Y114" i="9"/>
  <c r="AL114" i="9" s="1"/>
  <c r="AE114" i="9"/>
  <c r="I281" i="9"/>
  <c r="C283" i="9"/>
  <c r="B283" i="9"/>
  <c r="Q282" i="9"/>
  <c r="S282" i="9" s="1"/>
  <c r="V282" i="9" s="1"/>
  <c r="Z282" i="9" s="1"/>
  <c r="AA282" i="9" s="1"/>
  <c r="AK282" i="9"/>
  <c r="AN282" i="9" s="1"/>
  <c r="AC282" i="9"/>
  <c r="AD282" i="9" s="1"/>
  <c r="AE282" i="9" s="1"/>
  <c r="CH273" i="8"/>
  <c r="CI273" i="8"/>
  <c r="AX274" i="8"/>
  <c r="AU274" i="8"/>
  <c r="AI274" i="8"/>
  <c r="W274" i="8"/>
  <c r="BM274" i="8" s="1"/>
  <c r="N274" i="8"/>
  <c r="P274" i="8" s="1"/>
  <c r="U274" i="8" s="1"/>
  <c r="BK105" i="8"/>
  <c r="AM105" i="8"/>
  <c r="BK270" i="8"/>
  <c r="BA272" i="8"/>
  <c r="BE272" i="8" s="1"/>
  <c r="I272" i="8"/>
  <c r="AW273" i="8"/>
  <c r="AZ273" i="8"/>
  <c r="BC272" i="8"/>
  <c r="BD272" i="8"/>
  <c r="BG272" i="8"/>
  <c r="BJ271" i="8"/>
  <c r="AA271" i="8"/>
  <c r="BQ271" i="8" s="1"/>
  <c r="BR271" i="8" s="1"/>
  <c r="AN271" i="8"/>
  <c r="BB271" i="8"/>
  <c r="BF271" i="8" s="1"/>
  <c r="Q273" i="8"/>
  <c r="S273" i="8" s="1"/>
  <c r="V273" i="8" s="1"/>
  <c r="AC273" i="8"/>
  <c r="AD273" i="8" s="1"/>
  <c r="BT273" i="8"/>
  <c r="Z272" i="8"/>
  <c r="AM272" i="8"/>
  <c r="AO272" i="8"/>
  <c r="X272" i="8"/>
  <c r="AK272" i="8" s="1"/>
  <c r="AF272" i="8"/>
  <c r="Y272" i="8"/>
  <c r="AL272" i="8" s="1"/>
  <c r="AE272" i="8"/>
  <c r="H273" i="8"/>
  <c r="D276" i="8"/>
  <c r="E276" i="8" s="1"/>
  <c r="AD277" i="8"/>
  <c r="BP283" i="9" l="1"/>
  <c r="BQ283" i="9" s="1"/>
  <c r="BR283" i="9" s="1"/>
  <c r="G283" i="9"/>
  <c r="H283" i="9" s="1"/>
  <c r="AJ275" i="8"/>
  <c r="K275" i="8"/>
  <c r="M275" i="8" s="1"/>
  <c r="T275" i="8" s="1"/>
  <c r="BM282" i="9"/>
  <c r="BU282" i="9"/>
  <c r="BJ114" i="9"/>
  <c r="BX281" i="9"/>
  <c r="BP281" i="8" s="1"/>
  <c r="BB114" i="9"/>
  <c r="BF114" i="9" s="1"/>
  <c r="BD114" i="9" s="1"/>
  <c r="AK114" i="9"/>
  <c r="AN114" i="9" s="1"/>
  <c r="AA114" i="9"/>
  <c r="BJ282" i="9"/>
  <c r="BK282" i="9"/>
  <c r="C284" i="9"/>
  <c r="B284" i="9"/>
  <c r="Q283" i="9"/>
  <c r="S283" i="9" s="1"/>
  <c r="V283" i="9" s="1"/>
  <c r="Z283" i="9" s="1"/>
  <c r="AA283" i="9" s="1"/>
  <c r="AC283" i="9"/>
  <c r="AD283" i="9" s="1"/>
  <c r="AE283" i="9" s="1"/>
  <c r="BJ283" i="9" s="1"/>
  <c r="AK283" i="9"/>
  <c r="AN283" i="9" s="1"/>
  <c r="BK283" i="9" s="1"/>
  <c r="I282" i="9"/>
  <c r="CH274" i="8"/>
  <c r="CI274" i="8"/>
  <c r="AX275" i="8"/>
  <c r="AU275" i="8"/>
  <c r="AI275" i="8"/>
  <c r="W275" i="8"/>
  <c r="BM275" i="8" s="1"/>
  <c r="N275" i="8"/>
  <c r="P275" i="8" s="1"/>
  <c r="U275" i="8" s="1"/>
  <c r="AE106" i="8"/>
  <c r="Z106" i="8"/>
  <c r="BA106" i="8"/>
  <c r="BE106" i="8" s="1"/>
  <c r="BC106" i="8" s="1"/>
  <c r="X106" i="8"/>
  <c r="AK106" i="8" s="1"/>
  <c r="Y106" i="8"/>
  <c r="AL106" i="8" s="1"/>
  <c r="BJ272" i="8"/>
  <c r="BU272" i="8" s="1"/>
  <c r="I273" i="8"/>
  <c r="BK271" i="8"/>
  <c r="BU271" i="8"/>
  <c r="AW274" i="8"/>
  <c r="AZ274" i="8"/>
  <c r="BD273" i="8"/>
  <c r="BG273" i="8"/>
  <c r="BC273" i="8"/>
  <c r="BB272" i="8"/>
  <c r="BF272" i="8" s="1"/>
  <c r="BA273" i="8"/>
  <c r="BE273" i="8" s="1"/>
  <c r="Y273" i="8"/>
  <c r="AL273" i="8" s="1"/>
  <c r="AM273" i="8"/>
  <c r="AO273" i="8"/>
  <c r="AF273" i="8"/>
  <c r="X273" i="8"/>
  <c r="AK273" i="8" s="1"/>
  <c r="Z273" i="8"/>
  <c r="AE273" i="8"/>
  <c r="Q274" i="8"/>
  <c r="S274" i="8" s="1"/>
  <c r="V274" i="8" s="1"/>
  <c r="BT274" i="8"/>
  <c r="AC274" i="8"/>
  <c r="AA272" i="8"/>
  <c r="BQ272" i="8" s="1"/>
  <c r="BR272" i="8" s="1"/>
  <c r="AN272" i="8"/>
  <c r="H274" i="8"/>
  <c r="D277" i="8"/>
  <c r="E277" i="8" s="1"/>
  <c r="AD278" i="8"/>
  <c r="BP284" i="9" l="1"/>
  <c r="BQ284" i="9" s="1"/>
  <c r="BR284" i="9" s="1"/>
  <c r="G284" i="9"/>
  <c r="H284" i="9" s="1"/>
  <c r="AJ276" i="8"/>
  <c r="K276" i="8"/>
  <c r="M276" i="8" s="1"/>
  <c r="T276" i="8" s="1"/>
  <c r="BM283" i="9"/>
  <c r="BU283" i="9"/>
  <c r="BX282" i="9"/>
  <c r="BP282" i="8" s="1"/>
  <c r="W115" i="9"/>
  <c r="BK114" i="9"/>
  <c r="AM114" i="9"/>
  <c r="B285" i="9"/>
  <c r="AD284" i="9"/>
  <c r="AE284" i="9" s="1"/>
  <c r="C285" i="9"/>
  <c r="Q284" i="9"/>
  <c r="S284" i="9" s="1"/>
  <c r="V284" i="9" s="1"/>
  <c r="Z284" i="9" s="1"/>
  <c r="AA284" i="9" s="1"/>
  <c r="AK284" i="9"/>
  <c r="AN284" i="9" s="1"/>
  <c r="AC284" i="9"/>
  <c r="I283" i="9"/>
  <c r="CH275" i="8"/>
  <c r="CI275" i="8"/>
  <c r="AX276" i="8"/>
  <c r="N276" i="8"/>
  <c r="P276" i="8" s="1"/>
  <c r="U276" i="8" s="1"/>
  <c r="AU276" i="8"/>
  <c r="AI276" i="8"/>
  <c r="W276" i="8"/>
  <c r="BM276" i="8" s="1"/>
  <c r="BB106" i="8"/>
  <c r="BF106" i="8" s="1"/>
  <c r="BD106" i="8" s="1"/>
  <c r="AN106" i="8"/>
  <c r="BJ106" i="8"/>
  <c r="AA106" i="8"/>
  <c r="W107" i="8" s="1"/>
  <c r="BB273" i="8"/>
  <c r="BF273" i="8" s="1"/>
  <c r="BK272" i="8"/>
  <c r="BZ272" i="8" s="1"/>
  <c r="I274" i="8"/>
  <c r="BZ271" i="8"/>
  <c r="AA273" i="8"/>
  <c r="BQ273" i="8" s="1"/>
  <c r="BR273" i="8" s="1"/>
  <c r="AN273" i="8"/>
  <c r="BJ273" i="8"/>
  <c r="AW275" i="8"/>
  <c r="AZ275" i="8"/>
  <c r="BC274" i="8"/>
  <c r="BD274" i="8"/>
  <c r="BG274" i="8"/>
  <c r="BA274" i="8"/>
  <c r="BE274" i="8" s="1"/>
  <c r="Q275" i="8"/>
  <c r="S275" i="8" s="1"/>
  <c r="V275" i="8" s="1"/>
  <c r="AC275" i="8"/>
  <c r="BT275" i="8"/>
  <c r="X274" i="8"/>
  <c r="AK274" i="8" s="1"/>
  <c r="AO274" i="8"/>
  <c r="AM274" i="8"/>
  <c r="Y274" i="8"/>
  <c r="AL274" i="8" s="1"/>
  <c r="AF274" i="8"/>
  <c r="Z274" i="8"/>
  <c r="AE274" i="8"/>
  <c r="H275" i="8"/>
  <c r="D278" i="8"/>
  <c r="E278" i="8" s="1"/>
  <c r="AD279" i="8"/>
  <c r="BP285" i="9" l="1"/>
  <c r="BQ285" i="9" s="1"/>
  <c r="BR285" i="9" s="1"/>
  <c r="G285" i="9"/>
  <c r="H285" i="9" s="1"/>
  <c r="AJ277" i="8"/>
  <c r="K277" i="8"/>
  <c r="M277" i="8" s="1"/>
  <c r="T277" i="8" s="1"/>
  <c r="BM284" i="9"/>
  <c r="BU284" i="9"/>
  <c r="BX283" i="9"/>
  <c r="BP283" i="8" s="1"/>
  <c r="Z115" i="9"/>
  <c r="Y115" i="9"/>
  <c r="AL115" i="9" s="1"/>
  <c r="X115" i="9"/>
  <c r="BA115" i="9"/>
  <c r="BE115" i="9" s="1"/>
  <c r="BC115" i="9" s="1"/>
  <c r="AE115" i="9"/>
  <c r="I284" i="9"/>
  <c r="C286" i="9"/>
  <c r="AD285" i="9"/>
  <c r="AE285" i="9" s="1"/>
  <c r="B286" i="9"/>
  <c r="BK284" i="9"/>
  <c r="AK285" i="9"/>
  <c r="AN285" i="9" s="1"/>
  <c r="AC285" i="9"/>
  <c r="Q285" i="9"/>
  <c r="S285" i="9" s="1"/>
  <c r="V285" i="9" s="1"/>
  <c r="Z285" i="9" s="1"/>
  <c r="AA285" i="9" s="1"/>
  <c r="BJ284" i="9"/>
  <c r="CI276" i="8"/>
  <c r="CH276" i="8"/>
  <c r="AX277" i="8"/>
  <c r="AU277" i="8"/>
  <c r="AI277" i="8"/>
  <c r="W277" i="8"/>
  <c r="BM277" i="8" s="1"/>
  <c r="N277" i="8"/>
  <c r="P277" i="8" s="1"/>
  <c r="U277" i="8" s="1"/>
  <c r="BK106" i="8"/>
  <c r="AM106" i="8"/>
  <c r="BK273" i="8"/>
  <c r="BX272" i="8"/>
  <c r="CA272" i="8" s="1"/>
  <c r="CB272" i="8" s="1"/>
  <c r="BX271" i="8"/>
  <c r="CA271" i="8" s="1"/>
  <c r="BU273" i="8"/>
  <c r="I275" i="8"/>
  <c r="AN274" i="8"/>
  <c r="BJ274" i="8"/>
  <c r="BB274" i="8"/>
  <c r="BF274" i="8" s="1"/>
  <c r="AW276" i="8"/>
  <c r="AZ276" i="8"/>
  <c r="BA275" i="8"/>
  <c r="BE275" i="8" s="1"/>
  <c r="BC275" i="8"/>
  <c r="BD275" i="8"/>
  <c r="BG275" i="8"/>
  <c r="Q276" i="8"/>
  <c r="S276" i="8" s="1"/>
  <c r="V276" i="8" s="1"/>
  <c r="AC276" i="8"/>
  <c r="BT276" i="8"/>
  <c r="AM275" i="8"/>
  <c r="AO275" i="8"/>
  <c r="Z275" i="8"/>
  <c r="X275" i="8"/>
  <c r="AK275" i="8" s="1"/>
  <c r="AF275" i="8"/>
  <c r="Y275" i="8"/>
  <c r="AL275" i="8" s="1"/>
  <c r="AE275" i="8"/>
  <c r="AA274" i="8"/>
  <c r="BQ274" i="8" s="1"/>
  <c r="BR274" i="8" s="1"/>
  <c r="H276" i="8"/>
  <c r="D279" i="8"/>
  <c r="E279" i="8" s="1"/>
  <c r="AD280" i="8"/>
  <c r="BP286" i="9" l="1"/>
  <c r="BQ286" i="9" s="1"/>
  <c r="BR286" i="9" s="1"/>
  <c r="G286" i="9"/>
  <c r="H286" i="9" s="1"/>
  <c r="AJ278" i="8"/>
  <c r="K278" i="8"/>
  <c r="M278" i="8" s="1"/>
  <c r="T278" i="8" s="1"/>
  <c r="AA115" i="9"/>
  <c r="W116" i="9" s="1"/>
  <c r="BM285" i="9"/>
  <c r="BU285" i="9"/>
  <c r="BX284" i="9"/>
  <c r="BP284" i="8" s="1"/>
  <c r="BJ115" i="9"/>
  <c r="AK115" i="9"/>
  <c r="AN115" i="9" s="1"/>
  <c r="BB115" i="9"/>
  <c r="BF115" i="9" s="1"/>
  <c r="BD115" i="9" s="1"/>
  <c r="BJ285" i="9"/>
  <c r="I285" i="9"/>
  <c r="BK285" i="9"/>
  <c r="Q286" i="9"/>
  <c r="S286" i="9" s="1"/>
  <c r="V286" i="9" s="1"/>
  <c r="Z286" i="9" s="1"/>
  <c r="AA286" i="9" s="1"/>
  <c r="AC286" i="9"/>
  <c r="AK286" i="9"/>
  <c r="AN286" i="9" s="1"/>
  <c r="BK286" i="9" s="1"/>
  <c r="B287" i="9"/>
  <c r="AD286" i="9"/>
  <c r="AE286" i="9" s="1"/>
  <c r="C287" i="9"/>
  <c r="AX278" i="8"/>
  <c r="CH277" i="8"/>
  <c r="CI277" i="8"/>
  <c r="N278" i="8"/>
  <c r="P278" i="8" s="1"/>
  <c r="U278" i="8" s="1"/>
  <c r="AU278" i="8"/>
  <c r="AI278" i="8"/>
  <c r="W278" i="8"/>
  <c r="BM278" i="8" s="1"/>
  <c r="BZ273" i="8"/>
  <c r="BX273" i="8" s="1"/>
  <c r="CA273" i="8" s="1"/>
  <c r="X107" i="8"/>
  <c r="AK107" i="8" s="1"/>
  <c r="BA107" i="8"/>
  <c r="BE107" i="8" s="1"/>
  <c r="BC107" i="8" s="1"/>
  <c r="Y107" i="8"/>
  <c r="AL107" i="8" s="1"/>
  <c r="AE107" i="8"/>
  <c r="Z107" i="8"/>
  <c r="BK274" i="8"/>
  <c r="BJ275" i="8"/>
  <c r="BU275" i="8" s="1"/>
  <c r="CB271" i="8"/>
  <c r="I276" i="8"/>
  <c r="BU274" i="8"/>
  <c r="BB275" i="8"/>
  <c r="BF275" i="8" s="1"/>
  <c r="AN275" i="8"/>
  <c r="AZ277" i="8"/>
  <c r="AW277" i="8"/>
  <c r="AA275" i="8"/>
  <c r="BQ275" i="8" s="1"/>
  <c r="BC276" i="8"/>
  <c r="BD276" i="8"/>
  <c r="BG276" i="8"/>
  <c r="BA276" i="8"/>
  <c r="BE276" i="8" s="1"/>
  <c r="Q277" i="8"/>
  <c r="S277" i="8" s="1"/>
  <c r="V277" i="8" s="1"/>
  <c r="AC277" i="8"/>
  <c r="BT277" i="8"/>
  <c r="X276" i="8"/>
  <c r="AK276" i="8" s="1"/>
  <c r="AO276" i="8"/>
  <c r="AM276" i="8"/>
  <c r="AF276" i="8"/>
  <c r="Y276" i="8"/>
  <c r="AL276" i="8" s="1"/>
  <c r="Z276" i="8"/>
  <c r="AE276" i="8"/>
  <c r="H277" i="8"/>
  <c r="D280" i="8"/>
  <c r="E280" i="8" s="1"/>
  <c r="AD281" i="8"/>
  <c r="BP287" i="9" l="1"/>
  <c r="BQ287" i="9" s="1"/>
  <c r="BR287" i="9" s="1"/>
  <c r="G287" i="9"/>
  <c r="H287" i="9" s="1"/>
  <c r="AJ279" i="8"/>
  <c r="K279" i="8"/>
  <c r="M279" i="8" s="1"/>
  <c r="T279" i="8" s="1"/>
  <c r="BX285" i="9"/>
  <c r="BP285" i="8" s="1"/>
  <c r="BM286" i="9"/>
  <c r="BU286" i="9"/>
  <c r="Z116" i="9"/>
  <c r="AE116" i="9"/>
  <c r="X116" i="9"/>
  <c r="Y116" i="9"/>
  <c r="AL116" i="9" s="1"/>
  <c r="BA116" i="9"/>
  <c r="BE116" i="9" s="1"/>
  <c r="BC116" i="9" s="1"/>
  <c r="BK115" i="9"/>
  <c r="AM115" i="9"/>
  <c r="I286" i="9"/>
  <c r="AK287" i="9"/>
  <c r="AN287" i="9" s="1"/>
  <c r="AC287" i="9"/>
  <c r="Q287" i="9"/>
  <c r="S287" i="9" s="1"/>
  <c r="V287" i="9" s="1"/>
  <c r="Z287" i="9" s="1"/>
  <c r="AA287" i="9" s="1"/>
  <c r="BJ286" i="9"/>
  <c r="C288" i="9"/>
  <c r="AD287" i="9"/>
  <c r="AE287" i="9" s="1"/>
  <c r="BJ287" i="9" s="1"/>
  <c r="B288" i="9"/>
  <c r="AX279" i="8"/>
  <c r="CH278" i="8"/>
  <c r="CI278" i="8"/>
  <c r="N279" i="8"/>
  <c r="P279" i="8" s="1"/>
  <c r="U279" i="8" s="1"/>
  <c r="AU279" i="8"/>
  <c r="AI279" i="8"/>
  <c r="W279" i="8"/>
  <c r="BM279" i="8" s="1"/>
  <c r="AN107" i="8"/>
  <c r="BB107" i="8"/>
  <c r="BF107" i="8" s="1"/>
  <c r="BD107" i="8" s="1"/>
  <c r="BJ107" i="8"/>
  <c r="AA107" i="8"/>
  <c r="W108" i="8" s="1"/>
  <c r="BR275" i="8"/>
  <c r="BZ274" i="8"/>
  <c r="I277" i="8"/>
  <c r="BA277" i="8"/>
  <c r="BE277" i="8" s="1"/>
  <c r="CB273" i="8"/>
  <c r="BJ276" i="8"/>
  <c r="BK275" i="8"/>
  <c r="AW278" i="8"/>
  <c r="AZ278" i="8"/>
  <c r="AA276" i="8"/>
  <c r="BQ276" i="8" s="1"/>
  <c r="BB276" i="8"/>
  <c r="BF276" i="8" s="1"/>
  <c r="BC277" i="8"/>
  <c r="BD277" i="8"/>
  <c r="BG277" i="8"/>
  <c r="Y277" i="8"/>
  <c r="AL277" i="8" s="1"/>
  <c r="AM277" i="8"/>
  <c r="AO277" i="8"/>
  <c r="AF277" i="8"/>
  <c r="X277" i="8"/>
  <c r="AK277" i="8" s="1"/>
  <c r="Z277" i="8"/>
  <c r="AE277" i="8"/>
  <c r="AN276" i="8"/>
  <c r="Q278" i="8"/>
  <c r="S278" i="8" s="1"/>
  <c r="V278" i="8" s="1"/>
  <c r="BT278" i="8"/>
  <c r="AC278" i="8"/>
  <c r="H278" i="8"/>
  <c r="D281" i="8"/>
  <c r="E281" i="8" s="1"/>
  <c r="BP288" i="9" l="1"/>
  <c r="BQ288" i="9" s="1"/>
  <c r="BR288" i="9" s="1"/>
  <c r="G288" i="9"/>
  <c r="H288" i="9" s="1"/>
  <c r="AJ280" i="8"/>
  <c r="K280" i="8"/>
  <c r="M280" i="8" s="1"/>
  <c r="T280" i="8" s="1"/>
  <c r="BM287" i="9"/>
  <c r="BU287" i="9"/>
  <c r="BX286" i="9"/>
  <c r="BP286" i="8" s="1"/>
  <c r="AA116" i="9"/>
  <c r="W117" i="9" s="1"/>
  <c r="BB116" i="9"/>
  <c r="BF116" i="9" s="1"/>
  <c r="BD116" i="9" s="1"/>
  <c r="AK116" i="9"/>
  <c r="AN116" i="9" s="1"/>
  <c r="BJ116" i="9"/>
  <c r="B289" i="9"/>
  <c r="AD288" i="9"/>
  <c r="AE288" i="9" s="1"/>
  <c r="C289" i="9"/>
  <c r="I287" i="9"/>
  <c r="BK287" i="9"/>
  <c r="Q288" i="9"/>
  <c r="S288" i="9" s="1"/>
  <c r="V288" i="9" s="1"/>
  <c r="Z288" i="9" s="1"/>
  <c r="AA288" i="9" s="1"/>
  <c r="AK288" i="9"/>
  <c r="AN288" i="9" s="1"/>
  <c r="BK288" i="9" s="1"/>
  <c r="AC288" i="9"/>
  <c r="AX280" i="8"/>
  <c r="CH279" i="8"/>
  <c r="CI279" i="8"/>
  <c r="N280" i="8"/>
  <c r="P280" i="8" s="1"/>
  <c r="U280" i="8" s="1"/>
  <c r="AU280" i="8"/>
  <c r="AI280" i="8"/>
  <c r="W280" i="8"/>
  <c r="BM280" i="8" s="1"/>
  <c r="BK107" i="8"/>
  <c r="AM107" i="8"/>
  <c r="BZ275" i="8"/>
  <c r="BX275" i="8" s="1"/>
  <c r="BX274" i="8"/>
  <c r="CA274" i="8" s="1"/>
  <c r="BR276" i="8"/>
  <c r="BJ277" i="8"/>
  <c r="BU277" i="8" s="1"/>
  <c r="BU276" i="8"/>
  <c r="I278" i="8"/>
  <c r="BK276" i="8"/>
  <c r="BC278" i="8"/>
  <c r="BD278" i="8"/>
  <c r="BG278" i="8"/>
  <c r="AN277" i="8"/>
  <c r="BB277" i="8"/>
  <c r="BF277" i="8" s="1"/>
  <c r="AA277" i="8"/>
  <c r="BQ277" i="8" s="1"/>
  <c r="BR277" i="8" s="1"/>
  <c r="BA278" i="8"/>
  <c r="BE278" i="8" s="1"/>
  <c r="AW279" i="8"/>
  <c r="AZ279" i="8"/>
  <c r="Z278" i="8"/>
  <c r="AM278" i="8"/>
  <c r="AO278" i="8"/>
  <c r="Y278" i="8"/>
  <c r="AL278" i="8" s="1"/>
  <c r="AF278" i="8"/>
  <c r="X278" i="8"/>
  <c r="AK278" i="8" s="1"/>
  <c r="AE278" i="8"/>
  <c r="Q279" i="8"/>
  <c r="S279" i="8" s="1"/>
  <c r="V279" i="8" s="1"/>
  <c r="AC279" i="8"/>
  <c r="BT279" i="8"/>
  <c r="H279" i="8"/>
  <c r="D282" i="8"/>
  <c r="E282" i="8" s="1"/>
  <c r="AD283" i="8"/>
  <c r="BP289" i="9" l="1"/>
  <c r="BQ289" i="9" s="1"/>
  <c r="BR289" i="9" s="1"/>
  <c r="G289" i="9"/>
  <c r="H289" i="9" s="1"/>
  <c r="AJ281" i="8"/>
  <c r="K281" i="8"/>
  <c r="M281" i="8" s="1"/>
  <c r="T281" i="8" s="1"/>
  <c r="BM288" i="9"/>
  <c r="BU288" i="9"/>
  <c r="BX287" i="9"/>
  <c r="BP287" i="8" s="1"/>
  <c r="BK116" i="9"/>
  <c r="AM116" i="9"/>
  <c r="Z117" i="9"/>
  <c r="AE117" i="9"/>
  <c r="Y117" i="9"/>
  <c r="AL117" i="9" s="1"/>
  <c r="BA117" i="9"/>
  <c r="BE117" i="9" s="1"/>
  <c r="BC117" i="9" s="1"/>
  <c r="X117" i="9"/>
  <c r="AK289" i="9"/>
  <c r="AN289" i="9" s="1"/>
  <c r="BK289" i="9" s="1"/>
  <c r="AC289" i="9"/>
  <c r="Q289" i="9"/>
  <c r="S289" i="9" s="1"/>
  <c r="V289" i="9" s="1"/>
  <c r="Z289" i="9" s="1"/>
  <c r="AA289" i="9" s="1"/>
  <c r="BJ288" i="9"/>
  <c r="I288" i="9"/>
  <c r="C290" i="9"/>
  <c r="AD289" i="9"/>
  <c r="AE289" i="9" s="1"/>
  <c r="B290" i="9"/>
  <c r="CI280" i="8"/>
  <c r="AX281" i="8"/>
  <c r="AU281" i="8"/>
  <c r="AI281" i="8"/>
  <c r="W281" i="8"/>
  <c r="BM281" i="8" s="1"/>
  <c r="CH280" i="8"/>
  <c r="N281" i="8"/>
  <c r="P281" i="8" s="1"/>
  <c r="U281" i="8" s="1"/>
  <c r="Y108" i="8"/>
  <c r="AL108" i="8" s="1"/>
  <c r="BA108" i="8"/>
  <c r="BE108" i="8" s="1"/>
  <c r="BC108" i="8" s="1"/>
  <c r="X108" i="8"/>
  <c r="AK108" i="8" s="1"/>
  <c r="AE108" i="8"/>
  <c r="Z108" i="8"/>
  <c r="CA275" i="8"/>
  <c r="CB275" i="8" s="1"/>
  <c r="BZ276" i="8"/>
  <c r="I279" i="8"/>
  <c r="BK277" i="8"/>
  <c r="BZ277" i="8" s="1"/>
  <c r="CB274" i="8"/>
  <c r="BB278" i="8"/>
  <c r="BF278" i="8" s="1"/>
  <c r="BD279" i="8"/>
  <c r="BG279" i="8"/>
  <c r="BC279" i="8"/>
  <c r="BA279" i="8"/>
  <c r="BE279" i="8" s="1"/>
  <c r="AN278" i="8"/>
  <c r="AW280" i="8"/>
  <c r="AZ280" i="8"/>
  <c r="BJ278" i="8"/>
  <c r="Q280" i="8"/>
  <c r="S280" i="8" s="1"/>
  <c r="V280" i="8" s="1"/>
  <c r="AC280" i="8"/>
  <c r="BT280" i="8"/>
  <c r="Y279" i="8"/>
  <c r="AL279" i="8" s="1"/>
  <c r="AM279" i="8"/>
  <c r="AO279" i="8"/>
  <c r="AF279" i="8"/>
  <c r="X279" i="8"/>
  <c r="AK279" i="8" s="1"/>
  <c r="Z279" i="8"/>
  <c r="AE279" i="8"/>
  <c r="AA278" i="8"/>
  <c r="BQ278" i="8" s="1"/>
  <c r="H280" i="8"/>
  <c r="D283" i="8"/>
  <c r="E283" i="8" s="1"/>
  <c r="AD284" i="8"/>
  <c r="BP290" i="9" l="1"/>
  <c r="BQ290" i="9" s="1"/>
  <c r="BR290" i="9" s="1"/>
  <c r="G290" i="9"/>
  <c r="H290" i="9" s="1"/>
  <c r="AJ282" i="8"/>
  <c r="K282" i="8"/>
  <c r="M282" i="8" s="1"/>
  <c r="T282" i="8" s="1"/>
  <c r="BM289" i="9"/>
  <c r="BU289" i="9"/>
  <c r="BX288" i="9"/>
  <c r="BP288" i="8" s="1"/>
  <c r="BJ117" i="9"/>
  <c r="AA117" i="9"/>
  <c r="W118" i="9" s="1"/>
  <c r="BB117" i="9"/>
  <c r="BF117" i="9" s="1"/>
  <c r="BD117" i="9" s="1"/>
  <c r="AK117" i="9"/>
  <c r="AN117" i="9" s="1"/>
  <c r="B291" i="9"/>
  <c r="AD290" i="9"/>
  <c r="AE290" i="9" s="1"/>
  <c r="C291" i="9"/>
  <c r="BJ289" i="9"/>
  <c r="Q290" i="9"/>
  <c r="S290" i="9" s="1"/>
  <c r="V290" i="9" s="1"/>
  <c r="Z290" i="9" s="1"/>
  <c r="AA290" i="9" s="1"/>
  <c r="AK290" i="9"/>
  <c r="AN290" i="9" s="1"/>
  <c r="AC290" i="9"/>
  <c r="I289" i="9"/>
  <c r="BJ108" i="8"/>
  <c r="AA108" i="8"/>
  <c r="W109" i="8" s="1"/>
  <c r="CH281" i="8"/>
  <c r="CI281" i="8"/>
  <c r="AX282" i="8"/>
  <c r="AU282" i="8"/>
  <c r="AI282" i="8"/>
  <c r="W282" i="8"/>
  <c r="BM282" i="8" s="1"/>
  <c r="N282" i="8"/>
  <c r="P282" i="8" s="1"/>
  <c r="U282" i="8" s="1"/>
  <c r="AN108" i="8"/>
  <c r="BB108" i="8"/>
  <c r="BF108" i="8" s="1"/>
  <c r="BD108" i="8" s="1"/>
  <c r="BK278" i="8"/>
  <c r="BX276" i="8"/>
  <c r="CA276" i="8" s="1"/>
  <c r="CB276" i="8" s="1"/>
  <c r="BX277" i="8"/>
  <c r="CA277" i="8" s="1"/>
  <c r="BR278" i="8"/>
  <c r="I280" i="8"/>
  <c r="BU278" i="8"/>
  <c r="BA280" i="8"/>
  <c r="BE280" i="8" s="1"/>
  <c r="AW281" i="8"/>
  <c r="AZ281" i="8"/>
  <c r="BJ279" i="8"/>
  <c r="AN279" i="8"/>
  <c r="BC280" i="8"/>
  <c r="BD280" i="8"/>
  <c r="BG280" i="8"/>
  <c r="BB279" i="8"/>
  <c r="BF279" i="8" s="1"/>
  <c r="Q281" i="8"/>
  <c r="S281" i="8" s="1"/>
  <c r="V281" i="8" s="1"/>
  <c r="BT281" i="8"/>
  <c r="AC281" i="8"/>
  <c r="AA279" i="8"/>
  <c r="BQ279" i="8" s="1"/>
  <c r="Y280" i="8"/>
  <c r="AL280" i="8" s="1"/>
  <c r="AO280" i="8"/>
  <c r="AM280" i="8"/>
  <c r="Z280" i="8"/>
  <c r="AF280" i="8"/>
  <c r="X280" i="8"/>
  <c r="AK280" i="8" s="1"/>
  <c r="AE280" i="8"/>
  <c r="H281" i="8"/>
  <c r="D284" i="8"/>
  <c r="E284" i="8" s="1"/>
  <c r="BP291" i="9" l="1"/>
  <c r="BQ291" i="9" s="1"/>
  <c r="BR291" i="9" s="1"/>
  <c r="G291" i="9"/>
  <c r="H291" i="9" s="1"/>
  <c r="AJ283" i="8"/>
  <c r="K283" i="8"/>
  <c r="M283" i="8" s="1"/>
  <c r="T283" i="8" s="1"/>
  <c r="BM290" i="9"/>
  <c r="BU290" i="9"/>
  <c r="BX289" i="9"/>
  <c r="BP289" i="8" s="1"/>
  <c r="BK117" i="9"/>
  <c r="AM117" i="9"/>
  <c r="Y118" i="9"/>
  <c r="AL118" i="9" s="1"/>
  <c r="X118" i="9"/>
  <c r="BA118" i="9"/>
  <c r="BE118" i="9" s="1"/>
  <c r="BC118" i="9" s="1"/>
  <c r="Z118" i="9"/>
  <c r="AE118" i="9"/>
  <c r="I290" i="9"/>
  <c r="BK290" i="9"/>
  <c r="AK291" i="9"/>
  <c r="AN291" i="9" s="1"/>
  <c r="AC291" i="9"/>
  <c r="Q291" i="9"/>
  <c r="S291" i="9" s="1"/>
  <c r="V291" i="9" s="1"/>
  <c r="Z291" i="9" s="1"/>
  <c r="AA291" i="9" s="1"/>
  <c r="BJ290" i="9"/>
  <c r="C292" i="9"/>
  <c r="AD291" i="9"/>
  <c r="AE291" i="9" s="1"/>
  <c r="B292" i="9"/>
  <c r="CH282" i="8"/>
  <c r="CI282" i="8"/>
  <c r="AX283" i="8"/>
  <c r="AU283" i="8"/>
  <c r="AI283" i="8"/>
  <c r="W283" i="8"/>
  <c r="BM283" i="8" s="1"/>
  <c r="N283" i="8"/>
  <c r="P283" i="8" s="1"/>
  <c r="U283" i="8" s="1"/>
  <c r="Y109" i="8"/>
  <c r="AL109" i="8" s="1"/>
  <c r="X109" i="8"/>
  <c r="AK109" i="8" s="1"/>
  <c r="BA109" i="8"/>
  <c r="BE109" i="8" s="1"/>
  <c r="BC109" i="8" s="1"/>
  <c r="AE109" i="8"/>
  <c r="Z109" i="8"/>
  <c r="BK108" i="8"/>
  <c r="AM108" i="8"/>
  <c r="BA281" i="8"/>
  <c r="BE281" i="8" s="1"/>
  <c r="BR279" i="8"/>
  <c r="BJ280" i="8"/>
  <c r="BU280" i="8" s="1"/>
  <c r="CB277" i="8"/>
  <c r="I281" i="8"/>
  <c r="BU279" i="8"/>
  <c r="BZ278" i="8"/>
  <c r="BC281" i="8"/>
  <c r="BD281" i="8"/>
  <c r="BG281" i="8"/>
  <c r="AW282" i="8"/>
  <c r="AZ282" i="8"/>
  <c r="BK279" i="8"/>
  <c r="BB280" i="8"/>
  <c r="BF280" i="8" s="1"/>
  <c r="AN280" i="8"/>
  <c r="AA280" i="8"/>
  <c r="BQ280" i="8" s="1"/>
  <c r="BR280" i="8" s="1"/>
  <c r="AM281" i="8"/>
  <c r="AO281" i="8"/>
  <c r="AF281" i="8"/>
  <c r="Z281" i="8"/>
  <c r="X281" i="8"/>
  <c r="AK281" i="8" s="1"/>
  <c r="Y281" i="8"/>
  <c r="AL281" i="8" s="1"/>
  <c r="AE281" i="8"/>
  <c r="Q282" i="8"/>
  <c r="S282" i="8" s="1"/>
  <c r="V282" i="8" s="1"/>
  <c r="AC282" i="8"/>
  <c r="AD282" i="8" s="1"/>
  <c r="BT282" i="8"/>
  <c r="H282" i="8"/>
  <c r="D285" i="8"/>
  <c r="E285" i="8" s="1"/>
  <c r="AD286" i="8"/>
  <c r="BP292" i="9" l="1"/>
  <c r="BQ292" i="9" s="1"/>
  <c r="BR292" i="9" s="1"/>
  <c r="G292" i="9"/>
  <c r="H292" i="9" s="1"/>
  <c r="AJ284" i="8"/>
  <c r="K284" i="8"/>
  <c r="M284" i="8" s="1"/>
  <c r="T284" i="8" s="1"/>
  <c r="BM291" i="9"/>
  <c r="BU291" i="9"/>
  <c r="BX290" i="9"/>
  <c r="BP290" i="8" s="1"/>
  <c r="BB118" i="9"/>
  <c r="BF118" i="9" s="1"/>
  <c r="BD118" i="9" s="1"/>
  <c r="AK118" i="9"/>
  <c r="AN118" i="9" s="1"/>
  <c r="AA118" i="9"/>
  <c r="BJ118" i="9"/>
  <c r="BK291" i="9"/>
  <c r="I291" i="9"/>
  <c r="BJ291" i="9"/>
  <c r="B293" i="9"/>
  <c r="AD292" i="9"/>
  <c r="AE292" i="9" s="1"/>
  <c r="C293" i="9"/>
  <c r="Q292" i="9"/>
  <c r="S292" i="9" s="1"/>
  <c r="V292" i="9" s="1"/>
  <c r="Z292" i="9" s="1"/>
  <c r="AA292" i="9" s="1"/>
  <c r="AK292" i="9"/>
  <c r="AN292" i="9" s="1"/>
  <c r="BK292" i="9" s="1"/>
  <c r="AC292" i="9"/>
  <c r="CH283" i="8"/>
  <c r="CI283" i="8"/>
  <c r="AX284" i="8"/>
  <c r="AU284" i="8"/>
  <c r="AI284" i="8"/>
  <c r="W284" i="8"/>
  <c r="BM284" i="8" s="1"/>
  <c r="N284" i="8"/>
  <c r="P284" i="8" s="1"/>
  <c r="U284" i="8" s="1"/>
  <c r="BJ281" i="8"/>
  <c r="BU281" i="8" s="1"/>
  <c r="AA109" i="8"/>
  <c r="BJ109" i="8"/>
  <c r="AN109" i="8"/>
  <c r="BB109" i="8"/>
  <c r="BF109" i="8" s="1"/>
  <c r="BD109" i="8" s="1"/>
  <c r="BZ279" i="8"/>
  <c r="BX279" i="8" s="1"/>
  <c r="BX278" i="8"/>
  <c r="CA278" i="8" s="1"/>
  <c r="I282" i="8"/>
  <c r="BK280" i="8"/>
  <c r="BZ280" i="8" s="1"/>
  <c r="BA282" i="8"/>
  <c r="BE282" i="8" s="1"/>
  <c r="BB281" i="8"/>
  <c r="BF281" i="8" s="1"/>
  <c r="AN281" i="8"/>
  <c r="BC282" i="8"/>
  <c r="BD282" i="8"/>
  <c r="BG282" i="8"/>
  <c r="AZ283" i="8"/>
  <c r="AW283" i="8"/>
  <c r="AE282" i="8"/>
  <c r="AA281" i="8"/>
  <c r="BQ281" i="8" s="1"/>
  <c r="X282" i="8"/>
  <c r="AK282" i="8" s="1"/>
  <c r="AO282" i="8"/>
  <c r="AM282" i="8"/>
  <c r="Y282" i="8"/>
  <c r="AL282" i="8" s="1"/>
  <c r="AF282" i="8"/>
  <c r="Z282" i="8"/>
  <c r="Q283" i="8"/>
  <c r="S283" i="8" s="1"/>
  <c r="V283" i="8" s="1"/>
  <c r="AC283" i="8"/>
  <c r="BT283" i="8"/>
  <c r="H283" i="8"/>
  <c r="D286" i="8"/>
  <c r="E286" i="8" s="1"/>
  <c r="AD287" i="8"/>
  <c r="BP293" i="9" l="1"/>
  <c r="BQ293" i="9" s="1"/>
  <c r="BR293" i="9" s="1"/>
  <c r="G293" i="9"/>
  <c r="H293" i="9" s="1"/>
  <c r="AJ285" i="8"/>
  <c r="K285" i="8"/>
  <c r="M285" i="8" s="1"/>
  <c r="T285" i="8" s="1"/>
  <c r="BX291" i="9"/>
  <c r="BP291" i="8" s="1"/>
  <c r="BM292" i="9"/>
  <c r="BU292" i="9"/>
  <c r="W119" i="9"/>
  <c r="BK118" i="9"/>
  <c r="AM118" i="9"/>
  <c r="BJ292" i="9"/>
  <c r="C294" i="9"/>
  <c r="AD293" i="9"/>
  <c r="AE293" i="9" s="1"/>
  <c r="BJ293" i="9" s="1"/>
  <c r="B294" i="9"/>
  <c r="AK293" i="9"/>
  <c r="AN293" i="9" s="1"/>
  <c r="AC293" i="9"/>
  <c r="Q293" i="9"/>
  <c r="S293" i="9" s="1"/>
  <c r="V293" i="9" s="1"/>
  <c r="Z293" i="9" s="1"/>
  <c r="AA293" i="9" s="1"/>
  <c r="I292" i="9"/>
  <c r="CI284" i="8"/>
  <c r="CH284" i="8"/>
  <c r="AU285" i="8"/>
  <c r="AI285" i="8"/>
  <c r="W285" i="8"/>
  <c r="BM285" i="8" s="1"/>
  <c r="AX285" i="8"/>
  <c r="N285" i="8"/>
  <c r="P285" i="8" s="1"/>
  <c r="U285" i="8" s="1"/>
  <c r="W110" i="8"/>
  <c r="X110" i="8" s="1"/>
  <c r="AK110" i="8" s="1"/>
  <c r="BK109" i="8"/>
  <c r="AM109" i="8"/>
  <c r="CA279" i="8"/>
  <c r="CB279" i="8" s="1"/>
  <c r="BX280" i="8"/>
  <c r="CA280" i="8" s="1"/>
  <c r="BK281" i="8"/>
  <c r="BR281" i="8"/>
  <c r="BJ282" i="8"/>
  <c r="BU282" i="8" s="1"/>
  <c r="CB278" i="8"/>
  <c r="I283" i="8"/>
  <c r="BA283" i="8"/>
  <c r="BE283" i="8" s="1"/>
  <c r="BB282" i="8"/>
  <c r="BF282" i="8" s="1"/>
  <c r="BC283" i="8"/>
  <c r="BD283" i="8"/>
  <c r="BG283" i="8"/>
  <c r="AW284" i="8"/>
  <c r="AZ284" i="8"/>
  <c r="AN282" i="8"/>
  <c r="Q284" i="8"/>
  <c r="S284" i="8" s="1"/>
  <c r="V284" i="8" s="1"/>
  <c r="AC284" i="8"/>
  <c r="BT284" i="8"/>
  <c r="Y283" i="8"/>
  <c r="AL283" i="8" s="1"/>
  <c r="AO283" i="8"/>
  <c r="AM283" i="8"/>
  <c r="AF283" i="8"/>
  <c r="Z283" i="8"/>
  <c r="X283" i="8"/>
  <c r="AK283" i="8" s="1"/>
  <c r="AE283" i="8"/>
  <c r="AA282" i="8"/>
  <c r="BQ282" i="8" s="1"/>
  <c r="H284" i="8"/>
  <c r="D287" i="8"/>
  <c r="E287" i="8" s="1"/>
  <c r="AD288" i="8"/>
  <c r="BP294" i="9" l="1"/>
  <c r="BQ294" i="9" s="1"/>
  <c r="BR294" i="9" s="1"/>
  <c r="G294" i="9"/>
  <c r="H294" i="9" s="1"/>
  <c r="AJ286" i="8"/>
  <c r="K286" i="8"/>
  <c r="M286" i="8" s="1"/>
  <c r="T286" i="8" s="1"/>
  <c r="BM293" i="9"/>
  <c r="BU293" i="9"/>
  <c r="BX292" i="9"/>
  <c r="BP292" i="8" s="1"/>
  <c r="X119" i="9"/>
  <c r="Y119" i="9"/>
  <c r="AL119" i="9" s="1"/>
  <c r="BA119" i="9"/>
  <c r="BE119" i="9" s="1"/>
  <c r="BC119" i="9" s="1"/>
  <c r="Z119" i="9"/>
  <c r="AE119" i="9"/>
  <c r="I293" i="9"/>
  <c r="BK293" i="9"/>
  <c r="C295" i="9"/>
  <c r="B295" i="9"/>
  <c r="Q294" i="9"/>
  <c r="S294" i="9" s="1"/>
  <c r="V294" i="9" s="1"/>
  <c r="Z294" i="9" s="1"/>
  <c r="AA294" i="9" s="1"/>
  <c r="AK294" i="9"/>
  <c r="AN294" i="9" s="1"/>
  <c r="AC294" i="9"/>
  <c r="AD294" i="9" s="1"/>
  <c r="AE294" i="9" s="1"/>
  <c r="Y110" i="8"/>
  <c r="AL110" i="8" s="1"/>
  <c r="AN110" i="8" s="1"/>
  <c r="BA110" i="8"/>
  <c r="BE110" i="8" s="1"/>
  <c r="BC110" i="8" s="1"/>
  <c r="AE110" i="8"/>
  <c r="AX286" i="8"/>
  <c r="CH285" i="8"/>
  <c r="CI285" i="8"/>
  <c r="AU286" i="8"/>
  <c r="AI286" i="8"/>
  <c r="W286" i="8"/>
  <c r="BM286" i="8" s="1"/>
  <c r="N286" i="8"/>
  <c r="P286" i="8" s="1"/>
  <c r="U286" i="8" s="1"/>
  <c r="Z110" i="8"/>
  <c r="BK282" i="8"/>
  <c r="BJ283" i="8"/>
  <c r="BU283" i="8" s="1"/>
  <c r="BR282" i="8"/>
  <c r="BZ281" i="8"/>
  <c r="CB280" i="8"/>
  <c r="I284" i="8"/>
  <c r="BA284" i="8"/>
  <c r="BE284" i="8" s="1"/>
  <c r="BB283" i="8"/>
  <c r="BF283" i="8" s="1"/>
  <c r="AN283" i="8"/>
  <c r="BC284" i="8"/>
  <c r="BG284" i="8"/>
  <c r="BD284" i="8"/>
  <c r="AW285" i="8"/>
  <c r="AZ285" i="8"/>
  <c r="Q285" i="8"/>
  <c r="S285" i="8" s="1"/>
  <c r="V285" i="8" s="1"/>
  <c r="AC285" i="8"/>
  <c r="AD285" i="8" s="1"/>
  <c r="BT285" i="8"/>
  <c r="AA283" i="8"/>
  <c r="BQ283" i="8" s="1"/>
  <c r="BR283" i="8" s="1"/>
  <c r="Z284" i="8"/>
  <c r="AM284" i="8"/>
  <c r="AO284" i="8"/>
  <c r="AF284" i="8"/>
  <c r="X284" i="8"/>
  <c r="AK284" i="8" s="1"/>
  <c r="Y284" i="8"/>
  <c r="AL284" i="8" s="1"/>
  <c r="AE284" i="8"/>
  <c r="H285" i="8"/>
  <c r="D288" i="8"/>
  <c r="E288" i="8" s="1"/>
  <c r="AD289" i="8"/>
  <c r="BP295" i="9" l="1"/>
  <c r="BQ295" i="9" s="1"/>
  <c r="BR295" i="9" s="1"/>
  <c r="G295" i="9"/>
  <c r="H295" i="9" s="1"/>
  <c r="AJ287" i="8"/>
  <c r="K287" i="8"/>
  <c r="M287" i="8" s="1"/>
  <c r="T287" i="8" s="1"/>
  <c r="BJ119" i="9"/>
  <c r="BM294" i="9"/>
  <c r="BU294" i="9"/>
  <c r="BX293" i="9"/>
  <c r="BP293" i="8" s="1"/>
  <c r="AA119" i="9"/>
  <c r="BB119" i="9"/>
  <c r="BF119" i="9" s="1"/>
  <c r="BD119" i="9" s="1"/>
  <c r="AK119" i="9"/>
  <c r="AN119" i="9" s="1"/>
  <c r="BJ294" i="9"/>
  <c r="BK294" i="9"/>
  <c r="C296" i="9"/>
  <c r="B296" i="9"/>
  <c r="I294" i="9"/>
  <c r="AK295" i="9"/>
  <c r="AN295" i="9" s="1"/>
  <c r="BK295" i="9" s="1"/>
  <c r="AC295" i="9"/>
  <c r="AD295" i="9" s="1"/>
  <c r="AE295" i="9" s="1"/>
  <c r="BJ295" i="9" s="1"/>
  <c r="Q295" i="9"/>
  <c r="S295" i="9" s="1"/>
  <c r="V295" i="9" s="1"/>
  <c r="Z295" i="9" s="1"/>
  <c r="AA295" i="9" s="1"/>
  <c r="BJ110" i="8"/>
  <c r="BB110" i="8"/>
  <c r="BF110" i="8" s="1"/>
  <c r="BD110" i="8" s="1"/>
  <c r="AA110" i="8"/>
  <c r="W111" i="8" s="1"/>
  <c r="AX287" i="8"/>
  <c r="CH286" i="8"/>
  <c r="CI286" i="8"/>
  <c r="N287" i="8"/>
  <c r="P287" i="8" s="1"/>
  <c r="U287" i="8" s="1"/>
  <c r="AU287" i="8"/>
  <c r="AI287" i="8"/>
  <c r="W287" i="8"/>
  <c r="BM287" i="8" s="1"/>
  <c r="BZ282" i="8"/>
  <c r="BX282" i="8" s="1"/>
  <c r="CA282" i="8" s="1"/>
  <c r="CB282" i="8" s="1"/>
  <c r="AM110" i="8"/>
  <c r="BX281" i="8"/>
  <c r="CA281" i="8" s="1"/>
  <c r="CB281" i="8" s="1"/>
  <c r="I285" i="8"/>
  <c r="BJ284" i="8"/>
  <c r="BK283" i="8"/>
  <c r="BZ283" i="8" s="1"/>
  <c r="BA285" i="8"/>
  <c r="BE285" i="8" s="1"/>
  <c r="AW286" i="8"/>
  <c r="AZ286" i="8"/>
  <c r="BD285" i="8"/>
  <c r="BG285" i="8"/>
  <c r="BC285" i="8"/>
  <c r="AA284" i="8"/>
  <c r="BQ284" i="8" s="1"/>
  <c r="BB284" i="8"/>
  <c r="BF284" i="8" s="1"/>
  <c r="Q286" i="8"/>
  <c r="S286" i="8" s="1"/>
  <c r="V286" i="8" s="1"/>
  <c r="BT286" i="8"/>
  <c r="AC286" i="8"/>
  <c r="AM285" i="8"/>
  <c r="AO285" i="8"/>
  <c r="AF285" i="8"/>
  <c r="Y285" i="8"/>
  <c r="AL285" i="8" s="1"/>
  <c r="X285" i="8"/>
  <c r="AK285" i="8" s="1"/>
  <c r="Z285" i="8"/>
  <c r="AE285" i="8"/>
  <c r="AN284" i="8"/>
  <c r="H286" i="8"/>
  <c r="D289" i="8"/>
  <c r="E289" i="8" s="1"/>
  <c r="AD290" i="8"/>
  <c r="BP296" i="9" l="1"/>
  <c r="BQ296" i="9" s="1"/>
  <c r="BR296" i="9" s="1"/>
  <c r="G296" i="9"/>
  <c r="H296" i="9" s="1"/>
  <c r="AJ288" i="8"/>
  <c r="K288" i="8"/>
  <c r="M288" i="8" s="1"/>
  <c r="T288" i="8" s="1"/>
  <c r="BM295" i="9"/>
  <c r="BU295" i="9"/>
  <c r="BX294" i="9"/>
  <c r="BP294" i="8" s="1"/>
  <c r="BK119" i="9"/>
  <c r="AM119" i="9"/>
  <c r="W120" i="9"/>
  <c r="I295" i="9"/>
  <c r="AD296" i="9"/>
  <c r="AE296" i="9" s="1"/>
  <c r="BJ296" i="9" s="1"/>
  <c r="B297" i="9"/>
  <c r="C297" i="9"/>
  <c r="Q296" i="9"/>
  <c r="S296" i="9" s="1"/>
  <c r="V296" i="9" s="1"/>
  <c r="Z296" i="9" s="1"/>
  <c r="AA296" i="9" s="1"/>
  <c r="AK296" i="9"/>
  <c r="AN296" i="9" s="1"/>
  <c r="BK296" i="9" s="1"/>
  <c r="AC296" i="9"/>
  <c r="BK110" i="8"/>
  <c r="AX288" i="8"/>
  <c r="CH287" i="8"/>
  <c r="CI287" i="8"/>
  <c r="N288" i="8"/>
  <c r="P288" i="8" s="1"/>
  <c r="U288" i="8" s="1"/>
  <c r="AU288" i="8"/>
  <c r="AI288" i="8"/>
  <c r="W288" i="8"/>
  <c r="BM288" i="8" s="1"/>
  <c r="Z111" i="8"/>
  <c r="Y111" i="8"/>
  <c r="AL111" i="8" s="1"/>
  <c r="AE111" i="8"/>
  <c r="BA111" i="8"/>
  <c r="BE111" i="8" s="1"/>
  <c r="BC111" i="8" s="1"/>
  <c r="X111" i="8"/>
  <c r="AK111" i="8" s="1"/>
  <c r="BX283" i="8"/>
  <c r="CA283" i="8" s="1"/>
  <c r="BR284" i="8"/>
  <c r="AN285" i="8"/>
  <c r="AA285" i="8"/>
  <c r="BQ285" i="8" s="1"/>
  <c r="BB285" i="8"/>
  <c r="BF285" i="8" s="1"/>
  <c r="BU284" i="8"/>
  <c r="I286" i="8"/>
  <c r="BK284" i="8"/>
  <c r="BJ285" i="8"/>
  <c r="BC286" i="8"/>
  <c r="BG286" i="8"/>
  <c r="BD286" i="8"/>
  <c r="AW287" i="8"/>
  <c r="AZ287" i="8"/>
  <c r="BA286" i="8"/>
  <c r="BE286" i="8" s="1"/>
  <c r="Q287" i="8"/>
  <c r="S287" i="8" s="1"/>
  <c r="V287" i="8" s="1"/>
  <c r="AC287" i="8"/>
  <c r="BT287" i="8"/>
  <c r="Y286" i="8"/>
  <c r="AL286" i="8" s="1"/>
  <c r="AO286" i="8"/>
  <c r="AM286" i="8"/>
  <c r="X286" i="8"/>
  <c r="AK286" i="8" s="1"/>
  <c r="Z286" i="8"/>
  <c r="AF286" i="8"/>
  <c r="AE286" i="8"/>
  <c r="H287" i="8"/>
  <c r="D290" i="8"/>
  <c r="E290" i="8" s="1"/>
  <c r="AD291" i="8"/>
  <c r="BP297" i="9" l="1"/>
  <c r="BQ297" i="9" s="1"/>
  <c r="BR297" i="9" s="1"/>
  <c r="G297" i="9"/>
  <c r="H297" i="9" s="1"/>
  <c r="AJ289" i="8"/>
  <c r="K289" i="8"/>
  <c r="M289" i="8" s="1"/>
  <c r="T289" i="8" s="1"/>
  <c r="BM296" i="9"/>
  <c r="BU296" i="9"/>
  <c r="BX295" i="9"/>
  <c r="BP295" i="8" s="1"/>
  <c r="Z120" i="9"/>
  <c r="Y120" i="9"/>
  <c r="AL120" i="9" s="1"/>
  <c r="X120" i="9"/>
  <c r="BA120" i="9"/>
  <c r="BE120" i="9" s="1"/>
  <c r="BC120" i="9" s="1"/>
  <c r="AE120" i="9"/>
  <c r="AK297" i="9"/>
  <c r="AN297" i="9" s="1"/>
  <c r="AC297" i="9"/>
  <c r="Q297" i="9"/>
  <c r="S297" i="9" s="1"/>
  <c r="V297" i="9" s="1"/>
  <c r="Z297" i="9" s="1"/>
  <c r="AA297" i="9" s="1"/>
  <c r="C298" i="9"/>
  <c r="B298" i="9"/>
  <c r="AD297" i="9"/>
  <c r="AE297" i="9" s="1"/>
  <c r="I296" i="9"/>
  <c r="CI288" i="8"/>
  <c r="AX289" i="8"/>
  <c r="AU289" i="8"/>
  <c r="AI289" i="8"/>
  <c r="W289" i="8"/>
  <c r="BM289" i="8" s="1"/>
  <c r="N289" i="8"/>
  <c r="P289" i="8" s="1"/>
  <c r="U289" i="8" s="1"/>
  <c r="CH288" i="8"/>
  <c r="AN111" i="8"/>
  <c r="BB111" i="8"/>
  <c r="BF111" i="8" s="1"/>
  <c r="BD111" i="8" s="1"/>
  <c r="BJ111" i="8"/>
  <c r="AA111" i="8"/>
  <c r="W112" i="8" s="1"/>
  <c r="BK285" i="8"/>
  <c r="BZ284" i="8"/>
  <c r="BX284" i="8" s="1"/>
  <c r="CA284" i="8" s="1"/>
  <c r="BR285" i="8"/>
  <c r="CB283" i="8"/>
  <c r="BU285" i="8"/>
  <c r="I287" i="8"/>
  <c r="BB286" i="8"/>
  <c r="BF286" i="8" s="1"/>
  <c r="BJ286" i="8"/>
  <c r="BA287" i="8"/>
  <c r="BE287" i="8" s="1"/>
  <c r="AW288" i="8"/>
  <c r="AZ288" i="8"/>
  <c r="AA286" i="8"/>
  <c r="BQ286" i="8" s="1"/>
  <c r="BC287" i="8"/>
  <c r="BD287" i="8"/>
  <c r="BG287" i="8"/>
  <c r="AO287" i="8"/>
  <c r="Z287" i="8"/>
  <c r="AF287" i="8"/>
  <c r="AM287" i="8"/>
  <c r="X287" i="8"/>
  <c r="AK287" i="8" s="1"/>
  <c r="Y287" i="8"/>
  <c r="AL287" i="8" s="1"/>
  <c r="AE287" i="8"/>
  <c r="AN286" i="8"/>
  <c r="Q288" i="8"/>
  <c r="S288" i="8" s="1"/>
  <c r="V288" i="8" s="1"/>
  <c r="BT288" i="8"/>
  <c r="AC288" i="8"/>
  <c r="H288" i="8"/>
  <c r="D291" i="8"/>
  <c r="E291" i="8" s="1"/>
  <c r="AD292" i="8"/>
  <c r="BP298" i="9" l="1"/>
  <c r="BQ298" i="9" s="1"/>
  <c r="BR298" i="9" s="1"/>
  <c r="G298" i="9"/>
  <c r="H298" i="9" s="1"/>
  <c r="AJ290" i="8"/>
  <c r="K290" i="8"/>
  <c r="M290" i="8" s="1"/>
  <c r="T290" i="8" s="1"/>
  <c r="BJ120" i="9"/>
  <c r="AA120" i="9"/>
  <c r="W121" i="9" s="1"/>
  <c r="BM297" i="9"/>
  <c r="BU297" i="9"/>
  <c r="BX296" i="9"/>
  <c r="BP296" i="8" s="1"/>
  <c r="BB120" i="9"/>
  <c r="BF120" i="9" s="1"/>
  <c r="BD120" i="9" s="1"/>
  <c r="AK120" i="9"/>
  <c r="AN120" i="9" s="1"/>
  <c r="C299" i="9"/>
  <c r="B299" i="9"/>
  <c r="AD298" i="9"/>
  <c r="AE298" i="9" s="1"/>
  <c r="AK298" i="9"/>
  <c r="AN298" i="9" s="1"/>
  <c r="Q298" i="9"/>
  <c r="S298" i="9" s="1"/>
  <c r="V298" i="9" s="1"/>
  <c r="Z298" i="9" s="1"/>
  <c r="AA298" i="9" s="1"/>
  <c r="AC298" i="9"/>
  <c r="BK297" i="9"/>
  <c r="I297" i="9"/>
  <c r="BJ297" i="9"/>
  <c r="CH289" i="8"/>
  <c r="CI289" i="8"/>
  <c r="AX290" i="8"/>
  <c r="AU290" i="8"/>
  <c r="AI290" i="8"/>
  <c r="W290" i="8"/>
  <c r="BM290" i="8" s="1"/>
  <c r="N290" i="8"/>
  <c r="P290" i="8" s="1"/>
  <c r="U290" i="8" s="1"/>
  <c r="BK111" i="8"/>
  <c r="AM111" i="8"/>
  <c r="BK286" i="8"/>
  <c r="BJ287" i="8"/>
  <c r="BU287" i="8" s="1"/>
  <c r="BR286" i="8"/>
  <c r="BU286" i="8"/>
  <c r="I288" i="8"/>
  <c r="BZ285" i="8"/>
  <c r="CB284" i="8"/>
  <c r="AA287" i="8"/>
  <c r="BQ287" i="8" s="1"/>
  <c r="BA288" i="8"/>
  <c r="BE288" i="8" s="1"/>
  <c r="BC288" i="8"/>
  <c r="BD288" i="8"/>
  <c r="BG288" i="8"/>
  <c r="BB287" i="8"/>
  <c r="BF287" i="8" s="1"/>
  <c r="AZ289" i="8"/>
  <c r="AW289" i="8"/>
  <c r="X288" i="8"/>
  <c r="AK288" i="8" s="1"/>
  <c r="AM288" i="8"/>
  <c r="AO288" i="8"/>
  <c r="AF288" i="8"/>
  <c r="Y288" i="8"/>
  <c r="AL288" i="8" s="1"/>
  <c r="Z288" i="8"/>
  <c r="AE288" i="8"/>
  <c r="Q289" i="8"/>
  <c r="S289" i="8" s="1"/>
  <c r="V289" i="8" s="1"/>
  <c r="BT289" i="8"/>
  <c r="AC289" i="8"/>
  <c r="AN287" i="8"/>
  <c r="H289" i="8"/>
  <c r="D292" i="8"/>
  <c r="E292" i="8" s="1"/>
  <c r="AD293" i="8"/>
  <c r="BP299" i="9" l="1"/>
  <c r="BQ299" i="9" s="1"/>
  <c r="BR299" i="9" s="1"/>
  <c r="G299" i="9"/>
  <c r="H299" i="9" s="1"/>
  <c r="AJ291" i="8"/>
  <c r="K291" i="8"/>
  <c r="M291" i="8" s="1"/>
  <c r="T291" i="8" s="1"/>
  <c r="BX297" i="9"/>
  <c r="BP297" i="8" s="1"/>
  <c r="BM298" i="9"/>
  <c r="BU298" i="9"/>
  <c r="X121" i="9"/>
  <c r="AE121" i="9"/>
  <c r="Z121" i="9"/>
  <c r="Y121" i="9"/>
  <c r="AL121" i="9" s="1"/>
  <c r="BA121" i="9"/>
  <c r="BE121" i="9" s="1"/>
  <c r="BC121" i="9" s="1"/>
  <c r="BK120" i="9"/>
  <c r="AM120" i="9"/>
  <c r="C300" i="9"/>
  <c r="B300" i="9"/>
  <c r="AD299" i="9"/>
  <c r="AE299" i="9" s="1"/>
  <c r="BK298" i="9"/>
  <c r="AK299" i="9"/>
  <c r="AN299" i="9" s="1"/>
  <c r="AC299" i="9"/>
  <c r="Q299" i="9"/>
  <c r="S299" i="9" s="1"/>
  <c r="V299" i="9" s="1"/>
  <c r="Z299" i="9" s="1"/>
  <c r="AA299" i="9" s="1"/>
  <c r="I298" i="9"/>
  <c r="BJ298" i="9"/>
  <c r="CH290" i="8"/>
  <c r="CI290" i="8"/>
  <c r="AX291" i="8"/>
  <c r="N291" i="8"/>
  <c r="P291" i="8" s="1"/>
  <c r="U291" i="8" s="1"/>
  <c r="AU291" i="8"/>
  <c r="AI291" i="8"/>
  <c r="W291" i="8"/>
  <c r="BM291" i="8" s="1"/>
  <c r="Z112" i="8"/>
  <c r="AE112" i="8"/>
  <c r="BA112" i="8"/>
  <c r="BE112" i="8" s="1"/>
  <c r="BC112" i="8" s="1"/>
  <c r="Y112" i="8"/>
  <c r="AL112" i="8" s="1"/>
  <c r="X112" i="8"/>
  <c r="AK112" i="8" s="1"/>
  <c r="BX285" i="8"/>
  <c r="CA285" i="8" s="1"/>
  <c r="BK287" i="8"/>
  <c r="BR287" i="8"/>
  <c r="BJ288" i="8"/>
  <c r="BU288" i="8" s="1"/>
  <c r="I289" i="8"/>
  <c r="BB288" i="8"/>
  <c r="BF288" i="8" s="1"/>
  <c r="BZ286" i="8"/>
  <c r="BC289" i="8"/>
  <c r="BD289" i="8"/>
  <c r="BG289" i="8"/>
  <c r="AN288" i="8"/>
  <c r="BA289" i="8"/>
  <c r="BE289" i="8" s="1"/>
  <c r="AW290" i="8"/>
  <c r="AZ290" i="8"/>
  <c r="AA288" i="8"/>
  <c r="BQ288" i="8" s="1"/>
  <c r="Y289" i="8"/>
  <c r="AL289" i="8" s="1"/>
  <c r="AM289" i="8"/>
  <c r="AO289" i="8"/>
  <c r="AF289" i="8"/>
  <c r="X289" i="8"/>
  <c r="AK289" i="8" s="1"/>
  <c r="Z289" i="8"/>
  <c r="AE289" i="8"/>
  <c r="Q290" i="8"/>
  <c r="S290" i="8" s="1"/>
  <c r="V290" i="8" s="1"/>
  <c r="AC290" i="8"/>
  <c r="BT290" i="8"/>
  <c r="H290" i="8"/>
  <c r="D293" i="8"/>
  <c r="E293" i="8" s="1"/>
  <c r="BP300" i="9" l="1"/>
  <c r="BQ300" i="9" s="1"/>
  <c r="BR300" i="9" s="1"/>
  <c r="G300" i="9"/>
  <c r="H300" i="9" s="1"/>
  <c r="AJ292" i="8"/>
  <c r="K292" i="8"/>
  <c r="M292" i="8" s="1"/>
  <c r="T292" i="8" s="1"/>
  <c r="BM299" i="9"/>
  <c r="BU299" i="9"/>
  <c r="BX298" i="9"/>
  <c r="BP298" i="8" s="1"/>
  <c r="BJ121" i="9"/>
  <c r="AA121" i="9"/>
  <c r="AK121" i="9"/>
  <c r="AN121" i="9" s="1"/>
  <c r="BB121" i="9"/>
  <c r="BF121" i="9" s="1"/>
  <c r="BD121" i="9" s="1"/>
  <c r="I299" i="9"/>
  <c r="BK299" i="9"/>
  <c r="BJ299" i="9"/>
  <c r="AD300" i="9"/>
  <c r="AE300" i="9" s="1"/>
  <c r="B301" i="9"/>
  <c r="C301" i="9"/>
  <c r="Q300" i="9"/>
  <c r="S300" i="9" s="1"/>
  <c r="V300" i="9" s="1"/>
  <c r="Z300" i="9" s="1"/>
  <c r="AA300" i="9" s="1"/>
  <c r="AK300" i="9"/>
  <c r="AN300" i="9" s="1"/>
  <c r="AC300" i="9"/>
  <c r="CH291" i="8"/>
  <c r="CI291" i="8"/>
  <c r="AX292" i="8"/>
  <c r="AU292" i="8"/>
  <c r="AI292" i="8"/>
  <c r="W292" i="8"/>
  <c r="BM292" i="8" s="1"/>
  <c r="N292" i="8"/>
  <c r="P292" i="8" s="1"/>
  <c r="U292" i="8" s="1"/>
  <c r="AA112" i="8"/>
  <c r="BB112" i="8"/>
  <c r="BF112" i="8" s="1"/>
  <c r="BD112" i="8" s="1"/>
  <c r="AN112" i="8"/>
  <c r="BJ112" i="8"/>
  <c r="BK288" i="8"/>
  <c r="BX286" i="8"/>
  <c r="CA286" i="8" s="1"/>
  <c r="BZ287" i="8"/>
  <c r="BR288" i="8"/>
  <c r="CB285" i="8"/>
  <c r="I290" i="8"/>
  <c r="BJ289" i="8"/>
  <c r="AN289" i="8"/>
  <c r="BC290" i="8"/>
  <c r="BG290" i="8"/>
  <c r="BD290" i="8"/>
  <c r="AW291" i="8"/>
  <c r="AZ291" i="8"/>
  <c r="AA289" i="8"/>
  <c r="BQ289" i="8" s="1"/>
  <c r="BA290" i="8"/>
  <c r="BE290" i="8" s="1"/>
  <c r="BB289" i="8"/>
  <c r="BF289" i="8" s="1"/>
  <c r="Z290" i="8"/>
  <c r="AM290" i="8"/>
  <c r="AO290" i="8"/>
  <c r="AF290" i="8"/>
  <c r="X290" i="8"/>
  <c r="AK290" i="8" s="1"/>
  <c r="Y290" i="8"/>
  <c r="AL290" i="8" s="1"/>
  <c r="AE290" i="8"/>
  <c r="Q291" i="8"/>
  <c r="S291" i="8" s="1"/>
  <c r="V291" i="8" s="1"/>
  <c r="AC291" i="8"/>
  <c r="BT291" i="8"/>
  <c r="H291" i="8"/>
  <c r="D294" i="8"/>
  <c r="E294" i="8" s="1"/>
  <c r="AD295" i="8"/>
  <c r="BP301" i="9" l="1"/>
  <c r="BQ301" i="9" s="1"/>
  <c r="BR301" i="9" s="1"/>
  <c r="G301" i="9"/>
  <c r="H301" i="9" s="1"/>
  <c r="AJ293" i="8"/>
  <c r="K293" i="8"/>
  <c r="M293" i="8" s="1"/>
  <c r="T293" i="8" s="1"/>
  <c r="BM300" i="9"/>
  <c r="BU300" i="9"/>
  <c r="BX299" i="9"/>
  <c r="BP299" i="8" s="1"/>
  <c r="BK121" i="9"/>
  <c r="AM121" i="9"/>
  <c r="W122" i="9"/>
  <c r="BK300" i="9"/>
  <c r="I300" i="9"/>
  <c r="AC301" i="9"/>
  <c r="AK301" i="9"/>
  <c r="AN301" i="9" s="1"/>
  <c r="Q301" i="9"/>
  <c r="S301" i="9" s="1"/>
  <c r="V301" i="9" s="1"/>
  <c r="Z301" i="9" s="1"/>
  <c r="AA301" i="9" s="1"/>
  <c r="C302" i="9"/>
  <c r="B302" i="9"/>
  <c r="AD301" i="9"/>
  <c r="AE301" i="9" s="1"/>
  <c r="BJ300" i="9"/>
  <c r="CI292" i="8"/>
  <c r="CH292" i="8"/>
  <c r="AU293" i="8"/>
  <c r="AI293" i="8"/>
  <c r="W293" i="8"/>
  <c r="BM293" i="8" s="1"/>
  <c r="AX293" i="8"/>
  <c r="N293" i="8"/>
  <c r="P293" i="8" s="1"/>
  <c r="U293" i="8" s="1"/>
  <c r="W113" i="8"/>
  <c r="Z113" i="8" s="1"/>
  <c r="BK112" i="8"/>
  <c r="AM112" i="8"/>
  <c r="BZ288" i="8"/>
  <c r="BX288" i="8" s="1"/>
  <c r="CA288" i="8" s="1"/>
  <c r="CB288" i="8" s="1"/>
  <c r="BK289" i="8"/>
  <c r="BA291" i="8"/>
  <c r="BE291" i="8" s="1"/>
  <c r="BX287" i="8"/>
  <c r="CA287" i="8" s="1"/>
  <c r="CB287" i="8" s="1"/>
  <c r="BJ290" i="8"/>
  <c r="BU290" i="8" s="1"/>
  <c r="BR289" i="8"/>
  <c r="CB286" i="8"/>
  <c r="I291" i="8"/>
  <c r="BU289" i="8"/>
  <c r="AA290" i="8"/>
  <c r="BQ290" i="8" s="1"/>
  <c r="AW292" i="8"/>
  <c r="AZ292" i="8"/>
  <c r="AN290" i="8"/>
  <c r="BD291" i="8"/>
  <c r="BG291" i="8"/>
  <c r="BC291" i="8"/>
  <c r="BB290" i="8"/>
  <c r="BF290" i="8" s="1"/>
  <c r="Q292" i="8"/>
  <c r="S292" i="8" s="1"/>
  <c r="V292" i="8" s="1"/>
  <c r="AC292" i="8"/>
  <c r="BT292" i="8"/>
  <c r="AO291" i="8"/>
  <c r="AM291" i="8"/>
  <c r="AF291" i="8"/>
  <c r="Y291" i="8"/>
  <c r="AL291" i="8" s="1"/>
  <c r="X291" i="8"/>
  <c r="AK291" i="8" s="1"/>
  <c r="Z291" i="8"/>
  <c r="AE291" i="8"/>
  <c r="H292" i="8"/>
  <c r="D295" i="8"/>
  <c r="E295" i="8" s="1"/>
  <c r="AD296" i="8"/>
  <c r="BP302" i="9" l="1"/>
  <c r="BQ302" i="9" s="1"/>
  <c r="BR302" i="9" s="1"/>
  <c r="G302" i="9"/>
  <c r="H302" i="9" s="1"/>
  <c r="AJ294" i="8"/>
  <c r="K294" i="8"/>
  <c r="M294" i="8" s="1"/>
  <c r="T294" i="8" s="1"/>
  <c r="BM301" i="9"/>
  <c r="BU301" i="9"/>
  <c r="BX300" i="9"/>
  <c r="BP300" i="8" s="1"/>
  <c r="X122" i="9"/>
  <c r="BA122" i="9"/>
  <c r="BE122" i="9" s="1"/>
  <c r="BC122" i="9" s="1"/>
  <c r="AE122" i="9"/>
  <c r="Z122" i="9"/>
  <c r="Y122" i="9"/>
  <c r="AL122" i="9" s="1"/>
  <c r="AD302" i="9"/>
  <c r="AE302" i="9" s="1"/>
  <c r="BJ302" i="9" s="1"/>
  <c r="C303" i="9"/>
  <c r="B303" i="9"/>
  <c r="BK301" i="9"/>
  <c r="BJ301" i="9"/>
  <c r="Q302" i="9"/>
  <c r="S302" i="9" s="1"/>
  <c r="V302" i="9" s="1"/>
  <c r="Z302" i="9" s="1"/>
  <c r="AA302" i="9" s="1"/>
  <c r="AK302" i="9"/>
  <c r="AN302" i="9" s="1"/>
  <c r="AC302" i="9"/>
  <c r="I301" i="9"/>
  <c r="AX294" i="8"/>
  <c r="CH293" i="8"/>
  <c r="CI293" i="8"/>
  <c r="N294" i="8"/>
  <c r="P294" i="8" s="1"/>
  <c r="U294" i="8" s="1"/>
  <c r="AU294" i="8"/>
  <c r="AI294" i="8"/>
  <c r="W294" i="8"/>
  <c r="BM294" i="8" s="1"/>
  <c r="BA113" i="8"/>
  <c r="BE113" i="8" s="1"/>
  <c r="BC113" i="8" s="1"/>
  <c r="AE113" i="8"/>
  <c r="X113" i="8"/>
  <c r="AK113" i="8" s="1"/>
  <c r="Y113" i="8"/>
  <c r="AL113" i="8" s="1"/>
  <c r="BJ291" i="8"/>
  <c r="BU291" i="8" s="1"/>
  <c r="BZ289" i="8"/>
  <c r="BX289" i="8" s="1"/>
  <c r="CA289" i="8" s="1"/>
  <c r="BR290" i="8"/>
  <c r="I292" i="8"/>
  <c r="BA292" i="8"/>
  <c r="BE292" i="8" s="1"/>
  <c r="AA291" i="8"/>
  <c r="BQ291" i="8" s="1"/>
  <c r="BR291" i="8" s="1"/>
  <c r="BC292" i="8"/>
  <c r="BD292" i="8"/>
  <c r="BG292" i="8"/>
  <c r="BK290" i="8"/>
  <c r="BB291" i="8"/>
  <c r="BF291" i="8" s="1"/>
  <c r="AW293" i="8"/>
  <c r="AZ293" i="8"/>
  <c r="AN291" i="8"/>
  <c r="Q293" i="8"/>
  <c r="S293" i="8" s="1"/>
  <c r="V293" i="8" s="1"/>
  <c r="AC293" i="8"/>
  <c r="BT293" i="8"/>
  <c r="Y292" i="8"/>
  <c r="AL292" i="8" s="1"/>
  <c r="AM292" i="8"/>
  <c r="AO292" i="8"/>
  <c r="AF292" i="8"/>
  <c r="Z292" i="8"/>
  <c r="X292" i="8"/>
  <c r="AK292" i="8" s="1"/>
  <c r="AE292" i="8"/>
  <c r="H293" i="8"/>
  <c r="D296" i="8"/>
  <c r="E296" i="8" s="1"/>
  <c r="BP303" i="9" l="1"/>
  <c r="BQ303" i="9" s="1"/>
  <c r="BR303" i="9" s="1"/>
  <c r="G303" i="9"/>
  <c r="H303" i="9" s="1"/>
  <c r="AJ295" i="8"/>
  <c r="K295" i="8"/>
  <c r="M295" i="8" s="1"/>
  <c r="T295" i="8" s="1"/>
  <c r="BJ122" i="9"/>
  <c r="BM302" i="9"/>
  <c r="BU302" i="9"/>
  <c r="BX301" i="9"/>
  <c r="BP301" i="8" s="1"/>
  <c r="AA122" i="9"/>
  <c r="AK122" i="9"/>
  <c r="AN122" i="9" s="1"/>
  <c r="BB122" i="9"/>
  <c r="BF122" i="9" s="1"/>
  <c r="BD122" i="9" s="1"/>
  <c r="Q303" i="9"/>
  <c r="S303" i="9" s="1"/>
  <c r="V303" i="9" s="1"/>
  <c r="Z303" i="9" s="1"/>
  <c r="AA303" i="9" s="1"/>
  <c r="AK303" i="9"/>
  <c r="AN303" i="9" s="1"/>
  <c r="AC303" i="9"/>
  <c r="I302" i="9"/>
  <c r="BK302" i="9"/>
  <c r="C304" i="9"/>
  <c r="AD303" i="9"/>
  <c r="AE303" i="9" s="1"/>
  <c r="B304" i="9"/>
  <c r="BJ113" i="8"/>
  <c r="AX295" i="8"/>
  <c r="CH294" i="8"/>
  <c r="CI294" i="8"/>
  <c r="N295" i="8"/>
  <c r="P295" i="8" s="1"/>
  <c r="U295" i="8" s="1"/>
  <c r="AU295" i="8"/>
  <c r="AI295" i="8"/>
  <c r="W295" i="8"/>
  <c r="BM295" i="8" s="1"/>
  <c r="BB113" i="8"/>
  <c r="BF113" i="8" s="1"/>
  <c r="BD113" i="8" s="1"/>
  <c r="AA113" i="8"/>
  <c r="W114" i="8" s="1"/>
  <c r="AN113" i="8"/>
  <c r="AM113" i="8" s="1"/>
  <c r="BK291" i="8"/>
  <c r="BZ291" i="8" s="1"/>
  <c r="BZ290" i="8"/>
  <c r="CB289" i="8"/>
  <c r="I293" i="8"/>
  <c r="BJ292" i="8"/>
  <c r="BG293" i="8"/>
  <c r="BC293" i="8"/>
  <c r="BD293" i="8"/>
  <c r="BA293" i="8"/>
  <c r="BE293" i="8" s="1"/>
  <c r="AW294" i="8"/>
  <c r="AZ294" i="8"/>
  <c r="BB292" i="8"/>
  <c r="BF292" i="8" s="1"/>
  <c r="AN292" i="8"/>
  <c r="AM293" i="8"/>
  <c r="X293" i="8"/>
  <c r="AK293" i="8" s="1"/>
  <c r="Y293" i="8"/>
  <c r="AL293" i="8" s="1"/>
  <c r="Z293" i="8"/>
  <c r="AF293" i="8"/>
  <c r="AO293" i="8"/>
  <c r="AE293" i="8"/>
  <c r="Q294" i="8"/>
  <c r="S294" i="8" s="1"/>
  <c r="V294" i="8" s="1"/>
  <c r="AC294" i="8"/>
  <c r="AD294" i="8" s="1"/>
  <c r="BT294" i="8"/>
  <c r="AA292" i="8"/>
  <c r="BQ292" i="8" s="1"/>
  <c r="H294" i="8"/>
  <c r="D297" i="8"/>
  <c r="E297" i="8" s="1"/>
  <c r="AD298" i="8"/>
  <c r="BP304" i="9" l="1"/>
  <c r="BQ304" i="9" s="1"/>
  <c r="BR304" i="9" s="1"/>
  <c r="G304" i="9"/>
  <c r="H304" i="9" s="1"/>
  <c r="AJ296" i="8"/>
  <c r="K296" i="8"/>
  <c r="M296" i="8" s="1"/>
  <c r="T296" i="8" s="1"/>
  <c r="BM303" i="9"/>
  <c r="BU303" i="9"/>
  <c r="BX302" i="9"/>
  <c r="BP302" i="8" s="1"/>
  <c r="BK122" i="9"/>
  <c r="AM122" i="9"/>
  <c r="W123" i="9"/>
  <c r="I303" i="9"/>
  <c r="BK303" i="9"/>
  <c r="B305" i="9"/>
  <c r="AD304" i="9"/>
  <c r="AE304" i="9" s="1"/>
  <c r="BJ304" i="9" s="1"/>
  <c r="C305" i="9"/>
  <c r="BJ303" i="9"/>
  <c r="Q304" i="9"/>
  <c r="S304" i="9" s="1"/>
  <c r="V304" i="9" s="1"/>
  <c r="Z304" i="9" s="1"/>
  <c r="AA304" i="9" s="1"/>
  <c r="AC304" i="9"/>
  <c r="AK304" i="9"/>
  <c r="AN304" i="9" s="1"/>
  <c r="AX296" i="8"/>
  <c r="CH295" i="8"/>
  <c r="CI295" i="8"/>
  <c r="N296" i="8"/>
  <c r="P296" i="8" s="1"/>
  <c r="U296" i="8" s="1"/>
  <c r="AU296" i="8"/>
  <c r="AI296" i="8"/>
  <c r="W296" i="8"/>
  <c r="BM296" i="8" s="1"/>
  <c r="BK113" i="8"/>
  <c r="BK292" i="8"/>
  <c r="BX291" i="8"/>
  <c r="CA291" i="8" s="1"/>
  <c r="CB291" i="8" s="1"/>
  <c r="BX290" i="8"/>
  <c r="CA290" i="8" s="1"/>
  <c r="CB290" i="8" s="1"/>
  <c r="BR292" i="8"/>
  <c r="I294" i="8"/>
  <c r="BU292" i="8"/>
  <c r="BA294" i="8"/>
  <c r="BE294" i="8" s="1"/>
  <c r="BB293" i="8"/>
  <c r="BF293" i="8" s="1"/>
  <c r="AN293" i="8"/>
  <c r="BJ293" i="8"/>
  <c r="AA293" i="8"/>
  <c r="BQ293" i="8" s="1"/>
  <c r="BR293" i="8" s="1"/>
  <c r="AW295" i="8"/>
  <c r="AZ295" i="8"/>
  <c r="BC294" i="8"/>
  <c r="BD294" i="8"/>
  <c r="BG294" i="8"/>
  <c r="X294" i="8"/>
  <c r="AK294" i="8" s="1"/>
  <c r="AO294" i="8"/>
  <c r="AM294" i="8"/>
  <c r="AF294" i="8"/>
  <c r="Y294" i="8"/>
  <c r="AL294" i="8" s="1"/>
  <c r="Z294" i="8"/>
  <c r="Q295" i="8"/>
  <c r="S295" i="8" s="1"/>
  <c r="V295" i="8" s="1"/>
  <c r="BT295" i="8"/>
  <c r="AC295" i="8"/>
  <c r="AE294" i="8"/>
  <c r="H295" i="8"/>
  <c r="D298" i="8"/>
  <c r="E298" i="8" s="1"/>
  <c r="AD299" i="8"/>
  <c r="BP305" i="9" l="1"/>
  <c r="BQ305" i="9" s="1"/>
  <c r="BR305" i="9" s="1"/>
  <c r="G305" i="9"/>
  <c r="H305" i="9" s="1"/>
  <c r="AJ297" i="8"/>
  <c r="K297" i="8"/>
  <c r="M297" i="8" s="1"/>
  <c r="T297" i="8" s="1"/>
  <c r="BM304" i="9"/>
  <c r="BU304" i="9"/>
  <c r="BX303" i="9"/>
  <c r="BP303" i="8" s="1"/>
  <c r="Y123" i="9"/>
  <c r="AL123" i="9" s="1"/>
  <c r="X123" i="9"/>
  <c r="BA123" i="9"/>
  <c r="BE123" i="9" s="1"/>
  <c r="BC123" i="9" s="1"/>
  <c r="AE123" i="9"/>
  <c r="Z123" i="9"/>
  <c r="BK304" i="9"/>
  <c r="AK305" i="9"/>
  <c r="AN305" i="9" s="1"/>
  <c r="BK305" i="9" s="1"/>
  <c r="AC305" i="9"/>
  <c r="Q305" i="9"/>
  <c r="S305" i="9" s="1"/>
  <c r="V305" i="9" s="1"/>
  <c r="Z305" i="9" s="1"/>
  <c r="AA305" i="9" s="1"/>
  <c r="B306" i="9"/>
  <c r="C306" i="9"/>
  <c r="AD305" i="9"/>
  <c r="AE305" i="9" s="1"/>
  <c r="I304" i="9"/>
  <c r="CI296" i="8"/>
  <c r="AX297" i="8"/>
  <c r="AU297" i="8"/>
  <c r="AI297" i="8"/>
  <c r="W297" i="8"/>
  <c r="BM297" i="8" s="1"/>
  <c r="N297" i="8"/>
  <c r="P297" i="8" s="1"/>
  <c r="U297" i="8" s="1"/>
  <c r="CH296" i="8"/>
  <c r="Y114" i="8"/>
  <c r="AL114" i="8" s="1"/>
  <c r="X114" i="8"/>
  <c r="AK114" i="8" s="1"/>
  <c r="AE114" i="8"/>
  <c r="Z114" i="8"/>
  <c r="BA114" i="8"/>
  <c r="BE114" i="8" s="1"/>
  <c r="BC114" i="8" s="1"/>
  <c r="BK293" i="8"/>
  <c r="BZ292" i="8"/>
  <c r="BJ294" i="8"/>
  <c r="BU294" i="8" s="1"/>
  <c r="I295" i="8"/>
  <c r="BU293" i="8"/>
  <c r="BB294" i="8"/>
  <c r="BF294" i="8" s="1"/>
  <c r="BA295" i="8"/>
  <c r="BE295" i="8" s="1"/>
  <c r="AW296" i="8"/>
  <c r="AZ296" i="8"/>
  <c r="BG295" i="8"/>
  <c r="BC295" i="8"/>
  <c r="BD295" i="8"/>
  <c r="Y295" i="8"/>
  <c r="AL295" i="8" s="1"/>
  <c r="AM295" i="8"/>
  <c r="AO295" i="8"/>
  <c r="AF295" i="8"/>
  <c r="Z295" i="8"/>
  <c r="X295" i="8"/>
  <c r="AK295" i="8" s="1"/>
  <c r="AE295" i="8"/>
  <c r="AN294" i="8"/>
  <c r="Q296" i="8"/>
  <c r="S296" i="8" s="1"/>
  <c r="V296" i="8" s="1"/>
  <c r="BT296" i="8"/>
  <c r="AC296" i="8"/>
  <c r="AA294" i="8"/>
  <c r="BQ294" i="8" s="1"/>
  <c r="H296" i="8"/>
  <c r="D299" i="8"/>
  <c r="E299" i="8" s="1"/>
  <c r="AD300" i="8"/>
  <c r="BP306" i="9" l="1"/>
  <c r="BQ306" i="9" s="1"/>
  <c r="BR306" i="9" s="1"/>
  <c r="G306" i="9"/>
  <c r="H306" i="9" s="1"/>
  <c r="AJ298" i="8"/>
  <c r="K298" i="8"/>
  <c r="M298" i="8" s="1"/>
  <c r="T298" i="8" s="1"/>
  <c r="BM305" i="9"/>
  <c r="BU305" i="9"/>
  <c r="BX304" i="9"/>
  <c r="BP304" i="8" s="1"/>
  <c r="AA123" i="9"/>
  <c r="W124" i="9" s="1"/>
  <c r="BJ123" i="9"/>
  <c r="BB123" i="9"/>
  <c r="BF123" i="9" s="1"/>
  <c r="BD123" i="9" s="1"/>
  <c r="AK123" i="9"/>
  <c r="AN123" i="9" s="1"/>
  <c r="BJ305" i="9"/>
  <c r="AK306" i="9"/>
  <c r="AN306" i="9" s="1"/>
  <c r="AC306" i="9"/>
  <c r="AD306" i="9" s="1"/>
  <c r="AE306" i="9" s="1"/>
  <c r="Q306" i="9"/>
  <c r="S306" i="9" s="1"/>
  <c r="V306" i="9" s="1"/>
  <c r="Z306" i="9" s="1"/>
  <c r="AA306" i="9" s="1"/>
  <c r="C307" i="9"/>
  <c r="B307" i="9"/>
  <c r="I305" i="9"/>
  <c r="CH297" i="8"/>
  <c r="CI297" i="8"/>
  <c r="AX298" i="8"/>
  <c r="AU298" i="8"/>
  <c r="AI298" i="8"/>
  <c r="W298" i="8"/>
  <c r="BM298" i="8" s="1"/>
  <c r="N298" i="8"/>
  <c r="P298" i="8" s="1"/>
  <c r="U298" i="8" s="1"/>
  <c r="BJ114" i="8"/>
  <c r="BB114" i="8"/>
  <c r="BF114" i="8" s="1"/>
  <c r="BD114" i="8" s="1"/>
  <c r="AA114" i="8"/>
  <c r="W115" i="8" s="1"/>
  <c r="AN114" i="8"/>
  <c r="BX292" i="8"/>
  <c r="CA292" i="8" s="1"/>
  <c r="CB292" i="8" s="1"/>
  <c r="BK294" i="8"/>
  <c r="BR294" i="8"/>
  <c r="BZ293" i="8"/>
  <c r="BJ295" i="8"/>
  <c r="I296" i="8"/>
  <c r="AA295" i="8"/>
  <c r="BQ295" i="8" s="1"/>
  <c r="BD296" i="8"/>
  <c r="BG296" i="8"/>
  <c r="BC296" i="8"/>
  <c r="AW297" i="8"/>
  <c r="AZ297" i="8"/>
  <c r="BA296" i="8"/>
  <c r="BE296" i="8" s="1"/>
  <c r="BB295" i="8"/>
  <c r="BF295" i="8" s="1"/>
  <c r="Z296" i="8"/>
  <c r="AM296" i="8"/>
  <c r="AO296" i="8"/>
  <c r="AF296" i="8"/>
  <c r="X296" i="8"/>
  <c r="AK296" i="8" s="1"/>
  <c r="Y296" i="8"/>
  <c r="AL296" i="8" s="1"/>
  <c r="AE296" i="8"/>
  <c r="Q297" i="8"/>
  <c r="S297" i="8" s="1"/>
  <c r="V297" i="8" s="1"/>
  <c r="AC297" i="8"/>
  <c r="AD297" i="8" s="1"/>
  <c r="BT297" i="8"/>
  <c r="AN295" i="8"/>
  <c r="H297" i="8"/>
  <c r="D300" i="8"/>
  <c r="E300" i="8" s="1"/>
  <c r="AD301" i="8"/>
  <c r="BP307" i="9" l="1"/>
  <c r="BQ307" i="9" s="1"/>
  <c r="BR307" i="9" s="1"/>
  <c r="G307" i="9"/>
  <c r="H307" i="9" s="1"/>
  <c r="AJ299" i="8"/>
  <c r="K299" i="8"/>
  <c r="M299" i="8" s="1"/>
  <c r="T299" i="8" s="1"/>
  <c r="BM306" i="9"/>
  <c r="BU306" i="9"/>
  <c r="BX305" i="9"/>
  <c r="BP305" i="8" s="1"/>
  <c r="Y124" i="9"/>
  <c r="AL124" i="9" s="1"/>
  <c r="X124" i="9"/>
  <c r="AE124" i="9"/>
  <c r="Z124" i="9"/>
  <c r="BA124" i="9"/>
  <c r="BE124" i="9" s="1"/>
  <c r="BC124" i="9" s="1"/>
  <c r="BK123" i="9"/>
  <c r="AM123" i="9"/>
  <c r="BJ306" i="9"/>
  <c r="I306" i="9"/>
  <c r="B308" i="9"/>
  <c r="AD307" i="9"/>
  <c r="AE307" i="9" s="1"/>
  <c r="C308" i="9"/>
  <c r="Q307" i="9"/>
  <c r="S307" i="9" s="1"/>
  <c r="V307" i="9" s="1"/>
  <c r="Z307" i="9" s="1"/>
  <c r="AA307" i="9" s="1"/>
  <c r="AK307" i="9"/>
  <c r="AN307" i="9" s="1"/>
  <c r="AC307" i="9"/>
  <c r="BK306" i="9"/>
  <c r="CH298" i="8"/>
  <c r="CI298" i="8"/>
  <c r="AX299" i="8"/>
  <c r="AU299" i="8"/>
  <c r="AI299" i="8"/>
  <c r="W299" i="8"/>
  <c r="BM299" i="8" s="1"/>
  <c r="N299" i="8"/>
  <c r="P299" i="8" s="1"/>
  <c r="U299" i="8" s="1"/>
  <c r="BK114" i="8"/>
  <c r="AM114" i="8"/>
  <c r="BX293" i="8"/>
  <c r="CA293" i="8" s="1"/>
  <c r="BZ294" i="8"/>
  <c r="BR295" i="8"/>
  <c r="BU295" i="8"/>
  <c r="I297" i="8"/>
  <c r="AA296" i="8"/>
  <c r="BQ296" i="8" s="1"/>
  <c r="BR296" i="8" s="1"/>
  <c r="BA297" i="8"/>
  <c r="BE297" i="8" s="1"/>
  <c r="BB296" i="8"/>
  <c r="BF296" i="8" s="1"/>
  <c r="BK295" i="8"/>
  <c r="BJ296" i="8"/>
  <c r="BC297" i="8"/>
  <c r="BD297" i="8"/>
  <c r="BG297" i="8"/>
  <c r="AZ298" i="8"/>
  <c r="AW298" i="8"/>
  <c r="AN296" i="8"/>
  <c r="AM297" i="8"/>
  <c r="AO297" i="8"/>
  <c r="AF297" i="8"/>
  <c r="Y297" i="8"/>
  <c r="AL297" i="8" s="1"/>
  <c r="X297" i="8"/>
  <c r="AK297" i="8" s="1"/>
  <c r="Z297" i="8"/>
  <c r="AE297" i="8"/>
  <c r="Q298" i="8"/>
  <c r="S298" i="8" s="1"/>
  <c r="V298" i="8" s="1"/>
  <c r="AC298" i="8"/>
  <c r="BT298" i="8"/>
  <c r="H298" i="8"/>
  <c r="D301" i="8"/>
  <c r="E301" i="8" s="1"/>
  <c r="AD302" i="8"/>
  <c r="BP308" i="9" l="1"/>
  <c r="BQ308" i="9" s="1"/>
  <c r="BR308" i="9" s="1"/>
  <c r="G308" i="9"/>
  <c r="H308" i="9" s="1"/>
  <c r="AJ300" i="8"/>
  <c r="K300" i="8"/>
  <c r="M300" i="8" s="1"/>
  <c r="T300" i="8" s="1"/>
  <c r="BM307" i="9"/>
  <c r="BU307" i="9"/>
  <c r="BX306" i="9"/>
  <c r="BP306" i="8" s="1"/>
  <c r="BJ124" i="9"/>
  <c r="AK124" i="9"/>
  <c r="AN124" i="9" s="1"/>
  <c r="BB124" i="9"/>
  <c r="BF124" i="9" s="1"/>
  <c r="BD124" i="9" s="1"/>
  <c r="AA124" i="9"/>
  <c r="C309" i="9"/>
  <c r="B309" i="9"/>
  <c r="AD308" i="9"/>
  <c r="AE308" i="9" s="1"/>
  <c r="AK308" i="9"/>
  <c r="AN308" i="9" s="1"/>
  <c r="AC308" i="9"/>
  <c r="Q308" i="9"/>
  <c r="S308" i="9" s="1"/>
  <c r="V308" i="9" s="1"/>
  <c r="Z308" i="9" s="1"/>
  <c r="AA308" i="9" s="1"/>
  <c r="BK307" i="9"/>
  <c r="BJ307" i="9"/>
  <c r="I307" i="9"/>
  <c r="CH299" i="8"/>
  <c r="CI299" i="8"/>
  <c r="AX300" i="8"/>
  <c r="AU300" i="8"/>
  <c r="AI300" i="8"/>
  <c r="W300" i="8"/>
  <c r="BM300" i="8" s="1"/>
  <c r="N300" i="8"/>
  <c r="P300" i="8" s="1"/>
  <c r="U300" i="8" s="1"/>
  <c r="X115" i="8"/>
  <c r="AK115" i="8" s="1"/>
  <c r="BA115" i="8"/>
  <c r="BE115" i="8" s="1"/>
  <c r="BC115" i="8" s="1"/>
  <c r="Y115" i="8"/>
  <c r="AL115" i="8" s="1"/>
  <c r="AE115" i="8"/>
  <c r="Z115" i="8"/>
  <c r="BA298" i="8"/>
  <c r="BE298" i="8" s="1"/>
  <c r="BX294" i="8"/>
  <c r="CA294" i="8" s="1"/>
  <c r="CB294" i="8" s="1"/>
  <c r="BZ295" i="8"/>
  <c r="BJ297" i="8"/>
  <c r="BU297" i="8" s="1"/>
  <c r="I298" i="8"/>
  <c r="CB293" i="8"/>
  <c r="BU296" i="8"/>
  <c r="BK296" i="8"/>
  <c r="AW299" i="8"/>
  <c r="AZ299" i="8"/>
  <c r="BB297" i="8"/>
  <c r="BF297" i="8" s="1"/>
  <c r="BD298" i="8"/>
  <c r="BG298" i="8"/>
  <c r="BC298" i="8"/>
  <c r="Y298" i="8"/>
  <c r="AL298" i="8" s="1"/>
  <c r="AO298" i="8"/>
  <c r="AM298" i="8"/>
  <c r="Z298" i="8"/>
  <c r="AF298" i="8"/>
  <c r="X298" i="8"/>
  <c r="AK298" i="8" s="1"/>
  <c r="AE298" i="8"/>
  <c r="AA297" i="8"/>
  <c r="BQ297" i="8" s="1"/>
  <c r="BR297" i="8" s="1"/>
  <c r="Q299" i="8"/>
  <c r="S299" i="8" s="1"/>
  <c r="V299" i="8" s="1"/>
  <c r="BT299" i="8"/>
  <c r="AC299" i="8"/>
  <c r="AN297" i="8"/>
  <c r="H299" i="8"/>
  <c r="D302" i="8"/>
  <c r="E302" i="8" s="1"/>
  <c r="AD303" i="8"/>
  <c r="BP309" i="9" l="1"/>
  <c r="BQ309" i="9" s="1"/>
  <c r="BR309" i="9" s="1"/>
  <c r="G309" i="9"/>
  <c r="H309" i="9" s="1"/>
  <c r="AJ301" i="8"/>
  <c r="K301" i="8"/>
  <c r="M301" i="8" s="1"/>
  <c r="T301" i="8" s="1"/>
  <c r="BM308" i="9"/>
  <c r="BU308" i="9"/>
  <c r="BX307" i="9"/>
  <c r="BP307" i="8" s="1"/>
  <c r="W125" i="9"/>
  <c r="BK124" i="9"/>
  <c r="AM124" i="9"/>
  <c r="I308" i="9"/>
  <c r="B310" i="9"/>
  <c r="AD309" i="9"/>
  <c r="AE309" i="9" s="1"/>
  <c r="C310" i="9"/>
  <c r="BK308" i="9"/>
  <c r="Q309" i="9"/>
  <c r="S309" i="9" s="1"/>
  <c r="V309" i="9" s="1"/>
  <c r="Z309" i="9" s="1"/>
  <c r="AA309" i="9" s="1"/>
  <c r="AC309" i="9"/>
  <c r="AK309" i="9"/>
  <c r="AN309" i="9" s="1"/>
  <c r="BJ308" i="9"/>
  <c r="CI300" i="8"/>
  <c r="AU301" i="8"/>
  <c r="AI301" i="8"/>
  <c r="W301" i="8"/>
  <c r="BM301" i="8" s="1"/>
  <c r="CH300" i="8"/>
  <c r="N301" i="8"/>
  <c r="P301" i="8" s="1"/>
  <c r="U301" i="8" s="1"/>
  <c r="AX301" i="8"/>
  <c r="AN115" i="8"/>
  <c r="BB115" i="8"/>
  <c r="BF115" i="8" s="1"/>
  <c r="BD115" i="8" s="1"/>
  <c r="AA115" i="8"/>
  <c r="W116" i="8" s="1"/>
  <c r="BJ115" i="8"/>
  <c r="BJ298" i="8"/>
  <c r="BU298" i="8" s="1"/>
  <c r="BX295" i="8"/>
  <c r="CA295" i="8" s="1"/>
  <c r="CB295" i="8" s="1"/>
  <c r="BZ296" i="8"/>
  <c r="I299" i="8"/>
  <c r="BB298" i="8"/>
  <c r="BF298" i="8" s="1"/>
  <c r="BK297" i="8"/>
  <c r="BZ297" i="8" s="1"/>
  <c r="BC299" i="8"/>
  <c r="BD299" i="8"/>
  <c r="BG299" i="8"/>
  <c r="AN298" i="8"/>
  <c r="AA298" i="8"/>
  <c r="BQ298" i="8" s="1"/>
  <c r="BR298" i="8" s="1"/>
  <c r="BA299" i="8"/>
  <c r="BE299" i="8" s="1"/>
  <c r="AW300" i="8"/>
  <c r="AZ300" i="8"/>
  <c r="Q300" i="8"/>
  <c r="S300" i="8" s="1"/>
  <c r="V300" i="8" s="1"/>
  <c r="AC300" i="8"/>
  <c r="BT300" i="8"/>
  <c r="AM299" i="8"/>
  <c r="AO299" i="8"/>
  <c r="AF299" i="8"/>
  <c r="Z299" i="8"/>
  <c r="X299" i="8"/>
  <c r="AK299" i="8" s="1"/>
  <c r="Y299" i="8"/>
  <c r="AL299" i="8" s="1"/>
  <c r="AE299" i="8"/>
  <c r="H300" i="8"/>
  <c r="D303" i="8"/>
  <c r="E303" i="8" s="1"/>
  <c r="AD304" i="8"/>
  <c r="BP310" i="9" l="1"/>
  <c r="BQ310" i="9" s="1"/>
  <c r="BR310" i="9" s="1"/>
  <c r="G310" i="9"/>
  <c r="H310" i="9" s="1"/>
  <c r="AJ302" i="8"/>
  <c r="K302" i="8"/>
  <c r="M302" i="8" s="1"/>
  <c r="T302" i="8" s="1"/>
  <c r="BM309" i="9"/>
  <c r="BU309" i="9"/>
  <c r="BX308" i="9"/>
  <c r="BP308" i="8" s="1"/>
  <c r="Z125" i="9"/>
  <c r="X125" i="9"/>
  <c r="Y125" i="9"/>
  <c r="AL125" i="9" s="1"/>
  <c r="BA125" i="9"/>
  <c r="BE125" i="9" s="1"/>
  <c r="BC125" i="9" s="1"/>
  <c r="AE125" i="9"/>
  <c r="BK309" i="9"/>
  <c r="I309" i="9"/>
  <c r="AK310" i="9"/>
  <c r="AN310" i="9" s="1"/>
  <c r="BK310" i="9" s="1"/>
  <c r="AC310" i="9"/>
  <c r="Q310" i="9"/>
  <c r="S310" i="9" s="1"/>
  <c r="V310" i="9" s="1"/>
  <c r="Z310" i="9" s="1"/>
  <c r="AA310" i="9" s="1"/>
  <c r="BJ309" i="9"/>
  <c r="B311" i="9"/>
  <c r="C311" i="9"/>
  <c r="AD310" i="9"/>
  <c r="AE310" i="9" s="1"/>
  <c r="AX302" i="8"/>
  <c r="CH301" i="8"/>
  <c r="CI301" i="8"/>
  <c r="AU302" i="8"/>
  <c r="AI302" i="8"/>
  <c r="W302" i="8"/>
  <c r="BM302" i="8" s="1"/>
  <c r="N302" i="8"/>
  <c r="P302" i="8" s="1"/>
  <c r="U302" i="8" s="1"/>
  <c r="AM115" i="8"/>
  <c r="BK115" i="8"/>
  <c r="BK298" i="8"/>
  <c r="BZ298" i="8" s="1"/>
  <c r="BX298" i="8" s="1"/>
  <c r="CA298" i="8" s="1"/>
  <c r="BX297" i="8"/>
  <c r="CA297" i="8" s="1"/>
  <c r="BX296" i="8"/>
  <c r="CA296" i="8" s="1"/>
  <c r="CB296" i="8" s="1"/>
  <c r="I300" i="8"/>
  <c r="BA300" i="8"/>
  <c r="BE300" i="8" s="1"/>
  <c r="AZ301" i="8"/>
  <c r="AW301" i="8"/>
  <c r="BB299" i="8"/>
  <c r="BF299" i="8" s="1"/>
  <c r="BC300" i="8"/>
  <c r="BD300" i="8"/>
  <c r="BG300" i="8"/>
  <c r="BJ299" i="8"/>
  <c r="X300" i="8"/>
  <c r="AK300" i="8" s="1"/>
  <c r="AO300" i="8"/>
  <c r="AM300" i="8"/>
  <c r="Y300" i="8"/>
  <c r="AL300" i="8" s="1"/>
  <c r="Z300" i="8"/>
  <c r="AF300" i="8"/>
  <c r="AE300" i="8"/>
  <c r="AA299" i="8"/>
  <c r="BQ299" i="8" s="1"/>
  <c r="Q301" i="8"/>
  <c r="S301" i="8" s="1"/>
  <c r="V301" i="8" s="1"/>
  <c r="AC301" i="8"/>
  <c r="BT301" i="8"/>
  <c r="AN299" i="8"/>
  <c r="H301" i="8"/>
  <c r="D304" i="8"/>
  <c r="E304" i="8" s="1"/>
  <c r="AD305" i="8"/>
  <c r="BP311" i="9" l="1"/>
  <c r="BQ311" i="9" s="1"/>
  <c r="BR311" i="9" s="1"/>
  <c r="G311" i="9"/>
  <c r="H311" i="9" s="1"/>
  <c r="AJ303" i="8"/>
  <c r="K303" i="8"/>
  <c r="M303" i="8" s="1"/>
  <c r="T303" i="8" s="1"/>
  <c r="BX309" i="9"/>
  <c r="BP309" i="8" s="1"/>
  <c r="BM310" i="9"/>
  <c r="BU310" i="9"/>
  <c r="AA125" i="9"/>
  <c r="W126" i="9" s="1"/>
  <c r="BJ125" i="9"/>
  <c r="BB125" i="9"/>
  <c r="BF125" i="9" s="1"/>
  <c r="BD125" i="9" s="1"/>
  <c r="AK125" i="9"/>
  <c r="AN125" i="9" s="1"/>
  <c r="AK311" i="9"/>
  <c r="AN311" i="9" s="1"/>
  <c r="Q311" i="9"/>
  <c r="S311" i="9" s="1"/>
  <c r="V311" i="9" s="1"/>
  <c r="Z311" i="9" s="1"/>
  <c r="AA311" i="9" s="1"/>
  <c r="AC311" i="9"/>
  <c r="C312" i="9"/>
  <c r="AD311" i="9"/>
  <c r="AE311" i="9" s="1"/>
  <c r="B312" i="9"/>
  <c r="I310" i="9"/>
  <c r="BJ310" i="9"/>
  <c r="AX303" i="8"/>
  <c r="CH302" i="8"/>
  <c r="CI302" i="8"/>
  <c r="N303" i="8"/>
  <c r="P303" i="8" s="1"/>
  <c r="U303" i="8" s="1"/>
  <c r="AU303" i="8"/>
  <c r="AI303" i="8"/>
  <c r="W303" i="8"/>
  <c r="BM303" i="8" s="1"/>
  <c r="AE116" i="8"/>
  <c r="BA116" i="8"/>
  <c r="BE116" i="8" s="1"/>
  <c r="BC116" i="8" s="1"/>
  <c r="Z116" i="8"/>
  <c r="Y116" i="8"/>
  <c r="AL116" i="8" s="1"/>
  <c r="X116" i="8"/>
  <c r="AK116" i="8" s="1"/>
  <c r="BR299" i="8"/>
  <c r="BJ300" i="8"/>
  <c r="BU300" i="8" s="1"/>
  <c r="CB297" i="8"/>
  <c r="CB298" i="8"/>
  <c r="BU299" i="8"/>
  <c r="I301" i="8"/>
  <c r="BK299" i="8"/>
  <c r="BB300" i="8"/>
  <c r="BF300" i="8" s="1"/>
  <c r="BA301" i="8"/>
  <c r="BE301" i="8" s="1"/>
  <c r="BC301" i="8"/>
  <c r="BD301" i="8"/>
  <c r="BG301" i="8"/>
  <c r="AW302" i="8"/>
  <c r="AZ302" i="8"/>
  <c r="Q302" i="8"/>
  <c r="S302" i="8" s="1"/>
  <c r="V302" i="8" s="1"/>
  <c r="AC302" i="8"/>
  <c r="BT302" i="8"/>
  <c r="AN300" i="8"/>
  <c r="Y301" i="8"/>
  <c r="AL301" i="8" s="1"/>
  <c r="AO301" i="8"/>
  <c r="AF301" i="8"/>
  <c r="AM301" i="8"/>
  <c r="X301" i="8"/>
  <c r="AK301" i="8" s="1"/>
  <c r="Z301" i="8"/>
  <c r="AE301" i="8"/>
  <c r="AA300" i="8"/>
  <c r="BQ300" i="8" s="1"/>
  <c r="BR300" i="8" s="1"/>
  <c r="H302" i="8"/>
  <c r="D305" i="8"/>
  <c r="E305" i="8" s="1"/>
  <c r="BP312" i="9" l="1"/>
  <c r="BQ312" i="9" s="1"/>
  <c r="BR312" i="9" s="1"/>
  <c r="G312" i="9"/>
  <c r="H312" i="9" s="1"/>
  <c r="AJ304" i="8"/>
  <c r="K304" i="8"/>
  <c r="M304" i="8" s="1"/>
  <c r="T304" i="8" s="1"/>
  <c r="BM311" i="9"/>
  <c r="BU311" i="9"/>
  <c r="BX310" i="9"/>
  <c r="BP310" i="8" s="1"/>
  <c r="BK125" i="9"/>
  <c r="AM125" i="9"/>
  <c r="Z126" i="9"/>
  <c r="BA126" i="9"/>
  <c r="BE126" i="9" s="1"/>
  <c r="BC126" i="9" s="1"/>
  <c r="AE126" i="9"/>
  <c r="X126" i="9"/>
  <c r="Y126" i="9"/>
  <c r="AL126" i="9" s="1"/>
  <c r="AD312" i="9"/>
  <c r="AE312" i="9" s="1"/>
  <c r="B313" i="9"/>
  <c r="C313" i="9"/>
  <c r="BJ311" i="9"/>
  <c r="Q312" i="9"/>
  <c r="S312" i="9" s="1"/>
  <c r="V312" i="9" s="1"/>
  <c r="Z312" i="9" s="1"/>
  <c r="AA312" i="9" s="1"/>
  <c r="AK312" i="9"/>
  <c r="AN312" i="9" s="1"/>
  <c r="AC312" i="9"/>
  <c r="BK311" i="9"/>
  <c r="I311" i="9"/>
  <c r="AX304" i="8"/>
  <c r="CH303" i="8"/>
  <c r="CI303" i="8"/>
  <c r="N304" i="8"/>
  <c r="P304" i="8" s="1"/>
  <c r="U304" i="8" s="1"/>
  <c r="AU304" i="8"/>
  <c r="AI304" i="8"/>
  <c r="W304" i="8"/>
  <c r="BM304" i="8" s="1"/>
  <c r="AN116" i="8"/>
  <c r="BB116" i="8"/>
  <c r="BF116" i="8" s="1"/>
  <c r="BD116" i="8" s="1"/>
  <c r="AA116" i="8"/>
  <c r="W117" i="8" s="1"/>
  <c r="BJ116" i="8"/>
  <c r="AN301" i="8"/>
  <c r="BK300" i="8"/>
  <c r="BZ300" i="8" s="1"/>
  <c r="BJ301" i="8"/>
  <c r="BU301" i="8" s="1"/>
  <c r="BZ299" i="8"/>
  <c r="I302" i="8"/>
  <c r="BC302" i="8"/>
  <c r="BD302" i="8"/>
  <c r="BG302" i="8"/>
  <c r="BA302" i="8"/>
  <c r="BE302" i="8" s="1"/>
  <c r="BB301" i="8"/>
  <c r="BF301" i="8" s="1"/>
  <c r="AZ303" i="8"/>
  <c r="AW303" i="8"/>
  <c r="Q303" i="8"/>
  <c r="S303" i="8" s="1"/>
  <c r="V303" i="8" s="1"/>
  <c r="AC303" i="8"/>
  <c r="BT303" i="8"/>
  <c r="AA301" i="8"/>
  <c r="BQ301" i="8" s="1"/>
  <c r="Z302" i="8"/>
  <c r="AM302" i="8"/>
  <c r="AO302" i="8"/>
  <c r="AF302" i="8"/>
  <c r="X302" i="8"/>
  <c r="AK302" i="8" s="1"/>
  <c r="Y302" i="8"/>
  <c r="AL302" i="8" s="1"/>
  <c r="AE302" i="8"/>
  <c r="H303" i="8"/>
  <c r="D306" i="8"/>
  <c r="E306" i="8" s="1"/>
  <c r="AD307" i="8"/>
  <c r="BP313" i="9" l="1"/>
  <c r="BQ313" i="9" s="1"/>
  <c r="BR313" i="9" s="1"/>
  <c r="G313" i="9"/>
  <c r="H313" i="9" s="1"/>
  <c r="AJ305" i="8"/>
  <c r="K305" i="8"/>
  <c r="M305" i="8" s="1"/>
  <c r="T305" i="8" s="1"/>
  <c r="BM312" i="9"/>
  <c r="BU312" i="9"/>
  <c r="BX311" i="9"/>
  <c r="BP311" i="8" s="1"/>
  <c r="BJ126" i="9"/>
  <c r="BB126" i="9"/>
  <c r="BF126" i="9" s="1"/>
  <c r="BD126" i="9" s="1"/>
  <c r="AK126" i="9"/>
  <c r="AN126" i="9" s="1"/>
  <c r="AA126" i="9"/>
  <c r="C314" i="9"/>
  <c r="AD313" i="9"/>
  <c r="AE313" i="9" s="1"/>
  <c r="B314" i="9"/>
  <c r="BK312" i="9"/>
  <c r="BJ312" i="9"/>
  <c r="I312" i="9"/>
  <c r="Q313" i="9"/>
  <c r="S313" i="9" s="1"/>
  <c r="V313" i="9" s="1"/>
  <c r="Z313" i="9" s="1"/>
  <c r="AA313" i="9" s="1"/>
  <c r="AC313" i="9"/>
  <c r="AK313" i="9"/>
  <c r="AN313" i="9" s="1"/>
  <c r="CI304" i="8"/>
  <c r="AX305" i="8"/>
  <c r="AU305" i="8"/>
  <c r="AI305" i="8"/>
  <c r="W305" i="8"/>
  <c r="BM305" i="8" s="1"/>
  <c r="N305" i="8"/>
  <c r="P305" i="8" s="1"/>
  <c r="U305" i="8" s="1"/>
  <c r="CH304" i="8"/>
  <c r="BK116" i="8"/>
  <c r="AM116" i="8"/>
  <c r="BK301" i="8"/>
  <c r="BX299" i="8"/>
  <c r="CA299" i="8" s="1"/>
  <c r="CB299" i="8" s="1"/>
  <c r="BX300" i="8"/>
  <c r="CA300" i="8" s="1"/>
  <c r="CB300" i="8" s="1"/>
  <c r="BR301" i="8"/>
  <c r="BJ302" i="8"/>
  <c r="BU302" i="8" s="1"/>
  <c r="I303" i="8"/>
  <c r="BB302" i="8"/>
  <c r="BF302" i="8" s="1"/>
  <c r="BC303" i="8"/>
  <c r="BG303" i="8"/>
  <c r="BD303" i="8"/>
  <c r="BA303" i="8"/>
  <c r="BE303" i="8" s="1"/>
  <c r="AW304" i="8"/>
  <c r="AZ304" i="8"/>
  <c r="Q304" i="8"/>
  <c r="S304" i="8" s="1"/>
  <c r="V304" i="8" s="1"/>
  <c r="BT304" i="8"/>
  <c r="AC304" i="8"/>
  <c r="AM303" i="8"/>
  <c r="AO303" i="8"/>
  <c r="AF303" i="8"/>
  <c r="Y303" i="8"/>
  <c r="AL303" i="8" s="1"/>
  <c r="X303" i="8"/>
  <c r="AK303" i="8" s="1"/>
  <c r="Z303" i="8"/>
  <c r="AE303" i="8"/>
  <c r="AA302" i="8"/>
  <c r="BQ302" i="8" s="1"/>
  <c r="BR302" i="8" s="1"/>
  <c r="AN302" i="8"/>
  <c r="H304" i="8"/>
  <c r="D307" i="8"/>
  <c r="E307" i="8" s="1"/>
  <c r="AD308" i="8"/>
  <c r="BP314" i="9" l="1"/>
  <c r="BQ314" i="9" s="1"/>
  <c r="BR314" i="9" s="1"/>
  <c r="G314" i="9"/>
  <c r="H314" i="9" s="1"/>
  <c r="AJ306" i="8"/>
  <c r="K306" i="8"/>
  <c r="M306" i="8" s="1"/>
  <c r="T306" i="8" s="1"/>
  <c r="BM313" i="9"/>
  <c r="BU313" i="9"/>
  <c r="BX312" i="9"/>
  <c r="BP312" i="8" s="1"/>
  <c r="W127" i="9"/>
  <c r="BK126" i="9"/>
  <c r="AM126" i="9"/>
  <c r="BK313" i="9"/>
  <c r="Q314" i="9"/>
  <c r="S314" i="9" s="1"/>
  <c r="V314" i="9" s="1"/>
  <c r="Z314" i="9" s="1"/>
  <c r="AA314" i="9" s="1"/>
  <c r="AC314" i="9"/>
  <c r="AK314" i="9"/>
  <c r="AN314" i="9" s="1"/>
  <c r="BK314" i="9" s="1"/>
  <c r="C315" i="9"/>
  <c r="AD314" i="9"/>
  <c r="AE314" i="9" s="1"/>
  <c r="B315" i="9"/>
  <c r="I313" i="9"/>
  <c r="BJ313" i="9"/>
  <c r="CH305" i="8"/>
  <c r="CI305" i="8"/>
  <c r="AX306" i="8"/>
  <c r="AU306" i="8"/>
  <c r="AI306" i="8"/>
  <c r="W306" i="8"/>
  <c r="BM306" i="8" s="1"/>
  <c r="N306" i="8"/>
  <c r="P306" i="8" s="1"/>
  <c r="U306" i="8" s="1"/>
  <c r="X117" i="8"/>
  <c r="AK117" i="8" s="1"/>
  <c r="BA117" i="8"/>
  <c r="BE117" i="8" s="1"/>
  <c r="BC117" i="8" s="1"/>
  <c r="Y117" i="8"/>
  <c r="AL117" i="8" s="1"/>
  <c r="AE117" i="8"/>
  <c r="Z117" i="8"/>
  <c r="BZ301" i="8"/>
  <c r="BX301" i="8" s="1"/>
  <c r="CA301" i="8" s="1"/>
  <c r="CB301" i="8" s="1"/>
  <c r="BK302" i="8"/>
  <c r="BZ302" i="8" s="1"/>
  <c r="I304" i="8"/>
  <c r="BA304" i="8"/>
  <c r="BE304" i="8" s="1"/>
  <c r="BB303" i="8"/>
  <c r="BF303" i="8" s="1"/>
  <c r="AZ305" i="8"/>
  <c r="AW305" i="8"/>
  <c r="BJ303" i="8"/>
  <c r="BC304" i="8"/>
  <c r="BD304" i="8"/>
  <c r="BG304" i="8"/>
  <c r="Q305" i="8"/>
  <c r="S305" i="8" s="1"/>
  <c r="V305" i="8" s="1"/>
  <c r="AC305" i="8"/>
  <c r="BT305" i="8"/>
  <c r="Y304" i="8"/>
  <c r="AL304" i="8" s="1"/>
  <c r="AO304" i="8"/>
  <c r="AM304" i="8"/>
  <c r="X304" i="8"/>
  <c r="AK304" i="8" s="1"/>
  <c r="AF304" i="8"/>
  <c r="Z304" i="8"/>
  <c r="AE304" i="8"/>
  <c r="AN303" i="8"/>
  <c r="AA303" i="8"/>
  <c r="BQ303" i="8" s="1"/>
  <c r="BR303" i="8" s="1"/>
  <c r="H305" i="8"/>
  <c r="D308" i="8"/>
  <c r="E308" i="8" s="1"/>
  <c r="BP315" i="9" l="1"/>
  <c r="BQ315" i="9" s="1"/>
  <c r="BR315" i="9" s="1"/>
  <c r="G315" i="9"/>
  <c r="H315" i="9" s="1"/>
  <c r="AJ307" i="8"/>
  <c r="K307" i="8"/>
  <c r="M307" i="8" s="1"/>
  <c r="T307" i="8" s="1"/>
  <c r="BM314" i="9"/>
  <c r="BU314" i="9"/>
  <c r="BX313" i="9"/>
  <c r="BP313" i="8" s="1"/>
  <c r="AE127" i="9"/>
  <c r="Y127" i="9"/>
  <c r="AL127" i="9" s="1"/>
  <c r="BA127" i="9"/>
  <c r="BE127" i="9" s="1"/>
  <c r="BC127" i="9" s="1"/>
  <c r="Z127" i="9"/>
  <c r="X127" i="9"/>
  <c r="AD315" i="9"/>
  <c r="AE315" i="9" s="1"/>
  <c r="C316" i="9"/>
  <c r="B316" i="9"/>
  <c r="BJ314" i="9"/>
  <c r="Q315" i="9"/>
  <c r="S315" i="9" s="1"/>
  <c r="V315" i="9" s="1"/>
  <c r="Z315" i="9" s="1"/>
  <c r="AA315" i="9" s="1"/>
  <c r="AK315" i="9"/>
  <c r="AN315" i="9" s="1"/>
  <c r="AC315" i="9"/>
  <c r="I314" i="9"/>
  <c r="CH306" i="8"/>
  <c r="CI306" i="8"/>
  <c r="AX307" i="8"/>
  <c r="AU307" i="8"/>
  <c r="AI307" i="8"/>
  <c r="W307" i="8"/>
  <c r="BM307" i="8" s="1"/>
  <c r="N307" i="8"/>
  <c r="P307" i="8" s="1"/>
  <c r="U307" i="8" s="1"/>
  <c r="AN117" i="8"/>
  <c r="BB117" i="8"/>
  <c r="BF117" i="8" s="1"/>
  <c r="BD117" i="8" s="1"/>
  <c r="AA117" i="8"/>
  <c r="W118" i="8" s="1"/>
  <c r="BJ117" i="8"/>
  <c r="BX302" i="8"/>
  <c r="CA302" i="8" s="1"/>
  <c r="BJ304" i="8"/>
  <c r="I305" i="8"/>
  <c r="BU303" i="8"/>
  <c r="BK303" i="8"/>
  <c r="AA304" i="8"/>
  <c r="BQ304" i="8" s="1"/>
  <c r="BR304" i="8" s="1"/>
  <c r="BB304" i="8"/>
  <c r="BF304" i="8" s="1"/>
  <c r="BA305" i="8"/>
  <c r="BE305" i="8" s="1"/>
  <c r="BC305" i="8"/>
  <c r="BD305" i="8"/>
  <c r="BG305" i="8"/>
  <c r="AZ306" i="8"/>
  <c r="AW306" i="8"/>
  <c r="AN304" i="8"/>
  <c r="Q306" i="8"/>
  <c r="S306" i="8" s="1"/>
  <c r="V306" i="8" s="1"/>
  <c r="BT306" i="8"/>
  <c r="AC306" i="8"/>
  <c r="AD306" i="8" s="1"/>
  <c r="AO305" i="8"/>
  <c r="AM305" i="8"/>
  <c r="Z305" i="8"/>
  <c r="X305" i="8"/>
  <c r="AK305" i="8" s="1"/>
  <c r="AF305" i="8"/>
  <c r="Y305" i="8"/>
  <c r="AL305" i="8" s="1"/>
  <c r="AE305" i="8"/>
  <c r="H306" i="8"/>
  <c r="D309" i="8"/>
  <c r="E309" i="8" s="1"/>
  <c r="AD310" i="8"/>
  <c r="BP316" i="9" l="1"/>
  <c r="BQ316" i="9" s="1"/>
  <c r="BR316" i="9" s="1"/>
  <c r="G316" i="9"/>
  <c r="H316" i="9" s="1"/>
  <c r="AJ308" i="8"/>
  <c r="K308" i="8"/>
  <c r="M308" i="8" s="1"/>
  <c r="T308" i="8" s="1"/>
  <c r="BM315" i="9"/>
  <c r="BU315" i="9"/>
  <c r="BX314" i="9"/>
  <c r="BP314" i="8" s="1"/>
  <c r="AK127" i="9"/>
  <c r="AN127" i="9" s="1"/>
  <c r="BB127" i="9"/>
  <c r="BF127" i="9" s="1"/>
  <c r="BD127" i="9" s="1"/>
  <c r="AA127" i="9"/>
  <c r="BJ127" i="9"/>
  <c r="C317" i="9"/>
  <c r="AD316" i="9"/>
  <c r="AE316" i="9" s="1"/>
  <c r="B317" i="9"/>
  <c r="AD317" i="9" s="1"/>
  <c r="AE317" i="9" s="1"/>
  <c r="BK315" i="9"/>
  <c r="Q316" i="9"/>
  <c r="S316" i="9" s="1"/>
  <c r="V316" i="9" s="1"/>
  <c r="Z316" i="9" s="1"/>
  <c r="AA316" i="9" s="1"/>
  <c r="AK316" i="9"/>
  <c r="AN316" i="9" s="1"/>
  <c r="AC316" i="9"/>
  <c r="BJ315" i="9"/>
  <c r="I315" i="9"/>
  <c r="CH307" i="8"/>
  <c r="CI307" i="8"/>
  <c r="AX308" i="8"/>
  <c r="N308" i="8"/>
  <c r="P308" i="8" s="1"/>
  <c r="U308" i="8" s="1"/>
  <c r="AU308" i="8"/>
  <c r="AI308" i="8"/>
  <c r="W308" i="8"/>
  <c r="BM308" i="8" s="1"/>
  <c r="BK117" i="8"/>
  <c r="AM117" i="8"/>
  <c r="BZ303" i="8"/>
  <c r="CB302" i="8"/>
  <c r="I306" i="8"/>
  <c r="BK304" i="8"/>
  <c r="BJ305" i="8"/>
  <c r="AE306" i="8"/>
  <c r="BU304" i="8"/>
  <c r="BA306" i="8"/>
  <c r="BE306" i="8" s="1"/>
  <c r="BB305" i="8"/>
  <c r="BF305" i="8" s="1"/>
  <c r="AW307" i="8"/>
  <c r="AZ307" i="8"/>
  <c r="BG306" i="8"/>
  <c r="BC306" i="8"/>
  <c r="BD306" i="8"/>
  <c r="AN305" i="8"/>
  <c r="AA305" i="8"/>
  <c r="BQ305" i="8" s="1"/>
  <c r="BR305" i="8" s="1"/>
  <c r="Q307" i="8"/>
  <c r="S307" i="8" s="1"/>
  <c r="V307" i="8" s="1"/>
  <c r="BT307" i="8"/>
  <c r="AC307" i="8"/>
  <c r="X306" i="8"/>
  <c r="AK306" i="8" s="1"/>
  <c r="AM306" i="8"/>
  <c r="AO306" i="8"/>
  <c r="Y306" i="8"/>
  <c r="AL306" i="8" s="1"/>
  <c r="AF306" i="8"/>
  <c r="Z306" i="8"/>
  <c r="H307" i="8"/>
  <c r="D310" i="8"/>
  <c r="E310" i="8" s="1"/>
  <c r="AD311" i="8"/>
  <c r="BP317" i="9" l="1"/>
  <c r="BQ317" i="9" s="1"/>
  <c r="BR317" i="9" s="1"/>
  <c r="G317" i="9"/>
  <c r="H317" i="9" s="1"/>
  <c r="AJ309" i="8"/>
  <c r="K309" i="8"/>
  <c r="M309" i="8" s="1"/>
  <c r="T309" i="8" s="1"/>
  <c r="BX315" i="9"/>
  <c r="BP315" i="8" s="1"/>
  <c r="BM316" i="9"/>
  <c r="BU316" i="9"/>
  <c r="W128" i="9"/>
  <c r="BK127" i="9"/>
  <c r="AM127" i="9"/>
  <c r="BJ317" i="9"/>
  <c r="BK316" i="9"/>
  <c r="BJ316" i="9"/>
  <c r="Q317" i="9"/>
  <c r="S317" i="9" s="1"/>
  <c r="V317" i="9" s="1"/>
  <c r="Z317" i="9" s="1"/>
  <c r="AA317" i="9" s="1"/>
  <c r="AC317" i="9"/>
  <c r="I316" i="9"/>
  <c r="CI308" i="8"/>
  <c r="CH308" i="8"/>
  <c r="AX309" i="8"/>
  <c r="AU309" i="8"/>
  <c r="AI309" i="8"/>
  <c r="W309" i="8"/>
  <c r="BM309" i="8" s="1"/>
  <c r="N309" i="8"/>
  <c r="P309" i="8" s="1"/>
  <c r="U309" i="8" s="1"/>
  <c r="BA118" i="8"/>
  <c r="BE118" i="8" s="1"/>
  <c r="BC118" i="8" s="1"/>
  <c r="Z118" i="8"/>
  <c r="Y118" i="8"/>
  <c r="AL118" i="8" s="1"/>
  <c r="X118" i="8"/>
  <c r="AK118" i="8" s="1"/>
  <c r="AE118" i="8"/>
  <c r="BZ304" i="8"/>
  <c r="BX304" i="8" s="1"/>
  <c r="CA304" i="8" s="1"/>
  <c r="BX303" i="8"/>
  <c r="CA303" i="8" s="1"/>
  <c r="CB303" i="8" s="1"/>
  <c r="BJ306" i="8"/>
  <c r="BU306" i="8" s="1"/>
  <c r="I307" i="8"/>
  <c r="BU305" i="8"/>
  <c r="BK305" i="8"/>
  <c r="BC307" i="8"/>
  <c r="BD307" i="8"/>
  <c r="BG307" i="8"/>
  <c r="BB306" i="8"/>
  <c r="BF306" i="8" s="1"/>
  <c r="BA307" i="8"/>
  <c r="BE307" i="8" s="1"/>
  <c r="AZ308" i="8"/>
  <c r="AW308" i="8"/>
  <c r="AN306" i="8"/>
  <c r="Y307" i="8"/>
  <c r="AL307" i="8" s="1"/>
  <c r="AM307" i="8"/>
  <c r="AO307" i="8"/>
  <c r="AF307" i="8"/>
  <c r="X307" i="8"/>
  <c r="AK307" i="8" s="1"/>
  <c r="Z307" i="8"/>
  <c r="AE307" i="8"/>
  <c r="AA306" i="8"/>
  <c r="BQ306" i="8" s="1"/>
  <c r="Q308" i="8"/>
  <c r="S308" i="8" s="1"/>
  <c r="V308" i="8" s="1"/>
  <c r="BT308" i="8"/>
  <c r="AC308" i="8"/>
  <c r="H308" i="8"/>
  <c r="D311" i="8"/>
  <c r="E311" i="8" s="1"/>
  <c r="AD312" i="8"/>
  <c r="AJ310" i="8" l="1"/>
  <c r="K310" i="8"/>
  <c r="M310" i="8" s="1"/>
  <c r="T310" i="8" s="1"/>
  <c r="BM317" i="9"/>
  <c r="BU317" i="9"/>
  <c r="BX316" i="9"/>
  <c r="BP316" i="8" s="1"/>
  <c r="Y128" i="9"/>
  <c r="AL128" i="9" s="1"/>
  <c r="BA128" i="9"/>
  <c r="BE128" i="9" s="1"/>
  <c r="BC128" i="9" s="1"/>
  <c r="X128" i="9"/>
  <c r="AE128" i="9"/>
  <c r="Z128" i="9"/>
  <c r="I317" i="9"/>
  <c r="AG291" i="9" s="1"/>
  <c r="AK317" i="9"/>
  <c r="AN317" i="9" s="1"/>
  <c r="AX310" i="8"/>
  <c r="CH309" i="8"/>
  <c r="CI309" i="8"/>
  <c r="AU310" i="8"/>
  <c r="AI310" i="8"/>
  <c r="W310" i="8"/>
  <c r="BM310" i="8" s="1"/>
  <c r="N310" i="8"/>
  <c r="P310" i="8" s="1"/>
  <c r="U310" i="8" s="1"/>
  <c r="AA118" i="8"/>
  <c r="W119" i="8" s="1"/>
  <c r="BJ118" i="8"/>
  <c r="AN118" i="8"/>
  <c r="BB118" i="8"/>
  <c r="BF118" i="8" s="1"/>
  <c r="BD118" i="8" s="1"/>
  <c r="BJ307" i="8"/>
  <c r="BU307" i="8" s="1"/>
  <c r="BR306" i="8"/>
  <c r="BZ305" i="8"/>
  <c r="CB304" i="8"/>
  <c r="I308" i="8"/>
  <c r="BA308" i="8"/>
  <c r="BE308" i="8" s="1"/>
  <c r="AA307" i="8"/>
  <c r="BQ307" i="8" s="1"/>
  <c r="BR307" i="8" s="1"/>
  <c r="BK306" i="8"/>
  <c r="BD308" i="8"/>
  <c r="BG308" i="8"/>
  <c r="BC308" i="8"/>
  <c r="AW309" i="8"/>
  <c r="AZ309" i="8"/>
  <c r="BB307" i="8"/>
  <c r="BF307" i="8" s="1"/>
  <c r="AN307" i="8"/>
  <c r="Q309" i="8"/>
  <c r="S309" i="8" s="1"/>
  <c r="V309" i="8" s="1"/>
  <c r="AC309" i="8"/>
  <c r="AD309" i="8" s="1"/>
  <c r="BT309" i="8"/>
  <c r="Z308" i="8"/>
  <c r="AM308" i="8"/>
  <c r="AO308" i="8"/>
  <c r="X308" i="8"/>
  <c r="AK308" i="8" s="1"/>
  <c r="AF308" i="8"/>
  <c r="Y308" i="8"/>
  <c r="AL308" i="8" s="1"/>
  <c r="AE308" i="8"/>
  <c r="H309" i="8"/>
  <c r="D312" i="8"/>
  <c r="E312" i="8" s="1"/>
  <c r="AD313" i="8"/>
  <c r="AJ311" i="8" l="1"/>
  <c r="K311" i="8"/>
  <c r="AG283" i="9"/>
  <c r="AG292" i="9"/>
  <c r="AG258" i="9"/>
  <c r="AG289" i="9"/>
  <c r="AG262" i="9"/>
  <c r="AG279" i="9"/>
  <c r="AG286" i="9"/>
  <c r="AG276" i="9"/>
  <c r="AG296" i="9"/>
  <c r="AG273" i="9"/>
  <c r="AG307" i="9"/>
  <c r="AG305" i="9"/>
  <c r="AG314" i="9"/>
  <c r="AG263" i="9"/>
  <c r="AG269" i="9"/>
  <c r="AG270" i="9"/>
  <c r="AG277" i="9"/>
  <c r="AG282" i="9"/>
  <c r="AG287" i="9"/>
  <c r="AG288" i="9"/>
  <c r="AG293" i="9"/>
  <c r="AG257" i="9"/>
  <c r="AG259" i="9"/>
  <c r="AG266" i="9"/>
  <c r="AG271" i="9"/>
  <c r="AG274" i="9"/>
  <c r="AG281" i="9"/>
  <c r="AG285" i="9"/>
  <c r="AG301" i="9"/>
  <c r="AG256" i="9"/>
  <c r="AG312" i="9"/>
  <c r="AG278" i="9"/>
  <c r="AG290" i="9"/>
  <c r="AG265" i="9"/>
  <c r="AG297" i="9"/>
  <c r="AG260" i="9"/>
  <c r="AG264" i="9"/>
  <c r="AG268" i="9"/>
  <c r="AG267" i="9"/>
  <c r="AG272" i="9"/>
  <c r="AA128" i="9"/>
  <c r="W129" i="9" s="1"/>
  <c r="BJ128" i="9"/>
  <c r="BX317" i="9"/>
  <c r="BP317" i="8" s="1"/>
  <c r="AK128" i="9"/>
  <c r="AN128" i="9" s="1"/>
  <c r="BB128" i="9"/>
  <c r="BF128" i="9" s="1"/>
  <c r="BD128" i="9" s="1"/>
  <c r="AG295" i="9"/>
  <c r="AG302" i="9"/>
  <c r="AG304" i="9"/>
  <c r="AG316" i="9"/>
  <c r="AG275" i="9"/>
  <c r="BH312" i="9"/>
  <c r="AG284" i="9"/>
  <c r="AG280" i="9"/>
  <c r="BH316" i="9"/>
  <c r="BK317" i="9"/>
  <c r="BT316" i="9" s="1"/>
  <c r="BT315" i="9" s="1"/>
  <c r="BT314" i="9" s="1"/>
  <c r="BT313" i="9" s="1"/>
  <c r="BT312" i="9" s="1"/>
  <c r="BT311" i="9" s="1"/>
  <c r="BT310" i="9" s="1"/>
  <c r="BT309" i="9" s="1"/>
  <c r="BT308" i="9" s="1"/>
  <c r="BT307" i="9" s="1"/>
  <c r="BT306" i="9" s="1"/>
  <c r="BT305" i="9" s="1"/>
  <c r="BT304" i="9" s="1"/>
  <c r="BT303" i="9" s="1"/>
  <c r="BT302" i="9" s="1"/>
  <c r="BT301" i="9" s="1"/>
  <c r="BT300" i="9" s="1"/>
  <c r="BT299" i="9" s="1"/>
  <c r="BT298" i="9" s="1"/>
  <c r="BT297" i="9" s="1"/>
  <c r="BT296" i="9" s="1"/>
  <c r="BT295" i="9" s="1"/>
  <c r="BT294" i="9" s="1"/>
  <c r="BT293" i="9" s="1"/>
  <c r="BT292" i="9" s="1"/>
  <c r="BT291" i="9" s="1"/>
  <c r="BT290" i="9" s="1"/>
  <c r="BT289" i="9" s="1"/>
  <c r="BT288" i="9" s="1"/>
  <c r="BT287" i="9" s="1"/>
  <c r="BT286" i="9" s="1"/>
  <c r="BT285" i="9" s="1"/>
  <c r="BT284" i="9" s="1"/>
  <c r="BT283" i="9" s="1"/>
  <c r="BT282" i="9" s="1"/>
  <c r="BT281" i="9" s="1"/>
  <c r="BT280" i="9" s="1"/>
  <c r="BT279" i="9" s="1"/>
  <c r="BT278" i="9" s="1"/>
  <c r="BT277" i="9" s="1"/>
  <c r="BT276" i="9" s="1"/>
  <c r="BT275" i="9" s="1"/>
  <c r="BT274" i="9" s="1"/>
  <c r="BT273" i="9" s="1"/>
  <c r="BT272" i="9" s="1"/>
  <c r="BT271" i="9" s="1"/>
  <c r="BT270" i="9" s="1"/>
  <c r="BT269" i="9" s="1"/>
  <c r="BT268" i="9" s="1"/>
  <c r="BT267" i="9" s="1"/>
  <c r="BT266" i="9" s="1"/>
  <c r="BT265" i="9" s="1"/>
  <c r="BT264" i="9" s="1"/>
  <c r="BT263" i="9" s="1"/>
  <c r="BT262" i="9" s="1"/>
  <c r="BT261" i="9" s="1"/>
  <c r="BT260" i="9" s="1"/>
  <c r="BT259" i="9" s="1"/>
  <c r="BT258" i="9" s="1"/>
  <c r="BT257" i="9" s="1"/>
  <c r="BT256" i="9" s="1"/>
  <c r="AP256" i="9"/>
  <c r="AP257" i="9"/>
  <c r="AP259" i="9"/>
  <c r="AP258" i="9"/>
  <c r="AP260" i="9"/>
  <c r="AP262" i="9"/>
  <c r="AP261" i="9"/>
  <c r="AP263" i="9"/>
  <c r="AP268" i="9"/>
  <c r="AP265" i="9"/>
  <c r="AP264" i="9"/>
  <c r="AP267" i="9"/>
  <c r="AP270" i="9"/>
  <c r="AP266" i="9"/>
  <c r="AP269" i="9"/>
  <c r="AP271" i="9"/>
  <c r="AP272" i="9"/>
  <c r="AP273" i="9"/>
  <c r="AP274" i="9"/>
  <c r="AP275" i="9"/>
  <c r="AP278" i="9"/>
  <c r="AP276" i="9"/>
  <c r="AP277" i="9"/>
  <c r="AP280" i="9"/>
  <c r="AP279" i="9"/>
  <c r="AP281" i="9"/>
  <c r="AP285" i="9"/>
  <c r="AP282" i="9"/>
  <c r="AP283" i="9"/>
  <c r="AP284" i="9"/>
  <c r="AP286" i="9"/>
  <c r="AP288" i="9"/>
  <c r="AP287" i="9"/>
  <c r="AP290" i="9"/>
  <c r="AP289" i="9"/>
  <c r="AP292" i="9"/>
  <c r="AP293" i="9"/>
  <c r="AP291" i="9"/>
  <c r="AP294" i="9"/>
  <c r="AP295" i="9"/>
  <c r="AP298" i="9"/>
  <c r="AP297" i="9"/>
  <c r="AP296" i="9"/>
  <c r="AP299" i="9"/>
  <c r="AP300" i="9"/>
  <c r="AP302" i="9"/>
  <c r="AP301" i="9"/>
  <c r="AP303" i="9"/>
  <c r="AP304" i="9"/>
  <c r="AP305" i="9"/>
  <c r="AP306" i="9"/>
  <c r="AP307" i="9"/>
  <c r="AP310" i="9"/>
  <c r="AP314" i="9"/>
  <c r="AP308" i="9"/>
  <c r="AP309" i="9"/>
  <c r="AP312" i="9"/>
  <c r="AP315" i="9"/>
  <c r="AP311" i="9"/>
  <c r="AP313" i="9"/>
  <c r="AP316" i="9"/>
  <c r="AG317" i="9"/>
  <c r="BH317" i="9"/>
  <c r="AP317" i="9"/>
  <c r="BH256" i="9"/>
  <c r="BH257" i="9"/>
  <c r="BH260" i="9"/>
  <c r="BH258" i="9"/>
  <c r="BH259" i="9"/>
  <c r="BH264" i="9"/>
  <c r="BH261" i="9"/>
  <c r="BH262" i="9"/>
  <c r="BH263" i="9"/>
  <c r="BH265" i="9"/>
  <c r="BH269" i="9"/>
  <c r="BH267" i="9"/>
  <c r="BH266" i="9"/>
  <c r="BH268" i="9"/>
  <c r="BH270" i="9"/>
  <c r="BH271" i="9"/>
  <c r="BH275" i="9"/>
  <c r="BH272" i="9"/>
  <c r="BH273" i="9"/>
  <c r="BH277" i="9"/>
  <c r="BH274" i="9"/>
  <c r="BH276" i="9"/>
  <c r="BH278" i="9"/>
  <c r="BH280" i="9"/>
  <c r="BH279" i="9"/>
  <c r="BH281" i="9"/>
  <c r="BH282" i="9"/>
  <c r="BH283" i="9"/>
  <c r="BH284" i="9"/>
  <c r="BH285" i="9"/>
  <c r="BH286" i="9"/>
  <c r="BH287" i="9"/>
  <c r="BH288" i="9"/>
  <c r="BH289" i="9"/>
  <c r="BH292" i="9"/>
  <c r="BH290" i="9"/>
  <c r="BH291" i="9"/>
  <c r="BH294" i="9"/>
  <c r="BH293" i="9"/>
  <c r="BH295" i="9"/>
  <c r="BH297" i="9"/>
  <c r="BH296" i="9"/>
  <c r="BH298" i="9"/>
  <c r="BH300" i="9"/>
  <c r="BH302" i="9"/>
  <c r="BH299" i="9"/>
  <c r="BH301" i="9"/>
  <c r="BH303" i="9"/>
  <c r="BH304" i="9"/>
  <c r="BH310" i="9"/>
  <c r="BH305" i="9"/>
  <c r="BH306" i="9"/>
  <c r="AG311" i="9"/>
  <c r="BH308" i="9"/>
  <c r="AG299" i="9"/>
  <c r="AG303" i="9"/>
  <c r="AG313" i="9"/>
  <c r="BH315" i="9"/>
  <c r="BH311" i="9"/>
  <c r="BH313" i="9"/>
  <c r="AG294" i="9"/>
  <c r="AG298" i="9"/>
  <c r="AG300" i="9"/>
  <c r="AG306" i="9"/>
  <c r="BH309" i="9"/>
  <c r="AG309" i="9"/>
  <c r="BH307" i="9"/>
  <c r="AG315" i="9"/>
  <c r="BH314" i="9"/>
  <c r="AG308" i="9"/>
  <c r="AG261" i="9"/>
  <c r="AG310" i="9"/>
  <c r="AX311" i="8"/>
  <c r="CH310" i="8"/>
  <c r="CI310" i="8"/>
  <c r="N311" i="8"/>
  <c r="P311" i="8" s="1"/>
  <c r="U311" i="8" s="1"/>
  <c r="AU311" i="8"/>
  <c r="AI311" i="8"/>
  <c r="W311" i="8"/>
  <c r="BM311" i="8" s="1"/>
  <c r="AM118" i="8"/>
  <c r="BK118" i="8"/>
  <c r="BA119" i="8"/>
  <c r="BE119" i="8" s="1"/>
  <c r="BC119" i="8" s="1"/>
  <c r="Z119" i="8"/>
  <c r="AE119" i="8"/>
  <c r="Y119" i="8"/>
  <c r="AL119" i="8" s="1"/>
  <c r="X119" i="8"/>
  <c r="AK119" i="8" s="1"/>
  <c r="M311" i="8"/>
  <c r="T311" i="8" s="1"/>
  <c r="BZ306" i="8"/>
  <c r="BX306" i="8" s="1"/>
  <c r="CA306" i="8" s="1"/>
  <c r="BX305" i="8"/>
  <c r="CA305" i="8" s="1"/>
  <c r="CB305" i="8" s="1"/>
  <c r="I309" i="8"/>
  <c r="BJ308" i="8"/>
  <c r="BA309" i="8"/>
  <c r="BE309" i="8" s="1"/>
  <c r="BK307" i="8"/>
  <c r="BZ307" i="8" s="1"/>
  <c r="BC309" i="8"/>
  <c r="BD309" i="8"/>
  <c r="BG309" i="8"/>
  <c r="AZ310" i="8"/>
  <c r="AW310" i="8"/>
  <c r="BB308" i="8"/>
  <c r="BF308" i="8" s="1"/>
  <c r="AA308" i="8"/>
  <c r="BQ308" i="8" s="1"/>
  <c r="BR308" i="8" s="1"/>
  <c r="AO309" i="8"/>
  <c r="AM309" i="8"/>
  <c r="AF309" i="8"/>
  <c r="Z309" i="8"/>
  <c r="Y309" i="8"/>
  <c r="AL309" i="8" s="1"/>
  <c r="X309" i="8"/>
  <c r="AK309" i="8" s="1"/>
  <c r="AE309" i="8"/>
  <c r="Q310" i="8"/>
  <c r="S310" i="8" s="1"/>
  <c r="V310" i="8" s="1"/>
  <c r="BT310" i="8"/>
  <c r="AC310" i="8"/>
  <c r="AN308" i="8"/>
  <c r="H310" i="8"/>
  <c r="D313" i="8"/>
  <c r="E313" i="8" s="1"/>
  <c r="AD314" i="8"/>
  <c r="AJ312" i="8" l="1"/>
  <c r="K312" i="8"/>
  <c r="M312" i="8" s="1"/>
  <c r="T312" i="8" s="1"/>
  <c r="BN316" i="9"/>
  <c r="Y129" i="9"/>
  <c r="AL129" i="9" s="1"/>
  <c r="BA129" i="9"/>
  <c r="BE129" i="9" s="1"/>
  <c r="BC129" i="9" s="1"/>
  <c r="AE129" i="9"/>
  <c r="Z129" i="9"/>
  <c r="X129" i="9"/>
  <c r="BK128" i="9"/>
  <c r="AM128" i="9"/>
  <c r="AX312" i="8"/>
  <c r="CH311" i="8"/>
  <c r="CI311" i="8"/>
  <c r="N312" i="8"/>
  <c r="P312" i="8" s="1"/>
  <c r="U312" i="8" s="1"/>
  <c r="AU312" i="8"/>
  <c r="AI312" i="8"/>
  <c r="W312" i="8"/>
  <c r="BM312" i="8" s="1"/>
  <c r="BJ119" i="8"/>
  <c r="AA119" i="8"/>
  <c r="W120" i="8" s="1"/>
  <c r="AN119" i="8"/>
  <c r="BB119" i="8"/>
  <c r="BF119" i="8" s="1"/>
  <c r="BD119" i="8" s="1"/>
  <c r="BX307" i="8"/>
  <c r="CA307" i="8" s="1"/>
  <c r="BJ309" i="8"/>
  <c r="BU309" i="8" s="1"/>
  <c r="CB306" i="8"/>
  <c r="BU308" i="8"/>
  <c r="I310" i="8"/>
  <c r="BB309" i="8"/>
  <c r="BF309" i="8" s="1"/>
  <c r="BD310" i="8"/>
  <c r="BG310" i="8"/>
  <c r="BC310" i="8"/>
  <c r="AN309" i="8"/>
  <c r="BA310" i="8"/>
  <c r="BE310" i="8" s="1"/>
  <c r="BK308" i="8"/>
  <c r="AW311" i="8"/>
  <c r="AZ311" i="8"/>
  <c r="Y310" i="8"/>
  <c r="AL310" i="8" s="1"/>
  <c r="AM310" i="8"/>
  <c r="AF310" i="8"/>
  <c r="AO310" i="8"/>
  <c r="X310" i="8"/>
  <c r="AK310" i="8" s="1"/>
  <c r="Z310" i="8"/>
  <c r="AE310" i="8"/>
  <c r="AA309" i="8"/>
  <c r="BQ309" i="8" s="1"/>
  <c r="BR309" i="8" s="1"/>
  <c r="Q311" i="8"/>
  <c r="S311" i="8" s="1"/>
  <c r="V311" i="8" s="1"/>
  <c r="AC311" i="8"/>
  <c r="BT311" i="8"/>
  <c r="H311" i="8"/>
  <c r="D314" i="8"/>
  <c r="E314" i="8" s="1"/>
  <c r="AD315" i="8"/>
  <c r="AJ313" i="8" l="1"/>
  <c r="K313" i="8"/>
  <c r="M313" i="8" s="1"/>
  <c r="T313" i="8" s="1"/>
  <c r="BV316" i="9"/>
  <c r="BJ129" i="9"/>
  <c r="AA129" i="9"/>
  <c r="W130" i="9" s="1"/>
  <c r="BN315" i="9"/>
  <c r="BB129" i="9"/>
  <c r="BF129" i="9" s="1"/>
  <c r="BD129" i="9" s="1"/>
  <c r="AK129" i="9"/>
  <c r="AN129" i="9" s="1"/>
  <c r="CI312" i="8"/>
  <c r="AX313" i="8"/>
  <c r="AU313" i="8"/>
  <c r="AI313" i="8"/>
  <c r="W313" i="8"/>
  <c r="BM313" i="8" s="1"/>
  <c r="CH312" i="8"/>
  <c r="N313" i="8"/>
  <c r="P313" i="8" s="1"/>
  <c r="U313" i="8" s="1"/>
  <c r="BK119" i="8"/>
  <c r="AM119" i="8"/>
  <c r="BK309" i="8"/>
  <c r="BZ309" i="8" s="1"/>
  <c r="BA311" i="8"/>
  <c r="BE311" i="8" s="1"/>
  <c r="BJ310" i="8"/>
  <c r="BU310" i="8" s="1"/>
  <c r="BZ308" i="8"/>
  <c r="CB307" i="8"/>
  <c r="I311" i="8"/>
  <c r="BB310" i="8"/>
  <c r="BF310" i="8" s="1"/>
  <c r="BC311" i="8"/>
  <c r="BD311" i="8"/>
  <c r="BG311" i="8"/>
  <c r="AW312" i="8"/>
  <c r="AZ312" i="8"/>
  <c r="AA310" i="8"/>
  <c r="BQ310" i="8" s="1"/>
  <c r="BR310" i="8" s="1"/>
  <c r="AM311" i="8"/>
  <c r="AO311" i="8"/>
  <c r="X311" i="8"/>
  <c r="AK311" i="8" s="1"/>
  <c r="Y311" i="8"/>
  <c r="AL311" i="8" s="1"/>
  <c r="AF311" i="8"/>
  <c r="Z311" i="8"/>
  <c r="AE311" i="8"/>
  <c r="AN310" i="8"/>
  <c r="Q312" i="8"/>
  <c r="S312" i="8" s="1"/>
  <c r="V312" i="8" s="1"/>
  <c r="BT312" i="8"/>
  <c r="AC312" i="8"/>
  <c r="H312" i="8"/>
  <c r="D315" i="8"/>
  <c r="E315" i="8" s="1"/>
  <c r="AD316" i="8"/>
  <c r="AJ314" i="8" l="1"/>
  <c r="K314" i="8"/>
  <c r="M314" i="8" s="1"/>
  <c r="T314" i="8" s="1"/>
  <c r="BV315" i="9"/>
  <c r="BN314" i="9"/>
  <c r="BK129" i="9"/>
  <c r="AM129" i="9"/>
  <c r="BA130" i="9"/>
  <c r="BE130" i="9" s="1"/>
  <c r="BC130" i="9" s="1"/>
  <c r="Y130" i="9"/>
  <c r="AL130" i="9" s="1"/>
  <c r="AE130" i="9"/>
  <c r="Z130" i="9"/>
  <c r="X130" i="9"/>
  <c r="CH313" i="8"/>
  <c r="CI313" i="8"/>
  <c r="AX314" i="8"/>
  <c r="AU314" i="8"/>
  <c r="AI314" i="8"/>
  <c r="W314" i="8"/>
  <c r="BM314" i="8" s="1"/>
  <c r="N314" i="8"/>
  <c r="P314" i="8" s="1"/>
  <c r="U314" i="8" s="1"/>
  <c r="Y120" i="8"/>
  <c r="AL120" i="8" s="1"/>
  <c r="X120" i="8"/>
  <c r="AK120" i="8" s="1"/>
  <c r="BA120" i="8"/>
  <c r="BE120" i="8" s="1"/>
  <c r="BC120" i="8" s="1"/>
  <c r="Z120" i="8"/>
  <c r="AE120" i="8"/>
  <c r="BK310" i="8"/>
  <c r="BZ310" i="8" s="1"/>
  <c r="BJ311" i="8"/>
  <c r="BU311" i="8" s="1"/>
  <c r="BX309" i="8"/>
  <c r="CA309" i="8" s="1"/>
  <c r="CB309" i="8" s="1"/>
  <c r="BX308" i="8"/>
  <c r="CA308" i="8" s="1"/>
  <c r="CB308" i="8" s="1"/>
  <c r="I312" i="8"/>
  <c r="BA312" i="8"/>
  <c r="BE312" i="8" s="1"/>
  <c r="BB311" i="8"/>
  <c r="BF311" i="8" s="1"/>
  <c r="AZ313" i="8"/>
  <c r="AW313" i="8"/>
  <c r="BC312" i="8"/>
  <c r="BD312" i="8"/>
  <c r="BG312" i="8"/>
  <c r="X312" i="8"/>
  <c r="AK312" i="8" s="1"/>
  <c r="AO312" i="8"/>
  <c r="AM312" i="8"/>
  <c r="AF312" i="8"/>
  <c r="Y312" i="8"/>
  <c r="AL312" i="8" s="1"/>
  <c r="Z312" i="8"/>
  <c r="AE312" i="8"/>
  <c r="Q313" i="8"/>
  <c r="S313" i="8" s="1"/>
  <c r="V313" i="8" s="1"/>
  <c r="BT313" i="8"/>
  <c r="AC313" i="8"/>
  <c r="AA311" i="8"/>
  <c r="BQ311" i="8" s="1"/>
  <c r="BR311" i="8" s="1"/>
  <c r="AN311" i="8"/>
  <c r="H313" i="8"/>
  <c r="D317" i="8"/>
  <c r="E317" i="8" s="1"/>
  <c r="D316" i="8"/>
  <c r="E316" i="8" s="1"/>
  <c r="AD317" i="8"/>
  <c r="Q59" i="5" l="1"/>
  <c r="R59" i="5" s="1"/>
  <c r="Q51" i="5"/>
  <c r="R51" i="5" s="1"/>
  <c r="Q52" i="5"/>
  <c r="R52" i="5" s="1"/>
  <c r="Q54" i="5"/>
  <c r="R54" i="5" s="1"/>
  <c r="Q53" i="5"/>
  <c r="R53" i="5" s="1"/>
  <c r="Q43" i="5"/>
  <c r="R43" i="5" s="1"/>
  <c r="Q56" i="5"/>
  <c r="R56" i="5" s="1"/>
  <c r="Q55" i="5"/>
  <c r="R55" i="5" s="1"/>
  <c r="Q60" i="5"/>
  <c r="R60" i="5" s="1"/>
  <c r="Q49" i="5"/>
  <c r="R49" i="5" s="1"/>
  <c r="Q44" i="5"/>
  <c r="R44" i="5" s="1"/>
  <c r="Q37" i="5"/>
  <c r="R37" i="5" s="1"/>
  <c r="Q47" i="5"/>
  <c r="R47" i="5" s="1"/>
  <c r="Q45" i="5"/>
  <c r="R45" i="5" s="1"/>
  <c r="Q57" i="5"/>
  <c r="R57" i="5" s="1"/>
  <c r="Q48" i="5"/>
  <c r="R48" i="5" s="1"/>
  <c r="Q46" i="5"/>
  <c r="R46" i="5" s="1"/>
  <c r="Q38" i="5"/>
  <c r="R38" i="5" s="1"/>
  <c r="Q42" i="5"/>
  <c r="R42" i="5" s="1"/>
  <c r="Q58" i="5"/>
  <c r="R58" i="5" s="1"/>
  <c r="Q40" i="5"/>
  <c r="R40" i="5" s="1"/>
  <c r="Q50" i="5"/>
  <c r="R50" i="5" s="1"/>
  <c r="Q41" i="5"/>
  <c r="R41" i="5" s="1"/>
  <c r="Q39" i="5"/>
  <c r="R39" i="5" s="1"/>
  <c r="AJ315" i="8"/>
  <c r="K315" i="8"/>
  <c r="M315" i="8" s="1"/>
  <c r="T315" i="8" s="1"/>
  <c r="BV314" i="9"/>
  <c r="BJ130" i="9"/>
  <c r="BN313" i="9"/>
  <c r="BB130" i="9"/>
  <c r="BF130" i="9" s="1"/>
  <c r="BD130" i="9" s="1"/>
  <c r="AK130" i="9"/>
  <c r="AN130" i="9" s="1"/>
  <c r="AA130" i="9"/>
  <c r="CH314" i="8"/>
  <c r="CI314" i="8"/>
  <c r="AX315" i="8"/>
  <c r="N315" i="8"/>
  <c r="P315" i="8" s="1"/>
  <c r="U315" i="8" s="1"/>
  <c r="AU315" i="8"/>
  <c r="AI315" i="8"/>
  <c r="W315" i="8"/>
  <c r="BM315" i="8" s="1"/>
  <c r="BJ120" i="8"/>
  <c r="AA120" i="8"/>
  <c r="W121" i="8" s="1"/>
  <c r="BB120" i="8"/>
  <c r="BF120" i="8" s="1"/>
  <c r="BD120" i="8" s="1"/>
  <c r="AN120" i="8"/>
  <c r="BK311" i="8"/>
  <c r="BZ311" i="8" s="1"/>
  <c r="BX310" i="8"/>
  <c r="CA310" i="8" s="1"/>
  <c r="CB310" i="8" s="1"/>
  <c r="BB312" i="8"/>
  <c r="BF312" i="8" s="1"/>
  <c r="BJ312" i="8"/>
  <c r="BU312" i="8" s="1"/>
  <c r="I313" i="8"/>
  <c r="AN312" i="8"/>
  <c r="AW314" i="8"/>
  <c r="AZ314" i="8"/>
  <c r="BA313" i="8"/>
  <c r="BE313" i="8" s="1"/>
  <c r="BC313" i="8"/>
  <c r="BD313" i="8"/>
  <c r="BG313" i="8"/>
  <c r="Y313" i="8"/>
  <c r="AL313" i="8" s="1"/>
  <c r="AM313" i="8"/>
  <c r="AO313" i="8"/>
  <c r="AF313" i="8"/>
  <c r="Z313" i="8"/>
  <c r="X313" i="8"/>
  <c r="AK313" i="8" s="1"/>
  <c r="AE313" i="8"/>
  <c r="Q314" i="8"/>
  <c r="S314" i="8" s="1"/>
  <c r="V314" i="8" s="1"/>
  <c r="BT314" i="8"/>
  <c r="AC314" i="8"/>
  <c r="AA312" i="8"/>
  <c r="BQ312" i="8" s="1"/>
  <c r="BR312" i="8" s="1"/>
  <c r="H314" i="8"/>
  <c r="AJ317" i="8" l="1"/>
  <c r="K317" i="8"/>
  <c r="M317" i="8" s="1"/>
  <c r="T317" i="8" s="1"/>
  <c r="AJ316" i="8"/>
  <c r="K316" i="8"/>
  <c r="M316" i="8" s="1"/>
  <c r="T316" i="8" s="1"/>
  <c r="BV313" i="9"/>
  <c r="BN312" i="9"/>
  <c r="W131" i="9"/>
  <c r="BK130" i="9"/>
  <c r="AM130" i="9"/>
  <c r="CH315" i="8"/>
  <c r="CI315" i="8"/>
  <c r="AX316" i="8"/>
  <c r="AU316" i="8"/>
  <c r="AI316" i="8"/>
  <c r="W316" i="8"/>
  <c r="BM316" i="8" s="1"/>
  <c r="N316" i="8"/>
  <c r="P316" i="8" s="1"/>
  <c r="U316" i="8" s="1"/>
  <c r="CI316" i="8"/>
  <c r="AX317" i="8"/>
  <c r="N317" i="8"/>
  <c r="P317" i="8" s="1"/>
  <c r="U317" i="8" s="1"/>
  <c r="CH316" i="8"/>
  <c r="W317" i="8"/>
  <c r="BM317" i="8" s="1"/>
  <c r="AU317" i="8"/>
  <c r="AI317" i="8"/>
  <c r="Z121" i="8"/>
  <c r="Y121" i="8"/>
  <c r="AL121" i="8" s="1"/>
  <c r="AE121" i="8"/>
  <c r="BA121" i="8"/>
  <c r="BE121" i="8" s="1"/>
  <c r="BC121" i="8" s="1"/>
  <c r="X121" i="8"/>
  <c r="BK120" i="8"/>
  <c r="AM120" i="8"/>
  <c r="BK312" i="8"/>
  <c r="BZ312" i="8" s="1"/>
  <c r="BB313" i="8"/>
  <c r="BF313" i="8" s="1"/>
  <c r="BX311" i="8"/>
  <c r="CA311" i="8" s="1"/>
  <c r="CB311" i="8" s="1"/>
  <c r="I314" i="8"/>
  <c r="AZ315" i="8"/>
  <c r="AW315" i="8"/>
  <c r="BC314" i="8"/>
  <c r="BD314" i="8"/>
  <c r="BG314" i="8"/>
  <c r="BJ313" i="8"/>
  <c r="AA313" i="8"/>
  <c r="BQ313" i="8" s="1"/>
  <c r="BR313" i="8" s="1"/>
  <c r="BA314" i="8"/>
  <c r="BE314" i="8" s="1"/>
  <c r="AN313" i="8"/>
  <c r="Z314" i="8"/>
  <c r="AO314" i="8"/>
  <c r="AM314" i="8"/>
  <c r="AF314" i="8"/>
  <c r="X314" i="8"/>
  <c r="AK314" i="8" s="1"/>
  <c r="Y314" i="8"/>
  <c r="AL314" i="8" s="1"/>
  <c r="AE314" i="8"/>
  <c r="Q315" i="8"/>
  <c r="S315" i="8" s="1"/>
  <c r="V315" i="8" s="1"/>
  <c r="AC315" i="8"/>
  <c r="BT315" i="8"/>
  <c r="H315" i="8"/>
  <c r="BV312" i="9" l="1"/>
  <c r="BN311" i="9"/>
  <c r="Y131" i="9"/>
  <c r="AL131" i="9" s="1"/>
  <c r="BA131" i="9"/>
  <c r="BE131" i="9" s="1"/>
  <c r="BC131" i="9" s="1"/>
  <c r="AE131" i="9"/>
  <c r="Z131" i="9"/>
  <c r="X131" i="9"/>
  <c r="AA121" i="8"/>
  <c r="W122" i="8" s="1"/>
  <c r="BA122" i="8" s="1"/>
  <c r="BE122" i="8" s="1"/>
  <c r="BC122" i="8" s="1"/>
  <c r="AK121" i="8"/>
  <c r="AN121" i="8" s="1"/>
  <c r="BJ121" i="8"/>
  <c r="BB121" i="8"/>
  <c r="BF121" i="8" s="1"/>
  <c r="BD121" i="8" s="1"/>
  <c r="BK313" i="8"/>
  <c r="BX312" i="8"/>
  <c r="CA312" i="8" s="1"/>
  <c r="CB312" i="8" s="1"/>
  <c r="BU313" i="8"/>
  <c r="AN314" i="8"/>
  <c r="I315" i="8"/>
  <c r="BB314" i="8"/>
  <c r="BF314" i="8" s="1"/>
  <c r="BJ314" i="8"/>
  <c r="BC315" i="8"/>
  <c r="BG315" i="8"/>
  <c r="BD315" i="8"/>
  <c r="AW316" i="8"/>
  <c r="AZ316" i="8"/>
  <c r="BA315" i="8"/>
  <c r="BE315" i="8" s="1"/>
  <c r="Q316" i="8"/>
  <c r="S316" i="8" s="1"/>
  <c r="V316" i="8" s="1"/>
  <c r="AC316" i="8"/>
  <c r="BT316" i="8"/>
  <c r="AM315" i="8"/>
  <c r="AO315" i="8"/>
  <c r="AF315" i="8"/>
  <c r="Z315" i="8"/>
  <c r="Y315" i="8"/>
  <c r="AL315" i="8" s="1"/>
  <c r="X315" i="8"/>
  <c r="AK315" i="8" s="1"/>
  <c r="AE315" i="8"/>
  <c r="AA314" i="8"/>
  <c r="BQ314" i="8" s="1"/>
  <c r="BR314" i="8" s="1"/>
  <c r="H316" i="8"/>
  <c r="BV311" i="9" l="1"/>
  <c r="AA131" i="9"/>
  <c r="W132" i="9" s="1"/>
  <c r="BN310" i="9"/>
  <c r="BJ131" i="9"/>
  <c r="BB131" i="9"/>
  <c r="BF131" i="9" s="1"/>
  <c r="BD131" i="9" s="1"/>
  <c r="AK131" i="9"/>
  <c r="AN131" i="9" s="1"/>
  <c r="AE122" i="8"/>
  <c r="BJ122" i="8" s="1"/>
  <c r="Z122" i="8"/>
  <c r="X122" i="8"/>
  <c r="AK122" i="8" s="1"/>
  <c r="Y122" i="8"/>
  <c r="AL122" i="8" s="1"/>
  <c r="AM121" i="8"/>
  <c r="BK121" i="8"/>
  <c r="BK314" i="8"/>
  <c r="BZ313" i="8"/>
  <c r="I316" i="8"/>
  <c r="AA315" i="8"/>
  <c r="BQ315" i="8" s="1"/>
  <c r="BU314" i="8"/>
  <c r="BJ315" i="8"/>
  <c r="BB315" i="8"/>
  <c r="BF315" i="8" s="1"/>
  <c r="BA316" i="8"/>
  <c r="BE316" i="8" s="1"/>
  <c r="BC316" i="8"/>
  <c r="BD316" i="8"/>
  <c r="BG316" i="8"/>
  <c r="AZ317" i="8"/>
  <c r="AW317" i="8"/>
  <c r="AN315" i="8"/>
  <c r="Y316" i="8"/>
  <c r="AL316" i="8" s="1"/>
  <c r="AO316" i="8"/>
  <c r="AM316" i="8"/>
  <c r="Z316" i="8"/>
  <c r="AF316" i="8"/>
  <c r="X316" i="8"/>
  <c r="AK316" i="8" s="1"/>
  <c r="AE316" i="8"/>
  <c r="BT317" i="8"/>
  <c r="AC317" i="8"/>
  <c r="H317" i="8"/>
  <c r="Q317" i="8"/>
  <c r="S317" i="8" s="1"/>
  <c r="V317" i="8" s="1"/>
  <c r="BV310" i="9" l="1"/>
  <c r="BN309" i="9"/>
  <c r="BK131" i="9"/>
  <c r="AM131" i="9"/>
  <c r="Z132" i="9"/>
  <c r="AE132" i="9"/>
  <c r="BA132" i="9"/>
  <c r="BE132" i="9" s="1"/>
  <c r="BC132" i="9" s="1"/>
  <c r="X132" i="9"/>
  <c r="Y132" i="9"/>
  <c r="AL132" i="9" s="1"/>
  <c r="BB122" i="8"/>
  <c r="BF122" i="8" s="1"/>
  <c r="BD122" i="8" s="1"/>
  <c r="AA122" i="8"/>
  <c r="W123" i="8" s="1"/>
  <c r="Y123" i="8" s="1"/>
  <c r="AL123" i="8" s="1"/>
  <c r="AN122" i="8"/>
  <c r="AM122" i="8" s="1"/>
  <c r="BX313" i="8"/>
  <c r="CA313" i="8" s="1"/>
  <c r="BK315" i="8"/>
  <c r="BR315" i="8"/>
  <c r="BU315" i="8"/>
  <c r="BZ314" i="8"/>
  <c r="BJ316" i="8"/>
  <c r="BA317" i="8"/>
  <c r="BE317" i="8" s="1"/>
  <c r="AA316" i="8"/>
  <c r="BQ316" i="8" s="1"/>
  <c r="BB316" i="8"/>
  <c r="BF316" i="8" s="1"/>
  <c r="AN316" i="8"/>
  <c r="CH317" i="8"/>
  <c r="BC317" i="8"/>
  <c r="BD317" i="8"/>
  <c r="BG317" i="8"/>
  <c r="I317" i="8"/>
  <c r="AM317" i="8"/>
  <c r="AO317" i="8"/>
  <c r="AF317" i="8"/>
  <c r="X317" i="8"/>
  <c r="Y317" i="8"/>
  <c r="Z317" i="8"/>
  <c r="AE317" i="8"/>
  <c r="AK317" i="8" l="1"/>
  <c r="AL317" i="8"/>
  <c r="BV309" i="9"/>
  <c r="AA132" i="9"/>
  <c r="W133" i="9" s="1"/>
  <c r="BN308" i="9"/>
  <c r="BJ132" i="9"/>
  <c r="AK132" i="9"/>
  <c r="AN132" i="9" s="1"/>
  <c r="BB132" i="9"/>
  <c r="BF132" i="9" s="1"/>
  <c r="BD132" i="9" s="1"/>
  <c r="BK122" i="8"/>
  <c r="Z123" i="8"/>
  <c r="BA123" i="8"/>
  <c r="BE123" i="8" s="1"/>
  <c r="BC123" i="8" s="1"/>
  <c r="CI317" i="8"/>
  <c r="AE123" i="8"/>
  <c r="X123" i="8"/>
  <c r="AG317" i="8"/>
  <c r="L38" i="5"/>
  <c r="BX314" i="8"/>
  <c r="CA314" i="8" s="1"/>
  <c r="AG313" i="8"/>
  <c r="BR316" i="8"/>
  <c r="CB313" i="8"/>
  <c r="CE317" i="8"/>
  <c r="CF317" i="8"/>
  <c r="CD317" i="8"/>
  <c r="BV317" i="8"/>
  <c r="BU316" i="8"/>
  <c r="BZ315" i="8"/>
  <c r="BK316" i="8"/>
  <c r="AG311" i="8"/>
  <c r="AG308" i="8"/>
  <c r="AG310" i="8"/>
  <c r="BB317" i="8"/>
  <c r="BF317" i="8" s="1"/>
  <c r="BH285" i="8" s="1"/>
  <c r="AG309" i="8"/>
  <c r="AA317" i="8"/>
  <c r="BQ317" i="8" s="1"/>
  <c r="BR317" i="8" s="1"/>
  <c r="BH317" i="8"/>
  <c r="AG315" i="8"/>
  <c r="BJ317" i="8"/>
  <c r="AP317" i="8"/>
  <c r="AG316" i="8"/>
  <c r="AG272" i="8"/>
  <c r="AG269" i="8"/>
  <c r="AG270" i="8"/>
  <c r="AG274" i="8"/>
  <c r="AG271" i="8"/>
  <c r="AG273" i="8"/>
  <c r="AG278" i="8"/>
  <c r="AG276" i="8"/>
  <c r="AG275" i="8"/>
  <c r="AG277" i="8"/>
  <c r="AG280" i="8"/>
  <c r="AG279" i="8"/>
  <c r="AG284" i="8"/>
  <c r="AG281" i="8"/>
  <c r="AG282" i="8"/>
  <c r="AG285" i="8"/>
  <c r="AG283" i="8"/>
  <c r="AG286" i="8"/>
  <c r="AG287" i="8"/>
  <c r="AG290" i="8"/>
  <c r="AG289" i="8"/>
  <c r="AG288" i="8"/>
  <c r="AG292" i="8"/>
  <c r="AG291" i="8"/>
  <c r="AG293" i="8"/>
  <c r="AG294" i="8"/>
  <c r="AG295" i="8"/>
  <c r="AG298" i="8"/>
  <c r="AG297" i="8"/>
  <c r="AG296" i="8"/>
  <c r="AG300" i="8"/>
  <c r="AG301" i="8"/>
  <c r="AG299" i="8"/>
  <c r="AG305" i="8"/>
  <c r="AG302" i="8"/>
  <c r="AG303" i="8"/>
  <c r="AG304" i="8"/>
  <c r="AG307" i="8"/>
  <c r="AG306" i="8"/>
  <c r="AG312" i="8"/>
  <c r="AG314" i="8"/>
  <c r="BV308" i="9" l="1"/>
  <c r="AA123" i="8"/>
  <c r="W124" i="8" s="1"/>
  <c r="BA124" i="8" s="1"/>
  <c r="BE124" i="8" s="1"/>
  <c r="BC124" i="8" s="1"/>
  <c r="BN307" i="9"/>
  <c r="BK132" i="9"/>
  <c r="AM132" i="9"/>
  <c r="AE133" i="9"/>
  <c r="BA133" i="9"/>
  <c r="BE133" i="9" s="1"/>
  <c r="BC133" i="9" s="1"/>
  <c r="Y133" i="9"/>
  <c r="AL133" i="9" s="1"/>
  <c r="X133" i="9"/>
  <c r="Z133" i="9"/>
  <c r="BB123" i="8"/>
  <c r="BF123" i="8" s="1"/>
  <c r="BD123" i="8" s="1"/>
  <c r="BJ123" i="8"/>
  <c r="AK123" i="8"/>
  <c r="AN123" i="8" s="1"/>
  <c r="BH289" i="8"/>
  <c r="BH287" i="8"/>
  <c r="BH281" i="8"/>
  <c r="BH309" i="8"/>
  <c r="BH299" i="8"/>
  <c r="BH272" i="8"/>
  <c r="BH283" i="8"/>
  <c r="BH270" i="8"/>
  <c r="BH316" i="8"/>
  <c r="BH312" i="8"/>
  <c r="BH279" i="8"/>
  <c r="BH304" i="8"/>
  <c r="BH294" i="8"/>
  <c r="BH282" i="8"/>
  <c r="BH307" i="8"/>
  <c r="BH291" i="8"/>
  <c r="BH269" i="8"/>
  <c r="BH271" i="8"/>
  <c r="BH303" i="8"/>
  <c r="BH275" i="8"/>
  <c r="BH295" i="8"/>
  <c r="BH274" i="8"/>
  <c r="BH276" i="8"/>
  <c r="BH311" i="8"/>
  <c r="BH278" i="8"/>
  <c r="BH273" i="8"/>
  <c r="BH305" i="8"/>
  <c r="BH288" i="8"/>
  <c r="BH277" i="8"/>
  <c r="BH280" i="8"/>
  <c r="BH286" i="8"/>
  <c r="BH296" i="8"/>
  <c r="BH314" i="8"/>
  <c r="BH308" i="8"/>
  <c r="BH315" i="8"/>
  <c r="BH300" i="8"/>
  <c r="BH292" i="8"/>
  <c r="BH290" i="8"/>
  <c r="BH310" i="8"/>
  <c r="BH306" i="8"/>
  <c r="BH298" i="8"/>
  <c r="BH313" i="8"/>
  <c r="BH302" i="8"/>
  <c r="BH297" i="8"/>
  <c r="BH293" i="8"/>
  <c r="BH284" i="8"/>
  <c r="BX315" i="8"/>
  <c r="CA315" i="8" s="1"/>
  <c r="AN317" i="8"/>
  <c r="BK317" i="8" s="1"/>
  <c r="BN316" i="8" s="1"/>
  <c r="BN315" i="8" s="1"/>
  <c r="BN314" i="8" s="1"/>
  <c r="BN313" i="8" s="1"/>
  <c r="BN312" i="8" s="1"/>
  <c r="BN311" i="8" s="1"/>
  <c r="BN310" i="8" s="1"/>
  <c r="BN309" i="8" s="1"/>
  <c r="BN308" i="8" s="1"/>
  <c r="BN307" i="8" s="1"/>
  <c r="BN306" i="8" s="1"/>
  <c r="BN305" i="8" s="1"/>
  <c r="BN304" i="8" s="1"/>
  <c r="BN303" i="8" s="1"/>
  <c r="BN302" i="8" s="1"/>
  <c r="BN301" i="8" s="1"/>
  <c r="BN300" i="8" s="1"/>
  <c r="BN299" i="8" s="1"/>
  <c r="BN298" i="8" s="1"/>
  <c r="BN297" i="8" s="1"/>
  <c r="BN296" i="8" s="1"/>
  <c r="BN295" i="8" s="1"/>
  <c r="BN294" i="8" s="1"/>
  <c r="BN293" i="8" s="1"/>
  <c r="BN292" i="8" s="1"/>
  <c r="BN291" i="8" s="1"/>
  <c r="BN290" i="8" s="1"/>
  <c r="BN289" i="8" s="1"/>
  <c r="BN288" i="8" s="1"/>
  <c r="BN287" i="8" s="1"/>
  <c r="BN286" i="8" s="1"/>
  <c r="BN285" i="8" s="1"/>
  <c r="BN284" i="8" s="1"/>
  <c r="BN283" i="8" s="1"/>
  <c r="BN282" i="8" s="1"/>
  <c r="BN281" i="8" s="1"/>
  <c r="BN280" i="8" s="1"/>
  <c r="BN279" i="8" s="1"/>
  <c r="BN278" i="8" s="1"/>
  <c r="BN277" i="8" s="1"/>
  <c r="BN276" i="8" s="1"/>
  <c r="BN275" i="8" s="1"/>
  <c r="BN274" i="8" s="1"/>
  <c r="BN273" i="8" s="1"/>
  <c r="BN272" i="8" s="1"/>
  <c r="BN271" i="8" s="1"/>
  <c r="BN270" i="8" s="1"/>
  <c r="BN269" i="8" s="1"/>
  <c r="BZ316" i="8"/>
  <c r="BU317" i="8"/>
  <c r="BV310" i="8" s="1"/>
  <c r="CB314" i="8"/>
  <c r="BH301" i="8"/>
  <c r="Y124" i="8" l="1"/>
  <c r="AE124" i="8"/>
  <c r="BJ124" i="8" s="1"/>
  <c r="BV307" i="9"/>
  <c r="X124" i="8"/>
  <c r="Z124" i="8"/>
  <c r="AA133" i="9"/>
  <c r="W134" i="9" s="1"/>
  <c r="BN306" i="9"/>
  <c r="BJ133" i="9"/>
  <c r="BB133" i="9"/>
  <c r="BF133" i="9" s="1"/>
  <c r="BD133" i="9" s="1"/>
  <c r="AK133" i="9"/>
  <c r="AN133" i="9" s="1"/>
  <c r="AM123" i="8"/>
  <c r="BK123" i="8"/>
  <c r="AP293" i="8"/>
  <c r="AP300" i="8"/>
  <c r="AP286" i="8"/>
  <c r="AP282" i="8"/>
  <c r="AP309" i="8"/>
  <c r="AP276" i="8"/>
  <c r="AP304" i="8"/>
  <c r="AP310" i="8"/>
  <c r="AP308" i="8"/>
  <c r="AP299" i="8"/>
  <c r="AP294" i="8"/>
  <c r="AP288" i="8"/>
  <c r="AP281" i="8"/>
  <c r="AP278" i="8"/>
  <c r="AP270" i="8"/>
  <c r="AP305" i="8"/>
  <c r="AP279" i="8"/>
  <c r="AP296" i="8"/>
  <c r="AP285" i="8"/>
  <c r="AP280" i="8"/>
  <c r="AP271" i="8"/>
  <c r="AP312" i="8"/>
  <c r="AP298" i="8"/>
  <c r="AP287" i="8"/>
  <c r="AP269" i="8"/>
  <c r="AP313" i="8"/>
  <c r="AP302" i="8"/>
  <c r="AP290" i="8"/>
  <c r="AP315" i="8"/>
  <c r="AP314" i="8"/>
  <c r="AP303" i="8"/>
  <c r="AP297" i="8"/>
  <c r="AP291" i="8"/>
  <c r="AP283" i="8"/>
  <c r="AP277" i="8"/>
  <c r="AP273" i="8"/>
  <c r="AP292" i="8"/>
  <c r="AP274" i="8"/>
  <c r="AP311" i="8"/>
  <c r="AP307" i="8"/>
  <c r="AP306" i="8"/>
  <c r="AP301" i="8"/>
  <c r="AP295" i="8"/>
  <c r="AP289" i="8"/>
  <c r="AP284" i="8"/>
  <c r="AP275" i="8"/>
  <c r="AP272" i="8"/>
  <c r="AP316" i="8"/>
  <c r="BX316" i="8"/>
  <c r="CA316" i="8" s="1"/>
  <c r="CB316" i="8" s="1"/>
  <c r="BV312" i="8"/>
  <c r="BV311" i="8"/>
  <c r="CB315" i="8"/>
  <c r="BV315" i="8"/>
  <c r="BV316" i="8"/>
  <c r="BV271" i="8"/>
  <c r="BV270" i="8"/>
  <c r="BV272" i="8"/>
  <c r="BV276" i="8"/>
  <c r="BV273" i="8"/>
  <c r="BV274" i="8"/>
  <c r="BV275" i="8"/>
  <c r="BV277" i="8"/>
  <c r="BV280" i="8"/>
  <c r="BV278" i="8"/>
  <c r="BV279" i="8"/>
  <c r="BV282" i="8"/>
  <c r="BV286" i="8"/>
  <c r="BV284" i="8"/>
  <c r="BV281" i="8"/>
  <c r="BV283" i="8"/>
  <c r="BV290" i="8"/>
  <c r="BV287" i="8"/>
  <c r="BV289" i="8"/>
  <c r="BV285" i="8"/>
  <c r="BV288" i="8"/>
  <c r="BV292" i="8"/>
  <c r="BV291" i="8"/>
  <c r="BV293" i="8"/>
  <c r="BV294" i="8"/>
  <c r="BV296" i="8"/>
  <c r="BV295" i="8"/>
  <c r="BV299" i="8"/>
  <c r="BV298" i="8"/>
  <c r="BV297" i="8"/>
  <c r="BV300" i="8"/>
  <c r="BV302" i="8"/>
  <c r="BV301" i="8"/>
  <c r="BV305" i="8"/>
  <c r="BV303" i="8"/>
  <c r="BV308" i="8"/>
  <c r="BV304" i="8"/>
  <c r="BV306" i="8"/>
  <c r="BV307" i="8"/>
  <c r="BV309" i="8"/>
  <c r="BV313" i="8"/>
  <c r="BV314" i="8"/>
  <c r="BZ317" i="8"/>
  <c r="AK124" i="8" l="1"/>
  <c r="AL124" i="8"/>
  <c r="AA124" i="8"/>
  <c r="W125" i="8" s="1"/>
  <c r="BB124" i="8"/>
  <c r="BF124" i="8" s="1"/>
  <c r="BD124" i="8" s="1"/>
  <c r="BV306" i="9"/>
  <c r="BN305" i="9"/>
  <c r="BK133" i="9"/>
  <c r="AM133" i="9"/>
  <c r="BA134" i="9"/>
  <c r="BE134" i="9" s="1"/>
  <c r="BC134" i="9" s="1"/>
  <c r="AE134" i="9"/>
  <c r="Y134" i="9"/>
  <c r="AL134" i="9" s="1"/>
  <c r="Z134" i="9"/>
  <c r="X134" i="9"/>
  <c r="BX317" i="8"/>
  <c r="CD316" i="8"/>
  <c r="CD271" i="8"/>
  <c r="CD270" i="8"/>
  <c r="CD272" i="8"/>
  <c r="CD274" i="8"/>
  <c r="CD273" i="8"/>
  <c r="CD275" i="8"/>
  <c r="CD276" i="8"/>
  <c r="CD278" i="8"/>
  <c r="CD277" i="8"/>
  <c r="CD279" i="8"/>
  <c r="CD280" i="8"/>
  <c r="CD281" i="8"/>
  <c r="CD282" i="8"/>
  <c r="CD283" i="8"/>
  <c r="CD286" i="8"/>
  <c r="CD284" i="8"/>
  <c r="CD285" i="8"/>
  <c r="CD287" i="8"/>
  <c r="CD290" i="8"/>
  <c r="CD288" i="8"/>
  <c r="CD289" i="8"/>
  <c r="CD291" i="8"/>
  <c r="CD292" i="8"/>
  <c r="CD293" i="8"/>
  <c r="CD294" i="8"/>
  <c r="CD295" i="8"/>
  <c r="CD297" i="8"/>
  <c r="CD296" i="8"/>
  <c r="CD299" i="8"/>
  <c r="CD298" i="8"/>
  <c r="CD300" i="8"/>
  <c r="CD302" i="8"/>
  <c r="CD301" i="8"/>
  <c r="CD304" i="8"/>
  <c r="CD303" i="8"/>
  <c r="CD305" i="8"/>
  <c r="CD306" i="8"/>
  <c r="CD307" i="8"/>
  <c r="CD308" i="8"/>
  <c r="CD309" i="8"/>
  <c r="CD313" i="8"/>
  <c r="CD312" i="8"/>
  <c r="CD310" i="8"/>
  <c r="CD311" i="8"/>
  <c r="CD314" i="8"/>
  <c r="CD315" i="8"/>
  <c r="AN124" i="8" l="1"/>
  <c r="AM124" i="8" s="1"/>
  <c r="BV305" i="9"/>
  <c r="BN304" i="9"/>
  <c r="BJ134" i="9"/>
  <c r="AA134" i="9"/>
  <c r="BB134" i="9"/>
  <c r="BF134" i="9" s="1"/>
  <c r="BD134" i="9" s="1"/>
  <c r="AK134" i="9"/>
  <c r="AN134" i="9" s="1"/>
  <c r="Y125" i="8"/>
  <c r="BA125" i="8"/>
  <c r="BE125" i="8" s="1"/>
  <c r="BC125" i="8" s="1"/>
  <c r="Z125" i="8"/>
  <c r="AE125" i="8"/>
  <c r="X125" i="8"/>
  <c r="CA317" i="8"/>
  <c r="CE316" i="8" s="1"/>
  <c r="BK124" i="8" l="1"/>
  <c r="AK125" i="8"/>
  <c r="AL125" i="8"/>
  <c r="BV304" i="9"/>
  <c r="BN303" i="9"/>
  <c r="BK134" i="9"/>
  <c r="AM134" i="9"/>
  <c r="W135" i="9"/>
  <c r="AA125" i="8"/>
  <c r="W126" i="8" s="1"/>
  <c r="BB125" i="8"/>
  <c r="BF125" i="8" s="1"/>
  <c r="BD125" i="8" s="1"/>
  <c r="BJ125" i="8"/>
  <c r="CE272" i="8"/>
  <c r="CE307" i="8"/>
  <c r="CE290" i="8"/>
  <c r="CE302" i="8"/>
  <c r="CE282" i="8"/>
  <c r="CE297" i="8"/>
  <c r="CE309" i="8"/>
  <c r="CE278" i="8"/>
  <c r="CE301" i="8"/>
  <c r="CE295" i="8"/>
  <c r="CE289" i="8"/>
  <c r="CE283" i="8"/>
  <c r="CE277" i="8"/>
  <c r="CE271" i="8"/>
  <c r="CE314" i="8"/>
  <c r="CE300" i="8"/>
  <c r="CE294" i="8"/>
  <c r="CE288" i="8"/>
  <c r="CE286" i="8"/>
  <c r="CE276" i="8"/>
  <c r="CE270" i="8"/>
  <c r="CB317" i="8"/>
  <c r="CE308" i="8"/>
  <c r="CE299" i="8"/>
  <c r="CE293" i="8"/>
  <c r="CE285" i="8"/>
  <c r="CE281" i="8"/>
  <c r="CE274" i="8"/>
  <c r="CE306" i="8"/>
  <c r="CE305" i="8"/>
  <c r="CE303" i="8"/>
  <c r="CE298" i="8"/>
  <c r="CE292" i="8"/>
  <c r="CE287" i="8"/>
  <c r="CE279" i="8"/>
  <c r="CE273" i="8"/>
  <c r="CE310" i="8"/>
  <c r="CE312" i="8"/>
  <c r="CE311" i="8"/>
  <c r="CE313" i="8"/>
  <c r="CE315" i="8"/>
  <c r="CE304" i="8"/>
  <c r="CE296" i="8"/>
  <c r="CE291" i="8"/>
  <c r="CE284" i="8"/>
  <c r="CE280" i="8"/>
  <c r="CE275" i="8"/>
  <c r="AN125" i="8" l="1"/>
  <c r="BK125" i="8" s="1"/>
  <c r="BV303" i="9"/>
  <c r="BN302" i="9"/>
  <c r="Q34" i="5"/>
  <c r="R34" i="5" s="1"/>
  <c r="Q35" i="5"/>
  <c r="R35" i="5" s="1"/>
  <c r="Q36" i="5"/>
  <c r="R36" i="5" s="1"/>
  <c r="BA135" i="9"/>
  <c r="BE135" i="9" s="1"/>
  <c r="BC135" i="9" s="1"/>
  <c r="AE135" i="9"/>
  <c r="Z135" i="9"/>
  <c r="X135" i="9"/>
  <c r="Y135" i="9"/>
  <c r="AL135" i="9" s="1"/>
  <c r="CF296" i="8"/>
  <c r="CF315" i="8"/>
  <c r="CF313" i="8"/>
  <c r="CF293" i="8"/>
  <c r="CF283" i="8"/>
  <c r="CF270" i="8"/>
  <c r="CF305" i="8"/>
  <c r="CF282" i="8"/>
  <c r="CF302" i="8"/>
  <c r="CF309" i="8"/>
  <c r="CF310" i="8"/>
  <c r="CF298" i="8"/>
  <c r="CF292" i="8"/>
  <c r="CF287" i="8"/>
  <c r="CF274" i="8"/>
  <c r="CF306" i="8"/>
  <c r="CF290" i="8"/>
  <c r="CF275" i="8"/>
  <c r="CF304" i="8"/>
  <c r="CF279" i="8"/>
  <c r="CF311" i="8"/>
  <c r="CF307" i="8"/>
  <c r="CF303" i="8"/>
  <c r="CF299" i="8"/>
  <c r="CF289" i="8"/>
  <c r="CF277" i="8"/>
  <c r="CF295" i="8"/>
  <c r="CF312" i="8"/>
  <c r="CF288" i="8"/>
  <c r="CF314" i="8"/>
  <c r="CF308" i="8"/>
  <c r="CF301" i="8"/>
  <c r="CF297" i="8"/>
  <c r="CF285" i="8"/>
  <c r="CF278" i="8"/>
  <c r="CF276" i="8"/>
  <c r="CF271" i="8"/>
  <c r="CF294" i="8"/>
  <c r="CF284" i="8"/>
  <c r="CF281" i="8"/>
  <c r="CF273" i="8"/>
  <c r="CF316" i="8"/>
  <c r="CF300" i="8"/>
  <c r="CF291" i="8"/>
  <c r="CF286" i="8"/>
  <c r="CF280" i="8"/>
  <c r="CF272" i="8"/>
  <c r="AM125" i="8" l="1"/>
  <c r="BV302" i="9"/>
  <c r="BN301" i="9"/>
  <c r="BJ135" i="9"/>
  <c r="AA135" i="9"/>
  <c r="W136" i="9" s="1"/>
  <c r="BB135" i="9"/>
  <c r="BF135" i="9" s="1"/>
  <c r="BD135" i="9" s="1"/>
  <c r="AK135" i="9"/>
  <c r="AN135" i="9" s="1"/>
  <c r="BA126" i="8"/>
  <c r="BE126" i="8" s="1"/>
  <c r="BC126" i="8" s="1"/>
  <c r="X126" i="8"/>
  <c r="AE126" i="8"/>
  <c r="Y126" i="8"/>
  <c r="Z126" i="8"/>
  <c r="AK126" i="8" l="1"/>
  <c r="AL126" i="8"/>
  <c r="BV301" i="9"/>
  <c r="BN300" i="9"/>
  <c r="BK135" i="9"/>
  <c r="AM135" i="9"/>
  <c r="Z136" i="9"/>
  <c r="AE136" i="9"/>
  <c r="BA136" i="9"/>
  <c r="BE136" i="9" s="1"/>
  <c r="BC136" i="9" s="1"/>
  <c r="X136" i="9"/>
  <c r="Y136" i="9"/>
  <c r="AL136" i="9" s="1"/>
  <c r="BJ126" i="8"/>
  <c r="BB126" i="8"/>
  <c r="BF126" i="8" s="1"/>
  <c r="BD126" i="8" s="1"/>
  <c r="AA126" i="8"/>
  <c r="W127" i="8" s="1"/>
  <c r="AN126" i="8" l="1"/>
  <c r="BK126" i="8" s="1"/>
  <c r="BV300" i="9"/>
  <c r="BN299" i="9"/>
  <c r="BJ136" i="9"/>
  <c r="BB136" i="9"/>
  <c r="BF136" i="9" s="1"/>
  <c r="BD136" i="9" s="1"/>
  <c r="AK136" i="9"/>
  <c r="AN136" i="9" s="1"/>
  <c r="AA136" i="9"/>
  <c r="AM126" i="8" l="1"/>
  <c r="BV299" i="9"/>
  <c r="BN298" i="9"/>
  <c r="W137" i="9"/>
  <c r="BK136" i="9"/>
  <c r="AM136" i="9"/>
  <c r="BA127" i="8"/>
  <c r="BE127" i="8" s="1"/>
  <c r="BC127" i="8" s="1"/>
  <c r="Z127" i="8"/>
  <c r="X127" i="8"/>
  <c r="Y127" i="8"/>
  <c r="AE127" i="8"/>
  <c r="AK127" i="8" l="1"/>
  <c r="AL127" i="8"/>
  <c r="BV298" i="9"/>
  <c r="BN297" i="9"/>
  <c r="BA137" i="9"/>
  <c r="BE137" i="9" s="1"/>
  <c r="BC137" i="9" s="1"/>
  <c r="Z137" i="9"/>
  <c r="X137" i="9"/>
  <c r="AE137" i="9"/>
  <c r="Y137" i="9"/>
  <c r="AL137" i="9" s="1"/>
  <c r="AA127" i="8"/>
  <c r="W128" i="8" s="1"/>
  <c r="BJ127" i="8"/>
  <c r="BB127" i="8"/>
  <c r="BF127" i="8" s="1"/>
  <c r="BD127" i="8" s="1"/>
  <c r="AN127" i="8" l="1"/>
  <c r="AM127" i="8" s="1"/>
  <c r="BV297" i="9"/>
  <c r="BJ137" i="9"/>
  <c r="BN296" i="9"/>
  <c r="BB137" i="9"/>
  <c r="BF137" i="9" s="1"/>
  <c r="BD137" i="9" s="1"/>
  <c r="AK137" i="9"/>
  <c r="AN137" i="9" s="1"/>
  <c r="AA137" i="9"/>
  <c r="X128" i="8"/>
  <c r="AK128" i="8" s="1"/>
  <c r="Z128" i="8"/>
  <c r="BA128" i="8"/>
  <c r="BE128" i="8" s="1"/>
  <c r="BC128" i="8" s="1"/>
  <c r="AE128" i="8"/>
  <c r="Y128" i="8"/>
  <c r="AL128" i="8" s="1"/>
  <c r="BK127" i="8" l="1"/>
  <c r="BV296" i="9"/>
  <c r="BN295" i="9"/>
  <c r="BK137" i="9"/>
  <c r="AM137" i="9"/>
  <c r="W138" i="9"/>
  <c r="BJ128" i="8"/>
  <c r="BB128" i="8"/>
  <c r="BF128" i="8" s="1"/>
  <c r="BD128" i="8" s="1"/>
  <c r="AN128" i="8"/>
  <c r="AA128" i="8"/>
  <c r="W129" i="8" s="1"/>
  <c r="BV295" i="9" l="1"/>
  <c r="BN294" i="9"/>
  <c r="Y138" i="9"/>
  <c r="AL138" i="9" s="1"/>
  <c r="BA138" i="9"/>
  <c r="BE138" i="9" s="1"/>
  <c r="BC138" i="9" s="1"/>
  <c r="AE138" i="9"/>
  <c r="X138" i="9"/>
  <c r="Z138" i="9"/>
  <c r="BK128" i="8"/>
  <c r="AM128" i="8"/>
  <c r="BV294" i="9" l="1"/>
  <c r="BJ138" i="9"/>
  <c r="BN293" i="9"/>
  <c r="BB138" i="9"/>
  <c r="BF138" i="9" s="1"/>
  <c r="BD138" i="9" s="1"/>
  <c r="AK138" i="9"/>
  <c r="AN138" i="9" s="1"/>
  <c r="AA138" i="9"/>
  <c r="AE129" i="8"/>
  <c r="Y129" i="8"/>
  <c r="AL129" i="8" s="1"/>
  <c r="BA129" i="8"/>
  <c r="BE129" i="8" s="1"/>
  <c r="BC129" i="8" s="1"/>
  <c r="X129" i="8"/>
  <c r="AK129" i="8" s="1"/>
  <c r="Z129" i="8"/>
  <c r="BN292" i="9" l="1"/>
  <c r="BV293" i="9"/>
  <c r="BK138" i="9"/>
  <c r="AM138" i="9"/>
  <c r="W139" i="9"/>
  <c r="BB129" i="8"/>
  <c r="BF129" i="8" s="1"/>
  <c r="BD129" i="8" s="1"/>
  <c r="AN129" i="8"/>
  <c r="BJ129" i="8"/>
  <c r="AA129" i="8"/>
  <c r="W130" i="8" s="1"/>
  <c r="BV292" i="9" l="1"/>
  <c r="BN291" i="9"/>
  <c r="BA139" i="9"/>
  <c r="BE139" i="9" s="1"/>
  <c r="BC139" i="9" s="1"/>
  <c r="AE139" i="9"/>
  <c r="X139" i="9"/>
  <c r="Z139" i="9"/>
  <c r="Y139" i="9"/>
  <c r="AL139" i="9" s="1"/>
  <c r="BK129" i="8"/>
  <c r="AM129" i="8"/>
  <c r="BV291" i="9" l="1"/>
  <c r="BN290" i="9"/>
  <c r="BJ139" i="9"/>
  <c r="BB139" i="9"/>
  <c r="BF139" i="9" s="1"/>
  <c r="BD139" i="9" s="1"/>
  <c r="AK139" i="9"/>
  <c r="AN139" i="9" s="1"/>
  <c r="AA139" i="9"/>
  <c r="X130" i="8"/>
  <c r="AK130" i="8" s="1"/>
  <c r="AE130" i="8"/>
  <c r="Z130" i="8"/>
  <c r="BA130" i="8"/>
  <c r="BE130" i="8" s="1"/>
  <c r="BC130" i="8" s="1"/>
  <c r="Y130" i="8"/>
  <c r="AL130" i="8" s="1"/>
  <c r="BV290" i="9" l="1"/>
  <c r="BN289" i="9"/>
  <c r="BK139" i="9"/>
  <c r="AM139" i="9"/>
  <c r="W140" i="9"/>
  <c r="AA130" i="8"/>
  <c r="W131" i="8" s="1"/>
  <c r="BJ130" i="8"/>
  <c r="BB130" i="8"/>
  <c r="BF130" i="8" s="1"/>
  <c r="BD130" i="8" s="1"/>
  <c r="AN130" i="8"/>
  <c r="BV289" i="9" l="1"/>
  <c r="BN288" i="9"/>
  <c r="Y140" i="9"/>
  <c r="AL140" i="9" s="1"/>
  <c r="X140" i="9"/>
  <c r="BA140" i="9"/>
  <c r="BE140" i="9" s="1"/>
  <c r="BC140" i="9" s="1"/>
  <c r="Z140" i="9"/>
  <c r="AE140" i="9"/>
  <c r="BK130" i="8"/>
  <c r="AM130" i="8"/>
  <c r="BA131" i="8"/>
  <c r="BE131" i="8" s="1"/>
  <c r="BC131" i="8" s="1"/>
  <c r="X131" i="8"/>
  <c r="AK131" i="8" s="1"/>
  <c r="Y131" i="8"/>
  <c r="AL131" i="8" s="1"/>
  <c r="Z131" i="8"/>
  <c r="AE131" i="8"/>
  <c r="BV288" i="9" l="1"/>
  <c r="BN287" i="9"/>
  <c r="BJ140" i="9"/>
  <c r="BB140" i="9"/>
  <c r="BF140" i="9" s="1"/>
  <c r="BD140" i="9" s="1"/>
  <c r="AK140" i="9"/>
  <c r="AN140" i="9" s="1"/>
  <c r="AA140" i="9"/>
  <c r="AA131" i="8"/>
  <c r="W132" i="8" s="1"/>
  <c r="AN131" i="8"/>
  <c r="BB131" i="8"/>
  <c r="BF131" i="8" s="1"/>
  <c r="BD131" i="8" s="1"/>
  <c r="BJ131" i="8"/>
  <c r="BV287" i="9" l="1"/>
  <c r="BN286" i="9"/>
  <c r="BK140" i="9"/>
  <c r="AM140" i="9"/>
  <c r="W141" i="9"/>
  <c r="BK131" i="8"/>
  <c r="AM131" i="8"/>
  <c r="Y132" i="8"/>
  <c r="AL132" i="8" s="1"/>
  <c r="X132" i="8"/>
  <c r="AK132" i="8" s="1"/>
  <c r="BA132" i="8"/>
  <c r="BE132" i="8" s="1"/>
  <c r="BC132" i="8" s="1"/>
  <c r="Z132" i="8"/>
  <c r="AE132" i="8"/>
  <c r="BV286" i="9" l="1"/>
  <c r="BN285" i="9"/>
  <c r="X141" i="9"/>
  <c r="BA141" i="9"/>
  <c r="BE141" i="9" s="1"/>
  <c r="BC141" i="9" s="1"/>
  <c r="AE141" i="9"/>
  <c r="Z141" i="9"/>
  <c r="Y141" i="9"/>
  <c r="AL141" i="9" s="1"/>
  <c r="BJ132" i="8"/>
  <c r="AA132" i="8"/>
  <c r="W133" i="8" s="1"/>
  <c r="AN132" i="8"/>
  <c r="BB132" i="8"/>
  <c r="BF132" i="8" s="1"/>
  <c r="BD132" i="8" s="1"/>
  <c r="BJ141" i="9" l="1"/>
  <c r="BV285" i="9"/>
  <c r="BN284" i="9"/>
  <c r="AA141" i="9"/>
  <c r="W142" i="9" s="1"/>
  <c r="AK141" i="9"/>
  <c r="AN141" i="9" s="1"/>
  <c r="BB141" i="9"/>
  <c r="BF141" i="9" s="1"/>
  <c r="BD141" i="9" s="1"/>
  <c r="BK132" i="8"/>
  <c r="AM132" i="8"/>
  <c r="AE133" i="8"/>
  <c r="Y133" i="8"/>
  <c r="AL133" i="8" s="1"/>
  <c r="Z133" i="8"/>
  <c r="BA133" i="8"/>
  <c r="BE133" i="8" s="1"/>
  <c r="BC133" i="8" s="1"/>
  <c r="X133" i="8"/>
  <c r="AK133" i="8" s="1"/>
  <c r="BV284" i="9" l="1"/>
  <c r="BN283" i="9"/>
  <c r="BK141" i="9"/>
  <c r="AM141" i="9"/>
  <c r="Z142" i="9"/>
  <c r="BA142" i="9"/>
  <c r="BE142" i="9" s="1"/>
  <c r="BC142" i="9" s="1"/>
  <c r="AE142" i="9"/>
  <c r="X142" i="9"/>
  <c r="Y142" i="9"/>
  <c r="AL142" i="9" s="1"/>
  <c r="AA133" i="8"/>
  <c r="W134" i="8" s="1"/>
  <c r="BB133" i="8"/>
  <c r="BF133" i="8" s="1"/>
  <c r="BD133" i="8" s="1"/>
  <c r="AN133" i="8"/>
  <c r="BJ133" i="8"/>
  <c r="BV283" i="9" l="1"/>
  <c r="BN282" i="9"/>
  <c r="AK142" i="9"/>
  <c r="AN142" i="9" s="1"/>
  <c r="BB142" i="9"/>
  <c r="BF142" i="9" s="1"/>
  <c r="BD142" i="9" s="1"/>
  <c r="BJ142" i="9"/>
  <c r="AA142" i="9"/>
  <c r="BK133" i="8"/>
  <c r="AM133" i="8"/>
  <c r="Z134" i="8"/>
  <c r="X134" i="8"/>
  <c r="AK134" i="8" s="1"/>
  <c r="BA134" i="8"/>
  <c r="BE134" i="8" s="1"/>
  <c r="BC134" i="8" s="1"/>
  <c r="Y134" i="8"/>
  <c r="AL134" i="8" s="1"/>
  <c r="AE134" i="8"/>
  <c r="BV282" i="9" l="1"/>
  <c r="BN281" i="9"/>
  <c r="W143" i="9"/>
  <c r="BK142" i="9"/>
  <c r="AM142" i="9"/>
  <c r="BJ134" i="8"/>
  <c r="BB134" i="8"/>
  <c r="BF134" i="8" s="1"/>
  <c r="BD134" i="8" s="1"/>
  <c r="AN134" i="8"/>
  <c r="AA134" i="8"/>
  <c r="W135" i="8" s="1"/>
  <c r="BV281" i="9" l="1"/>
  <c r="BN280" i="9"/>
  <c r="X143" i="9"/>
  <c r="BA143" i="9"/>
  <c r="BE143" i="9" s="1"/>
  <c r="BC143" i="9" s="1"/>
  <c r="Y143" i="9"/>
  <c r="AL143" i="9" s="1"/>
  <c r="AE143" i="9"/>
  <c r="Z143" i="9"/>
  <c r="BK134" i="8"/>
  <c r="AM134" i="8"/>
  <c r="BJ143" i="9" l="1"/>
  <c r="BV280" i="9"/>
  <c r="AA143" i="9"/>
  <c r="W144" i="9" s="1"/>
  <c r="BN279" i="9"/>
  <c r="AK143" i="9"/>
  <c r="AN143" i="9" s="1"/>
  <c r="BB143" i="9"/>
  <c r="BF143" i="9" s="1"/>
  <c r="BD143" i="9" s="1"/>
  <c r="AE135" i="8"/>
  <c r="Z135" i="8"/>
  <c r="BA135" i="8"/>
  <c r="BE135" i="8" s="1"/>
  <c r="BC135" i="8" s="1"/>
  <c r="Y135" i="8"/>
  <c r="AL135" i="8" s="1"/>
  <c r="X135" i="8"/>
  <c r="AK135" i="8" s="1"/>
  <c r="BV279" i="9" l="1"/>
  <c r="BN278" i="9"/>
  <c r="BK143" i="9"/>
  <c r="AM143" i="9"/>
  <c r="AE144" i="9"/>
  <c r="X144" i="9"/>
  <c r="Z144" i="9"/>
  <c r="Y144" i="9"/>
  <c r="AL144" i="9" s="1"/>
  <c r="BA144" i="9"/>
  <c r="BE144" i="9" s="1"/>
  <c r="BC144" i="9" s="1"/>
  <c r="BJ135" i="8"/>
  <c r="AA135" i="8"/>
  <c r="W136" i="8" s="1"/>
  <c r="AN135" i="8"/>
  <c r="BB135" i="8"/>
  <c r="BF135" i="8" s="1"/>
  <c r="BD135" i="8" s="1"/>
  <c r="BV278" i="9" l="1"/>
  <c r="BN277" i="9"/>
  <c r="AA144" i="9"/>
  <c r="W145" i="9" s="1"/>
  <c r="BB144" i="9"/>
  <c r="BF144" i="9" s="1"/>
  <c r="BD144" i="9" s="1"/>
  <c r="AK144" i="9"/>
  <c r="AN144" i="9" s="1"/>
  <c r="BJ144" i="9"/>
  <c r="BK135" i="8"/>
  <c r="AM135" i="8"/>
  <c r="BV277" i="9" l="1"/>
  <c r="BN276" i="9"/>
  <c r="BK144" i="9"/>
  <c r="AM144" i="9"/>
  <c r="Z145" i="9"/>
  <c r="BA145" i="9"/>
  <c r="BE145" i="9" s="1"/>
  <c r="BC145" i="9" s="1"/>
  <c r="X145" i="9"/>
  <c r="Y145" i="9"/>
  <c r="AL145" i="9" s="1"/>
  <c r="AE145" i="9"/>
  <c r="X136" i="8"/>
  <c r="AK136" i="8" s="1"/>
  <c r="Y136" i="8"/>
  <c r="AL136" i="8" s="1"/>
  <c r="AE136" i="8"/>
  <c r="BA136" i="8"/>
  <c r="BE136" i="8" s="1"/>
  <c r="BC136" i="8" s="1"/>
  <c r="Z136" i="8"/>
  <c r="BV276" i="9" l="1"/>
  <c r="BN275" i="9"/>
  <c r="BB145" i="9"/>
  <c r="BF145" i="9" s="1"/>
  <c r="BD145" i="9" s="1"/>
  <c r="AK145" i="9"/>
  <c r="AN145" i="9" s="1"/>
  <c r="AA145" i="9"/>
  <c r="BJ145" i="9"/>
  <c r="BJ136" i="8"/>
  <c r="AN136" i="8"/>
  <c r="BB136" i="8"/>
  <c r="BF136" i="8" s="1"/>
  <c r="BD136" i="8" s="1"/>
  <c r="AA136" i="8"/>
  <c r="W137" i="8" s="1"/>
  <c r="BV275" i="9" l="1"/>
  <c r="BN274" i="9"/>
  <c r="W146" i="9"/>
  <c r="BK145" i="9"/>
  <c r="AM145" i="9"/>
  <c r="BK136" i="8"/>
  <c r="AM136" i="8"/>
  <c r="BV274" i="9" l="1"/>
  <c r="BN273" i="9"/>
  <c r="Y146" i="9"/>
  <c r="AL146" i="9" s="1"/>
  <c r="X146" i="9"/>
  <c r="BA146" i="9"/>
  <c r="BE146" i="9" s="1"/>
  <c r="BC146" i="9" s="1"/>
  <c r="AE146" i="9"/>
  <c r="Z146" i="9"/>
  <c r="X137" i="8"/>
  <c r="AK137" i="8" s="1"/>
  <c r="BA137" i="8"/>
  <c r="BE137" i="8" s="1"/>
  <c r="BC137" i="8" s="1"/>
  <c r="Y137" i="8"/>
  <c r="AL137" i="8" s="1"/>
  <c r="AE137" i="8"/>
  <c r="Z137" i="8"/>
  <c r="BV273" i="9" l="1"/>
  <c r="AA146" i="9"/>
  <c r="W147" i="9" s="1"/>
  <c r="BN272" i="9"/>
  <c r="BJ146" i="9"/>
  <c r="AK146" i="9"/>
  <c r="AN146" i="9" s="1"/>
  <c r="BB146" i="9"/>
  <c r="BF146" i="9" s="1"/>
  <c r="BD146" i="9" s="1"/>
  <c r="AA137" i="8"/>
  <c r="W138" i="8" s="1"/>
  <c r="AN137" i="8"/>
  <c r="BB137" i="8"/>
  <c r="BF137" i="8" s="1"/>
  <c r="BD137" i="8" s="1"/>
  <c r="BJ137" i="8"/>
  <c r="BV272" i="9" l="1"/>
  <c r="BN271" i="9"/>
  <c r="BK146" i="9"/>
  <c r="AM146" i="9"/>
  <c r="Y147" i="9"/>
  <c r="AL147" i="9" s="1"/>
  <c r="AE147" i="9"/>
  <c r="BA147" i="9"/>
  <c r="BE147" i="9" s="1"/>
  <c r="BC147" i="9" s="1"/>
  <c r="Z147" i="9"/>
  <c r="X147" i="9"/>
  <c r="BK137" i="8"/>
  <c r="AM137" i="8"/>
  <c r="Y138" i="8"/>
  <c r="AL138" i="8" s="1"/>
  <c r="Z138" i="8"/>
  <c r="AE138" i="8"/>
  <c r="X138" i="8"/>
  <c r="AK138" i="8" s="1"/>
  <c r="BA138" i="8"/>
  <c r="BE138" i="8" s="1"/>
  <c r="BC138" i="8" s="1"/>
  <c r="BV271" i="9" l="1"/>
  <c r="BN270" i="9"/>
  <c r="BJ147" i="9"/>
  <c r="AA147" i="9"/>
  <c r="BB147" i="9"/>
  <c r="BF147" i="9" s="1"/>
  <c r="BD147" i="9" s="1"/>
  <c r="AK147" i="9"/>
  <c r="AN147" i="9" s="1"/>
  <c r="AA138" i="8"/>
  <c r="BJ138" i="8"/>
  <c r="BB138" i="8"/>
  <c r="BF138" i="8" s="1"/>
  <c r="BD138" i="8" s="1"/>
  <c r="AN138" i="8"/>
  <c r="BV270" i="9" l="1"/>
  <c r="BN269" i="9"/>
  <c r="BK147" i="9"/>
  <c r="AM147" i="9"/>
  <c r="W148" i="9"/>
  <c r="W139" i="8"/>
  <c r="Y139" i="8" s="1"/>
  <c r="AL139" i="8" s="1"/>
  <c r="BK138" i="8"/>
  <c r="AM138" i="8"/>
  <c r="BV269" i="9" l="1"/>
  <c r="BN268" i="9"/>
  <c r="Z148" i="9"/>
  <c r="BA148" i="9"/>
  <c r="BE148" i="9" s="1"/>
  <c r="BC148" i="9" s="1"/>
  <c r="X148" i="9"/>
  <c r="AE148" i="9"/>
  <c r="Y148" i="9"/>
  <c r="AL148" i="9" s="1"/>
  <c r="BA139" i="8"/>
  <c r="BE139" i="8" s="1"/>
  <c r="BC139" i="8" s="1"/>
  <c r="X139" i="8"/>
  <c r="AK139" i="8" s="1"/>
  <c r="AN139" i="8" s="1"/>
  <c r="Z139" i="8"/>
  <c r="AE139" i="8"/>
  <c r="BV268" i="9" l="1"/>
  <c r="BJ148" i="9"/>
  <c r="BN267" i="9"/>
  <c r="BJ139" i="8"/>
  <c r="AA148" i="9"/>
  <c r="BB148" i="9"/>
  <c r="BF148" i="9" s="1"/>
  <c r="BD148" i="9" s="1"/>
  <c r="AK148" i="9"/>
  <c r="AN148" i="9" s="1"/>
  <c r="BB139" i="8"/>
  <c r="BF139" i="8" s="1"/>
  <c r="BD139" i="8" s="1"/>
  <c r="AA139" i="8"/>
  <c r="W140" i="8" s="1"/>
  <c r="AM139" i="8"/>
  <c r="BV267" i="9" l="1"/>
  <c r="BN266" i="9"/>
  <c r="BK139" i="8"/>
  <c r="BK148" i="9"/>
  <c r="AM148" i="9"/>
  <c r="W149" i="9"/>
  <c r="BA140" i="8"/>
  <c r="BE140" i="8" s="1"/>
  <c r="BC140" i="8" s="1"/>
  <c r="Y140" i="8"/>
  <c r="AL140" i="8" s="1"/>
  <c r="Z140" i="8"/>
  <c r="X140" i="8"/>
  <c r="AK140" i="8" s="1"/>
  <c r="AE140" i="8"/>
  <c r="BV266" i="9" l="1"/>
  <c r="BN265" i="9"/>
  <c r="Y149" i="9"/>
  <c r="AL149" i="9" s="1"/>
  <c r="BA149" i="9"/>
  <c r="BE149" i="9" s="1"/>
  <c r="BC149" i="9" s="1"/>
  <c r="Z149" i="9"/>
  <c r="AE149" i="9"/>
  <c r="X149" i="9"/>
  <c r="BB140" i="8"/>
  <c r="BF140" i="8" s="1"/>
  <c r="BD140" i="8" s="1"/>
  <c r="AN140" i="8"/>
  <c r="AA140" i="8"/>
  <c r="W141" i="8" s="1"/>
  <c r="BJ140" i="8"/>
  <c r="BV265" i="9" l="1"/>
  <c r="AA149" i="9"/>
  <c r="W150" i="9" s="1"/>
  <c r="BN264" i="9"/>
  <c r="BJ149" i="9"/>
  <c r="AK149" i="9"/>
  <c r="AN149" i="9" s="1"/>
  <c r="BB149" i="9"/>
  <c r="BF149" i="9" s="1"/>
  <c r="BD149" i="9" s="1"/>
  <c r="BK140" i="8"/>
  <c r="AM140" i="8"/>
  <c r="BV264" i="9" l="1"/>
  <c r="BN263" i="9"/>
  <c r="X150" i="9"/>
  <c r="BA150" i="9"/>
  <c r="BE150" i="9" s="1"/>
  <c r="BC150" i="9" s="1"/>
  <c r="AE150" i="9"/>
  <c r="Y150" i="9"/>
  <c r="AL150" i="9" s="1"/>
  <c r="Z150" i="9"/>
  <c r="BK149" i="9"/>
  <c r="AM149" i="9"/>
  <c r="AE141" i="8"/>
  <c r="BA141" i="8"/>
  <c r="BE141" i="8" s="1"/>
  <c r="BC141" i="8" s="1"/>
  <c r="X141" i="8"/>
  <c r="AK141" i="8" s="1"/>
  <c r="Z141" i="8"/>
  <c r="Y141" i="8"/>
  <c r="AL141" i="8" s="1"/>
  <c r="BV263" i="9" l="1"/>
  <c r="BN262" i="9"/>
  <c r="AA150" i="9"/>
  <c r="W151" i="9" s="1"/>
  <c r="BJ150" i="9"/>
  <c r="AK150" i="9"/>
  <c r="AN150" i="9" s="1"/>
  <c r="BB150" i="9"/>
  <c r="BF150" i="9" s="1"/>
  <c r="BD150" i="9" s="1"/>
  <c r="BB141" i="8"/>
  <c r="BF141" i="8" s="1"/>
  <c r="BD141" i="8" s="1"/>
  <c r="AN141" i="8"/>
  <c r="BJ141" i="8"/>
  <c r="AA141" i="8"/>
  <c r="W142" i="8" s="1"/>
  <c r="BV262" i="9" l="1"/>
  <c r="BN261" i="9"/>
  <c r="BK150" i="9"/>
  <c r="AM150" i="9"/>
  <c r="BA151" i="9"/>
  <c r="BE151" i="9" s="1"/>
  <c r="BC151" i="9" s="1"/>
  <c r="AE151" i="9"/>
  <c r="Y151" i="9"/>
  <c r="AL151" i="9" s="1"/>
  <c r="X151" i="9"/>
  <c r="Z151" i="9"/>
  <c r="BK141" i="8"/>
  <c r="AM141" i="8"/>
  <c r="BV261" i="9" l="1"/>
  <c r="BN260" i="9"/>
  <c r="BJ151" i="9"/>
  <c r="BB151" i="9"/>
  <c r="BF151" i="9" s="1"/>
  <c r="BD151" i="9" s="1"/>
  <c r="AK151" i="9"/>
  <c r="AN151" i="9" s="1"/>
  <c r="AA151" i="9"/>
  <c r="BA142" i="8"/>
  <c r="BE142" i="8" s="1"/>
  <c r="BC142" i="8" s="1"/>
  <c r="Z142" i="8"/>
  <c r="Y142" i="8"/>
  <c r="AL142" i="8" s="1"/>
  <c r="X142" i="8"/>
  <c r="AK142" i="8" s="1"/>
  <c r="AE142" i="8"/>
  <c r="BV260" i="9" l="1"/>
  <c r="BN259" i="9"/>
  <c r="BK151" i="9"/>
  <c r="AM151" i="9"/>
  <c r="W152" i="9"/>
  <c r="AA142" i="8"/>
  <c r="W143" i="8" s="1"/>
  <c r="BJ142" i="8"/>
  <c r="BB142" i="8"/>
  <c r="BF142" i="8" s="1"/>
  <c r="BD142" i="8" s="1"/>
  <c r="AN142" i="8"/>
  <c r="BV259" i="9" l="1"/>
  <c r="BN258" i="9"/>
  <c r="BA152" i="9"/>
  <c r="BE152" i="9" s="1"/>
  <c r="BC152" i="9" s="1"/>
  <c r="AE152" i="9"/>
  <c r="Z152" i="9"/>
  <c r="X152" i="9"/>
  <c r="Y152" i="9"/>
  <c r="AL152" i="9" s="1"/>
  <c r="BK142" i="8"/>
  <c r="AM142" i="8"/>
  <c r="BV258" i="9" l="1"/>
  <c r="BJ152" i="9"/>
  <c r="BN257" i="9"/>
  <c r="AA152" i="9"/>
  <c r="AK152" i="9"/>
  <c r="AN152" i="9" s="1"/>
  <c r="BB152" i="9"/>
  <c r="BF152" i="9" s="1"/>
  <c r="BD152" i="9" s="1"/>
  <c r="AE143" i="8"/>
  <c r="Z143" i="8"/>
  <c r="X143" i="8"/>
  <c r="AK143" i="8" s="1"/>
  <c r="BA143" i="8"/>
  <c r="BE143" i="8" s="1"/>
  <c r="BC143" i="8" s="1"/>
  <c r="Y143" i="8"/>
  <c r="AL143" i="8" s="1"/>
  <c r="BV257" i="9" l="1"/>
  <c r="BN256" i="9"/>
  <c r="BK152" i="9"/>
  <c r="AM152" i="9"/>
  <c r="W153" i="9"/>
  <c r="AA143" i="8"/>
  <c r="W144" i="8" s="1"/>
  <c r="AN143" i="8"/>
  <c r="BB143" i="8"/>
  <c r="BF143" i="8" s="1"/>
  <c r="BD143" i="8" s="1"/>
  <c r="BJ143" i="8"/>
  <c r="BV256" i="9" l="1"/>
  <c r="X153" i="9"/>
  <c r="Y153" i="9"/>
  <c r="AL153" i="9" s="1"/>
  <c r="BA153" i="9"/>
  <c r="BE153" i="9" s="1"/>
  <c r="BC153" i="9" s="1"/>
  <c r="AE153" i="9"/>
  <c r="Z153" i="9"/>
  <c r="BK143" i="8"/>
  <c r="AM143" i="8"/>
  <c r="AE144" i="8"/>
  <c r="BA144" i="8"/>
  <c r="BE144" i="8" s="1"/>
  <c r="BC144" i="8" s="1"/>
  <c r="Z144" i="8"/>
  <c r="Y144" i="8"/>
  <c r="AL144" i="8" s="1"/>
  <c r="X144" i="8"/>
  <c r="AK144" i="8" s="1"/>
  <c r="BJ153" i="9" l="1"/>
  <c r="AA153" i="9"/>
  <c r="W154" i="9" s="1"/>
  <c r="BB153" i="9"/>
  <c r="BF153" i="9" s="1"/>
  <c r="BD153" i="9" s="1"/>
  <c r="AK153" i="9"/>
  <c r="AN153" i="9" s="1"/>
  <c r="AA144" i="8"/>
  <c r="W145" i="8" s="1"/>
  <c r="BJ144" i="8"/>
  <c r="AN144" i="8"/>
  <c r="BB144" i="8"/>
  <c r="BF144" i="8" s="1"/>
  <c r="BD144" i="8" s="1"/>
  <c r="BK153" i="9" l="1"/>
  <c r="AM153" i="9"/>
  <c r="X154" i="9"/>
  <c r="BA154" i="9"/>
  <c r="BE154" i="9" s="1"/>
  <c r="BC154" i="9" s="1"/>
  <c r="Z154" i="9"/>
  <c r="Y154" i="9"/>
  <c r="AL154" i="9" s="1"/>
  <c r="AE154" i="9"/>
  <c r="BK144" i="8"/>
  <c r="AM144" i="8"/>
  <c r="AA154" i="9" l="1"/>
  <c r="W155" i="9" s="1"/>
  <c r="BB154" i="9"/>
  <c r="BF154" i="9" s="1"/>
  <c r="BD154" i="9" s="1"/>
  <c r="AK154" i="9"/>
  <c r="AN154" i="9" s="1"/>
  <c r="BJ154" i="9"/>
  <c r="Y145" i="8"/>
  <c r="AL145" i="8" s="1"/>
  <c r="Z145" i="8"/>
  <c r="X145" i="8"/>
  <c r="AK145" i="8" s="1"/>
  <c r="AE145" i="8"/>
  <c r="BA145" i="8"/>
  <c r="BE145" i="8" s="1"/>
  <c r="BC145" i="8" s="1"/>
  <c r="BK154" i="9" l="1"/>
  <c r="AM154" i="9"/>
  <c r="Y155" i="9"/>
  <c r="AL155" i="9" s="1"/>
  <c r="BA155" i="9"/>
  <c r="BE155" i="9" s="1"/>
  <c r="BC155" i="9" s="1"/>
  <c r="AE155" i="9"/>
  <c r="X155" i="9"/>
  <c r="Z155" i="9"/>
  <c r="BJ145" i="8"/>
  <c r="BB145" i="8"/>
  <c r="BF145" i="8" s="1"/>
  <c r="BD145" i="8" s="1"/>
  <c r="AN145" i="8"/>
  <c r="AA145" i="8"/>
  <c r="W146" i="8" s="1"/>
  <c r="BJ155" i="9" l="1"/>
  <c r="BB155" i="9"/>
  <c r="BF155" i="9" s="1"/>
  <c r="BD155" i="9" s="1"/>
  <c r="AK155" i="9"/>
  <c r="AN155" i="9" s="1"/>
  <c r="AA155" i="9"/>
  <c r="BK145" i="8"/>
  <c r="AM145" i="8"/>
  <c r="BK155" i="9" l="1"/>
  <c r="AM155" i="9"/>
  <c r="W156" i="9"/>
  <c r="Y146" i="8"/>
  <c r="AL146" i="8" s="1"/>
  <c r="X146" i="8"/>
  <c r="AK146" i="8" s="1"/>
  <c r="AE146" i="8"/>
  <c r="BA146" i="8"/>
  <c r="BE146" i="8" s="1"/>
  <c r="BC146" i="8" s="1"/>
  <c r="Z146" i="8"/>
  <c r="X156" i="9" l="1"/>
  <c r="Y156" i="9"/>
  <c r="AL156" i="9" s="1"/>
  <c r="BA156" i="9"/>
  <c r="BE156" i="9" s="1"/>
  <c r="BC156" i="9" s="1"/>
  <c r="AE156" i="9"/>
  <c r="Z156" i="9"/>
  <c r="AA146" i="8"/>
  <c r="W147" i="8" s="1"/>
  <c r="BJ146" i="8"/>
  <c r="AN146" i="8"/>
  <c r="BB146" i="8"/>
  <c r="BF146" i="8" s="1"/>
  <c r="BD146" i="8" s="1"/>
  <c r="BJ156" i="9" l="1"/>
  <c r="AA156" i="9"/>
  <c r="BB156" i="9"/>
  <c r="BF156" i="9" s="1"/>
  <c r="BD156" i="9" s="1"/>
  <c r="AK156" i="9"/>
  <c r="AN156" i="9" s="1"/>
  <c r="BK146" i="8"/>
  <c r="AM146" i="8"/>
  <c r="AE147" i="8"/>
  <c r="BA147" i="8"/>
  <c r="BE147" i="8" s="1"/>
  <c r="BC147" i="8" s="1"/>
  <c r="Z147" i="8"/>
  <c r="X147" i="8"/>
  <c r="AK147" i="8" s="1"/>
  <c r="Y147" i="8"/>
  <c r="AL147" i="8" s="1"/>
  <c r="BK156" i="9" l="1"/>
  <c r="AM156" i="9"/>
  <c r="W157" i="9"/>
  <c r="BJ147" i="8"/>
  <c r="AA147" i="8"/>
  <c r="W148" i="8" s="1"/>
  <c r="BB147" i="8"/>
  <c r="BF147" i="8" s="1"/>
  <c r="BD147" i="8" s="1"/>
  <c r="AN147" i="8"/>
  <c r="X157" i="9" l="1"/>
  <c r="Z157" i="9"/>
  <c r="Y157" i="9"/>
  <c r="AL157" i="9" s="1"/>
  <c r="BA157" i="9"/>
  <c r="BE157" i="9" s="1"/>
  <c r="BC157" i="9" s="1"/>
  <c r="AE157" i="9"/>
  <c r="BK147" i="8"/>
  <c r="AM147" i="8"/>
  <c r="X148" i="8"/>
  <c r="AK148" i="8" s="1"/>
  <c r="BA148" i="8"/>
  <c r="BE148" i="8" s="1"/>
  <c r="BC148" i="8" s="1"/>
  <c r="AE148" i="8"/>
  <c r="Y148" i="8"/>
  <c r="AL148" i="8" s="1"/>
  <c r="Z148" i="8"/>
  <c r="AA157" i="9" l="1"/>
  <c r="W158" i="9" s="1"/>
  <c r="BJ157" i="9"/>
  <c r="BB157" i="9"/>
  <c r="BF157" i="9" s="1"/>
  <c r="BD157" i="9" s="1"/>
  <c r="AK157" i="9"/>
  <c r="AN157" i="9" s="1"/>
  <c r="AA148" i="8"/>
  <c r="W149" i="8" s="1"/>
  <c r="BB148" i="8"/>
  <c r="BF148" i="8" s="1"/>
  <c r="BD148" i="8" s="1"/>
  <c r="AN148" i="8"/>
  <c r="BJ148" i="8"/>
  <c r="BK157" i="9" l="1"/>
  <c r="AM157" i="9"/>
  <c r="Z158" i="9"/>
  <c r="Y158" i="9"/>
  <c r="AL158" i="9" s="1"/>
  <c r="X158" i="9"/>
  <c r="BA158" i="9"/>
  <c r="BE158" i="9" s="1"/>
  <c r="BC158" i="9" s="1"/>
  <c r="AE158" i="9"/>
  <c r="BK148" i="8"/>
  <c r="AM148" i="8"/>
  <c r="Z149" i="8"/>
  <c r="X149" i="8"/>
  <c r="AK149" i="8" s="1"/>
  <c r="BA149" i="8"/>
  <c r="BE149" i="8" s="1"/>
  <c r="BC149" i="8" s="1"/>
  <c r="Y149" i="8"/>
  <c r="AL149" i="8" s="1"/>
  <c r="AE149" i="8"/>
  <c r="BB158" i="9" l="1"/>
  <c r="BF158" i="9" s="1"/>
  <c r="BD158" i="9" s="1"/>
  <c r="AK158" i="9"/>
  <c r="AN158" i="9" s="1"/>
  <c r="AA158" i="9"/>
  <c r="BJ158" i="9"/>
  <c r="AN149" i="8"/>
  <c r="BB149" i="8"/>
  <c r="BF149" i="8" s="1"/>
  <c r="BD149" i="8" s="1"/>
  <c r="AA149" i="8"/>
  <c r="W150" i="8" s="1"/>
  <c r="BJ149" i="8"/>
  <c r="BK158" i="9" l="1"/>
  <c r="AM158" i="9"/>
  <c r="W159" i="9"/>
  <c r="BK149" i="8"/>
  <c r="AM149" i="8"/>
  <c r="AE159" i="9" l="1"/>
  <c r="Z159" i="9"/>
  <c r="X159" i="9"/>
  <c r="Y159" i="9"/>
  <c r="AL159" i="9" s="1"/>
  <c r="BA159" i="9"/>
  <c r="BE159" i="9" s="1"/>
  <c r="BC159" i="9" s="1"/>
  <c r="BA150" i="8"/>
  <c r="BE150" i="8" s="1"/>
  <c r="BC150" i="8" s="1"/>
  <c r="X150" i="8"/>
  <c r="AK150" i="8" s="1"/>
  <c r="Y150" i="8"/>
  <c r="AL150" i="8" s="1"/>
  <c r="Z150" i="8"/>
  <c r="AE150" i="8"/>
  <c r="AA159" i="9" l="1"/>
  <c r="W160" i="9" s="1"/>
  <c r="BJ150" i="8"/>
  <c r="BB159" i="9"/>
  <c r="BF159" i="9" s="1"/>
  <c r="BD159" i="9" s="1"/>
  <c r="AK159" i="9"/>
  <c r="AN159" i="9" s="1"/>
  <c r="BJ159" i="9"/>
  <c r="AA150" i="8"/>
  <c r="W151" i="8" s="1"/>
  <c r="AN150" i="8"/>
  <c r="BB150" i="8"/>
  <c r="BF150" i="8" s="1"/>
  <c r="BD150" i="8" s="1"/>
  <c r="BK159" i="9" l="1"/>
  <c r="AM159" i="9"/>
  <c r="AE160" i="9"/>
  <c r="Z160" i="9"/>
  <c r="BA160" i="9"/>
  <c r="BE160" i="9" s="1"/>
  <c r="BC160" i="9" s="1"/>
  <c r="X160" i="9"/>
  <c r="Y160" i="9"/>
  <c r="AL160" i="9" s="1"/>
  <c r="BK150" i="8"/>
  <c r="AM150" i="8"/>
  <c r="BA151" i="8"/>
  <c r="BE151" i="8" s="1"/>
  <c r="BC151" i="8" s="1"/>
  <c r="Y151" i="8"/>
  <c r="AL151" i="8" s="1"/>
  <c r="Z151" i="8"/>
  <c r="X151" i="8"/>
  <c r="AK151" i="8" s="1"/>
  <c r="AE151" i="8"/>
  <c r="AA160" i="9" l="1"/>
  <c r="W161" i="9" s="1"/>
  <c r="BJ160" i="9"/>
  <c r="BB160" i="9"/>
  <c r="BF160" i="9" s="1"/>
  <c r="BD160" i="9" s="1"/>
  <c r="AK160" i="9"/>
  <c r="AN160" i="9" s="1"/>
  <c r="BB151" i="8"/>
  <c r="BF151" i="8" s="1"/>
  <c r="BD151" i="8" s="1"/>
  <c r="AN151" i="8"/>
  <c r="AA151" i="8"/>
  <c r="W152" i="8" s="1"/>
  <c r="BJ151" i="8"/>
  <c r="BK160" i="9" l="1"/>
  <c r="AM160" i="9"/>
  <c r="Z161" i="9"/>
  <c r="Y161" i="9"/>
  <c r="AL161" i="9" s="1"/>
  <c r="BA161" i="9"/>
  <c r="BE161" i="9" s="1"/>
  <c r="BC161" i="9" s="1"/>
  <c r="AE161" i="9"/>
  <c r="X161" i="9"/>
  <c r="BK151" i="8"/>
  <c r="AM151" i="8"/>
  <c r="BJ161" i="9" l="1"/>
  <c r="AA161" i="9"/>
  <c r="BB161" i="9"/>
  <c r="BF161" i="9" s="1"/>
  <c r="BD161" i="9" s="1"/>
  <c r="AK161" i="9"/>
  <c r="AN161" i="9" s="1"/>
  <c r="AE152" i="8"/>
  <c r="Y152" i="8"/>
  <c r="AL152" i="8" s="1"/>
  <c r="X152" i="8"/>
  <c r="AK152" i="8" s="1"/>
  <c r="Z152" i="8"/>
  <c r="BA152" i="8"/>
  <c r="BE152" i="8" s="1"/>
  <c r="BC152" i="8" s="1"/>
  <c r="BK161" i="9" l="1"/>
  <c r="AM161" i="9"/>
  <c r="W162" i="9"/>
  <c r="AA152" i="8"/>
  <c r="W153" i="8" s="1"/>
  <c r="BB152" i="8"/>
  <c r="BF152" i="8" s="1"/>
  <c r="BD152" i="8" s="1"/>
  <c r="AN152" i="8"/>
  <c r="BJ152" i="8"/>
  <c r="AE162" i="9" l="1"/>
  <c r="Z162" i="9"/>
  <c r="Y162" i="9"/>
  <c r="AL162" i="9" s="1"/>
  <c r="X162" i="9"/>
  <c r="BA162" i="9"/>
  <c r="BE162" i="9" s="1"/>
  <c r="BC162" i="9" s="1"/>
  <c r="BK152" i="8"/>
  <c r="AM152" i="8"/>
  <c r="Z153" i="8"/>
  <c r="X153" i="8"/>
  <c r="AK153" i="8" s="1"/>
  <c r="BA153" i="8"/>
  <c r="BE153" i="8" s="1"/>
  <c r="BC153" i="8" s="1"/>
  <c r="Y153" i="8"/>
  <c r="AL153" i="8" s="1"/>
  <c r="AE153" i="8"/>
  <c r="BB162" i="9" l="1"/>
  <c r="BF162" i="9" s="1"/>
  <c r="BD162" i="9" s="1"/>
  <c r="AK162" i="9"/>
  <c r="AN162" i="9" s="1"/>
  <c r="AA162" i="9"/>
  <c r="BJ162" i="9"/>
  <c r="AN153" i="8"/>
  <c r="BB153" i="8"/>
  <c r="BF153" i="8" s="1"/>
  <c r="BD153" i="8" s="1"/>
  <c r="AA153" i="8"/>
  <c r="W154" i="8" s="1"/>
  <c r="BJ153" i="8"/>
  <c r="W163" i="9" l="1"/>
  <c r="BK162" i="9"/>
  <c r="AM162" i="9"/>
  <c r="BK153" i="8"/>
  <c r="AM153" i="8"/>
  <c r="Z163" i="9" l="1"/>
  <c r="BA163" i="9"/>
  <c r="BE163" i="9" s="1"/>
  <c r="AE163" i="9"/>
  <c r="X163" i="9"/>
  <c r="Y163" i="9"/>
  <c r="AL163" i="9" s="1"/>
  <c r="AE154" i="8"/>
  <c r="BA154" i="8"/>
  <c r="BE154" i="8" s="1"/>
  <c r="BC154" i="8" s="1"/>
  <c r="Y154" i="8"/>
  <c r="AL154" i="8" s="1"/>
  <c r="X154" i="8"/>
  <c r="AK154" i="8" s="1"/>
  <c r="Z154" i="8"/>
  <c r="AA163" i="9" l="1"/>
  <c r="W164" i="9" s="1"/>
  <c r="BB163" i="9"/>
  <c r="BF163" i="9" s="1"/>
  <c r="BD163" i="9" s="1"/>
  <c r="AK163" i="9"/>
  <c r="AN163" i="9" s="1"/>
  <c r="BC163" i="9"/>
  <c r="BJ163" i="9"/>
  <c r="AA154" i="8"/>
  <c r="AN154" i="8"/>
  <c r="BB154" i="8"/>
  <c r="BF154" i="8" s="1"/>
  <c r="BD154" i="8" s="1"/>
  <c r="BJ154" i="8"/>
  <c r="BK163" i="9" l="1"/>
  <c r="AM163" i="9"/>
  <c r="Z164" i="9"/>
  <c r="AE164" i="9"/>
  <c r="X164" i="9"/>
  <c r="BA164" i="9"/>
  <c r="BE164" i="9" s="1"/>
  <c r="BC164" i="9" s="1"/>
  <c r="Y164" i="9"/>
  <c r="AL164" i="9" s="1"/>
  <c r="W155" i="8"/>
  <c r="AE155" i="8" s="1"/>
  <c r="BK154" i="8"/>
  <c r="AM154" i="8"/>
  <c r="AA164" i="9" l="1"/>
  <c r="BJ164" i="9"/>
  <c r="AK164" i="9"/>
  <c r="AN164" i="9" s="1"/>
  <c r="BB164" i="9"/>
  <c r="BF164" i="9" s="1"/>
  <c r="BD164" i="9" s="1"/>
  <c r="X155" i="8"/>
  <c r="AK155" i="8" s="1"/>
  <c r="Z155" i="8"/>
  <c r="BA155" i="8"/>
  <c r="BE155" i="8" s="1"/>
  <c r="BC155" i="8" s="1"/>
  <c r="Y155" i="8"/>
  <c r="AL155" i="8" s="1"/>
  <c r="AN155" i="8" l="1"/>
  <c r="AM155" i="8" s="1"/>
  <c r="BK164" i="9"/>
  <c r="AM164" i="9"/>
  <c r="W165" i="9"/>
  <c r="AA155" i="8"/>
  <c r="W156" i="8" s="1"/>
  <c r="BJ155" i="8"/>
  <c r="BB155" i="8"/>
  <c r="BF155" i="8" s="1"/>
  <c r="BD155" i="8" s="1"/>
  <c r="Z165" i="9" l="1"/>
  <c r="BA165" i="9"/>
  <c r="BE165" i="9" s="1"/>
  <c r="Y165" i="9"/>
  <c r="AL165" i="9" s="1"/>
  <c r="AE165" i="9"/>
  <c r="X165" i="9"/>
  <c r="BK155" i="8"/>
  <c r="AE156" i="8"/>
  <c r="Y156" i="8"/>
  <c r="AL156" i="8" s="1"/>
  <c r="Z156" i="8"/>
  <c r="BA156" i="8"/>
  <c r="BE156" i="8" s="1"/>
  <c r="BC156" i="8" s="1"/>
  <c r="X156" i="8"/>
  <c r="AK156" i="8" s="1"/>
  <c r="BB165" i="9" l="1"/>
  <c r="BF165" i="9" s="1"/>
  <c r="BD165" i="9" s="1"/>
  <c r="AK165" i="9"/>
  <c r="AN165" i="9" s="1"/>
  <c r="AA165" i="9"/>
  <c r="BJ165" i="9"/>
  <c r="BC165" i="9"/>
  <c r="BJ156" i="8"/>
  <c r="AA156" i="8"/>
  <c r="W157" i="8" s="1"/>
  <c r="AN156" i="8"/>
  <c r="BB156" i="8"/>
  <c r="BF156" i="8" s="1"/>
  <c r="BD156" i="8" s="1"/>
  <c r="W166" i="9" l="1"/>
  <c r="BK165" i="9"/>
  <c r="AM165" i="9"/>
  <c r="BK156" i="8"/>
  <c r="AM156" i="8"/>
  <c r="AE166" i="9" l="1"/>
  <c r="Z166" i="9"/>
  <c r="BA166" i="9"/>
  <c r="BE166" i="9" s="1"/>
  <c r="Y166" i="9"/>
  <c r="AL166" i="9" s="1"/>
  <c r="X166" i="9"/>
  <c r="AE157" i="8"/>
  <c r="BA157" i="8"/>
  <c r="BE157" i="8" s="1"/>
  <c r="BC157" i="8" s="1"/>
  <c r="Z157" i="8"/>
  <c r="Y157" i="8"/>
  <c r="AL157" i="8" s="1"/>
  <c r="X157" i="8"/>
  <c r="AK157" i="8" s="1"/>
  <c r="AA166" i="9" l="1"/>
  <c r="W167" i="9" s="1"/>
  <c r="BJ166" i="9"/>
  <c r="AK166" i="9"/>
  <c r="AN166" i="9" s="1"/>
  <c r="BB166" i="9"/>
  <c r="BF166" i="9" s="1"/>
  <c r="BD166" i="9" s="1"/>
  <c r="BC166" i="9"/>
  <c r="AA157" i="8"/>
  <c r="AN157" i="8"/>
  <c r="BB157" i="8"/>
  <c r="BF157" i="8" s="1"/>
  <c r="BD157" i="8" s="1"/>
  <c r="BJ157" i="8"/>
  <c r="Y167" i="9" l="1"/>
  <c r="AL167" i="9" s="1"/>
  <c r="BA167" i="9"/>
  <c r="BE167" i="9" s="1"/>
  <c r="AE167" i="9"/>
  <c r="Z167" i="9"/>
  <c r="X167" i="9"/>
  <c r="BK166" i="9"/>
  <c r="AM166" i="9"/>
  <c r="W158" i="8"/>
  <c r="AE158" i="8" s="1"/>
  <c r="BK157" i="8"/>
  <c r="AM157" i="8"/>
  <c r="BA158" i="8" l="1"/>
  <c r="BE158" i="8" s="1"/>
  <c r="BC158" i="8" s="1"/>
  <c r="Y158" i="8"/>
  <c r="AL158" i="8" s="1"/>
  <c r="AA167" i="9"/>
  <c r="W168" i="9" s="1"/>
  <c r="AK167" i="9"/>
  <c r="AN167" i="9" s="1"/>
  <c r="BB167" i="9"/>
  <c r="BF167" i="9" s="1"/>
  <c r="BD167" i="9" s="1"/>
  <c r="BJ167" i="9"/>
  <c r="BC167" i="9"/>
  <c r="X158" i="8"/>
  <c r="AK158" i="8" s="1"/>
  <c r="Z158" i="8"/>
  <c r="AN158" i="8" l="1"/>
  <c r="AM158" i="8" s="1"/>
  <c r="BJ158" i="8"/>
  <c r="BK167" i="9"/>
  <c r="AM167" i="9"/>
  <c r="X168" i="9"/>
  <c r="BA168" i="9"/>
  <c r="BE168" i="9" s="1"/>
  <c r="BC168" i="9" s="1"/>
  <c r="AE168" i="9"/>
  <c r="Y168" i="9"/>
  <c r="AL168" i="9" s="1"/>
  <c r="Z168" i="9"/>
  <c r="AA158" i="8"/>
  <c r="W159" i="8" s="1"/>
  <c r="BB158" i="8"/>
  <c r="BF158" i="8" s="1"/>
  <c r="BD158" i="8" s="1"/>
  <c r="BK158" i="8" l="1"/>
  <c r="BJ168" i="9"/>
  <c r="AA168" i="9"/>
  <c r="BB168" i="9"/>
  <c r="BF168" i="9" s="1"/>
  <c r="BD168" i="9" s="1"/>
  <c r="AK168" i="9"/>
  <c r="AN168" i="9" s="1"/>
  <c r="Y159" i="8"/>
  <c r="AL159" i="8" s="1"/>
  <c r="AE159" i="8"/>
  <c r="BA159" i="8"/>
  <c r="BE159" i="8" s="1"/>
  <c r="BC159" i="8" s="1"/>
  <c r="X159" i="8"/>
  <c r="AK159" i="8" s="1"/>
  <c r="Z159" i="8"/>
  <c r="W169" i="9" l="1"/>
  <c r="BK168" i="9"/>
  <c r="AM168" i="9"/>
  <c r="AA159" i="8"/>
  <c r="W160" i="8" s="1"/>
  <c r="BJ159" i="8"/>
  <c r="AN159" i="8"/>
  <c r="BB159" i="8"/>
  <c r="BF159" i="8" s="1"/>
  <c r="BD159" i="8" s="1"/>
  <c r="AE169" i="9" l="1"/>
  <c r="Z169" i="9"/>
  <c r="X169" i="9"/>
  <c r="Y169" i="9"/>
  <c r="AL169" i="9" s="1"/>
  <c r="BA169" i="9"/>
  <c r="BE169" i="9" s="1"/>
  <c r="BK159" i="8"/>
  <c r="AM159" i="8"/>
  <c r="Z160" i="8"/>
  <c r="X160" i="8"/>
  <c r="AK160" i="8" s="1"/>
  <c r="Y160" i="8"/>
  <c r="AL160" i="8" s="1"/>
  <c r="AE160" i="8"/>
  <c r="BA160" i="8"/>
  <c r="BE160" i="8" s="1"/>
  <c r="BC160" i="8" s="1"/>
  <c r="AK169" i="9" l="1"/>
  <c r="AN169" i="9" s="1"/>
  <c r="BB169" i="9"/>
  <c r="BF169" i="9" s="1"/>
  <c r="BD169" i="9" s="1"/>
  <c r="BC169" i="9"/>
  <c r="AA169" i="9"/>
  <c r="BJ169" i="9"/>
  <c r="AN160" i="8"/>
  <c r="BB160" i="8"/>
  <c r="BF160" i="8" s="1"/>
  <c r="BD160" i="8" s="1"/>
  <c r="AA160" i="8"/>
  <c r="W161" i="8" s="1"/>
  <c r="BJ160" i="8"/>
  <c r="BK169" i="9" l="1"/>
  <c r="AM169" i="9"/>
  <c r="W170" i="9"/>
  <c r="BK160" i="8"/>
  <c r="AM160" i="8"/>
  <c r="Z170" i="9" l="1"/>
  <c r="Y170" i="9"/>
  <c r="AL170" i="9" s="1"/>
  <c r="X170" i="9"/>
  <c r="BA170" i="9"/>
  <c r="BE170" i="9" s="1"/>
  <c r="AE170" i="9"/>
  <c r="Y161" i="8"/>
  <c r="AL161" i="8" s="1"/>
  <c r="BA161" i="8"/>
  <c r="BE161" i="8" s="1"/>
  <c r="BC161" i="8" s="1"/>
  <c r="X161" i="8"/>
  <c r="AK161" i="8" s="1"/>
  <c r="Z161" i="8"/>
  <c r="AE161" i="8"/>
  <c r="AA170" i="9" l="1"/>
  <c r="W171" i="9" s="1"/>
  <c r="BJ170" i="9"/>
  <c r="BC170" i="9"/>
  <c r="BB170" i="9"/>
  <c r="BF170" i="9" s="1"/>
  <c r="BD170" i="9" s="1"/>
  <c r="AK170" i="9"/>
  <c r="AN170" i="9" s="1"/>
  <c r="AN161" i="8"/>
  <c r="BB161" i="8"/>
  <c r="BF161" i="8" s="1"/>
  <c r="BD161" i="8" s="1"/>
  <c r="AA161" i="8"/>
  <c r="W162" i="8" s="1"/>
  <c r="BJ161" i="8"/>
  <c r="BK170" i="9" l="1"/>
  <c r="AM170" i="9"/>
  <c r="X171" i="9"/>
  <c r="BA171" i="9"/>
  <c r="BE171" i="9" s="1"/>
  <c r="Z171" i="9"/>
  <c r="Y171" i="9"/>
  <c r="AL171" i="9" s="1"/>
  <c r="AE171" i="9"/>
  <c r="BK161" i="8"/>
  <c r="AM161" i="8"/>
  <c r="BC171" i="9" l="1"/>
  <c r="BJ171" i="9"/>
  <c r="AK171" i="9"/>
  <c r="AN171" i="9" s="1"/>
  <c r="BB171" i="9"/>
  <c r="BF171" i="9" s="1"/>
  <c r="BD171" i="9" s="1"/>
  <c r="AA171" i="9"/>
  <c r="BA162" i="8"/>
  <c r="BE162" i="8" s="1"/>
  <c r="BC162" i="8" s="1"/>
  <c r="X162" i="8"/>
  <c r="AK162" i="8" s="1"/>
  <c r="AE162" i="8"/>
  <c r="Z162" i="8"/>
  <c r="Y162" i="8"/>
  <c r="AL162" i="8" s="1"/>
  <c r="W172" i="9" l="1"/>
  <c r="BK171" i="9"/>
  <c r="AM171" i="9"/>
  <c r="BJ162" i="8"/>
  <c r="AA162" i="8"/>
  <c r="W163" i="8" s="1"/>
  <c r="AN162" i="8"/>
  <c r="BB162" i="8"/>
  <c r="BF162" i="8" s="1"/>
  <c r="BD162" i="8" s="1"/>
  <c r="X172" i="9" l="1"/>
  <c r="AE172" i="9"/>
  <c r="BA172" i="9"/>
  <c r="BE172" i="9" s="1"/>
  <c r="Z172" i="9"/>
  <c r="Y172" i="9"/>
  <c r="AL172" i="9" s="1"/>
  <c r="BK162" i="8"/>
  <c r="AM162" i="8"/>
  <c r="BA163" i="8"/>
  <c r="BE163" i="8" s="1"/>
  <c r="BC163" i="8" s="1"/>
  <c r="AE163" i="8"/>
  <c r="X163" i="8"/>
  <c r="AK163" i="8" s="1"/>
  <c r="Y163" i="8"/>
  <c r="AL163" i="8" s="1"/>
  <c r="Z163" i="8"/>
  <c r="AA172" i="9" l="1"/>
  <c r="W173" i="9" s="1"/>
  <c r="BC172" i="9"/>
  <c r="BJ172" i="9"/>
  <c r="AK172" i="9"/>
  <c r="AN172" i="9" s="1"/>
  <c r="BB172" i="9"/>
  <c r="BF172" i="9" s="1"/>
  <c r="BD172" i="9" s="1"/>
  <c r="AA163" i="8"/>
  <c r="W164" i="8" s="1"/>
  <c r="BJ163" i="8"/>
  <c r="BB163" i="8"/>
  <c r="BF163" i="8" s="1"/>
  <c r="BD163" i="8" s="1"/>
  <c r="AN163" i="8"/>
  <c r="BK172" i="9" l="1"/>
  <c r="AM172" i="9"/>
  <c r="AE173" i="9"/>
  <c r="X173" i="9"/>
  <c r="Z173" i="9"/>
  <c r="Y173" i="9"/>
  <c r="AL173" i="9" s="1"/>
  <c r="BA173" i="9"/>
  <c r="BE173" i="9" s="1"/>
  <c r="BK163" i="8"/>
  <c r="AM163" i="8"/>
  <c r="Y164" i="8"/>
  <c r="AL164" i="8" s="1"/>
  <c r="AE164" i="8"/>
  <c r="BA164" i="8"/>
  <c r="BE164" i="8" s="1"/>
  <c r="BC164" i="8" s="1"/>
  <c r="Z164" i="8"/>
  <c r="X164" i="8"/>
  <c r="AK164" i="8" s="1"/>
  <c r="BB173" i="9" l="1"/>
  <c r="BF173" i="9" s="1"/>
  <c r="BD173" i="9" s="1"/>
  <c r="AK173" i="9"/>
  <c r="AN173" i="9" s="1"/>
  <c r="BC173" i="9"/>
  <c r="BJ173" i="9"/>
  <c r="AA173" i="9"/>
  <c r="AA164" i="8"/>
  <c r="W165" i="8" s="1"/>
  <c r="BJ164" i="8"/>
  <c r="BB164" i="8"/>
  <c r="BF164" i="8" s="1"/>
  <c r="BD164" i="8" s="1"/>
  <c r="AN164" i="8"/>
  <c r="W174" i="9" l="1"/>
  <c r="BK173" i="9"/>
  <c r="AM173" i="9"/>
  <c r="BK164" i="8"/>
  <c r="AM164" i="8"/>
  <c r="AE165" i="8"/>
  <c r="X165" i="8"/>
  <c r="AK165" i="8" s="1"/>
  <c r="Z165" i="8"/>
  <c r="Y165" i="8"/>
  <c r="AL165" i="8" s="1"/>
  <c r="BA165" i="8"/>
  <c r="BE165" i="8" s="1"/>
  <c r="BC165" i="8" s="1"/>
  <c r="X174" i="9" l="1"/>
  <c r="BA174" i="9"/>
  <c r="BE174" i="9" s="1"/>
  <c r="BC174" i="9" s="1"/>
  <c r="AE174" i="9"/>
  <c r="Z174" i="9"/>
  <c r="Y174" i="9"/>
  <c r="AL174" i="9" s="1"/>
  <c r="AA165" i="8"/>
  <c r="BB165" i="8"/>
  <c r="BF165" i="8" s="1"/>
  <c r="BD165" i="8" s="1"/>
  <c r="AN165" i="8"/>
  <c r="BJ165" i="8"/>
  <c r="BJ174" i="9" l="1"/>
  <c r="AA174" i="9"/>
  <c r="BB174" i="9"/>
  <c r="BF174" i="9" s="1"/>
  <c r="BD174" i="9" s="1"/>
  <c r="AK174" i="9"/>
  <c r="AN174" i="9" s="1"/>
  <c r="W166" i="8"/>
  <c r="Y166" i="8" s="1"/>
  <c r="AL166" i="8" s="1"/>
  <c r="BK165" i="8"/>
  <c r="AM165" i="8"/>
  <c r="W175" i="9" l="1"/>
  <c r="BK174" i="9"/>
  <c r="AM174" i="9"/>
  <c r="BA166" i="8"/>
  <c r="BE166" i="8" s="1"/>
  <c r="BC166" i="8" s="1"/>
  <c r="AE166" i="8"/>
  <c r="Z166" i="8"/>
  <c r="X166" i="8"/>
  <c r="AK166" i="8" s="1"/>
  <c r="AN166" i="8" s="1"/>
  <c r="BJ166" i="8" l="1"/>
  <c r="X175" i="9"/>
  <c r="BA175" i="9"/>
  <c r="BE175" i="9" s="1"/>
  <c r="BC175" i="9" s="1"/>
  <c r="AE175" i="9"/>
  <c r="Z175" i="9"/>
  <c r="Y175" i="9"/>
  <c r="AL175" i="9" s="1"/>
  <c r="BB166" i="8"/>
  <c r="BF166" i="8" s="1"/>
  <c r="BD166" i="8" s="1"/>
  <c r="AA166" i="8"/>
  <c r="W167" i="8" s="1"/>
  <c r="AM166" i="8"/>
  <c r="BK166" i="8" l="1"/>
  <c r="BJ175" i="9"/>
  <c r="AA175" i="9"/>
  <c r="BB175" i="9"/>
  <c r="BF175" i="9" s="1"/>
  <c r="BD175" i="9" s="1"/>
  <c r="AK175" i="9"/>
  <c r="AN175" i="9" s="1"/>
  <c r="Z167" i="8"/>
  <c r="X167" i="8"/>
  <c r="AK167" i="8" s="1"/>
  <c r="AE167" i="8"/>
  <c r="BA167" i="8"/>
  <c r="BE167" i="8" s="1"/>
  <c r="BC167" i="8" s="1"/>
  <c r="Y167" i="8"/>
  <c r="AL167" i="8" s="1"/>
  <c r="W176" i="9" l="1"/>
  <c r="BK175" i="9"/>
  <c r="AM175" i="9"/>
  <c r="BJ167" i="8"/>
  <c r="AN167" i="8"/>
  <c r="BB167" i="8"/>
  <c r="BF167" i="8" s="1"/>
  <c r="BD167" i="8" s="1"/>
  <c r="AA167" i="8"/>
  <c r="W168" i="8" s="1"/>
  <c r="X176" i="9" l="1"/>
  <c r="BA176" i="9"/>
  <c r="BE176" i="9" s="1"/>
  <c r="BC176" i="9" s="1"/>
  <c r="Y176" i="9"/>
  <c r="AL176" i="9" s="1"/>
  <c r="AE176" i="9"/>
  <c r="Z176" i="9"/>
  <c r="BK167" i="8"/>
  <c r="AM167" i="8"/>
  <c r="BJ176" i="9" l="1"/>
  <c r="AA176" i="9"/>
  <c r="BB176" i="9"/>
  <c r="BF176" i="9" s="1"/>
  <c r="BD176" i="9" s="1"/>
  <c r="AK176" i="9"/>
  <c r="AN176" i="9" s="1"/>
  <c r="X168" i="8"/>
  <c r="AK168" i="8" s="1"/>
  <c r="Y168" i="8"/>
  <c r="AL168" i="8" s="1"/>
  <c r="AE168" i="8"/>
  <c r="BA168" i="8"/>
  <c r="BE168" i="8" s="1"/>
  <c r="BC168" i="8" s="1"/>
  <c r="Z168" i="8"/>
  <c r="AA168" i="8" l="1"/>
  <c r="W169" i="8" s="1"/>
  <c r="W177" i="9"/>
  <c r="BK176" i="9"/>
  <c r="AM176" i="9"/>
  <c r="BJ168" i="8"/>
  <c r="BB168" i="8"/>
  <c r="BF168" i="8" s="1"/>
  <c r="BD168" i="8" s="1"/>
  <c r="AN168" i="8"/>
  <c r="AE177" i="9" l="1"/>
  <c r="X177" i="9"/>
  <c r="Z177" i="9"/>
  <c r="Y177" i="9"/>
  <c r="AL177" i="9" s="1"/>
  <c r="BA177" i="9"/>
  <c r="BE177" i="9" s="1"/>
  <c r="Y169" i="8"/>
  <c r="AL169" i="8" s="1"/>
  <c r="BA169" i="8"/>
  <c r="BE169" i="8" s="1"/>
  <c r="BC169" i="8" s="1"/>
  <c r="Z169" i="8"/>
  <c r="X169" i="8"/>
  <c r="AK169" i="8" s="1"/>
  <c r="AE169" i="8"/>
  <c r="BK168" i="8"/>
  <c r="AM168" i="8"/>
  <c r="AA177" i="9" l="1"/>
  <c r="BB177" i="9"/>
  <c r="BF177" i="9" s="1"/>
  <c r="BD177" i="9" s="1"/>
  <c r="AK177" i="9"/>
  <c r="AN177" i="9" s="1"/>
  <c r="BC177" i="9"/>
  <c r="BJ177" i="9"/>
  <c r="AA169" i="8"/>
  <c r="W170" i="8" s="1"/>
  <c r="BJ169" i="8"/>
  <c r="BB169" i="8"/>
  <c r="BF169" i="8" s="1"/>
  <c r="BD169" i="8" s="1"/>
  <c r="AN169" i="8"/>
  <c r="W178" i="9" l="1"/>
  <c r="BK177" i="9"/>
  <c r="AM177" i="9"/>
  <c r="BK169" i="8"/>
  <c r="AM169" i="8"/>
  <c r="Z170" i="8"/>
  <c r="AE170" i="8"/>
  <c r="BA170" i="8"/>
  <c r="BE170" i="8" s="1"/>
  <c r="BC170" i="8" s="1"/>
  <c r="X170" i="8"/>
  <c r="Y170" i="8"/>
  <c r="AL170" i="8" s="1"/>
  <c r="Y178" i="9" l="1"/>
  <c r="AL178" i="9" s="1"/>
  <c r="BA178" i="9"/>
  <c r="BE178" i="9" s="1"/>
  <c r="AE178" i="9"/>
  <c r="X178" i="9"/>
  <c r="Z178" i="9"/>
  <c r="AA170" i="8"/>
  <c r="W171" i="8" s="1"/>
  <c r="AK170" i="8"/>
  <c r="AN170" i="8" s="1"/>
  <c r="BJ170" i="8"/>
  <c r="BB170" i="8"/>
  <c r="BF170" i="8" s="1"/>
  <c r="BD170" i="8" s="1"/>
  <c r="AA178" i="9" l="1"/>
  <c r="W179" i="9" s="1"/>
  <c r="BJ178" i="9"/>
  <c r="BB178" i="9"/>
  <c r="BF178" i="9" s="1"/>
  <c r="BD178" i="9" s="1"/>
  <c r="AK178" i="9"/>
  <c r="AN178" i="9" s="1"/>
  <c r="BC178" i="9"/>
  <c r="BK170" i="8"/>
  <c r="AM170" i="8"/>
  <c r="BA171" i="8"/>
  <c r="BE171" i="8" s="1"/>
  <c r="BC171" i="8" s="1"/>
  <c r="AE171" i="8"/>
  <c r="X171" i="8"/>
  <c r="AK171" i="8" s="1"/>
  <c r="Y171" i="8"/>
  <c r="AL171" i="8" s="1"/>
  <c r="Z171" i="8"/>
  <c r="BK178" i="9" l="1"/>
  <c r="AM178" i="9"/>
  <c r="Z179" i="9"/>
  <c r="X179" i="9"/>
  <c r="Y179" i="9"/>
  <c r="AL179" i="9" s="1"/>
  <c r="AE179" i="9"/>
  <c r="BA179" i="9"/>
  <c r="BE179" i="9" s="1"/>
  <c r="AA171" i="8"/>
  <c r="W172" i="8" s="1"/>
  <c r="BJ171" i="8"/>
  <c r="AN171" i="8"/>
  <c r="BB171" i="8"/>
  <c r="BF171" i="8" s="1"/>
  <c r="BD171" i="8" s="1"/>
  <c r="BJ179" i="9" l="1"/>
  <c r="AK179" i="9"/>
  <c r="AN179" i="9" s="1"/>
  <c r="BB179" i="9"/>
  <c r="BF179" i="9" s="1"/>
  <c r="BD179" i="9" s="1"/>
  <c r="AA179" i="9"/>
  <c r="BC179" i="9"/>
  <c r="Y172" i="8"/>
  <c r="AL172" i="8" s="1"/>
  <c r="Z172" i="8"/>
  <c r="AE172" i="8"/>
  <c r="X172" i="8"/>
  <c r="AK172" i="8" s="1"/>
  <c r="BA172" i="8"/>
  <c r="BE172" i="8" s="1"/>
  <c r="BC172" i="8" s="1"/>
  <c r="BK171" i="8"/>
  <c r="AM171" i="8"/>
  <c r="BK179" i="9" l="1"/>
  <c r="AM179" i="9"/>
  <c r="W180" i="9"/>
  <c r="AN172" i="8"/>
  <c r="BB172" i="8"/>
  <c r="BF172" i="8" s="1"/>
  <c r="BD172" i="8" s="1"/>
  <c r="BJ172" i="8"/>
  <c r="AA172" i="8"/>
  <c r="W173" i="8" s="1"/>
  <c r="X180" i="9" l="1"/>
  <c r="Y180" i="9"/>
  <c r="AL180" i="9" s="1"/>
  <c r="AE180" i="9"/>
  <c r="BA180" i="9"/>
  <c r="BE180" i="9" s="1"/>
  <c r="Z180" i="9"/>
  <c r="BK172" i="8"/>
  <c r="AM172" i="8"/>
  <c r="AA180" i="9" l="1"/>
  <c r="W181" i="9" s="1"/>
  <c r="BC180" i="9"/>
  <c r="BJ180" i="9"/>
  <c r="BB180" i="9"/>
  <c r="BF180" i="9" s="1"/>
  <c r="BD180" i="9" s="1"/>
  <c r="AK180" i="9"/>
  <c r="AN180" i="9" s="1"/>
  <c r="Y173" i="8"/>
  <c r="AL173" i="8" s="1"/>
  <c r="BA173" i="8"/>
  <c r="BE173" i="8" s="1"/>
  <c r="BC173" i="8" s="1"/>
  <c r="X173" i="8"/>
  <c r="AK173" i="8" s="1"/>
  <c r="AE173" i="8"/>
  <c r="Z173" i="8"/>
  <c r="BK180" i="9" l="1"/>
  <c r="AM180" i="9"/>
  <c r="BA181" i="9"/>
  <c r="BE181" i="9" s="1"/>
  <c r="Z181" i="9"/>
  <c r="Y181" i="9"/>
  <c r="AL181" i="9" s="1"/>
  <c r="AE181" i="9"/>
  <c r="X181" i="9"/>
  <c r="AA173" i="8"/>
  <c r="W174" i="8" s="1"/>
  <c r="BJ173" i="8"/>
  <c r="BB173" i="8"/>
  <c r="BF173" i="8" s="1"/>
  <c r="BD173" i="8" s="1"/>
  <c r="AN173" i="8"/>
  <c r="AA181" i="9" l="1"/>
  <c r="BB181" i="9"/>
  <c r="BF181" i="9" s="1"/>
  <c r="BD181" i="9" s="1"/>
  <c r="AK181" i="9"/>
  <c r="AN181" i="9" s="1"/>
  <c r="BJ181" i="9"/>
  <c r="BC181" i="9"/>
  <c r="BA174" i="8"/>
  <c r="BE174" i="8" s="1"/>
  <c r="BC174" i="8" s="1"/>
  <c r="AE174" i="8"/>
  <c r="X174" i="8"/>
  <c r="AK174" i="8" s="1"/>
  <c r="Z174" i="8"/>
  <c r="Y174" i="8"/>
  <c r="AL174" i="8" s="1"/>
  <c r="BK173" i="8"/>
  <c r="AM173" i="8"/>
  <c r="BJ174" i="8" l="1"/>
  <c r="BK181" i="9"/>
  <c r="AM181" i="9"/>
  <c r="W182" i="9"/>
  <c r="BB174" i="8"/>
  <c r="BF174" i="8" s="1"/>
  <c r="BD174" i="8" s="1"/>
  <c r="AN174" i="8"/>
  <c r="AA174" i="8"/>
  <c r="W175" i="8" s="1"/>
  <c r="X182" i="9" l="1"/>
  <c r="Y182" i="9"/>
  <c r="AL182" i="9" s="1"/>
  <c r="BA182" i="9"/>
  <c r="BE182" i="9" s="1"/>
  <c r="AE182" i="9"/>
  <c r="Z182" i="9"/>
  <c r="BK174" i="8"/>
  <c r="AM174" i="8"/>
  <c r="AA182" i="9" l="1"/>
  <c r="W183" i="9" s="1"/>
  <c r="BJ182" i="9"/>
  <c r="BC182" i="9"/>
  <c r="AK182" i="9"/>
  <c r="AN182" i="9" s="1"/>
  <c r="BB182" i="9"/>
  <c r="BF182" i="9" s="1"/>
  <c r="BD182" i="9" s="1"/>
  <c r="AE175" i="8"/>
  <c r="X175" i="8"/>
  <c r="AK175" i="8" s="1"/>
  <c r="BA175" i="8"/>
  <c r="BE175" i="8" s="1"/>
  <c r="BC175" i="8" s="1"/>
  <c r="Y175" i="8"/>
  <c r="AL175" i="8" s="1"/>
  <c r="Z175" i="8"/>
  <c r="BK182" i="9" l="1"/>
  <c r="AM182" i="9"/>
  <c r="Z183" i="9"/>
  <c r="X183" i="9"/>
  <c r="BA183" i="9"/>
  <c r="BE183" i="9" s="1"/>
  <c r="AE183" i="9"/>
  <c r="Y183" i="9"/>
  <c r="AL183" i="9" s="1"/>
  <c r="AA175" i="8"/>
  <c r="W176" i="8" s="1"/>
  <c r="BB175" i="8"/>
  <c r="BF175" i="8" s="1"/>
  <c r="BD175" i="8" s="1"/>
  <c r="AN175" i="8"/>
  <c r="BJ175" i="8"/>
  <c r="BJ183" i="9" l="1"/>
  <c r="AK183" i="9"/>
  <c r="AN183" i="9" s="1"/>
  <c r="BB183" i="9"/>
  <c r="BF183" i="9" s="1"/>
  <c r="BD183" i="9" s="1"/>
  <c r="BC183" i="9"/>
  <c r="AA183" i="9"/>
  <c r="BK175" i="8"/>
  <c r="AM175" i="8"/>
  <c r="Z176" i="8"/>
  <c r="BA176" i="8"/>
  <c r="BE176" i="8" s="1"/>
  <c r="BC176" i="8" s="1"/>
  <c r="AE176" i="8"/>
  <c r="Y176" i="8"/>
  <c r="AL176" i="8" s="1"/>
  <c r="X176" i="8"/>
  <c r="AK176" i="8" s="1"/>
  <c r="BK183" i="9" l="1"/>
  <c r="AM183" i="9"/>
  <c r="W184" i="9"/>
  <c r="BJ176" i="8"/>
  <c r="BB176" i="8"/>
  <c r="BF176" i="8" s="1"/>
  <c r="BD176" i="8" s="1"/>
  <c r="AA176" i="8"/>
  <c r="W177" i="8" s="1"/>
  <c r="AN176" i="8"/>
  <c r="BA184" i="9" l="1"/>
  <c r="BE184" i="9" s="1"/>
  <c r="Y184" i="9"/>
  <c r="AL184" i="9" s="1"/>
  <c r="AE184" i="9"/>
  <c r="X184" i="9"/>
  <c r="Z184" i="9"/>
  <c r="BK176" i="8"/>
  <c r="AM176" i="8"/>
  <c r="AA184" i="9" l="1"/>
  <c r="W185" i="9" s="1"/>
  <c r="BB184" i="9"/>
  <c r="BF184" i="9" s="1"/>
  <c r="BD184" i="9" s="1"/>
  <c r="AK184" i="9"/>
  <c r="AN184" i="9" s="1"/>
  <c r="BJ184" i="9"/>
  <c r="BC184" i="9"/>
  <c r="Y177" i="8"/>
  <c r="AL177" i="8" s="1"/>
  <c r="X177" i="8"/>
  <c r="AK177" i="8" s="1"/>
  <c r="AE177" i="8"/>
  <c r="BA177" i="8"/>
  <c r="BE177" i="8" s="1"/>
  <c r="BC177" i="8" s="1"/>
  <c r="Z177" i="8"/>
  <c r="BK184" i="9" l="1"/>
  <c r="AM184" i="9"/>
  <c r="BA185" i="9"/>
  <c r="BE185" i="9" s="1"/>
  <c r="Z185" i="9"/>
  <c r="AE185" i="9"/>
  <c r="Y185" i="9"/>
  <c r="AL185" i="9" s="1"/>
  <c r="X185" i="9"/>
  <c r="BJ177" i="8"/>
  <c r="AN177" i="8"/>
  <c r="BB177" i="8"/>
  <c r="BF177" i="8" s="1"/>
  <c r="BD177" i="8" s="1"/>
  <c r="AA177" i="8"/>
  <c r="W178" i="8" s="1"/>
  <c r="AK185" i="9" l="1"/>
  <c r="AN185" i="9" s="1"/>
  <c r="BB185" i="9"/>
  <c r="BF185" i="9" s="1"/>
  <c r="BD185" i="9" s="1"/>
  <c r="BJ185" i="9"/>
  <c r="AA185" i="9"/>
  <c r="BC185" i="9"/>
  <c r="AM177" i="8"/>
  <c r="BK177" i="8"/>
  <c r="W186" i="9" l="1"/>
  <c r="BK185" i="9"/>
  <c r="AM185" i="9"/>
  <c r="X178" i="8"/>
  <c r="AK178" i="8" s="1"/>
  <c r="AE178" i="8"/>
  <c r="Z178" i="8"/>
  <c r="BA178" i="8"/>
  <c r="BE178" i="8" s="1"/>
  <c r="BC178" i="8" s="1"/>
  <c r="Y178" i="8"/>
  <c r="AL178" i="8" s="1"/>
  <c r="Z186" i="9" l="1"/>
  <c r="X186" i="9"/>
  <c r="AE186" i="9"/>
  <c r="Y186" i="9"/>
  <c r="AL186" i="9" s="1"/>
  <c r="BA186" i="9"/>
  <c r="BE186" i="9" s="1"/>
  <c r="BJ178" i="8"/>
  <c r="BB178" i="8"/>
  <c r="BF178" i="8" s="1"/>
  <c r="BD178" i="8" s="1"/>
  <c r="AA178" i="8"/>
  <c r="W179" i="8" s="1"/>
  <c r="AN178" i="8"/>
  <c r="BJ186" i="9" l="1"/>
  <c r="AK186" i="9"/>
  <c r="AN186" i="9" s="1"/>
  <c r="BB186" i="9"/>
  <c r="BF186" i="9" s="1"/>
  <c r="BD186" i="9" s="1"/>
  <c r="BC186" i="9"/>
  <c r="AA186" i="9"/>
  <c r="BK178" i="8"/>
  <c r="AM178" i="8"/>
  <c r="BK186" i="9" l="1"/>
  <c r="AM186" i="9"/>
  <c r="W187" i="9"/>
  <c r="Z179" i="8"/>
  <c r="AE179" i="8"/>
  <c r="BA179" i="8"/>
  <c r="BE179" i="8" s="1"/>
  <c r="BC179" i="8" s="1"/>
  <c r="Y179" i="8"/>
  <c r="AL179" i="8" s="1"/>
  <c r="X179" i="8"/>
  <c r="AK179" i="8" s="1"/>
  <c r="Z187" i="9" l="1"/>
  <c r="X187" i="9"/>
  <c r="BA187" i="9"/>
  <c r="BE187" i="9" s="1"/>
  <c r="AE187" i="9"/>
  <c r="Y187" i="9"/>
  <c r="AL187" i="9" s="1"/>
  <c r="AN179" i="8"/>
  <c r="BB179" i="8"/>
  <c r="BF179" i="8" s="1"/>
  <c r="BD179" i="8" s="1"/>
  <c r="BJ179" i="8"/>
  <c r="AA179" i="8"/>
  <c r="W180" i="8" s="1"/>
  <c r="AA187" i="9" l="1"/>
  <c r="W188" i="9" s="1"/>
  <c r="BJ187" i="9"/>
  <c r="BC187" i="9"/>
  <c r="AK187" i="9"/>
  <c r="AN187" i="9" s="1"/>
  <c r="BB187" i="9"/>
  <c r="BF187" i="9" s="1"/>
  <c r="BD187" i="9" s="1"/>
  <c r="BK179" i="8"/>
  <c r="AM179" i="8"/>
  <c r="BK187" i="9" l="1"/>
  <c r="AM187" i="9"/>
  <c r="Z188" i="9"/>
  <c r="BA188" i="9"/>
  <c r="BE188" i="9" s="1"/>
  <c r="AE188" i="9"/>
  <c r="X188" i="9"/>
  <c r="Y188" i="9"/>
  <c r="AL188" i="9" s="1"/>
  <c r="BA180" i="8"/>
  <c r="BE180" i="8" s="1"/>
  <c r="BC180" i="8" s="1"/>
  <c r="Y180" i="8"/>
  <c r="AL180" i="8" s="1"/>
  <c r="Z180" i="8"/>
  <c r="AE180" i="8"/>
  <c r="X180" i="8"/>
  <c r="AK180" i="8" s="1"/>
  <c r="AK188" i="9" l="1"/>
  <c r="AN188" i="9" s="1"/>
  <c r="BB188" i="9"/>
  <c r="BF188" i="9" s="1"/>
  <c r="BD188" i="9" s="1"/>
  <c r="BJ188" i="9"/>
  <c r="BC188" i="9"/>
  <c r="AA188" i="9"/>
  <c r="AA180" i="8"/>
  <c r="W181" i="8" s="1"/>
  <c r="AN180" i="8"/>
  <c r="BB180" i="8"/>
  <c r="BF180" i="8" s="1"/>
  <c r="BD180" i="8" s="1"/>
  <c r="BJ180" i="8"/>
  <c r="W189" i="9" l="1"/>
  <c r="BK188" i="9"/>
  <c r="AM188" i="9"/>
  <c r="BK180" i="8"/>
  <c r="AM180" i="8"/>
  <c r="Y189" i="9" l="1"/>
  <c r="AL189" i="9" s="1"/>
  <c r="BA189" i="9"/>
  <c r="BE189" i="9" s="1"/>
  <c r="BC189" i="9" s="1"/>
  <c r="AE189" i="9"/>
  <c r="Z189" i="9"/>
  <c r="X189" i="9"/>
  <c r="BA181" i="8"/>
  <c r="BE181" i="8" s="1"/>
  <c r="BC181" i="8" s="1"/>
  <c r="X181" i="8"/>
  <c r="AK181" i="8" s="1"/>
  <c r="Y181" i="8"/>
  <c r="AL181" i="8" s="1"/>
  <c r="Z181" i="8"/>
  <c r="AE181" i="8"/>
  <c r="AA189" i="9" l="1"/>
  <c r="W190" i="9" s="1"/>
  <c r="BJ189" i="9"/>
  <c r="BB189" i="9"/>
  <c r="BF189" i="9" s="1"/>
  <c r="BD189" i="9" s="1"/>
  <c r="AK189" i="9"/>
  <c r="AN189" i="9" s="1"/>
  <c r="BB181" i="8"/>
  <c r="BF181" i="8" s="1"/>
  <c r="BD181" i="8" s="1"/>
  <c r="AN181" i="8"/>
  <c r="AA181" i="8"/>
  <c r="W182" i="8" s="1"/>
  <c r="BJ181" i="8"/>
  <c r="BK189" i="9" l="1"/>
  <c r="AM189" i="9"/>
  <c r="Y190" i="9"/>
  <c r="AL190" i="9" s="1"/>
  <c r="AE190" i="9"/>
  <c r="Z190" i="9"/>
  <c r="BA190" i="9"/>
  <c r="BE190" i="9" s="1"/>
  <c r="X190" i="9"/>
  <c r="BK181" i="8"/>
  <c r="AM181" i="8"/>
  <c r="BB190" i="9" l="1"/>
  <c r="BF190" i="9" s="1"/>
  <c r="BD190" i="9" s="1"/>
  <c r="AK190" i="9"/>
  <c r="AN190" i="9" s="1"/>
  <c r="BJ190" i="9"/>
  <c r="BC190" i="9"/>
  <c r="AA190" i="9"/>
  <c r="Z182" i="8"/>
  <c r="Y182" i="8"/>
  <c r="AL182" i="8" s="1"/>
  <c r="X182" i="8"/>
  <c r="AK182" i="8" s="1"/>
  <c r="BA182" i="8"/>
  <c r="BE182" i="8" s="1"/>
  <c r="BC182" i="8" s="1"/>
  <c r="AE182" i="8"/>
  <c r="W191" i="9" l="1"/>
  <c r="BK190" i="9"/>
  <c r="AM190" i="9"/>
  <c r="BB182" i="8"/>
  <c r="BF182" i="8" s="1"/>
  <c r="BD182" i="8" s="1"/>
  <c r="AN182" i="8"/>
  <c r="AA182" i="8"/>
  <c r="W183" i="8" s="1"/>
  <c r="BJ182" i="8"/>
  <c r="Z191" i="9" l="1"/>
  <c r="AE191" i="9"/>
  <c r="BA191" i="9"/>
  <c r="BE191" i="9" s="1"/>
  <c r="Y191" i="9"/>
  <c r="AL191" i="9" s="1"/>
  <c r="X191" i="9"/>
  <c r="BK182" i="8"/>
  <c r="AM182" i="8"/>
  <c r="AA191" i="9" l="1"/>
  <c r="W192" i="9" s="1"/>
  <c r="AK191" i="9"/>
  <c r="AN191" i="9" s="1"/>
  <c r="BB191" i="9"/>
  <c r="BF191" i="9" s="1"/>
  <c r="BD191" i="9" s="1"/>
  <c r="BJ191" i="9"/>
  <c r="BC191" i="9"/>
  <c r="Y183" i="8"/>
  <c r="AL183" i="8" s="1"/>
  <c r="BA183" i="8"/>
  <c r="BE183" i="8" s="1"/>
  <c r="BC183" i="8" s="1"/>
  <c r="AE183" i="8"/>
  <c r="Z183" i="8"/>
  <c r="X183" i="8"/>
  <c r="AK183" i="8" s="1"/>
  <c r="BK191" i="9" l="1"/>
  <c r="AM191" i="9"/>
  <c r="Y192" i="9"/>
  <c r="AL192" i="9" s="1"/>
  <c r="BA192" i="9"/>
  <c r="BE192" i="9" s="1"/>
  <c r="AE192" i="9"/>
  <c r="X192" i="9"/>
  <c r="Z192" i="9"/>
  <c r="BJ183" i="8"/>
  <c r="AA183" i="8"/>
  <c r="W184" i="8" s="1"/>
  <c r="AN183" i="8"/>
  <c r="BB183" i="8"/>
  <c r="BF183" i="8" s="1"/>
  <c r="BD183" i="8" s="1"/>
  <c r="AK192" i="9" l="1"/>
  <c r="AN192" i="9" s="1"/>
  <c r="BB192" i="9"/>
  <c r="BF192" i="9" s="1"/>
  <c r="BD192" i="9" s="1"/>
  <c r="BJ192" i="9"/>
  <c r="BC192" i="9"/>
  <c r="AA192" i="9"/>
  <c r="BK183" i="8"/>
  <c r="AM183" i="8"/>
  <c r="W193" i="9" l="1"/>
  <c r="BK192" i="9"/>
  <c r="AM192" i="9"/>
  <c r="X184" i="8"/>
  <c r="AK184" i="8" s="1"/>
  <c r="AE184" i="8"/>
  <c r="BA184" i="8"/>
  <c r="BE184" i="8" s="1"/>
  <c r="BC184" i="8" s="1"/>
  <c r="Y184" i="8"/>
  <c r="AL184" i="8" s="1"/>
  <c r="Z184" i="8"/>
  <c r="AE193" i="9" l="1"/>
  <c r="Z193" i="9"/>
  <c r="X193" i="9"/>
  <c r="BA193" i="9"/>
  <c r="BE193" i="9" s="1"/>
  <c r="Y193" i="9"/>
  <c r="AL193" i="9" s="1"/>
  <c r="AA184" i="8"/>
  <c r="W185" i="8" s="1"/>
  <c r="BJ184" i="8"/>
  <c r="AN184" i="8"/>
  <c r="BB184" i="8"/>
  <c r="BF184" i="8" s="1"/>
  <c r="BD184" i="8" s="1"/>
  <c r="AA193" i="9" l="1"/>
  <c r="W194" i="9" s="1"/>
  <c r="BB193" i="9"/>
  <c r="BF193" i="9" s="1"/>
  <c r="BD193" i="9" s="1"/>
  <c r="AK193" i="9"/>
  <c r="AN193" i="9" s="1"/>
  <c r="BC193" i="9"/>
  <c r="BJ193" i="9"/>
  <c r="Y185" i="8"/>
  <c r="AL185" i="8" s="1"/>
  <c r="X185" i="8"/>
  <c r="AK185" i="8" s="1"/>
  <c r="BA185" i="8"/>
  <c r="BE185" i="8" s="1"/>
  <c r="BC185" i="8" s="1"/>
  <c r="AE185" i="8"/>
  <c r="Z185" i="8"/>
  <c r="BK184" i="8"/>
  <c r="AM184" i="8"/>
  <c r="BA194" i="9" l="1"/>
  <c r="BE194" i="9" s="1"/>
  <c r="BC194" i="9" s="1"/>
  <c r="AE194" i="9"/>
  <c r="Y194" i="9"/>
  <c r="AL194" i="9" s="1"/>
  <c r="X194" i="9"/>
  <c r="Z194" i="9"/>
  <c r="BK193" i="9"/>
  <c r="AM193" i="9"/>
  <c r="AA185" i="8"/>
  <c r="W186" i="8" s="1"/>
  <c r="BJ185" i="8"/>
  <c r="AN185" i="8"/>
  <c r="BB185" i="8"/>
  <c r="BF185" i="8" s="1"/>
  <c r="BD185" i="8" s="1"/>
  <c r="BB194" i="9" l="1"/>
  <c r="BF194" i="9" s="1"/>
  <c r="BD194" i="9" s="1"/>
  <c r="AK194" i="9"/>
  <c r="AN194" i="9" s="1"/>
  <c r="BJ194" i="9"/>
  <c r="AA194" i="9"/>
  <c r="BK185" i="8"/>
  <c r="AM185" i="8"/>
  <c r="Y186" i="8"/>
  <c r="AL186" i="8" s="1"/>
  <c r="X186" i="8"/>
  <c r="AK186" i="8" s="1"/>
  <c r="Z186" i="8"/>
  <c r="BA186" i="8"/>
  <c r="BE186" i="8" s="1"/>
  <c r="BC186" i="8" s="1"/>
  <c r="AE186" i="8"/>
  <c r="W195" i="9" l="1"/>
  <c r="BK194" i="9"/>
  <c r="AM194" i="9"/>
  <c r="BJ186" i="8"/>
  <c r="BB186" i="8"/>
  <c r="BF186" i="8" s="1"/>
  <c r="BD186" i="8" s="1"/>
  <c r="AN186" i="8"/>
  <c r="AA186" i="8"/>
  <c r="W187" i="8" s="1"/>
  <c r="Z195" i="9" l="1"/>
  <c r="BA195" i="9"/>
  <c r="BE195" i="9" s="1"/>
  <c r="AE195" i="9"/>
  <c r="X195" i="9"/>
  <c r="Y195" i="9"/>
  <c r="AL195" i="9" s="1"/>
  <c r="BK186" i="8"/>
  <c r="AM186" i="8"/>
  <c r="AA195" i="9" l="1"/>
  <c r="W196" i="9" s="1"/>
  <c r="BJ195" i="9"/>
  <c r="BB195" i="9"/>
  <c r="BF195" i="9" s="1"/>
  <c r="BD195" i="9" s="1"/>
  <c r="AK195" i="9"/>
  <c r="AN195" i="9" s="1"/>
  <c r="BC195" i="9"/>
  <c r="AE187" i="8"/>
  <c r="Z187" i="8"/>
  <c r="X187" i="8"/>
  <c r="AK187" i="8" s="1"/>
  <c r="Y187" i="8"/>
  <c r="AL187" i="8" s="1"/>
  <c r="BA187" i="8"/>
  <c r="BE187" i="8" s="1"/>
  <c r="BC187" i="8" s="1"/>
  <c r="AA187" i="8" l="1"/>
  <c r="W188" i="8" s="1"/>
  <c r="BK195" i="9"/>
  <c r="AM195" i="9"/>
  <c r="Z196" i="9"/>
  <c r="AE196" i="9"/>
  <c r="BA196" i="9"/>
  <c r="BE196" i="9" s="1"/>
  <c r="Y196" i="9"/>
  <c r="AL196" i="9" s="1"/>
  <c r="X196" i="9"/>
  <c r="BB187" i="8"/>
  <c r="BF187" i="8" s="1"/>
  <c r="BD187" i="8" s="1"/>
  <c r="AN187" i="8"/>
  <c r="BJ187" i="8"/>
  <c r="AK196" i="9" l="1"/>
  <c r="AN196" i="9" s="1"/>
  <c r="BB196" i="9"/>
  <c r="BF196" i="9" s="1"/>
  <c r="BD196" i="9" s="1"/>
  <c r="BC196" i="9"/>
  <c r="BJ196" i="9"/>
  <c r="AA196" i="9"/>
  <c r="Y188" i="8"/>
  <c r="AL188" i="8" s="1"/>
  <c r="Z188" i="8"/>
  <c r="BA188" i="8"/>
  <c r="BE188" i="8" s="1"/>
  <c r="BC188" i="8" s="1"/>
  <c r="AE188" i="8"/>
  <c r="X188" i="8"/>
  <c r="BK187" i="8"/>
  <c r="AM187" i="8"/>
  <c r="W197" i="9" l="1"/>
  <c r="BK196" i="9"/>
  <c r="AM196" i="9"/>
  <c r="AA188" i="8"/>
  <c r="W189" i="8" s="1"/>
  <c r="AK188" i="8"/>
  <c r="AN188" i="8" s="1"/>
  <c r="BJ188" i="8"/>
  <c r="BB188" i="8"/>
  <c r="BF188" i="8" s="1"/>
  <c r="BD188" i="8" s="1"/>
  <c r="AE197" i="9" l="1"/>
  <c r="Z197" i="9"/>
  <c r="BA197" i="9"/>
  <c r="BE197" i="9" s="1"/>
  <c r="Y197" i="9"/>
  <c r="AL197" i="9" s="1"/>
  <c r="X197" i="9"/>
  <c r="AE189" i="8"/>
  <c r="BA189" i="8"/>
  <c r="BE189" i="8" s="1"/>
  <c r="BC189" i="8" s="1"/>
  <c r="X189" i="8"/>
  <c r="AK189" i="8" s="1"/>
  <c r="Y189" i="8"/>
  <c r="AL189" i="8" s="1"/>
  <c r="Z189" i="8"/>
  <c r="BK188" i="8"/>
  <c r="AM188" i="8"/>
  <c r="AA197" i="9" l="1"/>
  <c r="W198" i="9" s="1"/>
  <c r="AK197" i="9"/>
  <c r="AN197" i="9" s="1"/>
  <c r="BB197" i="9"/>
  <c r="BF197" i="9" s="1"/>
  <c r="BD197" i="9" s="1"/>
  <c r="BC197" i="9"/>
  <c r="BJ197" i="9"/>
  <c r="AA189" i="8"/>
  <c r="W190" i="8" s="1"/>
  <c r="BB189" i="8"/>
  <c r="BF189" i="8" s="1"/>
  <c r="BD189" i="8" s="1"/>
  <c r="AN189" i="8"/>
  <c r="BJ189" i="8"/>
  <c r="BK197" i="9" l="1"/>
  <c r="AM197" i="9"/>
  <c r="Z198" i="9"/>
  <c r="Y198" i="9"/>
  <c r="AL198" i="9" s="1"/>
  <c r="BA198" i="9"/>
  <c r="BE198" i="9" s="1"/>
  <c r="AE198" i="9"/>
  <c r="X198" i="9"/>
  <c r="Y190" i="8"/>
  <c r="AL190" i="8" s="1"/>
  <c r="X190" i="8"/>
  <c r="AK190" i="8" s="1"/>
  <c r="AE190" i="8"/>
  <c r="BA190" i="8"/>
  <c r="BE190" i="8" s="1"/>
  <c r="BC190" i="8" s="1"/>
  <c r="Z190" i="8"/>
  <c r="BK189" i="8"/>
  <c r="AM189" i="8"/>
  <c r="AK198" i="9" l="1"/>
  <c r="AN198" i="9" s="1"/>
  <c r="BB198" i="9"/>
  <c r="BF198" i="9" s="1"/>
  <c r="BD198" i="9" s="1"/>
  <c r="BJ198" i="9"/>
  <c r="BC198" i="9"/>
  <c r="AA198" i="9"/>
  <c r="BJ190" i="8"/>
  <c r="BB190" i="8"/>
  <c r="BF190" i="8" s="1"/>
  <c r="BD190" i="8" s="1"/>
  <c r="AN190" i="8"/>
  <c r="AA190" i="8"/>
  <c r="W191" i="8" s="1"/>
  <c r="W199" i="9" l="1"/>
  <c r="BK198" i="9"/>
  <c r="AM198" i="9"/>
  <c r="BK190" i="8"/>
  <c r="AM190" i="8"/>
  <c r="BA199" i="9" l="1"/>
  <c r="BE199" i="9" s="1"/>
  <c r="Z199" i="9"/>
  <c r="Y199" i="9"/>
  <c r="AL199" i="9" s="1"/>
  <c r="X199" i="9"/>
  <c r="AE199" i="9"/>
  <c r="Y191" i="8"/>
  <c r="AL191" i="8" s="1"/>
  <c r="X191" i="8"/>
  <c r="AK191" i="8" s="1"/>
  <c r="BA191" i="8"/>
  <c r="BE191" i="8" s="1"/>
  <c r="BC191" i="8" s="1"/>
  <c r="Z191" i="8"/>
  <c r="AE191" i="8"/>
  <c r="BJ199" i="9" l="1"/>
  <c r="AA199" i="9"/>
  <c r="BB199" i="9"/>
  <c r="BF199" i="9" s="1"/>
  <c r="BD199" i="9" s="1"/>
  <c r="AK199" i="9"/>
  <c r="AN199" i="9" s="1"/>
  <c r="BC199" i="9"/>
  <c r="BJ191" i="8"/>
  <c r="BB191" i="8"/>
  <c r="BF191" i="8" s="1"/>
  <c r="BD191" i="8" s="1"/>
  <c r="AN191" i="8"/>
  <c r="AA191" i="8"/>
  <c r="W192" i="8" s="1"/>
  <c r="BK199" i="9" l="1"/>
  <c r="AM199" i="9"/>
  <c r="W200" i="9"/>
  <c r="BK191" i="8"/>
  <c r="AM191" i="8"/>
  <c r="Y200" i="9" l="1"/>
  <c r="AL200" i="9" s="1"/>
  <c r="AE200" i="9"/>
  <c r="X200" i="9"/>
  <c r="BA200" i="9"/>
  <c r="BE200" i="9" s="1"/>
  <c r="BC200" i="9" s="1"/>
  <c r="Z200" i="9"/>
  <c r="BA192" i="8"/>
  <c r="BE192" i="8" s="1"/>
  <c r="BC192" i="8" s="1"/>
  <c r="Z192" i="8"/>
  <c r="AE192" i="8"/>
  <c r="Y192" i="8"/>
  <c r="AL192" i="8" s="1"/>
  <c r="X192" i="8"/>
  <c r="AK192" i="8" s="1"/>
  <c r="AK200" i="9" l="1"/>
  <c r="AN200" i="9" s="1"/>
  <c r="BB200" i="9"/>
  <c r="BF200" i="9" s="1"/>
  <c r="BD200" i="9" s="1"/>
  <c r="BJ200" i="9"/>
  <c r="AA200" i="9"/>
  <c r="BJ192" i="8"/>
  <c r="AA192" i="8"/>
  <c r="W193" i="8" s="1"/>
  <c r="AN192" i="8"/>
  <c r="BB192" i="8"/>
  <c r="BF192" i="8" s="1"/>
  <c r="BD192" i="8" s="1"/>
  <c r="BK200" i="9" l="1"/>
  <c r="AM200" i="9"/>
  <c r="W201" i="9"/>
  <c r="BK192" i="8"/>
  <c r="AM192" i="8"/>
  <c r="X193" i="8"/>
  <c r="AK193" i="8" s="1"/>
  <c r="Y193" i="8"/>
  <c r="AL193" i="8" s="1"/>
  <c r="AE193" i="8"/>
  <c r="BA193" i="8"/>
  <c r="BE193" i="8" s="1"/>
  <c r="BC193" i="8" s="1"/>
  <c r="Z193" i="8"/>
  <c r="AE201" i="9" l="1"/>
  <c r="X201" i="9"/>
  <c r="Z201" i="9"/>
  <c r="Y201" i="9"/>
  <c r="AL201" i="9" s="1"/>
  <c r="BA201" i="9"/>
  <c r="BE201" i="9" s="1"/>
  <c r="BJ193" i="8"/>
  <c r="BB193" i="8"/>
  <c r="BF193" i="8" s="1"/>
  <c r="BD193" i="8" s="1"/>
  <c r="AN193" i="8"/>
  <c r="AA193" i="8"/>
  <c r="W194" i="8" s="1"/>
  <c r="AA201" i="9" l="1"/>
  <c r="W202" i="9" s="1"/>
  <c r="BC201" i="9"/>
  <c r="AK201" i="9"/>
  <c r="AN201" i="9" s="1"/>
  <c r="BB201" i="9"/>
  <c r="BF201" i="9" s="1"/>
  <c r="BD201" i="9" s="1"/>
  <c r="BJ201" i="9"/>
  <c r="BK193" i="8"/>
  <c r="AM193" i="8"/>
  <c r="BK201" i="9" l="1"/>
  <c r="AM201" i="9"/>
  <c r="X202" i="9"/>
  <c r="Y202" i="9"/>
  <c r="AL202" i="9" s="1"/>
  <c r="BA202" i="9"/>
  <c r="BE202" i="9" s="1"/>
  <c r="AE202" i="9"/>
  <c r="Z202" i="9"/>
  <c r="AE194" i="8"/>
  <c r="Y194" i="8"/>
  <c r="AL194" i="8" s="1"/>
  <c r="BA194" i="8"/>
  <c r="BE194" i="8" s="1"/>
  <c r="BC194" i="8" s="1"/>
  <c r="Z194" i="8"/>
  <c r="X194" i="8"/>
  <c r="AK194" i="8" s="1"/>
  <c r="BJ202" i="9" l="1"/>
  <c r="BC202" i="9"/>
  <c r="AA202" i="9"/>
  <c r="BB202" i="9"/>
  <c r="BF202" i="9" s="1"/>
  <c r="BD202" i="9" s="1"/>
  <c r="AK202" i="9"/>
  <c r="AN202" i="9" s="1"/>
  <c r="AA194" i="8"/>
  <c r="W195" i="8" s="1"/>
  <c r="AN194" i="8"/>
  <c r="BB194" i="8"/>
  <c r="BF194" i="8" s="1"/>
  <c r="BD194" i="8" s="1"/>
  <c r="BJ194" i="8"/>
  <c r="BK202" i="9" l="1"/>
  <c r="AM202" i="9"/>
  <c r="W203" i="9"/>
  <c r="BK194" i="8"/>
  <c r="AM194" i="8"/>
  <c r="BA195" i="8"/>
  <c r="BE195" i="8" s="1"/>
  <c r="BC195" i="8" s="1"/>
  <c r="AE195" i="8"/>
  <c r="Y195" i="8"/>
  <c r="AL195" i="8" s="1"/>
  <c r="X195" i="8"/>
  <c r="AK195" i="8" s="1"/>
  <c r="Z195" i="8"/>
  <c r="BA203" i="9" l="1"/>
  <c r="BE203" i="9" s="1"/>
  <c r="Y203" i="9"/>
  <c r="AL203" i="9" s="1"/>
  <c r="AE203" i="9"/>
  <c r="X203" i="9"/>
  <c r="Z203" i="9"/>
  <c r="BJ195" i="8"/>
  <c r="AA195" i="8"/>
  <c r="W196" i="8" s="1"/>
  <c r="AN195" i="8"/>
  <c r="BB195" i="8"/>
  <c r="BF195" i="8" s="1"/>
  <c r="BD195" i="8" s="1"/>
  <c r="AA203" i="9" l="1"/>
  <c r="W204" i="9" s="1"/>
  <c r="BB203" i="9"/>
  <c r="BF203" i="9" s="1"/>
  <c r="BD203" i="9" s="1"/>
  <c r="AK203" i="9"/>
  <c r="AN203" i="9" s="1"/>
  <c r="BJ203" i="9"/>
  <c r="BC203" i="9"/>
  <c r="AM195" i="8"/>
  <c r="BK195" i="8"/>
  <c r="BK203" i="9" l="1"/>
  <c r="AM203" i="9"/>
  <c r="BA204" i="9"/>
  <c r="BE204" i="9" s="1"/>
  <c r="Y204" i="9"/>
  <c r="AL204" i="9" s="1"/>
  <c r="AE204" i="9"/>
  <c r="X204" i="9"/>
  <c r="Z204" i="9"/>
  <c r="Y196" i="8"/>
  <c r="AL196" i="8" s="1"/>
  <c r="AE196" i="8"/>
  <c r="X196" i="8"/>
  <c r="AK196" i="8" s="1"/>
  <c r="BA196" i="8"/>
  <c r="BE196" i="8" s="1"/>
  <c r="BC196" i="8" s="1"/>
  <c r="Z196" i="8"/>
  <c r="AA196" i="8" l="1"/>
  <c r="W197" i="8" s="1"/>
  <c r="AA204" i="9"/>
  <c r="W205" i="9" s="1"/>
  <c r="BB204" i="9"/>
  <c r="BF204" i="9" s="1"/>
  <c r="BD204" i="9" s="1"/>
  <c r="AK204" i="9"/>
  <c r="AN204" i="9" s="1"/>
  <c r="BJ204" i="9"/>
  <c r="BC204" i="9"/>
  <c r="BB196" i="8"/>
  <c r="BF196" i="8" s="1"/>
  <c r="BD196" i="8" s="1"/>
  <c r="AN196" i="8"/>
  <c r="BJ196" i="8"/>
  <c r="BK204" i="9" l="1"/>
  <c r="AM204" i="9"/>
  <c r="X205" i="9"/>
  <c r="BA205" i="9"/>
  <c r="BE205" i="9" s="1"/>
  <c r="Z205" i="9"/>
  <c r="AE205" i="9"/>
  <c r="Y205" i="9"/>
  <c r="AL205" i="9" s="1"/>
  <c r="BK196" i="8"/>
  <c r="AM196" i="8"/>
  <c r="Y197" i="8"/>
  <c r="AL197" i="8" s="1"/>
  <c r="X197" i="8"/>
  <c r="AK197" i="8" s="1"/>
  <c r="BA197" i="8"/>
  <c r="BE197" i="8" s="1"/>
  <c r="BC197" i="8" s="1"/>
  <c r="Z197" i="8"/>
  <c r="AE197" i="8"/>
  <c r="AA205" i="9" l="1"/>
  <c r="W206" i="9" s="1"/>
  <c r="BJ205" i="9"/>
  <c r="BC205" i="9"/>
  <c r="BB205" i="9"/>
  <c r="BF205" i="9" s="1"/>
  <c r="BD205" i="9" s="1"/>
  <c r="AK205" i="9"/>
  <c r="AN205" i="9" s="1"/>
  <c r="AA197" i="8"/>
  <c r="W198" i="8" s="1"/>
  <c r="BB197" i="8"/>
  <c r="BF197" i="8" s="1"/>
  <c r="BD197" i="8" s="1"/>
  <c r="AN197" i="8"/>
  <c r="BJ197" i="8"/>
  <c r="BK205" i="9" l="1"/>
  <c r="AM205" i="9"/>
  <c r="X206" i="9"/>
  <c r="Z206" i="9"/>
  <c r="BA206" i="9"/>
  <c r="BE206" i="9" s="1"/>
  <c r="AE206" i="9"/>
  <c r="Y206" i="9"/>
  <c r="AL206" i="9" s="1"/>
  <c r="BK197" i="8"/>
  <c r="AM197" i="8"/>
  <c r="BJ206" i="9" l="1"/>
  <c r="BC206" i="9"/>
  <c r="BB206" i="9"/>
  <c r="BF206" i="9" s="1"/>
  <c r="BD206" i="9" s="1"/>
  <c r="AK206" i="9"/>
  <c r="AN206" i="9" s="1"/>
  <c r="AA206" i="9"/>
  <c r="Z198" i="8"/>
  <c r="BA198" i="8"/>
  <c r="BE198" i="8" s="1"/>
  <c r="BC198" i="8" s="1"/>
  <c r="X198" i="8"/>
  <c r="AK198" i="8" s="1"/>
  <c r="AE198" i="8"/>
  <c r="Y198" i="8"/>
  <c r="AL198" i="8" s="1"/>
  <c r="W207" i="9" l="1"/>
  <c r="BK206" i="9"/>
  <c r="AM206" i="9"/>
  <c r="AN198" i="8"/>
  <c r="BB198" i="8"/>
  <c r="BF198" i="8" s="1"/>
  <c r="BD198" i="8" s="1"/>
  <c r="AA198" i="8"/>
  <c r="W199" i="8" s="1"/>
  <c r="BJ198" i="8"/>
  <c r="Z207" i="9" l="1"/>
  <c r="X207" i="9"/>
  <c r="Y207" i="9"/>
  <c r="AL207" i="9" s="1"/>
  <c r="BA207" i="9"/>
  <c r="BE207" i="9" s="1"/>
  <c r="AE207" i="9"/>
  <c r="BK198" i="8"/>
  <c r="AM198" i="8"/>
  <c r="BJ207" i="9" l="1"/>
  <c r="BC207" i="9"/>
  <c r="BB207" i="9"/>
  <c r="BF207" i="9" s="1"/>
  <c r="BD207" i="9" s="1"/>
  <c r="AK207" i="9"/>
  <c r="AN207" i="9" s="1"/>
  <c r="AA207" i="9"/>
  <c r="Y199" i="8"/>
  <c r="AL199" i="8" s="1"/>
  <c r="Z199" i="8"/>
  <c r="AE199" i="8"/>
  <c r="X199" i="8"/>
  <c r="AK199" i="8" s="1"/>
  <c r="BA199" i="8"/>
  <c r="BE199" i="8" s="1"/>
  <c r="BC199" i="8" s="1"/>
  <c r="W208" i="9" l="1"/>
  <c r="BK207" i="9"/>
  <c r="AM207" i="9"/>
  <c r="BJ199" i="8"/>
  <c r="BB199" i="8"/>
  <c r="BF199" i="8" s="1"/>
  <c r="BD199" i="8" s="1"/>
  <c r="AN199" i="8"/>
  <c r="AA199" i="8"/>
  <c r="W200" i="8" s="1"/>
  <c r="BA208" i="9" l="1"/>
  <c r="BE208" i="9" s="1"/>
  <c r="AE208" i="9"/>
  <c r="X208" i="9"/>
  <c r="Z208" i="9"/>
  <c r="Y208" i="9"/>
  <c r="AL208" i="9" s="1"/>
  <c r="BK199" i="8"/>
  <c r="AM199" i="8"/>
  <c r="AA208" i="9" l="1"/>
  <c r="W209" i="9" s="1"/>
  <c r="BJ208" i="9"/>
  <c r="AK208" i="9"/>
  <c r="AN208" i="9" s="1"/>
  <c r="BB208" i="9"/>
  <c r="BF208" i="9" s="1"/>
  <c r="BD208" i="9" s="1"/>
  <c r="BC208" i="9"/>
  <c r="Z200" i="8"/>
  <c r="Y200" i="8"/>
  <c r="AL200" i="8" s="1"/>
  <c r="X200" i="8"/>
  <c r="AK200" i="8" s="1"/>
  <c r="BA200" i="8"/>
  <c r="BE200" i="8" s="1"/>
  <c r="BC200" i="8" s="1"/>
  <c r="AE200" i="8"/>
  <c r="BK208" i="9" l="1"/>
  <c r="AM208" i="9"/>
  <c r="BA209" i="9"/>
  <c r="BE209" i="9" s="1"/>
  <c r="Y209" i="9"/>
  <c r="AL209" i="9" s="1"/>
  <c r="X209" i="9"/>
  <c r="Z209" i="9"/>
  <c r="AE209" i="9"/>
  <c r="BJ200" i="8"/>
  <c r="BB200" i="8"/>
  <c r="BF200" i="8" s="1"/>
  <c r="BD200" i="8" s="1"/>
  <c r="AN200" i="8"/>
  <c r="AA200" i="8"/>
  <c r="W201" i="8" s="1"/>
  <c r="BB209" i="9" l="1"/>
  <c r="BF209" i="9" s="1"/>
  <c r="BD209" i="9" s="1"/>
  <c r="AK209" i="9"/>
  <c r="AN209" i="9" s="1"/>
  <c r="BJ209" i="9"/>
  <c r="BC209" i="9"/>
  <c r="AA209" i="9"/>
  <c r="BK200" i="8"/>
  <c r="AM200" i="8"/>
  <c r="W210" i="9" l="1"/>
  <c r="BK209" i="9"/>
  <c r="AM209" i="9"/>
  <c r="Y201" i="8"/>
  <c r="AL201" i="8" s="1"/>
  <c r="X201" i="8"/>
  <c r="AK201" i="8" s="1"/>
  <c r="BA201" i="8"/>
  <c r="BE201" i="8" s="1"/>
  <c r="BC201" i="8" s="1"/>
  <c r="AE201" i="8"/>
  <c r="Z201" i="8"/>
  <c r="BA210" i="9" l="1"/>
  <c r="BE210" i="9" s="1"/>
  <c r="Y210" i="9"/>
  <c r="AL210" i="9" s="1"/>
  <c r="AE210" i="9"/>
  <c r="Z210" i="9"/>
  <c r="X210" i="9"/>
  <c r="BJ201" i="8"/>
  <c r="AN201" i="8"/>
  <c r="BB201" i="8"/>
  <c r="BF201" i="8" s="1"/>
  <c r="BD201" i="8" s="1"/>
  <c r="AA201" i="8"/>
  <c r="W202" i="8" s="1"/>
  <c r="AA210" i="9" l="1"/>
  <c r="W211" i="9" s="1"/>
  <c r="AK210" i="9"/>
  <c r="AN210" i="9" s="1"/>
  <c r="BB210" i="9"/>
  <c r="BF210" i="9" s="1"/>
  <c r="BD210" i="9" s="1"/>
  <c r="BJ210" i="9"/>
  <c r="BC210" i="9"/>
  <c r="BK201" i="8"/>
  <c r="AM201" i="8"/>
  <c r="BK210" i="9" l="1"/>
  <c r="AM210" i="9"/>
  <c r="Y211" i="9"/>
  <c r="AL211" i="9" s="1"/>
  <c r="X211" i="9"/>
  <c r="BA211" i="9"/>
  <c r="BE211" i="9" s="1"/>
  <c r="Z211" i="9"/>
  <c r="AE211" i="9"/>
  <c r="Y202" i="8"/>
  <c r="AL202" i="8" s="1"/>
  <c r="Z202" i="8"/>
  <c r="X202" i="8"/>
  <c r="AK202" i="8" s="1"/>
  <c r="BA202" i="8"/>
  <c r="BE202" i="8" s="1"/>
  <c r="BC202" i="8" s="1"/>
  <c r="AE202" i="8"/>
  <c r="BJ211" i="9" l="1"/>
  <c r="BC211" i="9"/>
  <c r="BB211" i="9"/>
  <c r="BF211" i="9" s="1"/>
  <c r="BD211" i="9" s="1"/>
  <c r="AK211" i="9"/>
  <c r="AN211" i="9" s="1"/>
  <c r="AA211" i="9"/>
  <c r="AA202" i="8"/>
  <c r="W203" i="8" s="1"/>
  <c r="BJ202" i="8"/>
  <c r="BB202" i="8"/>
  <c r="BF202" i="8" s="1"/>
  <c r="BD202" i="8" s="1"/>
  <c r="AN202" i="8"/>
  <c r="W212" i="9" l="1"/>
  <c r="BK211" i="9"/>
  <c r="AM211" i="9"/>
  <c r="BK202" i="8"/>
  <c r="AM202" i="8"/>
  <c r="X203" i="8"/>
  <c r="AK203" i="8" s="1"/>
  <c r="BA203" i="8"/>
  <c r="BE203" i="8" s="1"/>
  <c r="BC203" i="8" s="1"/>
  <c r="Z203" i="8"/>
  <c r="Y203" i="8"/>
  <c r="AL203" i="8" s="1"/>
  <c r="AE203" i="8"/>
  <c r="X212" i="9" l="1"/>
  <c r="Y212" i="9"/>
  <c r="AL212" i="9" s="1"/>
  <c r="Z212" i="9"/>
  <c r="AE212" i="9"/>
  <c r="BA212" i="9"/>
  <c r="BE212" i="9" s="1"/>
  <c r="AA203" i="8"/>
  <c r="W204" i="8" s="1"/>
  <c r="BJ203" i="8"/>
  <c r="BB203" i="8"/>
  <c r="BF203" i="8" s="1"/>
  <c r="BD203" i="8" s="1"/>
  <c r="AN203" i="8"/>
  <c r="AA212" i="9" l="1"/>
  <c r="W213" i="9" s="1"/>
  <c r="BJ212" i="9"/>
  <c r="BC212" i="9"/>
  <c r="BB212" i="9"/>
  <c r="BF212" i="9" s="1"/>
  <c r="BD212" i="9" s="1"/>
  <c r="AK212" i="9"/>
  <c r="AN212" i="9" s="1"/>
  <c r="BK203" i="8"/>
  <c r="AM203" i="8"/>
  <c r="BA204" i="8"/>
  <c r="BE204" i="8" s="1"/>
  <c r="BC204" i="8" s="1"/>
  <c r="X204" i="8"/>
  <c r="AK204" i="8" s="1"/>
  <c r="AE204" i="8"/>
  <c r="Z204" i="8"/>
  <c r="Y204" i="8"/>
  <c r="AL204" i="8" s="1"/>
  <c r="BK212" i="9" l="1"/>
  <c r="AM212" i="9"/>
  <c r="BA213" i="9"/>
  <c r="BE213" i="9" s="1"/>
  <c r="Y213" i="9"/>
  <c r="AL213" i="9" s="1"/>
  <c r="Z213" i="9"/>
  <c r="AE213" i="9"/>
  <c r="X213" i="9"/>
  <c r="AA204" i="8"/>
  <c r="W205" i="8" s="1"/>
  <c r="BJ204" i="8"/>
  <c r="BB204" i="8"/>
  <c r="BF204" i="8" s="1"/>
  <c r="BD204" i="8" s="1"/>
  <c r="AN204" i="8"/>
  <c r="BB213" i="9" l="1"/>
  <c r="BF213" i="9" s="1"/>
  <c r="BD213" i="9" s="1"/>
  <c r="AK213" i="9"/>
  <c r="AN213" i="9" s="1"/>
  <c r="BJ213" i="9"/>
  <c r="BC213" i="9"/>
  <c r="AA213" i="9"/>
  <c r="BK204" i="8"/>
  <c r="AM204" i="8"/>
  <c r="AE205" i="8"/>
  <c r="X205" i="8"/>
  <c r="AK205" i="8" s="1"/>
  <c r="BA205" i="8"/>
  <c r="BE205" i="8" s="1"/>
  <c r="BC205" i="8" s="1"/>
  <c r="Y205" i="8"/>
  <c r="AL205" i="8" s="1"/>
  <c r="Z205" i="8"/>
  <c r="W214" i="9" l="1"/>
  <c r="BK213" i="9"/>
  <c r="AM213" i="9"/>
  <c r="BB205" i="8"/>
  <c r="BF205" i="8" s="1"/>
  <c r="BD205" i="8" s="1"/>
  <c r="AN205" i="8"/>
  <c r="BJ205" i="8"/>
  <c r="AA205" i="8"/>
  <c r="W206" i="8" s="1"/>
  <c r="X214" i="9" l="1"/>
  <c r="AE214" i="9"/>
  <c r="Z214" i="9"/>
  <c r="Y214" i="9"/>
  <c r="AL214" i="9" s="1"/>
  <c r="BA214" i="9"/>
  <c r="BE214" i="9" s="1"/>
  <c r="AM205" i="8"/>
  <c r="BK205" i="8"/>
  <c r="AA214" i="9" l="1"/>
  <c r="W215" i="9" s="1"/>
  <c r="BC214" i="9"/>
  <c r="BJ214" i="9"/>
  <c r="BB214" i="9"/>
  <c r="BF214" i="9" s="1"/>
  <c r="BD214" i="9" s="1"/>
  <c r="AK214" i="9"/>
  <c r="AN214" i="9" s="1"/>
  <c r="BA206" i="8"/>
  <c r="BE206" i="8" s="1"/>
  <c r="BC206" i="8" s="1"/>
  <c r="Y206" i="8"/>
  <c r="AL206" i="8" s="1"/>
  <c r="AE206" i="8"/>
  <c r="Z206" i="8"/>
  <c r="X206" i="8"/>
  <c r="AK206" i="8" s="1"/>
  <c r="BK214" i="9" l="1"/>
  <c r="AM214" i="9"/>
  <c r="X215" i="9"/>
  <c r="AE215" i="9"/>
  <c r="Y215" i="9"/>
  <c r="AL215" i="9" s="1"/>
  <c r="BA215" i="9"/>
  <c r="BE215" i="9" s="1"/>
  <c r="Z215" i="9"/>
  <c r="BJ206" i="8"/>
  <c r="BB206" i="8"/>
  <c r="BF206" i="8" s="1"/>
  <c r="BD206" i="8" s="1"/>
  <c r="AN206" i="8"/>
  <c r="AA206" i="8"/>
  <c r="W207" i="8" s="1"/>
  <c r="BC215" i="9" l="1"/>
  <c r="BJ215" i="9"/>
  <c r="BB215" i="9"/>
  <c r="BF215" i="9" s="1"/>
  <c r="BD215" i="9" s="1"/>
  <c r="AK215" i="9"/>
  <c r="AN215" i="9" s="1"/>
  <c r="AA215" i="9"/>
  <c r="BK206" i="8"/>
  <c r="AM206" i="8"/>
  <c r="W216" i="9" l="1"/>
  <c r="BK215" i="9"/>
  <c r="AM215" i="9"/>
  <c r="Z207" i="8"/>
  <c r="X207" i="8"/>
  <c r="AK207" i="8" s="1"/>
  <c r="AE207" i="8"/>
  <c r="BA207" i="8"/>
  <c r="BE207" i="8" s="1"/>
  <c r="BC207" i="8" s="1"/>
  <c r="Y207" i="8"/>
  <c r="AL207" i="8" s="1"/>
  <c r="Z216" i="9" l="1"/>
  <c r="Y216" i="9"/>
  <c r="AL216" i="9" s="1"/>
  <c r="X216" i="9"/>
  <c r="AE216" i="9"/>
  <c r="BA216" i="9"/>
  <c r="BE216" i="9" s="1"/>
  <c r="BJ207" i="8"/>
  <c r="AN207" i="8"/>
  <c r="BB207" i="8"/>
  <c r="BF207" i="8" s="1"/>
  <c r="BD207" i="8" s="1"/>
  <c r="AA207" i="8"/>
  <c r="W208" i="8" s="1"/>
  <c r="AK216" i="9" l="1"/>
  <c r="AN216" i="9" s="1"/>
  <c r="BB216" i="9"/>
  <c r="BF216" i="9" s="1"/>
  <c r="BD216" i="9" s="1"/>
  <c r="BC216" i="9"/>
  <c r="BJ216" i="9"/>
  <c r="AA216" i="9"/>
  <c r="BK207" i="8"/>
  <c r="AM207" i="8"/>
  <c r="W217" i="9" l="1"/>
  <c r="BK216" i="9"/>
  <c r="AM216" i="9"/>
  <c r="Y208" i="8"/>
  <c r="AL208" i="8" s="1"/>
  <c r="Z208" i="8"/>
  <c r="BA208" i="8"/>
  <c r="BE208" i="8" s="1"/>
  <c r="BC208" i="8" s="1"/>
  <c r="AE208" i="8"/>
  <c r="X208" i="8"/>
  <c r="AK208" i="8" s="1"/>
  <c r="X217" i="9" l="1"/>
  <c r="BA217" i="9"/>
  <c r="BE217" i="9" s="1"/>
  <c r="AE217" i="9"/>
  <c r="Y217" i="9"/>
  <c r="AL217" i="9" s="1"/>
  <c r="Z217" i="9"/>
  <c r="BJ208" i="8"/>
  <c r="AA208" i="8"/>
  <c r="W209" i="8" s="1"/>
  <c r="BB208" i="8"/>
  <c r="BF208" i="8" s="1"/>
  <c r="BD208" i="8" s="1"/>
  <c r="AN208" i="8"/>
  <c r="AA217" i="9" l="1"/>
  <c r="W218" i="9" s="1"/>
  <c r="BJ217" i="9"/>
  <c r="BC217" i="9"/>
  <c r="AK217" i="9"/>
  <c r="AN217" i="9" s="1"/>
  <c r="BB217" i="9"/>
  <c r="BF217" i="9" s="1"/>
  <c r="BD217" i="9" s="1"/>
  <c r="BK208" i="8"/>
  <c r="AM208" i="8"/>
  <c r="BK217" i="9" l="1"/>
  <c r="AM217" i="9"/>
  <c r="BA218" i="9"/>
  <c r="BE218" i="9" s="1"/>
  <c r="AE218" i="9"/>
  <c r="X218" i="9"/>
  <c r="Y218" i="9"/>
  <c r="AL218" i="9" s="1"/>
  <c r="Z218" i="9"/>
  <c r="BA209" i="8"/>
  <c r="BE209" i="8" s="1"/>
  <c r="BC209" i="8" s="1"/>
  <c r="Y209" i="8"/>
  <c r="AL209" i="8" s="1"/>
  <c r="X209" i="8"/>
  <c r="AK209" i="8" s="1"/>
  <c r="AE209" i="8"/>
  <c r="Z209" i="8"/>
  <c r="BB218" i="9" l="1"/>
  <c r="BF218" i="9" s="1"/>
  <c r="BD218" i="9" s="1"/>
  <c r="AK218" i="9"/>
  <c r="AN218" i="9" s="1"/>
  <c r="BJ218" i="9"/>
  <c r="BC218" i="9"/>
  <c r="AA218" i="9"/>
  <c r="BJ209" i="8"/>
  <c r="AA209" i="8"/>
  <c r="W210" i="8" s="1"/>
  <c r="BB209" i="8"/>
  <c r="BF209" i="8" s="1"/>
  <c r="BD209" i="8" s="1"/>
  <c r="AN209" i="8"/>
  <c r="W219" i="9" l="1"/>
  <c r="BK218" i="9"/>
  <c r="AM218" i="9"/>
  <c r="BK209" i="8"/>
  <c r="AM209" i="8"/>
  <c r="Z210" i="8"/>
  <c r="BA210" i="8"/>
  <c r="BE210" i="8" s="1"/>
  <c r="BC210" i="8" s="1"/>
  <c r="X210" i="8"/>
  <c r="AK210" i="8" s="1"/>
  <c r="AE210" i="8"/>
  <c r="Y210" i="8"/>
  <c r="AL210" i="8" s="1"/>
  <c r="Z219" i="9" l="1"/>
  <c r="Y219" i="9"/>
  <c r="AL219" i="9" s="1"/>
  <c r="AE219" i="9"/>
  <c r="X219" i="9"/>
  <c r="BA219" i="9"/>
  <c r="BE219" i="9" s="1"/>
  <c r="BJ210" i="8"/>
  <c r="AA210" i="8"/>
  <c r="W211" i="8" s="1"/>
  <c r="BB210" i="8"/>
  <c r="BF210" i="8" s="1"/>
  <c r="BD210" i="8" s="1"/>
  <c r="AN210" i="8"/>
  <c r="AA219" i="9" l="1"/>
  <c r="W220" i="9" s="1"/>
  <c r="BC219" i="9"/>
  <c r="BB219" i="9"/>
  <c r="BF219" i="9" s="1"/>
  <c r="BD219" i="9" s="1"/>
  <c r="AK219" i="9"/>
  <c r="AN219" i="9" s="1"/>
  <c r="BJ219" i="9"/>
  <c r="BK210" i="8"/>
  <c r="AM210" i="8"/>
  <c r="BK219" i="9" l="1"/>
  <c r="AM219" i="9"/>
  <c r="Y220" i="9"/>
  <c r="AL220" i="9" s="1"/>
  <c r="AE220" i="9"/>
  <c r="BA220" i="9"/>
  <c r="BE220" i="9" s="1"/>
  <c r="Z220" i="9"/>
  <c r="X220" i="9"/>
  <c r="X211" i="8"/>
  <c r="AK211" i="8" s="1"/>
  <c r="Z211" i="8"/>
  <c r="BA211" i="8"/>
  <c r="BE211" i="8" s="1"/>
  <c r="BC211" i="8" s="1"/>
  <c r="AE211" i="8"/>
  <c r="Y211" i="8"/>
  <c r="AL211" i="8" s="1"/>
  <c r="BB220" i="9" l="1"/>
  <c r="BF220" i="9" s="1"/>
  <c r="BD220" i="9" s="1"/>
  <c r="AK220" i="9"/>
  <c r="AN220" i="9" s="1"/>
  <c r="BC220" i="9"/>
  <c r="BJ220" i="9"/>
  <c r="AA220" i="9"/>
  <c r="BJ211" i="8"/>
  <c r="AA211" i="8"/>
  <c r="W212" i="8" s="1"/>
  <c r="BB211" i="8"/>
  <c r="BF211" i="8" s="1"/>
  <c r="BD211" i="8" s="1"/>
  <c r="AN211" i="8"/>
  <c r="W221" i="9" l="1"/>
  <c r="BK220" i="9"/>
  <c r="AM220" i="9"/>
  <c r="BK211" i="8"/>
  <c r="AM211" i="8"/>
  <c r="BA212" i="8"/>
  <c r="BE212" i="8" s="1"/>
  <c r="BC212" i="8" s="1"/>
  <c r="Y212" i="8"/>
  <c r="AL212" i="8" s="1"/>
  <c r="Z212" i="8"/>
  <c r="AE212" i="8"/>
  <c r="X212" i="8"/>
  <c r="AK212" i="8" s="1"/>
  <c r="Z221" i="9" l="1"/>
  <c r="BA221" i="9"/>
  <c r="BE221" i="9" s="1"/>
  <c r="AE221" i="9"/>
  <c r="X221" i="9"/>
  <c r="Y221" i="9"/>
  <c r="AL221" i="9" s="1"/>
  <c r="AA212" i="8"/>
  <c r="W213" i="8" s="1"/>
  <c r="BB212" i="8"/>
  <c r="BF212" i="8" s="1"/>
  <c r="BD212" i="8" s="1"/>
  <c r="AN212" i="8"/>
  <c r="BJ212" i="8"/>
  <c r="AA221" i="9" l="1"/>
  <c r="W222" i="9" s="1"/>
  <c r="BJ221" i="9"/>
  <c r="BB221" i="9"/>
  <c r="BF221" i="9" s="1"/>
  <c r="BD221" i="9" s="1"/>
  <c r="AK221" i="9"/>
  <c r="AN221" i="9" s="1"/>
  <c r="BC221" i="9"/>
  <c r="BK212" i="8"/>
  <c r="AM212" i="8"/>
  <c r="BK221" i="9" l="1"/>
  <c r="AM221" i="9"/>
  <c r="AE222" i="9"/>
  <c r="X222" i="9"/>
  <c r="Z222" i="9"/>
  <c r="Y222" i="9"/>
  <c r="AL222" i="9" s="1"/>
  <c r="BA222" i="9"/>
  <c r="BE222" i="9" s="1"/>
  <c r="X213" i="8"/>
  <c r="AK213" i="8" s="1"/>
  <c r="AE213" i="8"/>
  <c r="BA213" i="8"/>
  <c r="BE213" i="8" s="1"/>
  <c r="BC213" i="8" s="1"/>
  <c r="Z213" i="8"/>
  <c r="Y213" i="8"/>
  <c r="AL213" i="8" s="1"/>
  <c r="BC222" i="9" l="1"/>
  <c r="AA222" i="9"/>
  <c r="BB222" i="9"/>
  <c r="BF222" i="9" s="1"/>
  <c r="BD222" i="9" s="1"/>
  <c r="AK222" i="9"/>
  <c r="AN222" i="9" s="1"/>
  <c r="BJ222" i="9"/>
  <c r="AA213" i="8"/>
  <c r="W214" i="8" s="1"/>
  <c r="BJ213" i="8"/>
  <c r="AN213" i="8"/>
  <c r="BB213" i="8"/>
  <c r="BF213" i="8" s="1"/>
  <c r="BD213" i="8" s="1"/>
  <c r="BK222" i="9" l="1"/>
  <c r="AM222" i="9"/>
  <c r="W223" i="9"/>
  <c r="BK213" i="8"/>
  <c r="AM213" i="8"/>
  <c r="X214" i="8"/>
  <c r="AK214" i="8" s="1"/>
  <c r="Z214" i="8"/>
  <c r="Y214" i="8"/>
  <c r="AL214" i="8" s="1"/>
  <c r="BA214" i="8"/>
  <c r="BE214" i="8" s="1"/>
  <c r="BC214" i="8" s="1"/>
  <c r="AE214" i="8"/>
  <c r="BA223" i="9" l="1"/>
  <c r="BE223" i="9" s="1"/>
  <c r="Z223" i="9"/>
  <c r="X223" i="9"/>
  <c r="Y223" i="9"/>
  <c r="AL223" i="9" s="1"/>
  <c r="AE223" i="9"/>
  <c r="BJ214" i="8"/>
  <c r="AA214" i="8"/>
  <c r="W215" i="8" s="1"/>
  <c r="AN214" i="8"/>
  <c r="BB214" i="8"/>
  <c r="BF214" i="8" s="1"/>
  <c r="BD214" i="8" s="1"/>
  <c r="BJ223" i="9" l="1"/>
  <c r="BB223" i="9"/>
  <c r="BF223" i="9" s="1"/>
  <c r="BD223" i="9" s="1"/>
  <c r="AK223" i="9"/>
  <c r="AN223" i="9" s="1"/>
  <c r="AA223" i="9"/>
  <c r="BC223" i="9"/>
  <c r="BK214" i="8"/>
  <c r="AM214" i="8"/>
  <c r="Y215" i="8"/>
  <c r="AL215" i="8" s="1"/>
  <c r="BA215" i="8"/>
  <c r="BE215" i="8" s="1"/>
  <c r="BC215" i="8" s="1"/>
  <c r="Z215" i="8"/>
  <c r="AE215" i="8"/>
  <c r="X215" i="8"/>
  <c r="AK215" i="8" s="1"/>
  <c r="W224" i="9" l="1"/>
  <c r="BK223" i="9"/>
  <c r="AM223" i="9"/>
  <c r="AA215" i="8"/>
  <c r="W216" i="8" s="1"/>
  <c r="BB215" i="8"/>
  <c r="BF215" i="8" s="1"/>
  <c r="BD215" i="8" s="1"/>
  <c r="AN215" i="8"/>
  <c r="BJ215" i="8"/>
  <c r="X224" i="9" l="1"/>
  <c r="Y224" i="9"/>
  <c r="AL224" i="9" s="1"/>
  <c r="BA224" i="9"/>
  <c r="BE224" i="9" s="1"/>
  <c r="Z224" i="9"/>
  <c r="AE224" i="9"/>
  <c r="BK215" i="8"/>
  <c r="AM215" i="8"/>
  <c r="AA224" i="9" l="1"/>
  <c r="W225" i="9" s="1"/>
  <c r="BJ224" i="9"/>
  <c r="BC224" i="9"/>
  <c r="AK224" i="9"/>
  <c r="AN224" i="9" s="1"/>
  <c r="BB224" i="9"/>
  <c r="BF224" i="9" s="1"/>
  <c r="BD224" i="9" s="1"/>
  <c r="X216" i="8"/>
  <c r="AK216" i="8" s="1"/>
  <c r="BA216" i="8"/>
  <c r="BE216" i="8" s="1"/>
  <c r="BC216" i="8" s="1"/>
  <c r="AE216" i="8"/>
  <c r="Z216" i="8"/>
  <c r="Y216" i="8"/>
  <c r="AL216" i="8" s="1"/>
  <c r="BK224" i="9" l="1"/>
  <c r="AM224" i="9"/>
  <c r="X225" i="9"/>
  <c r="Z225" i="9"/>
  <c r="Y225" i="9"/>
  <c r="AL225" i="9" s="1"/>
  <c r="BA225" i="9"/>
  <c r="BE225" i="9" s="1"/>
  <c r="AE225" i="9"/>
  <c r="AA216" i="8"/>
  <c r="W217" i="8" s="1"/>
  <c r="BJ216" i="8"/>
  <c r="BB216" i="8"/>
  <c r="BF216" i="8" s="1"/>
  <c r="BD216" i="8" s="1"/>
  <c r="AN216" i="8"/>
  <c r="BC225" i="9" l="1"/>
  <c r="BJ225" i="9"/>
  <c r="BB225" i="9"/>
  <c r="BF225" i="9" s="1"/>
  <c r="BD225" i="9" s="1"/>
  <c r="AK225" i="9"/>
  <c r="AN225" i="9" s="1"/>
  <c r="AA225" i="9"/>
  <c r="BK216" i="8"/>
  <c r="AM216" i="8"/>
  <c r="BA217" i="8"/>
  <c r="BE217" i="8" s="1"/>
  <c r="BC217" i="8" s="1"/>
  <c r="Y217" i="8"/>
  <c r="AL217" i="8" s="1"/>
  <c r="AE217" i="8"/>
  <c r="Z217" i="8"/>
  <c r="X217" i="8"/>
  <c r="AK217" i="8" s="1"/>
  <c r="W226" i="9" l="1"/>
  <c r="BK225" i="9"/>
  <c r="AM225" i="9"/>
  <c r="BJ217" i="8"/>
  <c r="AA217" i="8"/>
  <c r="W218" i="8" s="1"/>
  <c r="AN217" i="8"/>
  <c r="BB217" i="8"/>
  <c r="BF217" i="8" s="1"/>
  <c r="BD217" i="8" s="1"/>
  <c r="AE226" i="9" l="1"/>
  <c r="BA226" i="9"/>
  <c r="BE226" i="9" s="1"/>
  <c r="Z226" i="9"/>
  <c r="Y226" i="9"/>
  <c r="AL226" i="9" s="1"/>
  <c r="X226" i="9"/>
  <c r="BK217" i="8"/>
  <c r="AM217" i="8"/>
  <c r="AA226" i="9" l="1"/>
  <c r="W227" i="9" s="1"/>
  <c r="BC226" i="9"/>
  <c r="AK226" i="9"/>
  <c r="AN226" i="9" s="1"/>
  <c r="BB226" i="9"/>
  <c r="BF226" i="9" s="1"/>
  <c r="BD226" i="9" s="1"/>
  <c r="BJ226" i="9"/>
  <c r="AE218" i="8"/>
  <c r="BA218" i="8"/>
  <c r="BE218" i="8" s="1"/>
  <c r="BC218" i="8" s="1"/>
  <c r="Z218" i="8"/>
  <c r="X218" i="8"/>
  <c r="AK218" i="8" s="1"/>
  <c r="Y218" i="8"/>
  <c r="AL218" i="8" s="1"/>
  <c r="BK226" i="9" l="1"/>
  <c r="AM226" i="9"/>
  <c r="BA227" i="9"/>
  <c r="BE227" i="9" s="1"/>
  <c r="Y227" i="9"/>
  <c r="AL227" i="9" s="1"/>
  <c r="X227" i="9"/>
  <c r="AE227" i="9"/>
  <c r="Z227" i="9"/>
  <c r="AN218" i="8"/>
  <c r="BB218" i="8"/>
  <c r="BF218" i="8" s="1"/>
  <c r="BD218" i="8" s="1"/>
  <c r="AA218" i="8"/>
  <c r="W219" i="8" s="1"/>
  <c r="BJ218" i="8"/>
  <c r="AA227" i="9" l="1"/>
  <c r="W228" i="9" s="1"/>
  <c r="BJ227" i="9"/>
  <c r="BB227" i="9"/>
  <c r="BF227" i="9" s="1"/>
  <c r="BD227" i="9" s="1"/>
  <c r="AK227" i="9"/>
  <c r="AN227" i="9" s="1"/>
  <c r="BC227" i="9"/>
  <c r="BK218" i="8"/>
  <c r="AM218" i="8"/>
  <c r="BK227" i="9" l="1"/>
  <c r="AM227" i="9"/>
  <c r="Z228" i="9"/>
  <c r="X228" i="9"/>
  <c r="BA228" i="9"/>
  <c r="BE228" i="9" s="1"/>
  <c r="BC228" i="9" s="1"/>
  <c r="AE228" i="9"/>
  <c r="Y228" i="9"/>
  <c r="AL228" i="9" s="1"/>
  <c r="X219" i="8"/>
  <c r="AK219" i="8" s="1"/>
  <c r="BA219" i="8"/>
  <c r="BE219" i="8" s="1"/>
  <c r="BC219" i="8" s="1"/>
  <c r="Z219" i="8"/>
  <c r="Y219" i="8"/>
  <c r="AL219" i="8" s="1"/>
  <c r="AE219" i="8"/>
  <c r="BJ228" i="9" l="1"/>
  <c r="AA228" i="9"/>
  <c r="AK228" i="9"/>
  <c r="AN228" i="9" s="1"/>
  <c r="BB228" i="9"/>
  <c r="BF228" i="9" s="1"/>
  <c r="BD228" i="9" s="1"/>
  <c r="AA219" i="8"/>
  <c r="W220" i="8" s="1"/>
  <c r="BB219" i="8"/>
  <c r="BF219" i="8" s="1"/>
  <c r="BD219" i="8" s="1"/>
  <c r="AN219" i="8"/>
  <c r="BJ219" i="8"/>
  <c r="W229" i="9" l="1"/>
  <c r="BK228" i="9"/>
  <c r="AM228" i="9"/>
  <c r="BK219" i="8"/>
  <c r="AM219" i="8"/>
  <c r="X220" i="8"/>
  <c r="AK220" i="8" s="1"/>
  <c r="Y220" i="8"/>
  <c r="AL220" i="8" s="1"/>
  <c r="BA220" i="8"/>
  <c r="BE220" i="8" s="1"/>
  <c r="BC220" i="8" s="1"/>
  <c r="AE220" i="8"/>
  <c r="Z220" i="8"/>
  <c r="Z229" i="9" l="1"/>
  <c r="BA229" i="9"/>
  <c r="BE229" i="9" s="1"/>
  <c r="Y229" i="9"/>
  <c r="AL229" i="9" s="1"/>
  <c r="X229" i="9"/>
  <c r="AE229" i="9"/>
  <c r="BJ220" i="8"/>
  <c r="BB220" i="8"/>
  <c r="BF220" i="8" s="1"/>
  <c r="BD220" i="8" s="1"/>
  <c r="AN220" i="8"/>
  <c r="AA220" i="8"/>
  <c r="W221" i="8" s="1"/>
  <c r="AA229" i="9" l="1"/>
  <c r="W230" i="9" s="1"/>
  <c r="BJ229" i="9"/>
  <c r="BB229" i="9"/>
  <c r="BF229" i="9" s="1"/>
  <c r="BD229" i="9" s="1"/>
  <c r="AK229" i="9"/>
  <c r="AN229" i="9" s="1"/>
  <c r="BC229" i="9"/>
  <c r="BK220" i="8"/>
  <c r="AM220" i="8"/>
  <c r="BK229" i="9" l="1"/>
  <c r="AM229" i="9"/>
  <c r="BA230" i="9"/>
  <c r="BE230" i="9" s="1"/>
  <c r="BC230" i="9" s="1"/>
  <c r="Y230" i="9"/>
  <c r="AL230" i="9" s="1"/>
  <c r="X230" i="9"/>
  <c r="Z230" i="9"/>
  <c r="AE230" i="9"/>
  <c r="Y221" i="8"/>
  <c r="AL221" i="8" s="1"/>
  <c r="AE221" i="8"/>
  <c r="X221" i="8"/>
  <c r="AK221" i="8" s="1"/>
  <c r="BA221" i="8"/>
  <c r="BE221" i="8" s="1"/>
  <c r="BC221" i="8" s="1"/>
  <c r="Z221" i="8"/>
  <c r="BJ230" i="9" l="1"/>
  <c r="BB230" i="9"/>
  <c r="BF230" i="9" s="1"/>
  <c r="BD230" i="9" s="1"/>
  <c r="AK230" i="9"/>
  <c r="AN230" i="9" s="1"/>
  <c r="AA230" i="9"/>
  <c r="AN221" i="8"/>
  <c r="BB221" i="8"/>
  <c r="BF221" i="8" s="1"/>
  <c r="BD221" i="8" s="1"/>
  <c r="BJ221" i="8"/>
  <c r="AA221" i="8"/>
  <c r="W222" i="8" s="1"/>
  <c r="W231" i="9" l="1"/>
  <c r="BK230" i="9"/>
  <c r="AM230" i="9"/>
  <c r="BK221" i="8"/>
  <c r="AM221" i="8"/>
  <c r="AE231" i="9" l="1"/>
  <c r="Z231" i="9"/>
  <c r="X231" i="9"/>
  <c r="BA231" i="9"/>
  <c r="BE231" i="9" s="1"/>
  <c r="Y231" i="9"/>
  <c r="AL231" i="9" s="1"/>
  <c r="BA222" i="8"/>
  <c r="BE222" i="8" s="1"/>
  <c r="BC222" i="8" s="1"/>
  <c r="Z222" i="8"/>
  <c r="Y222" i="8"/>
  <c r="AL222" i="8" s="1"/>
  <c r="AE222" i="8"/>
  <c r="X222" i="8"/>
  <c r="AK222" i="8" s="1"/>
  <c r="BC231" i="9" l="1"/>
  <c r="AA231" i="9"/>
  <c r="AK231" i="9"/>
  <c r="AN231" i="9" s="1"/>
  <c r="BB231" i="9"/>
  <c r="BF231" i="9" s="1"/>
  <c r="BD231" i="9" s="1"/>
  <c r="BJ231" i="9"/>
  <c r="BJ222" i="8"/>
  <c r="AA222" i="8"/>
  <c r="W223" i="8" s="1"/>
  <c r="AN222" i="8"/>
  <c r="BB222" i="8"/>
  <c r="BF222" i="8" s="1"/>
  <c r="BD222" i="8" s="1"/>
  <c r="BK231" i="9" l="1"/>
  <c r="AM231" i="9"/>
  <c r="W232" i="9"/>
  <c r="BK222" i="8"/>
  <c r="AM222" i="8"/>
  <c r="Z232" i="9" l="1"/>
  <c r="Y232" i="9"/>
  <c r="AL232" i="9" s="1"/>
  <c r="AE232" i="9"/>
  <c r="X232" i="9"/>
  <c r="BA232" i="9"/>
  <c r="BE232" i="9" s="1"/>
  <c r="X223" i="8"/>
  <c r="AK223" i="8" s="1"/>
  <c r="Z223" i="8"/>
  <c r="AE223" i="8"/>
  <c r="Y223" i="8"/>
  <c r="AL223" i="8" s="1"/>
  <c r="BA223" i="8"/>
  <c r="BE223" i="8" s="1"/>
  <c r="BC223" i="8" s="1"/>
  <c r="BC232" i="9" l="1"/>
  <c r="BB232" i="9"/>
  <c r="BF232" i="9" s="1"/>
  <c r="BD232" i="9" s="1"/>
  <c r="AK232" i="9"/>
  <c r="AN232" i="9" s="1"/>
  <c r="BJ232" i="9"/>
  <c r="AA232" i="9"/>
  <c r="BJ223" i="8"/>
  <c r="AA223" i="8"/>
  <c r="W224" i="8" s="1"/>
  <c r="BB223" i="8"/>
  <c r="BF223" i="8" s="1"/>
  <c r="BD223" i="8" s="1"/>
  <c r="AN223" i="8"/>
  <c r="W233" i="9" l="1"/>
  <c r="BK232" i="9"/>
  <c r="AM232" i="9"/>
  <c r="BK223" i="8"/>
  <c r="AM223" i="8"/>
  <c r="Y233" i="9" l="1"/>
  <c r="AL233" i="9" s="1"/>
  <c r="X233" i="9"/>
  <c r="BA233" i="9"/>
  <c r="BE233" i="9" s="1"/>
  <c r="AE233" i="9"/>
  <c r="Z233" i="9"/>
  <c r="X224" i="8"/>
  <c r="AK224" i="8" s="1"/>
  <c r="Y224" i="8"/>
  <c r="AL224" i="8" s="1"/>
  <c r="AE224" i="8"/>
  <c r="Z224" i="8"/>
  <c r="BA224" i="8"/>
  <c r="BE224" i="8" s="1"/>
  <c r="BC224" i="8" s="1"/>
  <c r="AA233" i="9" l="1"/>
  <c r="W234" i="9" s="1"/>
  <c r="BJ233" i="9"/>
  <c r="BB233" i="9"/>
  <c r="BF233" i="9" s="1"/>
  <c r="BD233" i="9" s="1"/>
  <c r="AK233" i="9"/>
  <c r="AN233" i="9" s="1"/>
  <c r="BC233" i="9"/>
  <c r="BJ224" i="8"/>
  <c r="AN224" i="8"/>
  <c r="BB224" i="8"/>
  <c r="BF224" i="8" s="1"/>
  <c r="BD224" i="8" s="1"/>
  <c r="AA224" i="8"/>
  <c r="W225" i="8" s="1"/>
  <c r="BK233" i="9" l="1"/>
  <c r="AM233" i="9"/>
  <c r="X234" i="9"/>
  <c r="AE234" i="9"/>
  <c r="Z234" i="9"/>
  <c r="Y234" i="9"/>
  <c r="AL234" i="9" s="1"/>
  <c r="BA234" i="9"/>
  <c r="BE234" i="9" s="1"/>
  <c r="BC234" i="9" s="1"/>
  <c r="BK224" i="8"/>
  <c r="AM224" i="8"/>
  <c r="BJ234" i="9" l="1"/>
  <c r="AA234" i="9"/>
  <c r="AK234" i="9"/>
  <c r="AN234" i="9" s="1"/>
  <c r="BB234" i="9"/>
  <c r="BF234" i="9" s="1"/>
  <c r="BD234" i="9" s="1"/>
  <c r="Z225" i="8"/>
  <c r="BA225" i="8"/>
  <c r="BE225" i="8" s="1"/>
  <c r="BC225" i="8" s="1"/>
  <c r="Y225" i="8"/>
  <c r="AL225" i="8" s="1"/>
  <c r="X225" i="8"/>
  <c r="AK225" i="8" s="1"/>
  <c r="AE225" i="8"/>
  <c r="BK234" i="9" l="1"/>
  <c r="AM234" i="9"/>
  <c r="W235" i="9"/>
  <c r="BB225" i="8"/>
  <c r="BF225" i="8" s="1"/>
  <c r="BD225" i="8" s="1"/>
  <c r="AN225" i="8"/>
  <c r="AA225" i="8"/>
  <c r="W226" i="8" s="1"/>
  <c r="BJ225" i="8"/>
  <c r="Z235" i="9" l="1"/>
  <c r="Y235" i="9"/>
  <c r="AL235" i="9" s="1"/>
  <c r="AE235" i="9"/>
  <c r="X235" i="9"/>
  <c r="BA235" i="9"/>
  <c r="BE235" i="9" s="1"/>
  <c r="BK225" i="8"/>
  <c r="AM225" i="8"/>
  <c r="AA235" i="9" l="1"/>
  <c r="W236" i="9" s="1"/>
  <c r="BC235" i="9"/>
  <c r="BB235" i="9"/>
  <c r="BF235" i="9" s="1"/>
  <c r="BD235" i="9" s="1"/>
  <c r="AK235" i="9"/>
  <c r="AN235" i="9" s="1"/>
  <c r="BJ235" i="9"/>
  <c r="AE226" i="8"/>
  <c r="Y226" i="8"/>
  <c r="AL226" i="8" s="1"/>
  <c r="X226" i="8"/>
  <c r="AK226" i="8" s="1"/>
  <c r="Z226" i="8"/>
  <c r="BA226" i="8"/>
  <c r="BE226" i="8" s="1"/>
  <c r="BC226" i="8" s="1"/>
  <c r="BK235" i="9" l="1"/>
  <c r="AM235" i="9"/>
  <c r="Z236" i="9"/>
  <c r="Y236" i="9"/>
  <c r="AL236" i="9" s="1"/>
  <c r="AE236" i="9"/>
  <c r="BA236" i="9"/>
  <c r="BE236" i="9" s="1"/>
  <c r="X236" i="9"/>
  <c r="BJ226" i="8"/>
  <c r="AN226" i="8"/>
  <c r="BB226" i="8"/>
  <c r="BF226" i="8" s="1"/>
  <c r="BD226" i="8" s="1"/>
  <c r="AA226" i="8"/>
  <c r="W227" i="8" s="1"/>
  <c r="BJ236" i="9" l="1"/>
  <c r="AA236" i="9"/>
  <c r="BC236" i="9"/>
  <c r="BB236" i="9"/>
  <c r="BF236" i="9" s="1"/>
  <c r="BD236" i="9" s="1"/>
  <c r="AK236" i="9"/>
  <c r="AN236" i="9" s="1"/>
  <c r="BK226" i="8"/>
  <c r="AM226" i="8"/>
  <c r="W237" i="9" l="1"/>
  <c r="BK236" i="9"/>
  <c r="AM236" i="9"/>
  <c r="AE227" i="8"/>
  <c r="Z227" i="8"/>
  <c r="X227" i="8"/>
  <c r="AK227" i="8" s="1"/>
  <c r="Y227" i="8"/>
  <c r="AL227" i="8" s="1"/>
  <c r="BA227" i="8"/>
  <c r="BE227" i="8" s="1"/>
  <c r="BC227" i="8" s="1"/>
  <c r="Z237" i="9" l="1"/>
  <c r="BA237" i="9"/>
  <c r="BE237" i="9" s="1"/>
  <c r="AE237" i="9"/>
  <c r="Y237" i="9"/>
  <c r="AL237" i="9" s="1"/>
  <c r="X237" i="9"/>
  <c r="BJ227" i="8"/>
  <c r="AA227" i="8"/>
  <c r="W228" i="8" s="1"/>
  <c r="BB227" i="8"/>
  <c r="BF227" i="8" s="1"/>
  <c r="BD227" i="8" s="1"/>
  <c r="AN227" i="8"/>
  <c r="AK237" i="9" l="1"/>
  <c r="AN237" i="9" s="1"/>
  <c r="BB237" i="9"/>
  <c r="BF237" i="9" s="1"/>
  <c r="BD237" i="9" s="1"/>
  <c r="AA237" i="9"/>
  <c r="BJ237" i="9"/>
  <c r="BC237" i="9"/>
  <c r="BK227" i="8"/>
  <c r="AM227" i="8"/>
  <c r="Z228" i="8"/>
  <c r="BA228" i="8"/>
  <c r="BE228" i="8" s="1"/>
  <c r="BC228" i="8" s="1"/>
  <c r="AE228" i="8"/>
  <c r="Y228" i="8"/>
  <c r="AL228" i="8" s="1"/>
  <c r="X228" i="8"/>
  <c r="AK228" i="8" s="1"/>
  <c r="W238" i="9" l="1"/>
  <c r="BK237" i="9"/>
  <c r="AM237" i="9"/>
  <c r="AA228" i="8"/>
  <c r="W229" i="8" s="1"/>
  <c r="BB228" i="8"/>
  <c r="BF228" i="8" s="1"/>
  <c r="BD228" i="8" s="1"/>
  <c r="AN228" i="8"/>
  <c r="BJ228" i="8"/>
  <c r="BA238" i="9" l="1"/>
  <c r="BE238" i="9" s="1"/>
  <c r="BC238" i="9" s="1"/>
  <c r="X238" i="9"/>
  <c r="Z238" i="9"/>
  <c r="AE238" i="9"/>
  <c r="Y238" i="9"/>
  <c r="AL238" i="9" s="1"/>
  <c r="BK228" i="8"/>
  <c r="AM228" i="8"/>
  <c r="AE229" i="8"/>
  <c r="Z229" i="8"/>
  <c r="Y229" i="8"/>
  <c r="AL229" i="8" s="1"/>
  <c r="X229" i="8"/>
  <c r="AK229" i="8" s="1"/>
  <c r="BA229" i="8"/>
  <c r="BE229" i="8" s="1"/>
  <c r="BC229" i="8" s="1"/>
  <c r="BJ238" i="9" l="1"/>
  <c r="BB238" i="9"/>
  <c r="BF238" i="9" s="1"/>
  <c r="BD238" i="9" s="1"/>
  <c r="AK238" i="9"/>
  <c r="AN238" i="9" s="1"/>
  <c r="AA238" i="9"/>
  <c r="AA229" i="8"/>
  <c r="BJ229" i="8"/>
  <c r="BB229" i="8"/>
  <c r="BF229" i="8" s="1"/>
  <c r="BD229" i="8" s="1"/>
  <c r="AN229" i="8"/>
  <c r="W239" i="9" l="1"/>
  <c r="BK238" i="9"/>
  <c r="AM238" i="9"/>
  <c r="W230" i="8"/>
  <c r="Y230" i="8" s="1"/>
  <c r="AL230" i="8" s="1"/>
  <c r="BK229" i="8"/>
  <c r="AM229" i="8"/>
  <c r="Y239" i="9" l="1"/>
  <c r="AL239" i="9" s="1"/>
  <c r="AE239" i="9"/>
  <c r="Z239" i="9"/>
  <c r="X239" i="9"/>
  <c r="BA239" i="9"/>
  <c r="BE239" i="9" s="1"/>
  <c r="Z230" i="8"/>
  <c r="AE230" i="8"/>
  <c r="X230" i="8"/>
  <c r="BA230" i="8"/>
  <c r="BE230" i="8" s="1"/>
  <c r="BC230" i="8" s="1"/>
  <c r="AA239" i="9" l="1"/>
  <c r="W240" i="9" s="1"/>
  <c r="BB239" i="9"/>
  <c r="BF239" i="9" s="1"/>
  <c r="BD239" i="9" s="1"/>
  <c r="AK239" i="9"/>
  <c r="AN239" i="9" s="1"/>
  <c r="BJ239" i="9"/>
  <c r="BC239" i="9"/>
  <c r="BJ230" i="8"/>
  <c r="AA230" i="8"/>
  <c r="W231" i="8" s="1"/>
  <c r="X231" i="8" s="1"/>
  <c r="AK231" i="8" s="1"/>
  <c r="AK230" i="8"/>
  <c r="AN230" i="8" s="1"/>
  <c r="AM230" i="8" s="1"/>
  <c r="BB230" i="8"/>
  <c r="BF230" i="8" s="1"/>
  <c r="BD230" i="8" s="1"/>
  <c r="BK239" i="9" l="1"/>
  <c r="AM239" i="9"/>
  <c r="X240" i="9"/>
  <c r="Z240" i="9"/>
  <c r="Y240" i="9"/>
  <c r="AL240" i="9" s="1"/>
  <c r="BA240" i="9"/>
  <c r="BE240" i="9" s="1"/>
  <c r="BC240" i="9" s="1"/>
  <c r="AE240" i="9"/>
  <c r="Z231" i="8"/>
  <c r="BK230" i="8"/>
  <c r="Y231" i="8"/>
  <c r="AL231" i="8" s="1"/>
  <c r="AN231" i="8" s="1"/>
  <c r="AE231" i="8"/>
  <c r="BA231" i="8"/>
  <c r="BE231" i="8" s="1"/>
  <c r="BC231" i="8" s="1"/>
  <c r="AA240" i="9" l="1"/>
  <c r="BB240" i="9"/>
  <c r="BF240" i="9" s="1"/>
  <c r="BD240" i="9" s="1"/>
  <c r="AK240" i="9"/>
  <c r="AN240" i="9" s="1"/>
  <c r="BJ240" i="9"/>
  <c r="BJ231" i="8"/>
  <c r="AA231" i="8"/>
  <c r="W232" i="8" s="1"/>
  <c r="BB231" i="8"/>
  <c r="BF231" i="8" s="1"/>
  <c r="BD231" i="8" s="1"/>
  <c r="AM231" i="8"/>
  <c r="W241" i="9" l="1"/>
  <c r="BK240" i="9"/>
  <c r="AM240" i="9"/>
  <c r="BK231" i="8"/>
  <c r="Z232" i="8"/>
  <c r="BA232" i="8"/>
  <c r="BE232" i="8" s="1"/>
  <c r="BC232" i="8" s="1"/>
  <c r="Y232" i="8"/>
  <c r="AL232" i="8" s="1"/>
  <c r="AE232" i="8"/>
  <c r="X232" i="8"/>
  <c r="AK232" i="8" s="1"/>
  <c r="Y241" i="9" l="1"/>
  <c r="AL241" i="9" s="1"/>
  <c r="X241" i="9"/>
  <c r="BA241" i="9"/>
  <c r="BE241" i="9" s="1"/>
  <c r="BC241" i="9" s="1"/>
  <c r="AE241" i="9"/>
  <c r="Z241" i="9"/>
  <c r="AA232" i="8"/>
  <c r="W233" i="8" s="1"/>
  <c r="BJ232" i="8"/>
  <c r="BB232" i="8"/>
  <c r="BF232" i="8" s="1"/>
  <c r="BD232" i="8" s="1"/>
  <c r="AN232" i="8"/>
  <c r="BJ241" i="9" l="1"/>
  <c r="BB241" i="9"/>
  <c r="BF241" i="9" s="1"/>
  <c r="BD241" i="9" s="1"/>
  <c r="AK241" i="9"/>
  <c r="AN241" i="9" s="1"/>
  <c r="AA241" i="9"/>
  <c r="BK232" i="8"/>
  <c r="AM232" i="8"/>
  <c r="Z233" i="8"/>
  <c r="Y233" i="8"/>
  <c r="AL233" i="8" s="1"/>
  <c r="BA233" i="8"/>
  <c r="BE233" i="8" s="1"/>
  <c r="BC233" i="8" s="1"/>
  <c r="AE233" i="8"/>
  <c r="X233" i="8"/>
  <c r="AK233" i="8" s="1"/>
  <c r="W242" i="9" l="1"/>
  <c r="BK241" i="9"/>
  <c r="AM241" i="9"/>
  <c r="BJ233" i="8"/>
  <c r="BB233" i="8"/>
  <c r="BF233" i="8" s="1"/>
  <c r="BD233" i="8" s="1"/>
  <c r="AN233" i="8"/>
  <c r="AA233" i="8"/>
  <c r="W234" i="8" s="1"/>
  <c r="Z242" i="9" l="1"/>
  <c r="AE242" i="9"/>
  <c r="Y242" i="9"/>
  <c r="AL242" i="9" s="1"/>
  <c r="BA242" i="9"/>
  <c r="BE242" i="9" s="1"/>
  <c r="BC242" i="9" s="1"/>
  <c r="X242" i="9"/>
  <c r="BK233" i="8"/>
  <c r="AM233" i="8"/>
  <c r="AK242" i="9" l="1"/>
  <c r="AN242" i="9" s="1"/>
  <c r="BB242" i="9"/>
  <c r="BF242" i="9" s="1"/>
  <c r="BD242" i="9" s="1"/>
  <c r="BJ242" i="9"/>
  <c r="AA242" i="9"/>
  <c r="Z234" i="8"/>
  <c r="AE234" i="8"/>
  <c r="Y234" i="8"/>
  <c r="AL234" i="8" s="1"/>
  <c r="BA234" i="8"/>
  <c r="BE234" i="8" s="1"/>
  <c r="BC234" i="8" s="1"/>
  <c r="X234" i="8"/>
  <c r="AK234" i="8" s="1"/>
  <c r="W243" i="9" l="1"/>
  <c r="BK242" i="9"/>
  <c r="AM242" i="9"/>
  <c r="BJ234" i="8"/>
  <c r="AA234" i="8"/>
  <c r="W235" i="8" s="1"/>
  <c r="BB234" i="8"/>
  <c r="BF234" i="8" s="1"/>
  <c r="BD234" i="8" s="1"/>
  <c r="AN234" i="8"/>
  <c r="Z243" i="9" l="1"/>
  <c r="BA243" i="9"/>
  <c r="BE243" i="9" s="1"/>
  <c r="BC243" i="9" s="1"/>
  <c r="AE243" i="9"/>
  <c r="Y243" i="9"/>
  <c r="AL243" i="9" s="1"/>
  <c r="X243" i="9"/>
  <c r="BK234" i="8"/>
  <c r="AM234" i="8"/>
  <c r="AA243" i="9" l="1"/>
  <c r="AK243" i="9"/>
  <c r="AN243" i="9" s="1"/>
  <c r="BB243" i="9"/>
  <c r="BF243" i="9" s="1"/>
  <c r="BD243" i="9" s="1"/>
  <c r="BJ243" i="9"/>
  <c r="Z235" i="8"/>
  <c r="X235" i="8"/>
  <c r="AK235" i="8" s="1"/>
  <c r="Y235" i="8"/>
  <c r="AL235" i="8" s="1"/>
  <c r="BA235" i="8"/>
  <c r="BE235" i="8" s="1"/>
  <c r="BC235" i="8" s="1"/>
  <c r="AE235" i="8"/>
  <c r="BK243" i="9" l="1"/>
  <c r="AM243" i="9"/>
  <c r="W244" i="9"/>
  <c r="AA235" i="8"/>
  <c r="W236" i="8" s="1"/>
  <c r="AN235" i="8"/>
  <c r="BB235" i="8"/>
  <c r="BF235" i="8" s="1"/>
  <c r="BD235" i="8" s="1"/>
  <c r="BJ235" i="8"/>
  <c r="Z244" i="9" l="1"/>
  <c r="BA244" i="9"/>
  <c r="BE244" i="9" s="1"/>
  <c r="AE244" i="9"/>
  <c r="Y244" i="9"/>
  <c r="AL244" i="9" s="1"/>
  <c r="X244" i="9"/>
  <c r="BK235" i="8"/>
  <c r="AM235" i="8"/>
  <c r="BA236" i="8"/>
  <c r="BE236" i="8" s="1"/>
  <c r="BC236" i="8" s="1"/>
  <c r="AE236" i="8"/>
  <c r="Z236" i="8"/>
  <c r="Y236" i="8"/>
  <c r="AL236" i="8" s="1"/>
  <c r="X236" i="8"/>
  <c r="AK236" i="8" s="1"/>
  <c r="BC244" i="9" l="1"/>
  <c r="BB244" i="9"/>
  <c r="BF244" i="9" s="1"/>
  <c r="BD244" i="9" s="1"/>
  <c r="AK244" i="9"/>
  <c r="AN244" i="9" s="1"/>
  <c r="BJ244" i="9"/>
  <c r="AA244" i="9"/>
  <c r="BJ236" i="8"/>
  <c r="BB236" i="8"/>
  <c r="BF236" i="8" s="1"/>
  <c r="BD236" i="8" s="1"/>
  <c r="AN236" i="8"/>
  <c r="AA236" i="8"/>
  <c r="W237" i="8" s="1"/>
  <c r="W245" i="9" l="1"/>
  <c r="BK244" i="9"/>
  <c r="AM244" i="9"/>
  <c r="BK236" i="8"/>
  <c r="AM236" i="8"/>
  <c r="X245" i="9" l="1"/>
  <c r="BA245" i="9"/>
  <c r="BE245" i="9" s="1"/>
  <c r="Z245" i="9"/>
  <c r="AE245" i="9"/>
  <c r="Y245" i="9"/>
  <c r="AL245" i="9" s="1"/>
  <c r="AE237" i="8"/>
  <c r="Z237" i="8"/>
  <c r="Y237" i="8"/>
  <c r="AL237" i="8" s="1"/>
  <c r="BA237" i="8"/>
  <c r="BE237" i="8" s="1"/>
  <c r="BC237" i="8" s="1"/>
  <c r="X237" i="8"/>
  <c r="AK237" i="8" s="1"/>
  <c r="AA245" i="9" l="1"/>
  <c r="BJ245" i="9"/>
  <c r="BC245" i="9"/>
  <c r="BB245" i="9"/>
  <c r="BF245" i="9" s="1"/>
  <c r="BD245" i="9" s="1"/>
  <c r="AK245" i="9"/>
  <c r="AN245" i="9" s="1"/>
  <c r="BJ237" i="8"/>
  <c r="BB237" i="8"/>
  <c r="BF237" i="8" s="1"/>
  <c r="BD237" i="8" s="1"/>
  <c r="AN237" i="8"/>
  <c r="AA237" i="8"/>
  <c r="W238" i="8" s="1"/>
  <c r="BK245" i="9" l="1"/>
  <c r="AM245" i="9"/>
  <c r="W246" i="9"/>
  <c r="BK237" i="8"/>
  <c r="AM237" i="8"/>
  <c r="X246" i="9" l="1"/>
  <c r="Y246" i="9"/>
  <c r="AL246" i="9" s="1"/>
  <c r="BA246" i="9"/>
  <c r="BE246" i="9" s="1"/>
  <c r="BC246" i="9" s="1"/>
  <c r="AE246" i="9"/>
  <c r="Z246" i="9"/>
  <c r="X238" i="8"/>
  <c r="AK238" i="8" s="1"/>
  <c r="Z238" i="8"/>
  <c r="AE238" i="8"/>
  <c r="BA238" i="8"/>
  <c r="BE238" i="8" s="1"/>
  <c r="BC238" i="8" s="1"/>
  <c r="Y238" i="8"/>
  <c r="AL238" i="8" s="1"/>
  <c r="BJ246" i="9" l="1"/>
  <c r="AA246" i="9"/>
  <c r="AK246" i="9"/>
  <c r="AN246" i="9" s="1"/>
  <c r="BB246" i="9"/>
  <c r="BF246" i="9" s="1"/>
  <c r="BD246" i="9" s="1"/>
  <c r="AA238" i="8"/>
  <c r="W239" i="8" s="1"/>
  <c r="BJ238" i="8"/>
  <c r="AN238" i="8"/>
  <c r="BB238" i="8"/>
  <c r="BF238" i="8" s="1"/>
  <c r="BD238" i="8" s="1"/>
  <c r="BK246" i="9" l="1"/>
  <c r="AM246" i="9"/>
  <c r="W247" i="9"/>
  <c r="BK238" i="8"/>
  <c r="AM238" i="8"/>
  <c r="X239" i="8"/>
  <c r="AK239" i="8" s="1"/>
  <c r="Y239" i="8"/>
  <c r="AL239" i="8" s="1"/>
  <c r="BA239" i="8"/>
  <c r="BE239" i="8" s="1"/>
  <c r="BC239" i="8" s="1"/>
  <c r="Z239" i="8"/>
  <c r="AE239" i="8"/>
  <c r="Z247" i="9" l="1"/>
  <c r="X247" i="9"/>
  <c r="BA247" i="9"/>
  <c r="BE247" i="9" s="1"/>
  <c r="AE247" i="9"/>
  <c r="Y247" i="9"/>
  <c r="AL247" i="9" s="1"/>
  <c r="BJ239" i="8"/>
  <c r="AA239" i="8"/>
  <c r="W240" i="8" s="1"/>
  <c r="BB239" i="8"/>
  <c r="BF239" i="8" s="1"/>
  <c r="BD239" i="8" s="1"/>
  <c r="AN239" i="8"/>
  <c r="AA247" i="9" l="1"/>
  <c r="W248" i="9" s="1"/>
  <c r="BJ247" i="9"/>
  <c r="AK247" i="9"/>
  <c r="AN247" i="9" s="1"/>
  <c r="BB247" i="9"/>
  <c r="BF247" i="9" s="1"/>
  <c r="BD247" i="9" s="1"/>
  <c r="BC247" i="9"/>
  <c r="BK239" i="8"/>
  <c r="AM239" i="8"/>
  <c r="X248" i="9" l="1"/>
  <c r="Z248" i="9"/>
  <c r="Y248" i="9"/>
  <c r="AL248" i="9" s="1"/>
  <c r="BA248" i="9"/>
  <c r="BE248" i="9" s="1"/>
  <c r="AE248" i="9"/>
  <c r="BK247" i="9"/>
  <c r="AM247" i="9"/>
  <c r="Y240" i="8"/>
  <c r="AL240" i="8" s="1"/>
  <c r="BA240" i="8"/>
  <c r="BE240" i="8" s="1"/>
  <c r="BC240" i="8" s="1"/>
  <c r="Z240" i="8"/>
  <c r="AE240" i="8"/>
  <c r="X240" i="8"/>
  <c r="AK240" i="8" s="1"/>
  <c r="AA248" i="9" l="1"/>
  <c r="W249" i="9" s="1"/>
  <c r="BJ248" i="9"/>
  <c r="BC248" i="9"/>
  <c r="BB248" i="9"/>
  <c r="BF248" i="9" s="1"/>
  <c r="BD248" i="9" s="1"/>
  <c r="AK248" i="9"/>
  <c r="AN248" i="9" s="1"/>
  <c r="BJ240" i="8"/>
  <c r="AA240" i="8"/>
  <c r="W241" i="8" s="1"/>
  <c r="AN240" i="8"/>
  <c r="BB240" i="8"/>
  <c r="BF240" i="8" s="1"/>
  <c r="BD240" i="8" s="1"/>
  <c r="BK248" i="9" l="1"/>
  <c r="AM248" i="9"/>
  <c r="Z249" i="9"/>
  <c r="X249" i="9"/>
  <c r="BA249" i="9"/>
  <c r="BE249" i="9" s="1"/>
  <c r="AE249" i="9"/>
  <c r="Y249" i="9"/>
  <c r="AL249" i="9" s="1"/>
  <c r="BK240" i="8"/>
  <c r="AM240" i="8"/>
  <c r="BA241" i="8"/>
  <c r="BE241" i="8" s="1"/>
  <c r="BC241" i="8" s="1"/>
  <c r="AE241" i="8"/>
  <c r="X241" i="8"/>
  <c r="AK241" i="8" s="1"/>
  <c r="Z241" i="8"/>
  <c r="Y241" i="8"/>
  <c r="AL241" i="8" s="1"/>
  <c r="BB249" i="9" l="1"/>
  <c r="BF249" i="9" s="1"/>
  <c r="BD249" i="9" s="1"/>
  <c r="AK249" i="9"/>
  <c r="AN249" i="9" s="1"/>
  <c r="BJ249" i="9"/>
  <c r="AA249" i="9"/>
  <c r="BC249" i="9"/>
  <c r="BJ241" i="8"/>
  <c r="AN241" i="8"/>
  <c r="BB241" i="8"/>
  <c r="BF241" i="8" s="1"/>
  <c r="BD241" i="8" s="1"/>
  <c r="AA241" i="8"/>
  <c r="W242" i="8" s="1"/>
  <c r="W250" i="9" l="1"/>
  <c r="BK249" i="9"/>
  <c r="AM249" i="9"/>
  <c r="BK241" i="8"/>
  <c r="AM241" i="8"/>
  <c r="Z250" i="9" l="1"/>
  <c r="BA250" i="9"/>
  <c r="BE250" i="9" s="1"/>
  <c r="Y250" i="9"/>
  <c r="AL250" i="9" s="1"/>
  <c r="AE250" i="9"/>
  <c r="X250" i="9"/>
  <c r="BA242" i="8"/>
  <c r="BE242" i="8" s="1"/>
  <c r="BC242" i="8" s="1"/>
  <c r="X242" i="8"/>
  <c r="AK242" i="8" s="1"/>
  <c r="Y242" i="8"/>
  <c r="AL242" i="8" s="1"/>
  <c r="Z242" i="8"/>
  <c r="AE242" i="8"/>
  <c r="BJ242" i="8" l="1"/>
  <c r="AK250" i="9"/>
  <c r="AN250" i="9" s="1"/>
  <c r="BB250" i="9"/>
  <c r="BF250" i="9" s="1"/>
  <c r="BJ250" i="9"/>
  <c r="BC250" i="9"/>
  <c r="AA250" i="9"/>
  <c r="W251" i="9" s="1"/>
  <c r="AN242" i="8"/>
  <c r="BB242" i="8"/>
  <c r="BF242" i="8" s="1"/>
  <c r="BD242" i="8" s="1"/>
  <c r="AA242" i="8"/>
  <c r="W243" i="8" s="1"/>
  <c r="BA251" i="9" l="1"/>
  <c r="BE251" i="9" s="1"/>
  <c r="X251" i="9"/>
  <c r="Y251" i="9"/>
  <c r="AL251" i="9" s="1"/>
  <c r="AE251" i="9"/>
  <c r="Z251" i="9"/>
  <c r="BD250" i="9"/>
  <c r="BK250" i="9"/>
  <c r="AM250" i="9"/>
  <c r="BK242" i="8"/>
  <c r="AM242" i="8"/>
  <c r="AA251" i="9" l="1"/>
  <c r="W252" i="9"/>
  <c r="BJ251" i="9"/>
  <c r="BB251" i="9"/>
  <c r="BF251" i="9" s="1"/>
  <c r="BD251" i="9" s="1"/>
  <c r="AK251" i="9"/>
  <c r="AN251" i="9" s="1"/>
  <c r="BC251" i="9"/>
  <c r="BA243" i="8"/>
  <c r="BE243" i="8" s="1"/>
  <c r="BC243" i="8" s="1"/>
  <c r="Y243" i="8"/>
  <c r="AL243" i="8" s="1"/>
  <c r="Z243" i="8"/>
  <c r="X243" i="8"/>
  <c r="AK243" i="8" s="1"/>
  <c r="AE243" i="8"/>
  <c r="BA252" i="9" l="1"/>
  <c r="BE252" i="9" s="1"/>
  <c r="BC252" i="9" s="1"/>
  <c r="X252" i="9"/>
  <c r="Y252" i="9"/>
  <c r="AL252" i="9" s="1"/>
  <c r="AE252" i="9"/>
  <c r="Z252" i="9"/>
  <c r="BK251" i="9"/>
  <c r="AM251" i="9"/>
  <c r="AN243" i="8"/>
  <c r="BB243" i="8"/>
  <c r="BF243" i="8" s="1"/>
  <c r="BD243" i="8" s="1"/>
  <c r="AA243" i="8"/>
  <c r="W244" i="8" s="1"/>
  <c r="BJ243" i="8"/>
  <c r="AA252" i="9" l="1"/>
  <c r="W253" i="9"/>
  <c r="BJ252" i="9"/>
  <c r="BB252" i="9"/>
  <c r="BF252" i="9" s="1"/>
  <c r="BD252" i="9" s="1"/>
  <c r="AK252" i="9"/>
  <c r="AN252" i="9" s="1"/>
  <c r="BK243" i="8"/>
  <c r="AM243" i="8"/>
  <c r="BK252" i="9" l="1"/>
  <c r="AM252" i="9"/>
  <c r="Y253" i="9"/>
  <c r="AL253" i="9" s="1"/>
  <c r="BA253" i="9"/>
  <c r="BE253" i="9" s="1"/>
  <c r="BC253" i="9" s="1"/>
  <c r="X253" i="9"/>
  <c r="Z253" i="9"/>
  <c r="AE253" i="9"/>
  <c r="Z244" i="8"/>
  <c r="BA244" i="8"/>
  <c r="BE244" i="8" s="1"/>
  <c r="BC244" i="8" s="1"/>
  <c r="X244" i="8"/>
  <c r="AK244" i="8" s="1"/>
  <c r="Y244" i="8"/>
  <c r="AL244" i="8" s="1"/>
  <c r="AE244" i="8"/>
  <c r="BJ253" i="9" l="1"/>
  <c r="BB253" i="9"/>
  <c r="BF253" i="9" s="1"/>
  <c r="BD253" i="9" s="1"/>
  <c r="AK253" i="9"/>
  <c r="AN253" i="9" s="1"/>
  <c r="AA253" i="9"/>
  <c r="AN244" i="8"/>
  <c r="BB244" i="8"/>
  <c r="BF244" i="8" s="1"/>
  <c r="BD244" i="8" s="1"/>
  <c r="AA244" i="8"/>
  <c r="W245" i="8" s="1"/>
  <c r="Z245" i="8" s="1"/>
  <c r="BJ244" i="8"/>
  <c r="BK253" i="9" l="1"/>
  <c r="AM253" i="9"/>
  <c r="W254" i="9"/>
  <c r="BK244" i="8"/>
  <c r="AM244" i="8"/>
  <c r="X254" i="9" l="1"/>
  <c r="Y254" i="9"/>
  <c r="AL254" i="9" s="1"/>
  <c r="BA254" i="9"/>
  <c r="BE254" i="9" s="1"/>
  <c r="BC254" i="9" s="1"/>
  <c r="Z254" i="9"/>
  <c r="AE254" i="9"/>
  <c r="X245" i="8"/>
  <c r="AK245" i="8" s="1"/>
  <c r="BA245" i="8"/>
  <c r="BE245" i="8" s="1"/>
  <c r="BC245" i="8" s="1"/>
  <c r="AE245" i="8"/>
  <c r="Y245" i="8"/>
  <c r="AL245" i="8" s="1"/>
  <c r="BJ254" i="9" l="1"/>
  <c r="AA254" i="9"/>
  <c r="BB254" i="9"/>
  <c r="BF254" i="9" s="1"/>
  <c r="BD254" i="9" s="1"/>
  <c r="AK254" i="9"/>
  <c r="AN254" i="9" s="1"/>
  <c r="BJ245" i="8"/>
  <c r="AA245" i="8"/>
  <c r="W246" i="8" s="1"/>
  <c r="AN245" i="8"/>
  <c r="BB245" i="8"/>
  <c r="BF245" i="8" s="1"/>
  <c r="BD245" i="8" s="1"/>
  <c r="BK254" i="9" l="1"/>
  <c r="AM254" i="9"/>
  <c r="W255" i="9"/>
  <c r="BK245" i="8"/>
  <c r="AM245" i="8"/>
  <c r="X255" i="9" l="1"/>
  <c r="Y255" i="9"/>
  <c r="AL255" i="9" s="1"/>
  <c r="BA255" i="9"/>
  <c r="BE255" i="9" s="1"/>
  <c r="Z255" i="9"/>
  <c r="AE255" i="9"/>
  <c r="X246" i="8"/>
  <c r="AK246" i="8" s="1"/>
  <c r="Y246" i="8"/>
  <c r="AL246" i="8" s="1"/>
  <c r="Z246" i="8"/>
  <c r="AE246" i="8"/>
  <c r="BA246" i="8"/>
  <c r="BE246" i="8" s="1"/>
  <c r="BC246" i="8" s="1"/>
  <c r="BJ255" i="9" l="1"/>
  <c r="BB255" i="9"/>
  <c r="BF255" i="9" s="1"/>
  <c r="BD255" i="9" s="1"/>
  <c r="AK255" i="9"/>
  <c r="AN255" i="9" s="1"/>
  <c r="AA255" i="9"/>
  <c r="BC255" i="9"/>
  <c r="BJ246" i="8"/>
  <c r="BB246" i="8"/>
  <c r="BF246" i="8" s="1"/>
  <c r="BD246" i="8" s="1"/>
  <c r="AN246" i="8"/>
  <c r="AA246" i="8"/>
  <c r="W247" i="8" s="1"/>
  <c r="BK255" i="9" l="1"/>
  <c r="AM255" i="9"/>
  <c r="W256" i="9"/>
  <c r="BK246" i="8"/>
  <c r="AM246" i="8"/>
  <c r="Y256" i="9" l="1"/>
  <c r="AL256" i="9" s="1"/>
  <c r="BG256" i="9"/>
  <c r="AO256" i="9"/>
  <c r="X256" i="9"/>
  <c r="BA256" i="9"/>
  <c r="BE256" i="9" s="1"/>
  <c r="AF256" i="9"/>
  <c r="AE256" i="9"/>
  <c r="Z256" i="9"/>
  <c r="Y247" i="8"/>
  <c r="AL247" i="8" s="1"/>
  <c r="AE247" i="8"/>
  <c r="X247" i="8"/>
  <c r="AK247" i="8" s="1"/>
  <c r="BA247" i="8"/>
  <c r="BE247" i="8" s="1"/>
  <c r="BC247" i="8" s="1"/>
  <c r="Z247" i="8"/>
  <c r="AA256" i="9" l="1"/>
  <c r="BM256" i="9" s="1"/>
  <c r="BB256" i="9"/>
  <c r="BF256" i="9" s="1"/>
  <c r="BD256" i="9" s="1"/>
  <c r="AK256" i="9"/>
  <c r="AN256" i="9" s="1"/>
  <c r="BC256" i="9"/>
  <c r="BJ256" i="9"/>
  <c r="AG255" i="9"/>
  <c r="AF255" i="9" s="1"/>
  <c r="AG173" i="9"/>
  <c r="AF173" i="9" s="1"/>
  <c r="AG121" i="9"/>
  <c r="AF121" i="9" s="1"/>
  <c r="AG14" i="9"/>
  <c r="AF14" i="9" s="1"/>
  <c r="AG32" i="9"/>
  <c r="AF32" i="9" s="1"/>
  <c r="AG142" i="9"/>
  <c r="AF142" i="9" s="1"/>
  <c r="AG204" i="9"/>
  <c r="AF204" i="9" s="1"/>
  <c r="AG140" i="9"/>
  <c r="AF140" i="9" s="1"/>
  <c r="AG23" i="9"/>
  <c r="AF23" i="9" s="1"/>
  <c r="AG253" i="9"/>
  <c r="AF253" i="9" s="1"/>
  <c r="AG113" i="9"/>
  <c r="AF113" i="9" s="1"/>
  <c r="AG11" i="9"/>
  <c r="AF11" i="9" s="1"/>
  <c r="AG91" i="9"/>
  <c r="AF91" i="9" s="1"/>
  <c r="AG126" i="9"/>
  <c r="AF126" i="9" s="1"/>
  <c r="AG85" i="9"/>
  <c r="AF85" i="9" s="1"/>
  <c r="AG161" i="9"/>
  <c r="AF161" i="9" s="1"/>
  <c r="AG61" i="9"/>
  <c r="AF61" i="9" s="1"/>
  <c r="AG17" i="9"/>
  <c r="AF17" i="9" s="1"/>
  <c r="AG68" i="9"/>
  <c r="AF68" i="9" s="1"/>
  <c r="AG172" i="9"/>
  <c r="AF172" i="9" s="1"/>
  <c r="AG111" i="9"/>
  <c r="AF111" i="9" s="1"/>
  <c r="AG87" i="9"/>
  <c r="AF87" i="9" s="1"/>
  <c r="AG93" i="9"/>
  <c r="AF93" i="9" s="1"/>
  <c r="AG69" i="9"/>
  <c r="AF69" i="9" s="1"/>
  <c r="AG21" i="9"/>
  <c r="AF21" i="9" s="1"/>
  <c r="AG42" i="9"/>
  <c r="AF42" i="9" s="1"/>
  <c r="AG60" i="9"/>
  <c r="AF60" i="9" s="1"/>
  <c r="AG12" i="9"/>
  <c r="AF12" i="9" s="1"/>
  <c r="AG230" i="9"/>
  <c r="AF230" i="9" s="1"/>
  <c r="AG246" i="9"/>
  <c r="AF246" i="9" s="1"/>
  <c r="AG7" i="9"/>
  <c r="AF7" i="9" s="1"/>
  <c r="AG50" i="9"/>
  <c r="AF50" i="9" s="1"/>
  <c r="AG205" i="9"/>
  <c r="AF205" i="9" s="1"/>
  <c r="AG219" i="9"/>
  <c r="AF219" i="9" s="1"/>
  <c r="AG90" i="9"/>
  <c r="AF90" i="9" s="1"/>
  <c r="AG129" i="9"/>
  <c r="AF129" i="9" s="1"/>
  <c r="AG133" i="9"/>
  <c r="AF133" i="9" s="1"/>
  <c r="AG171" i="9"/>
  <c r="AF171" i="9" s="1"/>
  <c r="AG157" i="9"/>
  <c r="AF157" i="9" s="1"/>
  <c r="AG221" i="9"/>
  <c r="AF221" i="9" s="1"/>
  <c r="AG18" i="9"/>
  <c r="AF18" i="9" s="1"/>
  <c r="AG134" i="9"/>
  <c r="AF134" i="9" s="1"/>
  <c r="AG143" i="9"/>
  <c r="AF143" i="9" s="1"/>
  <c r="AG195" i="9"/>
  <c r="AF195" i="9" s="1"/>
  <c r="AG166" i="9"/>
  <c r="AF166" i="9" s="1"/>
  <c r="AG101" i="9"/>
  <c r="AF101" i="9" s="1"/>
  <c r="AG218" i="9"/>
  <c r="AF218" i="9" s="1"/>
  <c r="AG78" i="9"/>
  <c r="AF78" i="9" s="1"/>
  <c r="AG167" i="9"/>
  <c r="AF167" i="9" s="1"/>
  <c r="AG152" i="9"/>
  <c r="AF152" i="9" s="1"/>
  <c r="AG210" i="9"/>
  <c r="AF210" i="9" s="1"/>
  <c r="AG151" i="9"/>
  <c r="AF151" i="9" s="1"/>
  <c r="AG62" i="9"/>
  <c r="AF62" i="9" s="1"/>
  <c r="AG179" i="9"/>
  <c r="AF179" i="9" s="1"/>
  <c r="AG147" i="9"/>
  <c r="AF147" i="9" s="1"/>
  <c r="AG127" i="9"/>
  <c r="AF127" i="9" s="1"/>
  <c r="AG54" i="9"/>
  <c r="AF54" i="9" s="1"/>
  <c r="AG176" i="9"/>
  <c r="AF176" i="9" s="1"/>
  <c r="AG190" i="9"/>
  <c r="AF190" i="9" s="1"/>
  <c r="AG196" i="9"/>
  <c r="AF196" i="9" s="1"/>
  <c r="AG252" i="9"/>
  <c r="AF252" i="9" s="1"/>
  <c r="AG222" i="9"/>
  <c r="AF222" i="9" s="1"/>
  <c r="AG228" i="9"/>
  <c r="AF228" i="9" s="1"/>
  <c r="AG234" i="9"/>
  <c r="AF234" i="9" s="1"/>
  <c r="AG238" i="9"/>
  <c r="AF238" i="9" s="1"/>
  <c r="AG211" i="9"/>
  <c r="AF211" i="9" s="1"/>
  <c r="AG207" i="9"/>
  <c r="AF207" i="9" s="1"/>
  <c r="AG26" i="9"/>
  <c r="AF26" i="9" s="1"/>
  <c r="AG109" i="9"/>
  <c r="AF109" i="9" s="1"/>
  <c r="AG122" i="9"/>
  <c r="AF122" i="9" s="1"/>
  <c r="AG65" i="9"/>
  <c r="AF65" i="9" s="1"/>
  <c r="AG202" i="9"/>
  <c r="AF202" i="9" s="1"/>
  <c r="AG119" i="9"/>
  <c r="AF119" i="9" s="1"/>
  <c r="AG248" i="9"/>
  <c r="AF248" i="9" s="1"/>
  <c r="AG124" i="9"/>
  <c r="AF124" i="9" s="1"/>
  <c r="AG217" i="9"/>
  <c r="AF217" i="9" s="1"/>
  <c r="AG131" i="9"/>
  <c r="AF131" i="9" s="1"/>
  <c r="AG178" i="9"/>
  <c r="AF178" i="9" s="1"/>
  <c r="AG208" i="9"/>
  <c r="AF208" i="9" s="1"/>
  <c r="AG130" i="9"/>
  <c r="AF130" i="9" s="1"/>
  <c r="AG242" i="9"/>
  <c r="AF242" i="9" s="1"/>
  <c r="AG193" i="9"/>
  <c r="AF193" i="9" s="1"/>
  <c r="AG224" i="9"/>
  <c r="AF224" i="9" s="1"/>
  <c r="AG89" i="9"/>
  <c r="AF89" i="9" s="1"/>
  <c r="AG232" i="9"/>
  <c r="AF232" i="9" s="1"/>
  <c r="AG84" i="9"/>
  <c r="AF84" i="9" s="1"/>
  <c r="AG117" i="9"/>
  <c r="AF117" i="9" s="1"/>
  <c r="AG156" i="9"/>
  <c r="AF156" i="9" s="1"/>
  <c r="AG226" i="9"/>
  <c r="AF226" i="9" s="1"/>
  <c r="AG47" i="9"/>
  <c r="AF47" i="9" s="1"/>
  <c r="AG203" i="9"/>
  <c r="AF203" i="9" s="1"/>
  <c r="AG96" i="9"/>
  <c r="AF96" i="9" s="1"/>
  <c r="AG216" i="9"/>
  <c r="AF216" i="9" s="1"/>
  <c r="AG70" i="9"/>
  <c r="AF70" i="9" s="1"/>
  <c r="AG97" i="9"/>
  <c r="AF97" i="9" s="1"/>
  <c r="AG158" i="9"/>
  <c r="AF158" i="9" s="1"/>
  <c r="AG57" i="9"/>
  <c r="AF57" i="9" s="1"/>
  <c r="AG197" i="9"/>
  <c r="AF197" i="9" s="1"/>
  <c r="AG254" i="9"/>
  <c r="AF254" i="9" s="1"/>
  <c r="AG186" i="9"/>
  <c r="AF186" i="9" s="1"/>
  <c r="AG82" i="9"/>
  <c r="AF82" i="9" s="1"/>
  <c r="AG164" i="9"/>
  <c r="AF164" i="9" s="1"/>
  <c r="AG95" i="9"/>
  <c r="AF95" i="9" s="1"/>
  <c r="AG6" i="9"/>
  <c r="AF6" i="9" s="1"/>
  <c r="AG86" i="9"/>
  <c r="AF86" i="9" s="1"/>
  <c r="AG123" i="9"/>
  <c r="AF123" i="9" s="1"/>
  <c r="AG112" i="9"/>
  <c r="AF112" i="9" s="1"/>
  <c r="AG55" i="9"/>
  <c r="AF55" i="9" s="1"/>
  <c r="AG52" i="9"/>
  <c r="AF52" i="9" s="1"/>
  <c r="AG71" i="9"/>
  <c r="AF71" i="9" s="1"/>
  <c r="AG215" i="9"/>
  <c r="AF215" i="9" s="1"/>
  <c r="AG115" i="9"/>
  <c r="AF115" i="9" s="1"/>
  <c r="AG40" i="9"/>
  <c r="AF40" i="9" s="1"/>
  <c r="AG118" i="9"/>
  <c r="AF118" i="9" s="1"/>
  <c r="AG155" i="9"/>
  <c r="AF155" i="9" s="1"/>
  <c r="AG168" i="9"/>
  <c r="AF168" i="9" s="1"/>
  <c r="AG28" i="9"/>
  <c r="AF28" i="9" s="1"/>
  <c r="AG150" i="9"/>
  <c r="AF150" i="9" s="1"/>
  <c r="AG181" i="9"/>
  <c r="AF181" i="9" s="1"/>
  <c r="AG187" i="9"/>
  <c r="AF187" i="9" s="1"/>
  <c r="AG199" i="9"/>
  <c r="AF199" i="9" s="1"/>
  <c r="AG83" i="9"/>
  <c r="AF83" i="9" s="1"/>
  <c r="AG225" i="9"/>
  <c r="AF225" i="9" s="1"/>
  <c r="AG174" i="9"/>
  <c r="AF174" i="9" s="1"/>
  <c r="AG45" i="9"/>
  <c r="AF45" i="9" s="1"/>
  <c r="AG72" i="9"/>
  <c r="AF72" i="9" s="1"/>
  <c r="AG139" i="9"/>
  <c r="AF139" i="9" s="1"/>
  <c r="AG27" i="9"/>
  <c r="AF27" i="9" s="1"/>
  <c r="AG99" i="9"/>
  <c r="AF99" i="9" s="1"/>
  <c r="AG128" i="9"/>
  <c r="AF128" i="9" s="1"/>
  <c r="AG63" i="9"/>
  <c r="AF63" i="9" s="1"/>
  <c r="AG132" i="9"/>
  <c r="AF132" i="9" s="1"/>
  <c r="AG170" i="9"/>
  <c r="AF170" i="9" s="1"/>
  <c r="AG162" i="9"/>
  <c r="AF162" i="9" s="1"/>
  <c r="AG22" i="9"/>
  <c r="AF22" i="9" s="1"/>
  <c r="AG53" i="9"/>
  <c r="AF53" i="9" s="1"/>
  <c r="AG159" i="9"/>
  <c r="AF159" i="9" s="1"/>
  <c r="AG116" i="9"/>
  <c r="AF116" i="9" s="1"/>
  <c r="AG146" i="9"/>
  <c r="AF146" i="9" s="1"/>
  <c r="AG229" i="9"/>
  <c r="AF229" i="9" s="1"/>
  <c r="AG188" i="9"/>
  <c r="AF188" i="9" s="1"/>
  <c r="AG189" i="9"/>
  <c r="AF189" i="9" s="1"/>
  <c r="AG154" i="9"/>
  <c r="AF154" i="9" s="1"/>
  <c r="AG145" i="9"/>
  <c r="AF145" i="9" s="1"/>
  <c r="AG5" i="9"/>
  <c r="AG105" i="9"/>
  <c r="AF105" i="9" s="1"/>
  <c r="AG137" i="9"/>
  <c r="AF137" i="9" s="1"/>
  <c r="AG160" i="9"/>
  <c r="AF160" i="9" s="1"/>
  <c r="AG180" i="9"/>
  <c r="AF180" i="9" s="1"/>
  <c r="AG250" i="9"/>
  <c r="AF250" i="9" s="1"/>
  <c r="AG149" i="9"/>
  <c r="AF149" i="9" s="1"/>
  <c r="AG64" i="9"/>
  <c r="AF64" i="9" s="1"/>
  <c r="AG44" i="9"/>
  <c r="AF44" i="9" s="1"/>
  <c r="AG36" i="9"/>
  <c r="AF36" i="9" s="1"/>
  <c r="AG213" i="9"/>
  <c r="AF213" i="9" s="1"/>
  <c r="AG212" i="9"/>
  <c r="AF212" i="9" s="1"/>
  <c r="AG88" i="9"/>
  <c r="AF88" i="9" s="1"/>
  <c r="AG49" i="9"/>
  <c r="AF49" i="9" s="1"/>
  <c r="AG243" i="9"/>
  <c r="AF243" i="9" s="1"/>
  <c r="AG103" i="9"/>
  <c r="AF103" i="9" s="1"/>
  <c r="AG153" i="9"/>
  <c r="AF153" i="9" s="1"/>
  <c r="AG175" i="9"/>
  <c r="AF175" i="9" s="1"/>
  <c r="AG39" i="9"/>
  <c r="AF39" i="9" s="1"/>
  <c r="AG251" i="9"/>
  <c r="AF251" i="9" s="1"/>
  <c r="AG209" i="9"/>
  <c r="AF209" i="9" s="1"/>
  <c r="AG77" i="9"/>
  <c r="AF77" i="9" s="1"/>
  <c r="AG120" i="9"/>
  <c r="AF120" i="9" s="1"/>
  <c r="AG104" i="9"/>
  <c r="AF104" i="9" s="1"/>
  <c r="AG25" i="9"/>
  <c r="AF25" i="9" s="1"/>
  <c r="AG107" i="9"/>
  <c r="AF107" i="9" s="1"/>
  <c r="AG182" i="9"/>
  <c r="AF182" i="9" s="1"/>
  <c r="AG245" i="9"/>
  <c r="AF245" i="9" s="1"/>
  <c r="AG9" i="9"/>
  <c r="AF9" i="9" s="1"/>
  <c r="AG46" i="9"/>
  <c r="AF46" i="9" s="1"/>
  <c r="AG19" i="9"/>
  <c r="AF19" i="9" s="1"/>
  <c r="AG51" i="9"/>
  <c r="AF51" i="9" s="1"/>
  <c r="AG41" i="9"/>
  <c r="AF41" i="9" s="1"/>
  <c r="AG20" i="9"/>
  <c r="AF20" i="9" s="1"/>
  <c r="AG148" i="9"/>
  <c r="AF148" i="9" s="1"/>
  <c r="AG135" i="9"/>
  <c r="AF135" i="9" s="1"/>
  <c r="AG15" i="9"/>
  <c r="AF15" i="9" s="1"/>
  <c r="AG35" i="9"/>
  <c r="AF35" i="9" s="1"/>
  <c r="AG37" i="9"/>
  <c r="AF37" i="9" s="1"/>
  <c r="AG106" i="9"/>
  <c r="AF106" i="9" s="1"/>
  <c r="AG102" i="9"/>
  <c r="AF102" i="9" s="1"/>
  <c r="AG75" i="9"/>
  <c r="AF75" i="9" s="1"/>
  <c r="AG185" i="9"/>
  <c r="AF185" i="9" s="1"/>
  <c r="AG200" i="9"/>
  <c r="AF200" i="9" s="1"/>
  <c r="AG183" i="9"/>
  <c r="AF183" i="9" s="1"/>
  <c r="AG138" i="9"/>
  <c r="AF138" i="9" s="1"/>
  <c r="AG177" i="9"/>
  <c r="AF177" i="9" s="1"/>
  <c r="AG58" i="9"/>
  <c r="AF58" i="9" s="1"/>
  <c r="AG236" i="9"/>
  <c r="AF236" i="9" s="1"/>
  <c r="AG66" i="9"/>
  <c r="AF66" i="9" s="1"/>
  <c r="AG192" i="9"/>
  <c r="AF192" i="9" s="1"/>
  <c r="AG73" i="9"/>
  <c r="AF73" i="9" s="1"/>
  <c r="AG231" i="9"/>
  <c r="AF231" i="9" s="1"/>
  <c r="AG38" i="9"/>
  <c r="AF38" i="9" s="1"/>
  <c r="AG80" i="9"/>
  <c r="AF80" i="9" s="1"/>
  <c r="AG100" i="9"/>
  <c r="AF100" i="9" s="1"/>
  <c r="AG165" i="9"/>
  <c r="AF165" i="9" s="1"/>
  <c r="AG144" i="9"/>
  <c r="AF144" i="9" s="1"/>
  <c r="AG227" i="9"/>
  <c r="AF227" i="9" s="1"/>
  <c r="AG233" i="9"/>
  <c r="AF233" i="9" s="1"/>
  <c r="AG24" i="9"/>
  <c r="AF24" i="9" s="1"/>
  <c r="AG249" i="9"/>
  <c r="AF249" i="9" s="1"/>
  <c r="AG74" i="9"/>
  <c r="AF74" i="9" s="1"/>
  <c r="AG114" i="9"/>
  <c r="AF114" i="9" s="1"/>
  <c r="AG92" i="9"/>
  <c r="AF92" i="9" s="1"/>
  <c r="AG79" i="9"/>
  <c r="AF79" i="9" s="1"/>
  <c r="AG125" i="9"/>
  <c r="AF125" i="9" s="1"/>
  <c r="AG108" i="9"/>
  <c r="AF108" i="9" s="1"/>
  <c r="AG136" i="9"/>
  <c r="AF136" i="9" s="1"/>
  <c r="AG241" i="9"/>
  <c r="AF241" i="9" s="1"/>
  <c r="AG94" i="9"/>
  <c r="AF94" i="9" s="1"/>
  <c r="AG76" i="9"/>
  <c r="AF76" i="9" s="1"/>
  <c r="AG247" i="9"/>
  <c r="AF247" i="9" s="1"/>
  <c r="AG169" i="9"/>
  <c r="AF169" i="9" s="1"/>
  <c r="AG163" i="9"/>
  <c r="AF163" i="9" s="1"/>
  <c r="AG43" i="9"/>
  <c r="AF43" i="9" s="1"/>
  <c r="AG33" i="9"/>
  <c r="AF33" i="9" s="1"/>
  <c r="AG56" i="9"/>
  <c r="AF56" i="9" s="1"/>
  <c r="AG223" i="9"/>
  <c r="AF223" i="9" s="1"/>
  <c r="AG235" i="9"/>
  <c r="AF235" i="9" s="1"/>
  <c r="AG184" i="9"/>
  <c r="AF184" i="9" s="1"/>
  <c r="AG34" i="9"/>
  <c r="AF34" i="9" s="1"/>
  <c r="AG244" i="9"/>
  <c r="AF244" i="9" s="1"/>
  <c r="AG59" i="9"/>
  <c r="AF59" i="9" s="1"/>
  <c r="AG16" i="9"/>
  <c r="AF16" i="9" s="1"/>
  <c r="AG13" i="9"/>
  <c r="AF13" i="9" s="1"/>
  <c r="AG10" i="9"/>
  <c r="AF10" i="9" s="1"/>
  <c r="AG8" i="9"/>
  <c r="AF8" i="9" s="1"/>
  <c r="AG141" i="9"/>
  <c r="AF141" i="9" s="1"/>
  <c r="AG110" i="9"/>
  <c r="AF110" i="9" s="1"/>
  <c r="AG206" i="9"/>
  <c r="AF206" i="9" s="1"/>
  <c r="AG29" i="9"/>
  <c r="AF29" i="9" s="1"/>
  <c r="AG220" i="9"/>
  <c r="AF220" i="9" s="1"/>
  <c r="AG214" i="9"/>
  <c r="AF214" i="9" s="1"/>
  <c r="AG30" i="9"/>
  <c r="AF30" i="9" s="1"/>
  <c r="AG237" i="9"/>
  <c r="AF237" i="9" s="1"/>
  <c r="AG240" i="9"/>
  <c r="AF240" i="9" s="1"/>
  <c r="AG201" i="9"/>
  <c r="AF201" i="9" s="1"/>
  <c r="AG98" i="9"/>
  <c r="AF98" i="9" s="1"/>
  <c r="AG239" i="9"/>
  <c r="AF239" i="9" s="1"/>
  <c r="AG48" i="9"/>
  <c r="AF48" i="9" s="1"/>
  <c r="AG198" i="9"/>
  <c r="AF198" i="9" s="1"/>
  <c r="AG194" i="9"/>
  <c r="AF194" i="9" s="1"/>
  <c r="AG67" i="9"/>
  <c r="AF67" i="9" s="1"/>
  <c r="AG81" i="9"/>
  <c r="AF81" i="9" s="1"/>
  <c r="AG31" i="9"/>
  <c r="AF31" i="9" s="1"/>
  <c r="AG191" i="9"/>
  <c r="AF191" i="9" s="1"/>
  <c r="AA247" i="8"/>
  <c r="W248" i="8" s="1"/>
  <c r="BJ247" i="8"/>
  <c r="AN247" i="8"/>
  <c r="BB247" i="8"/>
  <c r="BF247" i="8" s="1"/>
  <c r="BD247" i="8" s="1"/>
  <c r="BU256" i="9" l="1"/>
  <c r="BH209" i="9"/>
  <c r="BG209" i="9" s="1"/>
  <c r="BH42" i="9"/>
  <c r="BG42" i="9" s="1"/>
  <c r="BH29" i="9"/>
  <c r="BG29" i="9" s="1"/>
  <c r="BH37" i="9"/>
  <c r="BG37" i="9" s="1"/>
  <c r="BH107" i="9"/>
  <c r="BG107" i="9" s="1"/>
  <c r="BH197" i="9"/>
  <c r="BG197" i="9" s="1"/>
  <c r="BH191" i="9"/>
  <c r="BG191" i="9" s="1"/>
  <c r="BH173" i="9"/>
  <c r="BG173" i="9" s="1"/>
  <c r="BH153" i="9"/>
  <c r="BG153" i="9" s="1"/>
  <c r="BH114" i="9"/>
  <c r="BG114" i="9" s="1"/>
  <c r="BH247" i="9"/>
  <c r="BG247" i="9" s="1"/>
  <c r="BH8" i="9"/>
  <c r="BG8" i="9" s="1"/>
  <c r="BH178" i="9"/>
  <c r="BG178" i="9" s="1"/>
  <c r="BH82" i="9"/>
  <c r="BG82" i="9" s="1"/>
  <c r="BH138" i="9"/>
  <c r="BG138" i="9" s="1"/>
  <c r="BH80" i="9"/>
  <c r="BG80" i="9" s="1"/>
  <c r="BH120" i="9"/>
  <c r="BG120" i="9" s="1"/>
  <c r="BH61" i="9"/>
  <c r="BG61" i="9" s="1"/>
  <c r="BH144" i="9"/>
  <c r="BG144" i="9" s="1"/>
  <c r="BH132" i="9"/>
  <c r="BG132" i="9" s="1"/>
  <c r="BH99" i="9"/>
  <c r="BG99" i="9" s="1"/>
  <c r="BH123" i="9"/>
  <c r="BG123" i="9" s="1"/>
  <c r="BH179" i="9"/>
  <c r="BG179" i="9" s="1"/>
  <c r="BH200" i="9"/>
  <c r="BG200" i="9" s="1"/>
  <c r="BH140" i="9"/>
  <c r="BG140" i="9" s="1"/>
  <c r="BH27" i="9"/>
  <c r="BG27" i="9" s="1"/>
  <c r="BH101" i="9"/>
  <c r="BG101" i="9" s="1"/>
  <c r="BH10" i="9"/>
  <c r="BG10" i="9" s="1"/>
  <c r="BH204" i="9"/>
  <c r="BG204" i="9" s="1"/>
  <c r="BH162" i="9"/>
  <c r="BG162" i="9" s="1"/>
  <c r="BH117" i="9"/>
  <c r="BG117" i="9" s="1"/>
  <c r="BH68" i="9"/>
  <c r="BG68" i="9" s="1"/>
  <c r="BH225" i="9"/>
  <c r="BG225" i="9" s="1"/>
  <c r="BH150" i="9"/>
  <c r="BG150" i="9" s="1"/>
  <c r="BH163" i="9"/>
  <c r="BG163" i="9" s="1"/>
  <c r="BH115" i="9"/>
  <c r="BG115" i="9" s="1"/>
  <c r="BH23" i="9"/>
  <c r="BG23" i="9" s="1"/>
  <c r="BH109" i="9"/>
  <c r="BG109" i="9" s="1"/>
  <c r="BH9" i="9"/>
  <c r="BG9" i="9" s="1"/>
  <c r="BH70" i="9"/>
  <c r="BG70" i="9" s="1"/>
  <c r="BH154" i="9"/>
  <c r="BG154" i="9" s="1"/>
  <c r="BH36" i="9"/>
  <c r="BG36" i="9" s="1"/>
  <c r="BH130" i="9"/>
  <c r="BG130" i="9" s="1"/>
  <c r="BH239" i="9"/>
  <c r="BG239" i="9" s="1"/>
  <c r="BH111" i="9"/>
  <c r="BG111" i="9" s="1"/>
  <c r="BH59" i="9"/>
  <c r="BG59" i="9" s="1"/>
  <c r="BH141" i="9"/>
  <c r="BG141" i="9" s="1"/>
  <c r="BH97" i="9"/>
  <c r="BG97" i="9" s="1"/>
  <c r="BH17" i="9"/>
  <c r="BG17" i="9" s="1"/>
  <c r="BH62" i="9"/>
  <c r="BG62" i="9" s="1"/>
  <c r="BH156" i="9"/>
  <c r="BG156" i="9" s="1"/>
  <c r="BH216" i="9"/>
  <c r="BG216" i="9" s="1"/>
  <c r="BH139" i="9"/>
  <c r="BG139" i="9" s="1"/>
  <c r="BH194" i="9"/>
  <c r="BG194" i="9" s="1"/>
  <c r="BH184" i="9"/>
  <c r="BG184" i="9" s="1"/>
  <c r="BH218" i="9"/>
  <c r="BG218" i="9" s="1"/>
  <c r="BH195" i="9"/>
  <c r="BG195" i="9" s="1"/>
  <c r="BH205" i="9"/>
  <c r="BG205" i="9" s="1"/>
  <c r="BH52" i="9"/>
  <c r="BG52" i="9" s="1"/>
  <c r="BH53" i="9"/>
  <c r="BG53" i="9" s="1"/>
  <c r="BH22" i="9"/>
  <c r="BG22" i="9" s="1"/>
  <c r="BH182" i="9"/>
  <c r="BG182" i="9" s="1"/>
  <c r="BH131" i="9"/>
  <c r="BG131" i="9" s="1"/>
  <c r="BH71" i="9"/>
  <c r="BG71" i="9" s="1"/>
  <c r="BH76" i="9"/>
  <c r="BG76" i="9" s="1"/>
  <c r="BH44" i="9"/>
  <c r="BG44" i="9" s="1"/>
  <c r="BH217" i="9"/>
  <c r="BG217" i="9" s="1"/>
  <c r="BH212" i="9"/>
  <c r="BG212" i="9" s="1"/>
  <c r="BH85" i="9"/>
  <c r="BG85" i="9" s="1"/>
  <c r="BH175" i="9"/>
  <c r="BG175" i="9" s="1"/>
  <c r="BH18" i="9"/>
  <c r="BG18" i="9" s="1"/>
  <c r="BH157" i="9"/>
  <c r="BG157" i="9" s="1"/>
  <c r="BH151" i="9"/>
  <c r="BG151" i="9" s="1"/>
  <c r="BH118" i="9"/>
  <c r="BG118" i="9" s="1"/>
  <c r="BH19" i="9"/>
  <c r="BG19" i="9" s="1"/>
  <c r="BH112" i="9"/>
  <c r="BG112" i="9" s="1"/>
  <c r="BH190" i="9"/>
  <c r="BG190" i="9" s="1"/>
  <c r="BH174" i="9"/>
  <c r="BG174" i="9" s="1"/>
  <c r="BH24" i="9"/>
  <c r="BG24" i="9" s="1"/>
  <c r="BH15" i="9"/>
  <c r="BG15" i="9" s="1"/>
  <c r="BH50" i="9"/>
  <c r="BG50" i="9" s="1"/>
  <c r="BH127" i="9"/>
  <c r="BG127" i="9" s="1"/>
  <c r="BH79" i="9"/>
  <c r="BG79" i="9" s="1"/>
  <c r="BH103" i="9"/>
  <c r="BG103" i="9" s="1"/>
  <c r="BH25" i="9"/>
  <c r="BG25" i="9" s="1"/>
  <c r="BH55" i="9"/>
  <c r="BG55" i="9" s="1"/>
  <c r="BH213" i="9"/>
  <c r="BG213" i="9" s="1"/>
  <c r="BH125" i="9"/>
  <c r="BG125" i="9" s="1"/>
  <c r="BH249" i="9"/>
  <c r="BG249" i="9" s="1"/>
  <c r="BH133" i="9"/>
  <c r="BG133" i="9" s="1"/>
  <c r="BH198" i="9"/>
  <c r="BG198" i="9" s="1"/>
  <c r="BH159" i="9"/>
  <c r="BG159" i="9" s="1"/>
  <c r="BH236" i="9"/>
  <c r="BG236" i="9" s="1"/>
  <c r="BH193" i="9"/>
  <c r="BG193" i="9" s="1"/>
  <c r="BH105" i="9"/>
  <c r="BG105" i="9" s="1"/>
  <c r="BH92" i="9"/>
  <c r="BG92" i="9" s="1"/>
  <c r="BH186" i="9"/>
  <c r="BG186" i="9" s="1"/>
  <c r="BH224" i="9"/>
  <c r="BG224" i="9" s="1"/>
  <c r="BH40" i="9"/>
  <c r="BG40" i="9" s="1"/>
  <c r="BH7" i="9"/>
  <c r="BG7" i="9" s="1"/>
  <c r="BH12" i="9"/>
  <c r="BG12" i="9" s="1"/>
  <c r="BH63" i="9"/>
  <c r="BG63" i="9" s="1"/>
  <c r="BH110" i="9"/>
  <c r="BG110" i="9" s="1"/>
  <c r="BH237" i="9"/>
  <c r="BG237" i="9" s="1"/>
  <c r="BH91" i="9"/>
  <c r="BG91" i="9" s="1"/>
  <c r="BH64" i="9"/>
  <c r="BG64" i="9" s="1"/>
  <c r="BH121" i="9"/>
  <c r="BG121" i="9" s="1"/>
  <c r="BH137" i="9"/>
  <c r="BG137" i="9" s="1"/>
  <c r="BH180" i="9"/>
  <c r="BG180" i="9" s="1"/>
  <c r="BH230" i="9"/>
  <c r="BG230" i="9" s="1"/>
  <c r="BH152" i="9"/>
  <c r="BG152" i="9" s="1"/>
  <c r="BH34" i="9"/>
  <c r="BG34" i="9" s="1"/>
  <c r="BH227" i="9"/>
  <c r="BG227" i="9" s="1"/>
  <c r="BH88" i="9"/>
  <c r="BG88" i="9" s="1"/>
  <c r="BH233" i="9"/>
  <c r="BG233" i="9" s="1"/>
  <c r="BH188" i="9"/>
  <c r="BG188" i="9" s="1"/>
  <c r="BH149" i="9"/>
  <c r="BG149" i="9" s="1"/>
  <c r="BH49" i="9"/>
  <c r="BG49" i="9" s="1"/>
  <c r="BH201" i="9"/>
  <c r="BG201" i="9" s="1"/>
  <c r="BH5" i="9"/>
  <c r="BH51" i="9"/>
  <c r="BG51" i="9" s="1"/>
  <c r="BH234" i="9"/>
  <c r="BG234" i="9" s="1"/>
  <c r="BH33" i="9"/>
  <c r="BG33" i="9" s="1"/>
  <c r="BH72" i="9"/>
  <c r="BG72" i="9" s="1"/>
  <c r="BH106" i="9"/>
  <c r="BG106" i="9" s="1"/>
  <c r="BH187" i="9"/>
  <c r="BG187" i="9" s="1"/>
  <c r="BX256" i="9"/>
  <c r="BP256" i="8" s="1"/>
  <c r="BH161" i="9"/>
  <c r="BG161" i="9" s="1"/>
  <c r="BH208" i="9"/>
  <c r="BG208" i="9" s="1"/>
  <c r="BH67" i="9"/>
  <c r="BG67" i="9" s="1"/>
  <c r="BH89" i="9"/>
  <c r="BG89" i="9" s="1"/>
  <c r="BH126" i="9"/>
  <c r="BG126" i="9" s="1"/>
  <c r="BH183" i="9"/>
  <c r="BG183" i="9" s="1"/>
  <c r="BH240" i="9"/>
  <c r="BG240" i="9" s="1"/>
  <c r="BH235" i="9"/>
  <c r="BG235" i="9" s="1"/>
  <c r="BH147" i="9"/>
  <c r="BG147" i="9" s="1"/>
  <c r="BH207" i="9"/>
  <c r="BG207" i="9" s="1"/>
  <c r="BH142" i="9"/>
  <c r="BG142" i="9" s="1"/>
  <c r="BH192" i="9"/>
  <c r="BG192" i="9" s="1"/>
  <c r="BH94" i="9"/>
  <c r="BG94" i="9" s="1"/>
  <c r="BH35" i="9"/>
  <c r="BG35" i="9" s="1"/>
  <c r="BH45" i="9"/>
  <c r="BG45" i="9" s="1"/>
  <c r="BH66" i="9"/>
  <c r="BG66" i="9" s="1"/>
  <c r="BH172" i="9"/>
  <c r="BG172" i="9" s="1"/>
  <c r="BH134" i="9"/>
  <c r="BG134" i="9" s="1"/>
  <c r="BH232" i="9"/>
  <c r="BG232" i="9" s="1"/>
  <c r="BH252" i="9"/>
  <c r="BG252" i="9" s="1"/>
  <c r="BH166" i="9"/>
  <c r="BG166" i="9" s="1"/>
  <c r="BH219" i="9"/>
  <c r="BG219" i="9" s="1"/>
  <c r="BH242" i="9"/>
  <c r="BG242" i="9" s="1"/>
  <c r="BH104" i="9"/>
  <c r="BG104" i="9" s="1"/>
  <c r="BH222" i="9"/>
  <c r="BG222" i="9" s="1"/>
  <c r="BH245" i="9"/>
  <c r="BG245" i="9" s="1"/>
  <c r="BH164" i="9"/>
  <c r="BG164" i="9" s="1"/>
  <c r="BH135" i="9"/>
  <c r="BG135" i="9" s="1"/>
  <c r="BH47" i="9"/>
  <c r="BG47" i="9" s="1"/>
  <c r="BH229" i="9"/>
  <c r="BG229" i="9" s="1"/>
  <c r="BH203" i="9"/>
  <c r="BG203" i="9" s="1"/>
  <c r="BH170" i="9"/>
  <c r="BG170" i="9" s="1"/>
  <c r="BH148" i="9"/>
  <c r="BG148" i="9" s="1"/>
  <c r="BH54" i="9"/>
  <c r="BG54" i="9" s="1"/>
  <c r="BH250" i="9"/>
  <c r="BG250" i="9" s="1"/>
  <c r="BH143" i="9"/>
  <c r="BG143" i="9" s="1"/>
  <c r="BH14" i="9"/>
  <c r="BG14" i="9" s="1"/>
  <c r="BH38" i="9"/>
  <c r="BG38" i="9" s="1"/>
  <c r="BH13" i="9"/>
  <c r="BG13" i="9" s="1"/>
  <c r="BH93" i="9"/>
  <c r="BG93" i="9" s="1"/>
  <c r="BH168" i="9"/>
  <c r="BG168" i="9" s="1"/>
  <c r="BH46" i="9"/>
  <c r="BG46" i="9" s="1"/>
  <c r="BH122" i="9"/>
  <c r="BG122" i="9" s="1"/>
  <c r="BH87" i="9"/>
  <c r="BG87" i="9" s="1"/>
  <c r="BH238" i="9"/>
  <c r="BG238" i="9" s="1"/>
  <c r="BH58" i="9"/>
  <c r="BG58" i="9" s="1"/>
  <c r="BH96" i="9"/>
  <c r="BG96" i="9" s="1"/>
  <c r="BH81" i="9"/>
  <c r="BG81" i="9" s="1"/>
  <c r="BH155" i="9"/>
  <c r="BG155" i="9" s="1"/>
  <c r="BH210" i="9"/>
  <c r="BG210" i="9" s="1"/>
  <c r="BH32" i="9"/>
  <c r="BG32" i="9" s="1"/>
  <c r="BH74" i="9"/>
  <c r="BG74" i="9" s="1"/>
  <c r="BH215" i="9"/>
  <c r="BG215" i="9" s="1"/>
  <c r="BH158" i="9"/>
  <c r="BG158" i="9" s="1"/>
  <c r="BH221" i="9"/>
  <c r="BG221" i="9" s="1"/>
  <c r="BH90" i="9"/>
  <c r="BG90" i="9" s="1"/>
  <c r="BH129" i="9"/>
  <c r="BG129" i="9" s="1"/>
  <c r="BH248" i="9"/>
  <c r="BG248" i="9" s="1"/>
  <c r="BH102" i="9"/>
  <c r="BG102" i="9" s="1"/>
  <c r="BH116" i="9"/>
  <c r="BG116" i="9" s="1"/>
  <c r="BH26" i="9"/>
  <c r="BG26" i="9" s="1"/>
  <c r="BH189" i="9"/>
  <c r="BG189" i="9" s="1"/>
  <c r="BH57" i="9"/>
  <c r="BG57" i="9" s="1"/>
  <c r="BH214" i="9"/>
  <c r="BG214" i="9" s="1"/>
  <c r="BH84" i="9"/>
  <c r="BG84" i="9" s="1"/>
  <c r="BH211" i="9"/>
  <c r="BG211" i="9" s="1"/>
  <c r="BH241" i="9"/>
  <c r="BG241" i="9" s="1"/>
  <c r="BH113" i="9"/>
  <c r="BG113" i="9" s="1"/>
  <c r="BH128" i="9"/>
  <c r="BG128" i="9" s="1"/>
  <c r="BH146" i="9"/>
  <c r="BG146" i="9" s="1"/>
  <c r="BH48" i="9"/>
  <c r="BG48" i="9" s="1"/>
  <c r="BH78" i="9"/>
  <c r="BG78" i="9" s="1"/>
  <c r="BH185" i="9"/>
  <c r="BG185" i="9" s="1"/>
  <c r="BH169" i="9"/>
  <c r="BG169" i="9" s="1"/>
  <c r="BH65" i="9"/>
  <c r="BG65" i="9" s="1"/>
  <c r="BH60" i="9"/>
  <c r="BG60" i="9" s="1"/>
  <c r="BH171" i="9"/>
  <c r="BG171" i="9" s="1"/>
  <c r="BH108" i="9"/>
  <c r="BG108" i="9" s="1"/>
  <c r="BH30" i="9"/>
  <c r="BG30" i="9" s="1"/>
  <c r="BH86" i="9"/>
  <c r="BG86" i="9" s="1"/>
  <c r="BH43" i="9"/>
  <c r="BG43" i="9" s="1"/>
  <c r="BH95" i="9"/>
  <c r="BG95" i="9" s="1"/>
  <c r="BH254" i="9"/>
  <c r="BG254" i="9" s="1"/>
  <c r="BK256" i="9"/>
  <c r="BT255" i="9" s="1"/>
  <c r="BT254" i="9" s="1"/>
  <c r="BT253" i="9" s="1"/>
  <c r="BT252" i="9" s="1"/>
  <c r="BT251" i="9" s="1"/>
  <c r="BT250" i="9" s="1"/>
  <c r="BT249" i="9" s="1"/>
  <c r="BT248" i="9" s="1"/>
  <c r="BT247" i="9" s="1"/>
  <c r="BT246" i="9" s="1"/>
  <c r="BT245" i="9" s="1"/>
  <c r="BT244" i="9" s="1"/>
  <c r="BT243" i="9" s="1"/>
  <c r="BT242" i="9" s="1"/>
  <c r="BT241" i="9" s="1"/>
  <c r="BT240" i="9" s="1"/>
  <c r="BT239" i="9" s="1"/>
  <c r="BT238" i="9" s="1"/>
  <c r="BT237" i="9" s="1"/>
  <c r="BT236" i="9" s="1"/>
  <c r="BT235" i="9" s="1"/>
  <c r="BT234" i="9" s="1"/>
  <c r="BT233" i="9" s="1"/>
  <c r="BT232" i="9" s="1"/>
  <c r="BT231" i="9" s="1"/>
  <c r="BT230" i="9" s="1"/>
  <c r="BT229" i="9" s="1"/>
  <c r="BT228" i="9" s="1"/>
  <c r="BT227" i="9" s="1"/>
  <c r="BT226" i="9" s="1"/>
  <c r="BT225" i="9" s="1"/>
  <c r="BT224" i="9" s="1"/>
  <c r="BT223" i="9" s="1"/>
  <c r="BT222" i="9" s="1"/>
  <c r="BT221" i="9" s="1"/>
  <c r="BT220" i="9" s="1"/>
  <c r="BT219" i="9" s="1"/>
  <c r="BT218" i="9" s="1"/>
  <c r="BT217" i="9" s="1"/>
  <c r="BT216" i="9" s="1"/>
  <c r="BT215" i="9" s="1"/>
  <c r="BT214" i="9" s="1"/>
  <c r="BT213" i="9" s="1"/>
  <c r="BT212" i="9" s="1"/>
  <c r="BT211" i="9" s="1"/>
  <c r="BT210" i="9" s="1"/>
  <c r="BT209" i="9" s="1"/>
  <c r="BT208" i="9" s="1"/>
  <c r="BT207" i="9" s="1"/>
  <c r="BT206" i="9" s="1"/>
  <c r="BT205" i="9" s="1"/>
  <c r="BT204" i="9" s="1"/>
  <c r="BT203" i="9" s="1"/>
  <c r="BT202" i="9" s="1"/>
  <c r="BT201" i="9" s="1"/>
  <c r="BT200" i="9" s="1"/>
  <c r="BT199" i="9" s="1"/>
  <c r="BT198" i="9" s="1"/>
  <c r="BT197" i="9" s="1"/>
  <c r="BT196" i="9" s="1"/>
  <c r="BT195" i="9" s="1"/>
  <c r="BT194" i="9" s="1"/>
  <c r="BT193" i="9" s="1"/>
  <c r="BT192" i="9" s="1"/>
  <c r="BT191" i="9" s="1"/>
  <c r="BT190" i="9" s="1"/>
  <c r="BT189" i="9" s="1"/>
  <c r="BT188" i="9" s="1"/>
  <c r="BT187" i="9" s="1"/>
  <c r="BT186" i="9" s="1"/>
  <c r="BT185" i="9" s="1"/>
  <c r="BT184" i="9" s="1"/>
  <c r="BT183" i="9" s="1"/>
  <c r="BT182" i="9" s="1"/>
  <c r="BT181" i="9" s="1"/>
  <c r="BT180" i="9" s="1"/>
  <c r="BT179" i="9" s="1"/>
  <c r="BT178" i="9" s="1"/>
  <c r="BT177" i="9" s="1"/>
  <c r="BT176" i="9" s="1"/>
  <c r="BT175" i="9" s="1"/>
  <c r="BT174" i="9" s="1"/>
  <c r="BT173" i="9" s="1"/>
  <c r="BT172" i="9" s="1"/>
  <c r="BT171" i="9" s="1"/>
  <c r="BT170" i="9" s="1"/>
  <c r="BT169" i="9" s="1"/>
  <c r="BT168" i="9" s="1"/>
  <c r="BT167" i="9" s="1"/>
  <c r="BT166" i="9" s="1"/>
  <c r="BT165" i="9" s="1"/>
  <c r="BT164" i="9" s="1"/>
  <c r="BT163" i="9" s="1"/>
  <c r="BT162" i="9" s="1"/>
  <c r="BT161" i="9" s="1"/>
  <c r="BT160" i="9" s="1"/>
  <c r="BT159" i="9" s="1"/>
  <c r="BT158" i="9" s="1"/>
  <c r="BT157" i="9" s="1"/>
  <c r="BT156" i="9" s="1"/>
  <c r="BT155" i="9" s="1"/>
  <c r="BT154" i="9" s="1"/>
  <c r="BT153" i="9" s="1"/>
  <c r="BT152" i="9" s="1"/>
  <c r="BT151" i="9" s="1"/>
  <c r="BT150" i="9" s="1"/>
  <c r="BT149" i="9" s="1"/>
  <c r="BT148" i="9" s="1"/>
  <c r="BT147" i="9" s="1"/>
  <c r="BT146" i="9" s="1"/>
  <c r="BT145" i="9" s="1"/>
  <c r="BT144" i="9" s="1"/>
  <c r="BT143" i="9" s="1"/>
  <c r="BT142" i="9" s="1"/>
  <c r="BT141" i="9" s="1"/>
  <c r="BT140" i="9" s="1"/>
  <c r="BT139" i="9" s="1"/>
  <c r="BT138" i="9" s="1"/>
  <c r="BT137" i="9" s="1"/>
  <c r="BT136" i="9" s="1"/>
  <c r="BT135" i="9" s="1"/>
  <c r="BT134" i="9" s="1"/>
  <c r="BT133" i="9" s="1"/>
  <c r="BT132" i="9" s="1"/>
  <c r="BT131" i="9" s="1"/>
  <c r="BT130" i="9" s="1"/>
  <c r="BT129" i="9" s="1"/>
  <c r="BT128" i="9" s="1"/>
  <c r="BT127" i="9" s="1"/>
  <c r="BT126" i="9" s="1"/>
  <c r="BT125" i="9" s="1"/>
  <c r="BT124" i="9" s="1"/>
  <c r="BT123" i="9" s="1"/>
  <c r="BT122" i="9" s="1"/>
  <c r="BT121" i="9" s="1"/>
  <c r="BT120" i="9" s="1"/>
  <c r="BT119" i="9" s="1"/>
  <c r="BT118" i="9" s="1"/>
  <c r="BT117" i="9" s="1"/>
  <c r="BT116" i="9" s="1"/>
  <c r="BT115" i="9" s="1"/>
  <c r="BT114" i="9" s="1"/>
  <c r="BT113" i="9" s="1"/>
  <c r="BT112" i="9" s="1"/>
  <c r="BT111" i="9" s="1"/>
  <c r="BT110" i="9" s="1"/>
  <c r="BT109" i="9" s="1"/>
  <c r="BT108" i="9" s="1"/>
  <c r="BT107" i="9" s="1"/>
  <c r="BT106" i="9" s="1"/>
  <c r="BT105" i="9" s="1"/>
  <c r="BT104" i="9" s="1"/>
  <c r="BT103" i="9" s="1"/>
  <c r="BT102" i="9" s="1"/>
  <c r="BT101" i="9" s="1"/>
  <c r="BT100" i="9" s="1"/>
  <c r="BT99" i="9" s="1"/>
  <c r="BT98" i="9" s="1"/>
  <c r="BT97" i="9" s="1"/>
  <c r="BT96" i="9" s="1"/>
  <c r="BT95" i="9" s="1"/>
  <c r="BT94" i="9" s="1"/>
  <c r="BT93" i="9" s="1"/>
  <c r="BT92" i="9" s="1"/>
  <c r="BT91" i="9" s="1"/>
  <c r="BT90" i="9" s="1"/>
  <c r="BT89" i="9" s="1"/>
  <c r="BT88" i="9" s="1"/>
  <c r="BT87" i="9" s="1"/>
  <c r="BT86" i="9" s="1"/>
  <c r="BT85" i="9" s="1"/>
  <c r="BT84" i="9" s="1"/>
  <c r="BT83" i="9" s="1"/>
  <c r="BT82" i="9" s="1"/>
  <c r="BT81" i="9" s="1"/>
  <c r="BT80" i="9" s="1"/>
  <c r="BT79" i="9" s="1"/>
  <c r="BT78" i="9" s="1"/>
  <c r="BT77" i="9" s="1"/>
  <c r="BT76" i="9" s="1"/>
  <c r="BT75" i="9" s="1"/>
  <c r="BT74" i="9" s="1"/>
  <c r="BT73" i="9" s="1"/>
  <c r="BT72" i="9" s="1"/>
  <c r="BT71" i="9" s="1"/>
  <c r="BT70" i="9" s="1"/>
  <c r="BT69" i="9" s="1"/>
  <c r="BT68" i="9" s="1"/>
  <c r="BT67" i="9" s="1"/>
  <c r="BT66" i="9" s="1"/>
  <c r="BT65" i="9" s="1"/>
  <c r="BT64" i="9" s="1"/>
  <c r="BT63" i="9" s="1"/>
  <c r="BT62" i="9" s="1"/>
  <c r="BT61" i="9" s="1"/>
  <c r="BT60" i="9" s="1"/>
  <c r="BT59" i="9" s="1"/>
  <c r="BT58" i="9" s="1"/>
  <c r="BT57" i="9" s="1"/>
  <c r="BT56" i="9" s="1"/>
  <c r="BT55" i="9" s="1"/>
  <c r="BT54" i="9" s="1"/>
  <c r="BT53" i="9" s="1"/>
  <c r="BT52" i="9" s="1"/>
  <c r="BT51" i="9" s="1"/>
  <c r="BT50" i="9" s="1"/>
  <c r="BT49" i="9" s="1"/>
  <c r="BT48" i="9" s="1"/>
  <c r="BT47" i="9" s="1"/>
  <c r="BT46" i="9" s="1"/>
  <c r="BT45" i="9" s="1"/>
  <c r="BT44" i="9" s="1"/>
  <c r="BT43" i="9" s="1"/>
  <c r="BT42" i="9" s="1"/>
  <c r="BT41" i="9" s="1"/>
  <c r="BT40" i="9" s="1"/>
  <c r="BT39" i="9" s="1"/>
  <c r="BT38" i="9" s="1"/>
  <c r="BT37" i="9" s="1"/>
  <c r="BT36" i="9" s="1"/>
  <c r="BT35" i="9" s="1"/>
  <c r="BT34" i="9" s="1"/>
  <c r="BT33" i="9" s="1"/>
  <c r="BT32" i="9" s="1"/>
  <c r="BT31" i="9" s="1"/>
  <c r="BT30" i="9" s="1"/>
  <c r="BT29" i="9" s="1"/>
  <c r="BT28" i="9" s="1"/>
  <c r="BT27" i="9" s="1"/>
  <c r="BT26" i="9" s="1"/>
  <c r="BT25" i="9" s="1"/>
  <c r="BT24" i="9" s="1"/>
  <c r="BT23" i="9" s="1"/>
  <c r="BT22" i="9" s="1"/>
  <c r="BT21" i="9" s="1"/>
  <c r="BT20" i="9" s="1"/>
  <c r="BT19" i="9" s="1"/>
  <c r="BT18" i="9" s="1"/>
  <c r="BT17" i="9" s="1"/>
  <c r="BT16" i="9" s="1"/>
  <c r="BT15" i="9" s="1"/>
  <c r="BT14" i="9" s="1"/>
  <c r="BT13" i="9" s="1"/>
  <c r="BT12" i="9" s="1"/>
  <c r="BT11" i="9" s="1"/>
  <c r="BT10" i="9" s="1"/>
  <c r="BT9" i="9" s="1"/>
  <c r="BT8" i="9" s="1"/>
  <c r="BT7" i="9" s="1"/>
  <c r="BT6" i="9" s="1"/>
  <c r="AP255" i="9"/>
  <c r="AO255" i="9" s="1"/>
  <c r="AP101" i="9"/>
  <c r="AO101" i="9" s="1"/>
  <c r="AP174" i="9"/>
  <c r="AO174" i="9" s="1"/>
  <c r="AP159" i="9"/>
  <c r="AO159" i="9" s="1"/>
  <c r="AP9" i="9"/>
  <c r="AO9" i="9" s="1"/>
  <c r="AP10" i="9"/>
  <c r="AO10" i="9" s="1"/>
  <c r="AP117" i="9"/>
  <c r="AO117" i="9" s="1"/>
  <c r="AP64" i="9"/>
  <c r="AO64" i="9" s="1"/>
  <c r="AP186" i="9"/>
  <c r="AO186" i="9" s="1"/>
  <c r="AP253" i="9"/>
  <c r="AO253" i="9" s="1"/>
  <c r="AP15" i="9"/>
  <c r="AO15" i="9" s="1"/>
  <c r="AP162" i="9"/>
  <c r="AO162" i="9" s="1"/>
  <c r="AP194" i="9"/>
  <c r="AO194" i="9" s="1"/>
  <c r="AP12" i="9"/>
  <c r="AO12" i="9" s="1"/>
  <c r="AP228" i="9"/>
  <c r="AO228" i="9" s="1"/>
  <c r="AP42" i="9"/>
  <c r="AO42" i="9" s="1"/>
  <c r="AP97" i="9"/>
  <c r="AO97" i="9" s="1"/>
  <c r="AP230" i="9"/>
  <c r="AO230" i="9" s="1"/>
  <c r="AP188" i="9"/>
  <c r="AO188" i="9" s="1"/>
  <c r="AP127" i="9"/>
  <c r="AO127" i="9" s="1"/>
  <c r="AP29" i="9"/>
  <c r="AO29" i="9" s="1"/>
  <c r="AP71" i="9"/>
  <c r="AO71" i="9" s="1"/>
  <c r="AP179" i="9"/>
  <c r="AO179" i="9" s="1"/>
  <c r="AP148" i="9"/>
  <c r="AO148" i="9" s="1"/>
  <c r="AP43" i="9"/>
  <c r="AO43" i="9" s="1"/>
  <c r="AP133" i="9"/>
  <c r="AO133" i="9" s="1"/>
  <c r="AP110" i="9"/>
  <c r="AO110" i="9" s="1"/>
  <c r="AP114" i="9"/>
  <c r="AO114" i="9" s="1"/>
  <c r="AP241" i="9"/>
  <c r="AO241" i="9" s="1"/>
  <c r="AP221" i="9"/>
  <c r="AO221" i="9" s="1"/>
  <c r="AP54" i="9"/>
  <c r="AO54" i="9" s="1"/>
  <c r="AP47" i="9"/>
  <c r="AO47" i="9" s="1"/>
  <c r="AP155" i="9"/>
  <c r="AO155" i="9" s="1"/>
  <c r="AP122" i="9"/>
  <c r="AO122" i="9" s="1"/>
  <c r="AP27" i="9"/>
  <c r="AO27" i="9" s="1"/>
  <c r="AP74" i="9"/>
  <c r="AO74" i="9" s="1"/>
  <c r="AP197" i="9"/>
  <c r="AO197" i="9" s="1"/>
  <c r="AP76" i="9"/>
  <c r="AO76" i="9" s="1"/>
  <c r="AP88" i="9"/>
  <c r="AO88" i="9" s="1"/>
  <c r="AP62" i="9"/>
  <c r="AO62" i="9" s="1"/>
  <c r="AP236" i="9"/>
  <c r="AO236" i="9" s="1"/>
  <c r="AP201" i="9"/>
  <c r="AO201" i="9" s="1"/>
  <c r="AP8" i="9"/>
  <c r="AO8" i="9" s="1"/>
  <c r="AP185" i="9"/>
  <c r="AO185" i="9" s="1"/>
  <c r="AP23" i="9"/>
  <c r="AO23" i="9" s="1"/>
  <c r="AP73" i="9"/>
  <c r="AO73" i="9" s="1"/>
  <c r="AP243" i="9"/>
  <c r="AO243" i="9" s="1"/>
  <c r="AP30" i="9"/>
  <c r="AO30" i="9" s="1"/>
  <c r="AP39" i="9"/>
  <c r="AO39" i="9" s="1"/>
  <c r="AP254" i="9"/>
  <c r="AO254" i="9" s="1"/>
  <c r="AP189" i="9"/>
  <c r="AO189" i="9" s="1"/>
  <c r="AP18" i="9"/>
  <c r="AO18" i="9" s="1"/>
  <c r="AP116" i="9"/>
  <c r="AO116" i="9" s="1"/>
  <c r="AP128" i="9"/>
  <c r="AO128" i="9" s="1"/>
  <c r="AP147" i="9"/>
  <c r="AO147" i="9" s="1"/>
  <c r="AP32" i="9"/>
  <c r="AO32" i="9" s="1"/>
  <c r="AP196" i="9"/>
  <c r="AO196" i="9" s="1"/>
  <c r="AP210" i="9"/>
  <c r="AO210" i="9" s="1"/>
  <c r="AP209" i="9"/>
  <c r="AO209" i="9" s="1"/>
  <c r="AP181" i="9"/>
  <c r="AO181" i="9" s="1"/>
  <c r="AP223" i="9"/>
  <c r="AO223" i="9" s="1"/>
  <c r="AP25" i="9"/>
  <c r="AO25" i="9" s="1"/>
  <c r="AP80" i="9"/>
  <c r="AO80" i="9" s="1"/>
  <c r="AP222" i="9"/>
  <c r="AO222" i="9" s="1"/>
  <c r="AP136" i="9"/>
  <c r="AO136" i="9" s="1"/>
  <c r="AP193" i="9"/>
  <c r="AO193" i="9" s="1"/>
  <c r="AP53" i="9"/>
  <c r="AO53" i="9" s="1"/>
  <c r="AP173" i="9"/>
  <c r="AO173" i="9" s="1"/>
  <c r="AP129" i="9"/>
  <c r="AO129" i="9" s="1"/>
  <c r="AP242" i="9"/>
  <c r="AO242" i="9" s="1"/>
  <c r="AP175" i="9"/>
  <c r="AO175" i="9" s="1"/>
  <c r="AP38" i="9"/>
  <c r="AO38" i="9" s="1"/>
  <c r="AP153" i="9"/>
  <c r="AO153" i="9" s="1"/>
  <c r="AP205" i="9"/>
  <c r="AO205" i="9" s="1"/>
  <c r="AP79" i="9"/>
  <c r="AO79" i="9" s="1"/>
  <c r="AP119" i="9"/>
  <c r="AO119" i="9" s="1"/>
  <c r="AP158" i="9"/>
  <c r="AO158" i="9" s="1"/>
  <c r="AP131" i="9"/>
  <c r="AO131" i="9" s="1"/>
  <c r="AP191" i="9"/>
  <c r="AO191" i="9" s="1"/>
  <c r="AP220" i="9"/>
  <c r="AO220" i="9" s="1"/>
  <c r="AP134" i="9"/>
  <c r="AO134" i="9" s="1"/>
  <c r="AP70" i="9"/>
  <c r="AO70" i="9" s="1"/>
  <c r="AP106" i="9"/>
  <c r="AO106" i="9" s="1"/>
  <c r="AP63" i="9"/>
  <c r="AO63" i="9" s="1"/>
  <c r="AP216" i="9"/>
  <c r="AO216" i="9" s="1"/>
  <c r="AP92" i="9"/>
  <c r="AO92" i="9" s="1"/>
  <c r="AP16" i="9"/>
  <c r="AO16" i="9" s="1"/>
  <c r="AP183" i="9"/>
  <c r="AO183" i="9" s="1"/>
  <c r="AP37" i="9"/>
  <c r="AO37" i="9" s="1"/>
  <c r="AP75" i="9"/>
  <c r="AO75" i="9" s="1"/>
  <c r="AP28" i="9"/>
  <c r="AO28" i="9" s="1"/>
  <c r="AP233" i="9"/>
  <c r="AO233" i="9" s="1"/>
  <c r="AP227" i="9"/>
  <c r="AO227" i="9" s="1"/>
  <c r="AP137" i="9"/>
  <c r="AO137" i="9" s="1"/>
  <c r="AP192" i="9"/>
  <c r="AO192" i="9" s="1"/>
  <c r="AP138" i="9"/>
  <c r="AO138" i="9" s="1"/>
  <c r="AP5" i="9"/>
  <c r="AP98" i="9"/>
  <c r="AO98" i="9" s="1"/>
  <c r="AP140" i="9"/>
  <c r="AO140" i="9" s="1"/>
  <c r="AP66" i="9"/>
  <c r="AO66" i="9" s="1"/>
  <c r="AP167" i="9"/>
  <c r="AO167" i="9" s="1"/>
  <c r="AP213" i="9"/>
  <c r="AO213" i="9" s="1"/>
  <c r="AP163" i="9"/>
  <c r="AO163" i="9" s="1"/>
  <c r="AP251" i="9"/>
  <c r="AO251" i="9" s="1"/>
  <c r="AP226" i="9"/>
  <c r="AO226" i="9" s="1"/>
  <c r="AP139" i="9"/>
  <c r="AO139" i="9" s="1"/>
  <c r="AP208" i="9"/>
  <c r="AO208" i="9" s="1"/>
  <c r="AP184" i="9"/>
  <c r="AO184" i="9" s="1"/>
  <c r="AP124" i="9"/>
  <c r="AO124" i="9" s="1"/>
  <c r="AP126" i="9"/>
  <c r="AO126" i="9" s="1"/>
  <c r="AP68" i="9"/>
  <c r="AO68" i="9" s="1"/>
  <c r="AP108" i="9"/>
  <c r="AO108" i="9" s="1"/>
  <c r="AP247" i="9"/>
  <c r="AO247" i="9" s="1"/>
  <c r="AP103" i="9"/>
  <c r="AO103" i="9" s="1"/>
  <c r="AP52" i="9"/>
  <c r="AO52" i="9" s="1"/>
  <c r="AP142" i="9"/>
  <c r="AO142" i="9" s="1"/>
  <c r="AP215" i="9"/>
  <c r="AO215" i="9" s="1"/>
  <c r="AP150" i="9"/>
  <c r="AO150" i="9" s="1"/>
  <c r="AP249" i="9"/>
  <c r="AO249" i="9" s="1"/>
  <c r="AP156" i="9"/>
  <c r="AO156" i="9" s="1"/>
  <c r="AP149" i="9"/>
  <c r="AO149" i="9" s="1"/>
  <c r="AP143" i="9"/>
  <c r="AO143" i="9" s="1"/>
  <c r="AP152" i="9"/>
  <c r="AO152" i="9" s="1"/>
  <c r="AP65" i="9"/>
  <c r="AO65" i="9" s="1"/>
  <c r="AP78" i="9"/>
  <c r="AO78" i="9" s="1"/>
  <c r="AP202" i="9"/>
  <c r="AO202" i="9" s="1"/>
  <c r="AP248" i="9"/>
  <c r="AO248" i="9" s="1"/>
  <c r="AP105" i="9"/>
  <c r="AO105" i="9" s="1"/>
  <c r="AP206" i="9"/>
  <c r="AO206" i="9" s="1"/>
  <c r="AP180" i="9"/>
  <c r="AO180" i="9" s="1"/>
  <c r="AP83" i="9"/>
  <c r="AO83" i="9" s="1"/>
  <c r="AP170" i="9"/>
  <c r="AO170" i="9" s="1"/>
  <c r="AP67" i="9"/>
  <c r="AO67" i="9" s="1"/>
  <c r="AP141" i="9"/>
  <c r="AO141" i="9" s="1"/>
  <c r="AP229" i="9"/>
  <c r="AO229" i="9" s="1"/>
  <c r="AP231" i="9"/>
  <c r="AO231" i="9" s="1"/>
  <c r="AP169" i="9"/>
  <c r="AO169" i="9" s="1"/>
  <c r="AP94" i="9"/>
  <c r="AO94" i="9" s="1"/>
  <c r="AP244" i="9"/>
  <c r="AO244" i="9" s="1"/>
  <c r="AP20" i="9"/>
  <c r="AO20" i="9" s="1"/>
  <c r="AP50" i="9"/>
  <c r="AO50" i="9" s="1"/>
  <c r="AP89" i="9"/>
  <c r="AO89" i="9" s="1"/>
  <c r="AP200" i="9"/>
  <c r="AO200" i="9" s="1"/>
  <c r="AP96" i="9"/>
  <c r="AO96" i="9" s="1"/>
  <c r="AP204" i="9"/>
  <c r="AO204" i="9" s="1"/>
  <c r="AP112" i="9"/>
  <c r="AO112" i="9" s="1"/>
  <c r="AP60" i="9"/>
  <c r="AO60" i="9" s="1"/>
  <c r="AP40" i="9"/>
  <c r="AO40" i="9" s="1"/>
  <c r="AP178" i="9"/>
  <c r="AO178" i="9" s="1"/>
  <c r="AP190" i="9"/>
  <c r="AO190" i="9" s="1"/>
  <c r="AP145" i="9"/>
  <c r="AO145" i="9" s="1"/>
  <c r="AP26" i="9"/>
  <c r="AO26" i="9" s="1"/>
  <c r="AP219" i="9"/>
  <c r="AO219" i="9" s="1"/>
  <c r="AP235" i="9"/>
  <c r="AO235" i="9" s="1"/>
  <c r="AP182" i="9"/>
  <c r="AO182" i="9" s="1"/>
  <c r="AP168" i="9"/>
  <c r="AO168" i="9" s="1"/>
  <c r="AP93" i="9"/>
  <c r="AO93" i="9" s="1"/>
  <c r="AP6" i="9"/>
  <c r="AO6" i="9" s="1"/>
  <c r="AP245" i="9"/>
  <c r="AO245" i="9" s="1"/>
  <c r="AP146" i="9"/>
  <c r="AO146" i="9" s="1"/>
  <c r="AP59" i="9"/>
  <c r="AO59" i="9" s="1"/>
  <c r="AP240" i="9"/>
  <c r="AO240" i="9" s="1"/>
  <c r="AP214" i="9"/>
  <c r="AO214" i="9" s="1"/>
  <c r="AP46" i="9"/>
  <c r="AO46" i="9" s="1"/>
  <c r="AP102" i="9"/>
  <c r="AO102" i="9" s="1"/>
  <c r="AP123" i="9"/>
  <c r="AO123" i="9" s="1"/>
  <c r="AP58" i="9"/>
  <c r="AO58" i="9" s="1"/>
  <c r="AP121" i="9"/>
  <c r="AO121" i="9" s="1"/>
  <c r="AP113" i="9"/>
  <c r="AO113" i="9" s="1"/>
  <c r="AP135" i="9"/>
  <c r="AO135" i="9" s="1"/>
  <c r="AP111" i="9"/>
  <c r="AO111" i="9" s="1"/>
  <c r="AP104" i="9"/>
  <c r="AO104" i="9" s="1"/>
  <c r="AP69" i="9"/>
  <c r="AO69" i="9" s="1"/>
  <c r="AP24" i="9"/>
  <c r="AO24" i="9" s="1"/>
  <c r="AP100" i="9"/>
  <c r="AO100" i="9" s="1"/>
  <c r="AP172" i="9"/>
  <c r="AO172" i="9" s="1"/>
  <c r="AP109" i="9"/>
  <c r="AO109" i="9" s="1"/>
  <c r="AP120" i="9"/>
  <c r="AO120" i="9" s="1"/>
  <c r="AP154" i="9"/>
  <c r="AO154" i="9" s="1"/>
  <c r="AP187" i="9"/>
  <c r="AO187" i="9" s="1"/>
  <c r="AP95" i="9"/>
  <c r="AO95" i="9" s="1"/>
  <c r="AP232" i="9"/>
  <c r="AO232" i="9" s="1"/>
  <c r="AP86" i="9"/>
  <c r="AO86" i="9" s="1"/>
  <c r="AP238" i="9"/>
  <c r="AO238" i="9" s="1"/>
  <c r="AP57" i="9"/>
  <c r="AO57" i="9" s="1"/>
  <c r="AP207" i="9"/>
  <c r="AO207" i="9" s="1"/>
  <c r="AP165" i="9"/>
  <c r="AO165" i="9" s="1"/>
  <c r="AP246" i="9"/>
  <c r="AO246" i="9" s="1"/>
  <c r="AP90" i="9"/>
  <c r="AO90" i="9" s="1"/>
  <c r="AP212" i="9"/>
  <c r="AO212" i="9" s="1"/>
  <c r="AP41" i="9"/>
  <c r="AO41" i="9" s="1"/>
  <c r="AP35" i="9"/>
  <c r="AO35" i="9" s="1"/>
  <c r="AP144" i="9"/>
  <c r="AO144" i="9" s="1"/>
  <c r="AP33" i="9"/>
  <c r="AO33" i="9" s="1"/>
  <c r="AP48" i="9"/>
  <c r="AO48" i="9" s="1"/>
  <c r="AP85" i="9"/>
  <c r="AO85" i="9" s="1"/>
  <c r="AP77" i="9"/>
  <c r="AO77" i="9" s="1"/>
  <c r="AP203" i="9"/>
  <c r="AO203" i="9" s="1"/>
  <c r="AP171" i="9"/>
  <c r="AO171" i="9" s="1"/>
  <c r="AP13" i="9"/>
  <c r="AO13" i="9" s="1"/>
  <c r="AP7" i="9"/>
  <c r="AO7" i="9" s="1"/>
  <c r="AP22" i="9"/>
  <c r="AO22" i="9" s="1"/>
  <c r="AP176" i="9"/>
  <c r="AO176" i="9" s="1"/>
  <c r="AP250" i="9"/>
  <c r="AO250" i="9" s="1"/>
  <c r="AP252" i="9"/>
  <c r="AO252" i="9" s="1"/>
  <c r="AP195" i="9"/>
  <c r="AO195" i="9" s="1"/>
  <c r="AP166" i="9"/>
  <c r="AO166" i="9" s="1"/>
  <c r="AP84" i="9"/>
  <c r="AO84" i="9" s="1"/>
  <c r="AP107" i="9"/>
  <c r="AO107" i="9" s="1"/>
  <c r="AP115" i="9"/>
  <c r="AO115" i="9" s="1"/>
  <c r="AP99" i="9"/>
  <c r="AO99" i="9" s="1"/>
  <c r="AP198" i="9"/>
  <c r="AO198" i="9" s="1"/>
  <c r="AP118" i="9"/>
  <c r="AO118" i="9" s="1"/>
  <c r="AP225" i="9"/>
  <c r="AO225" i="9" s="1"/>
  <c r="AP164" i="9"/>
  <c r="AO164" i="9" s="1"/>
  <c r="AP125" i="9"/>
  <c r="AO125" i="9" s="1"/>
  <c r="AP72" i="9"/>
  <c r="AO72" i="9" s="1"/>
  <c r="AP161" i="9"/>
  <c r="AO161" i="9" s="1"/>
  <c r="AP11" i="9"/>
  <c r="AO11" i="9" s="1"/>
  <c r="AP160" i="9"/>
  <c r="AO160" i="9" s="1"/>
  <c r="AP234" i="9"/>
  <c r="AO234" i="9" s="1"/>
  <c r="AP217" i="9"/>
  <c r="AO217" i="9" s="1"/>
  <c r="AP218" i="9"/>
  <c r="AO218" i="9" s="1"/>
  <c r="AP81" i="9"/>
  <c r="AO81" i="9" s="1"/>
  <c r="AP14" i="9"/>
  <c r="AO14" i="9" s="1"/>
  <c r="AP130" i="9"/>
  <c r="AO130" i="9" s="1"/>
  <c r="AP177" i="9"/>
  <c r="AO177" i="9" s="1"/>
  <c r="AP34" i="9"/>
  <c r="AO34" i="9" s="1"/>
  <c r="AP199" i="9"/>
  <c r="AO199" i="9" s="1"/>
  <c r="AP211" i="9"/>
  <c r="AO211" i="9" s="1"/>
  <c r="AP151" i="9"/>
  <c r="AO151" i="9" s="1"/>
  <c r="AP45" i="9"/>
  <c r="AO45" i="9" s="1"/>
  <c r="AP36" i="9"/>
  <c r="AO36" i="9" s="1"/>
  <c r="AP44" i="9"/>
  <c r="AO44" i="9" s="1"/>
  <c r="AP19" i="9"/>
  <c r="AO19" i="9" s="1"/>
  <c r="AP51" i="9"/>
  <c r="AO51" i="9" s="1"/>
  <c r="AP239" i="9"/>
  <c r="AO239" i="9" s="1"/>
  <c r="AP55" i="9"/>
  <c r="AO55" i="9" s="1"/>
  <c r="AP56" i="9"/>
  <c r="AO56" i="9" s="1"/>
  <c r="AP17" i="9"/>
  <c r="AO17" i="9" s="1"/>
  <c r="AP157" i="9"/>
  <c r="AO157" i="9" s="1"/>
  <c r="AP49" i="9"/>
  <c r="AO49" i="9" s="1"/>
  <c r="AP87" i="9"/>
  <c r="AO87" i="9" s="1"/>
  <c r="AP224" i="9"/>
  <c r="AO224" i="9" s="1"/>
  <c r="AP31" i="9"/>
  <c r="AO31" i="9" s="1"/>
  <c r="AP61" i="9"/>
  <c r="AO61" i="9" s="1"/>
  <c r="AP132" i="9"/>
  <c r="AO132" i="9" s="1"/>
  <c r="AP237" i="9"/>
  <c r="AO237" i="9" s="1"/>
  <c r="AP91" i="9"/>
  <c r="AO91" i="9" s="1"/>
  <c r="AP21" i="9"/>
  <c r="AO21" i="9" s="1"/>
  <c r="AP82" i="9"/>
  <c r="AO82" i="9" s="1"/>
  <c r="AM256" i="9"/>
  <c r="BH124" i="9"/>
  <c r="BG124" i="9" s="1"/>
  <c r="BH56" i="9"/>
  <c r="BG56" i="9" s="1"/>
  <c r="BH243" i="9"/>
  <c r="BG243" i="9" s="1"/>
  <c r="BH253" i="9"/>
  <c r="BG253" i="9" s="1"/>
  <c r="BH73" i="9"/>
  <c r="BG73" i="9" s="1"/>
  <c r="BH41" i="9"/>
  <c r="BG41" i="9" s="1"/>
  <c r="BH136" i="9"/>
  <c r="BG136" i="9" s="1"/>
  <c r="BH160" i="9"/>
  <c r="BG160" i="9" s="1"/>
  <c r="BH226" i="9"/>
  <c r="BG226" i="9" s="1"/>
  <c r="BH145" i="9"/>
  <c r="BG145" i="9" s="1"/>
  <c r="BH119" i="9"/>
  <c r="BG119" i="9" s="1"/>
  <c r="BH31" i="9"/>
  <c r="BG31" i="9" s="1"/>
  <c r="BH206" i="9"/>
  <c r="BG206" i="9" s="1"/>
  <c r="BH6" i="9"/>
  <c r="BG6" i="9" s="1"/>
  <c r="BH244" i="9"/>
  <c r="BG244" i="9" s="1"/>
  <c r="BH77" i="9"/>
  <c r="BG77" i="9" s="1"/>
  <c r="BH251" i="9"/>
  <c r="BG251" i="9" s="1"/>
  <c r="BH39" i="9"/>
  <c r="BG39" i="9" s="1"/>
  <c r="BH223" i="9"/>
  <c r="BG223" i="9" s="1"/>
  <c r="BH75" i="9"/>
  <c r="BG75" i="9" s="1"/>
  <c r="BH100" i="9"/>
  <c r="BG100" i="9" s="1"/>
  <c r="BH20" i="9"/>
  <c r="BG20" i="9" s="1"/>
  <c r="BH28" i="9"/>
  <c r="BG28" i="9" s="1"/>
  <c r="BH202" i="9"/>
  <c r="BG202" i="9" s="1"/>
  <c r="BH21" i="9"/>
  <c r="BG21" i="9" s="1"/>
  <c r="BH228" i="9"/>
  <c r="BG228" i="9" s="1"/>
  <c r="BH176" i="9"/>
  <c r="BG176" i="9" s="1"/>
  <c r="BH165" i="9"/>
  <c r="BG165" i="9" s="1"/>
  <c r="BH231" i="9"/>
  <c r="BG231" i="9" s="1"/>
  <c r="BH11" i="9"/>
  <c r="BG11" i="9" s="1"/>
  <c r="BH199" i="9"/>
  <c r="BG199" i="9" s="1"/>
  <c r="BH246" i="9"/>
  <c r="BG246" i="9" s="1"/>
  <c r="BH98" i="9"/>
  <c r="BG98" i="9" s="1"/>
  <c r="BH181" i="9"/>
  <c r="BG181" i="9" s="1"/>
  <c r="BH167" i="9"/>
  <c r="BG167" i="9" s="1"/>
  <c r="BH177" i="9"/>
  <c r="BG177" i="9" s="1"/>
  <c r="BH196" i="9"/>
  <c r="BG196" i="9" s="1"/>
  <c r="BH69" i="9"/>
  <c r="BG69" i="9" s="1"/>
  <c r="BH16" i="9"/>
  <c r="BG16" i="9" s="1"/>
  <c r="BH83" i="9"/>
  <c r="BG83" i="9" s="1"/>
  <c r="BH220" i="9"/>
  <c r="BG220" i="9" s="1"/>
  <c r="BH255" i="9"/>
  <c r="BG255" i="9" s="1"/>
  <c r="Y248" i="8"/>
  <c r="AL248" i="8" s="1"/>
  <c r="AE248" i="8"/>
  <c r="X248" i="8"/>
  <c r="AK248" i="8" s="1"/>
  <c r="Z248" i="8"/>
  <c r="BA248" i="8"/>
  <c r="BE248" i="8" s="1"/>
  <c r="BC248" i="8" s="1"/>
  <c r="BK247" i="8"/>
  <c r="AM247" i="8"/>
  <c r="BT5" i="9" l="1"/>
  <c r="BN255" i="9"/>
  <c r="BV255" i="9" s="1"/>
  <c r="BU255" i="9" s="1"/>
  <c r="AA248" i="8"/>
  <c r="W249" i="8" s="1"/>
  <c r="AN248" i="8"/>
  <c r="BB248" i="8"/>
  <c r="BF248" i="8" s="1"/>
  <c r="BD248" i="8" s="1"/>
  <c r="BJ248" i="8"/>
  <c r="BN254" i="9" l="1"/>
  <c r="BM255" i="9"/>
  <c r="BX255" i="9" s="1"/>
  <c r="BP255" i="8" s="1"/>
  <c r="AE249" i="8"/>
  <c r="Z249" i="8"/>
  <c r="X249" i="8"/>
  <c r="AK249" i="8" s="1"/>
  <c r="BA249" i="8"/>
  <c r="BE249" i="8" s="1"/>
  <c r="BC249" i="8" s="1"/>
  <c r="Y249" i="8"/>
  <c r="AL249" i="8" s="1"/>
  <c r="BK248" i="8"/>
  <c r="AM248" i="8"/>
  <c r="AA249" i="8" l="1"/>
  <c r="W250" i="8" s="1"/>
  <c r="X250" i="8" s="1"/>
  <c r="BV254" i="9"/>
  <c r="BU254" i="9" s="1"/>
  <c r="CI255" i="8"/>
  <c r="CH255" i="8"/>
  <c r="BN253" i="9"/>
  <c r="BM254" i="9"/>
  <c r="BB249" i="8"/>
  <c r="BF249" i="8" s="1"/>
  <c r="BD249" i="8" s="1"/>
  <c r="AN249" i="8"/>
  <c r="BJ249" i="8"/>
  <c r="BX254" i="9" l="1"/>
  <c r="BP254" i="8" s="1"/>
  <c r="BV253" i="9"/>
  <c r="BU253" i="9" s="1"/>
  <c r="CH254" i="8"/>
  <c r="CI254" i="8"/>
  <c r="BN252" i="9"/>
  <c r="BM253" i="9"/>
  <c r="BK249" i="8"/>
  <c r="AM249" i="8"/>
  <c r="BX253" i="9" l="1"/>
  <c r="BP253" i="8" s="1"/>
  <c r="CI253" i="8" s="1"/>
  <c r="BV252" i="9"/>
  <c r="BU252" i="9" s="1"/>
  <c r="BN251" i="9"/>
  <c r="BM252" i="9"/>
  <c r="BA250" i="8"/>
  <c r="AK250" i="8"/>
  <c r="Y250" i="8"/>
  <c r="AL250" i="8" s="1"/>
  <c r="Z250" i="8"/>
  <c r="AE250" i="8"/>
  <c r="BE250" i="8" l="1"/>
  <c r="BJ250" i="8" s="1"/>
  <c r="CH253" i="8"/>
  <c r="BX252" i="9"/>
  <c r="BP252" i="8" s="1"/>
  <c r="BV251" i="9"/>
  <c r="BU251" i="9" s="1"/>
  <c r="CH252" i="8"/>
  <c r="CI252" i="8"/>
  <c r="BN250" i="9"/>
  <c r="BM251" i="9"/>
  <c r="AN250" i="8"/>
  <c r="BB250" i="8"/>
  <c r="BF250" i="8" s="1"/>
  <c r="BD250" i="8" s="1"/>
  <c r="AA250" i="8"/>
  <c r="W251" i="8" s="1"/>
  <c r="BC250" i="8" l="1"/>
  <c r="BX251" i="9"/>
  <c r="BP251" i="8" s="1"/>
  <c r="CI251" i="8" s="1"/>
  <c r="BV250" i="9"/>
  <c r="BU250" i="9" s="1"/>
  <c r="BM250" i="9"/>
  <c r="BN249" i="9"/>
  <c r="BK250" i="8"/>
  <c r="AM250" i="8"/>
  <c r="CH251" i="8" l="1"/>
  <c r="BX250" i="9"/>
  <c r="BP250" i="8" s="1"/>
  <c r="CH250" i="8" s="1"/>
  <c r="BV249" i="9"/>
  <c r="BU249" i="9" s="1"/>
  <c r="BN248" i="9"/>
  <c r="BM249" i="9"/>
  <c r="Z251" i="8"/>
  <c r="X251" i="8"/>
  <c r="AK251" i="8" s="1"/>
  <c r="Y251" i="8"/>
  <c r="AL251" i="8" s="1"/>
  <c r="BA251" i="8"/>
  <c r="BE251" i="8" s="1"/>
  <c r="BC251" i="8" s="1"/>
  <c r="AE251" i="8"/>
  <c r="CI250" i="8" l="1"/>
  <c r="BX249" i="9"/>
  <c r="BP249" i="8" s="1"/>
  <c r="BQ249" i="8" s="1"/>
  <c r="BN247" i="9"/>
  <c r="BM248" i="9"/>
  <c r="BV248" i="9"/>
  <c r="BU248" i="9" s="1"/>
  <c r="BJ251" i="8"/>
  <c r="AA251" i="8"/>
  <c r="W252" i="8" s="1"/>
  <c r="AN251" i="8"/>
  <c r="BB251" i="8"/>
  <c r="BF251" i="8" s="1"/>
  <c r="BD251" i="8" s="1"/>
  <c r="BX248" i="9" l="1"/>
  <c r="BP248" i="8" s="1"/>
  <c r="BN246" i="9"/>
  <c r="BM247" i="9"/>
  <c r="BV247" i="9"/>
  <c r="BU247" i="9" s="1"/>
  <c r="BK251" i="8"/>
  <c r="AM251" i="8"/>
  <c r="BA252" i="8"/>
  <c r="BE252" i="8" s="1"/>
  <c r="BC252" i="8" s="1"/>
  <c r="Y252" i="8"/>
  <c r="AL252" i="8" s="1"/>
  <c r="Z252" i="8"/>
  <c r="AE252" i="8"/>
  <c r="X252" i="8"/>
  <c r="AK252" i="8" s="1"/>
  <c r="BM246" i="9" l="1"/>
  <c r="BN245" i="9"/>
  <c r="BX247" i="9"/>
  <c r="BP247" i="8" s="1"/>
  <c r="CI247" i="8" s="1"/>
  <c r="BV246" i="9"/>
  <c r="BU246" i="9" s="1"/>
  <c r="AA252" i="8"/>
  <c r="W253" i="8" s="1"/>
  <c r="AN252" i="8"/>
  <c r="BB252" i="8"/>
  <c r="BF252" i="8" s="1"/>
  <c r="BD252" i="8" s="1"/>
  <c r="BJ252" i="8"/>
  <c r="BN244" i="9" l="1"/>
  <c r="BM245" i="9"/>
  <c r="BX246" i="9"/>
  <c r="BP246" i="8" s="1"/>
  <c r="BV245" i="9"/>
  <c r="BU245" i="9" s="1"/>
  <c r="BK252" i="8"/>
  <c r="AM252" i="8"/>
  <c r="BX245" i="9" l="1"/>
  <c r="BP245" i="8" s="1"/>
  <c r="BN243" i="9"/>
  <c r="BM244" i="9"/>
  <c r="BV244" i="9"/>
  <c r="BU244" i="9" s="1"/>
  <c r="Z253" i="8"/>
  <c r="Y253" i="8"/>
  <c r="AL253" i="8" s="1"/>
  <c r="AE253" i="8"/>
  <c r="BA253" i="8"/>
  <c r="BE253" i="8" s="1"/>
  <c r="BC253" i="8" s="1"/>
  <c r="X253" i="8"/>
  <c r="BX244" i="9" l="1"/>
  <c r="BP244" i="8" s="1"/>
  <c r="BN242" i="9"/>
  <c r="BM243" i="9"/>
  <c r="BV243" i="9"/>
  <c r="BU243" i="9" s="1"/>
  <c r="AA253" i="8"/>
  <c r="W254" i="8" s="1"/>
  <c r="AK253" i="8"/>
  <c r="AN253" i="8" s="1"/>
  <c r="BB253" i="8"/>
  <c r="BF253" i="8" s="1"/>
  <c r="BD253" i="8" s="1"/>
  <c r="BJ253" i="8"/>
  <c r="BV242" i="9" l="1"/>
  <c r="BU242" i="9" s="1"/>
  <c r="BX243" i="9"/>
  <c r="BP243" i="8" s="1"/>
  <c r="BM242" i="9"/>
  <c r="BN241" i="9"/>
  <c r="BK253" i="8"/>
  <c r="AM253" i="8"/>
  <c r="X254" i="8"/>
  <c r="AK254" i="8" s="1"/>
  <c r="Y254" i="8"/>
  <c r="AL254" i="8" s="1"/>
  <c r="Z254" i="8"/>
  <c r="AE254" i="8"/>
  <c r="BA254" i="8"/>
  <c r="BE254" i="8" s="1"/>
  <c r="BC254" i="8" s="1"/>
  <c r="BX242" i="9" l="1"/>
  <c r="BP242" i="8" s="1"/>
  <c r="BM241" i="9"/>
  <c r="BN240" i="9"/>
  <c r="BV241" i="9"/>
  <c r="BU241" i="9" s="1"/>
  <c r="BJ254" i="8"/>
  <c r="AA254" i="8"/>
  <c r="W255" i="8" s="1"/>
  <c r="BB254" i="8"/>
  <c r="BF254" i="8" s="1"/>
  <c r="BD254" i="8" s="1"/>
  <c r="BX241" i="9" l="1"/>
  <c r="BP241" i="8" s="1"/>
  <c r="BN239" i="9"/>
  <c r="BM240" i="9"/>
  <c r="BV240" i="9"/>
  <c r="BU240" i="9" s="1"/>
  <c r="AN254" i="8"/>
  <c r="BN238" i="9" l="1"/>
  <c r="BM239" i="9"/>
  <c r="BX240" i="9"/>
  <c r="BP240" i="8" s="1"/>
  <c r="BV239" i="9"/>
  <c r="BU239" i="9" s="1"/>
  <c r="BK254" i="8"/>
  <c r="AM254" i="8"/>
  <c r="X255" i="8"/>
  <c r="AK255" i="8" s="1"/>
  <c r="Z255" i="8"/>
  <c r="Y255" i="8"/>
  <c r="AL255" i="8" s="1"/>
  <c r="BA255" i="8"/>
  <c r="BE255" i="8" s="1"/>
  <c r="AE255" i="8"/>
  <c r="BX239" i="9" l="1"/>
  <c r="BP239" i="8" s="1"/>
  <c r="BM238" i="9"/>
  <c r="BN237" i="9"/>
  <c r="BV238" i="9"/>
  <c r="BU238" i="9" s="1"/>
  <c r="BJ255" i="8"/>
  <c r="BC255" i="8"/>
  <c r="BB255" i="8"/>
  <c r="BF255" i="8" s="1"/>
  <c r="BD255" i="8" s="1"/>
  <c r="AA255" i="8"/>
  <c r="W256" i="8" s="1"/>
  <c r="BV237" i="9" l="1"/>
  <c r="BU237" i="9" s="1"/>
  <c r="BN236" i="9"/>
  <c r="BM237" i="9"/>
  <c r="BX238" i="9"/>
  <c r="BP238" i="8" s="1"/>
  <c r="AN255" i="8"/>
  <c r="BX237" i="9" l="1"/>
  <c r="BP237" i="8" s="1"/>
  <c r="BN235" i="9"/>
  <c r="BM236" i="9"/>
  <c r="BV236" i="9"/>
  <c r="BU236" i="9" s="1"/>
  <c r="BK255" i="8"/>
  <c r="AM255" i="8"/>
  <c r="BA256" i="8"/>
  <c r="BE256" i="8" s="1"/>
  <c r="BC256" i="8" s="1"/>
  <c r="Y256" i="8"/>
  <c r="AL256" i="8" s="1"/>
  <c r="AE256" i="8"/>
  <c r="X256" i="8"/>
  <c r="AK256" i="8" s="1"/>
  <c r="Z256" i="8"/>
  <c r="BX236" i="9" l="1"/>
  <c r="BP236" i="8" s="1"/>
  <c r="BN234" i="9"/>
  <c r="BM235" i="9"/>
  <c r="BV235" i="9"/>
  <c r="BU235" i="9" s="1"/>
  <c r="BB256" i="8"/>
  <c r="BF256" i="8" s="1"/>
  <c r="BD256" i="8" s="1"/>
  <c r="BJ256" i="8"/>
  <c r="AA256" i="8"/>
  <c r="W257" i="8" s="1"/>
  <c r="BM257" i="8" s="1"/>
  <c r="BN233" i="9" l="1"/>
  <c r="BM234" i="9"/>
  <c r="BX235" i="9"/>
  <c r="BP235" i="8" s="1"/>
  <c r="BV234" i="9"/>
  <c r="BU234" i="9" s="1"/>
  <c r="AN256" i="8"/>
  <c r="BX234" i="9" l="1"/>
  <c r="BP234" i="8" s="1"/>
  <c r="BM233" i="9"/>
  <c r="BN232" i="9"/>
  <c r="BV233" i="9"/>
  <c r="BU233" i="9" s="1"/>
  <c r="BK256" i="8"/>
  <c r="AM256" i="8"/>
  <c r="BA257" i="8"/>
  <c r="BE257" i="8" s="1"/>
  <c r="BC257" i="8" s="1"/>
  <c r="AE257" i="8"/>
  <c r="Y257" i="8"/>
  <c r="AL257" i="8" s="1"/>
  <c r="Z257" i="8"/>
  <c r="X257" i="8"/>
  <c r="AK257" i="8" s="1"/>
  <c r="BV232" i="9" l="1"/>
  <c r="BU232" i="9" s="1"/>
  <c r="BN231" i="9"/>
  <c r="BM232" i="9"/>
  <c r="BX233" i="9"/>
  <c r="BP233" i="8" s="1"/>
  <c r="BB257" i="8"/>
  <c r="BF257" i="8" s="1"/>
  <c r="BD257" i="8" s="1"/>
  <c r="AA257" i="8"/>
  <c r="W258" i="8" s="1"/>
  <c r="BM258" i="8" s="1"/>
  <c r="BJ257" i="8"/>
  <c r="BX232" i="9" l="1"/>
  <c r="BP232" i="8" s="1"/>
  <c r="BV231" i="9"/>
  <c r="BU231" i="9" s="1"/>
  <c r="BN230" i="9"/>
  <c r="BM231" i="9"/>
  <c r="AN257" i="8"/>
  <c r="BX231" i="9" l="1"/>
  <c r="BP231" i="8" s="1"/>
  <c r="BV230" i="9"/>
  <c r="BU230" i="9" s="1"/>
  <c r="BN229" i="9"/>
  <c r="BM230" i="9"/>
  <c r="Y258" i="8"/>
  <c r="AL258" i="8" s="1"/>
  <c r="BA258" i="8"/>
  <c r="BE258" i="8" s="1"/>
  <c r="AE258" i="8"/>
  <c r="Z258" i="8"/>
  <c r="X258" i="8"/>
  <c r="AK258" i="8" s="1"/>
  <c r="BK257" i="8"/>
  <c r="AM257" i="8"/>
  <c r="BT257" i="8"/>
  <c r="BX230" i="9" l="1"/>
  <c r="BP230" i="8" s="1"/>
  <c r="BN228" i="9"/>
  <c r="BM229" i="9"/>
  <c r="BV229" i="9"/>
  <c r="BU229" i="9" s="1"/>
  <c r="BB258" i="8"/>
  <c r="BF258" i="8" s="1"/>
  <c r="BD258" i="8" s="1"/>
  <c r="BC258" i="8"/>
  <c r="AA258" i="8"/>
  <c r="W259" i="8" s="1"/>
  <c r="BM259" i="8" s="1"/>
  <c r="BJ258" i="8"/>
  <c r="BX229" i="9" l="1"/>
  <c r="BP229" i="8" s="1"/>
  <c r="BN227" i="9"/>
  <c r="BM228" i="9"/>
  <c r="BV228" i="9"/>
  <c r="BU228" i="9" s="1"/>
  <c r="AN258" i="8"/>
  <c r="BV227" i="9" l="1"/>
  <c r="BU227" i="9" s="1"/>
  <c r="BX228" i="9"/>
  <c r="BP228" i="8" s="1"/>
  <c r="BN226" i="9"/>
  <c r="BM227" i="9"/>
  <c r="BK258" i="8"/>
  <c r="AM258" i="8"/>
  <c r="BT258" i="8"/>
  <c r="Z259" i="8"/>
  <c r="Y259" i="8"/>
  <c r="AL259" i="8" s="1"/>
  <c r="AE259" i="8"/>
  <c r="BA259" i="8"/>
  <c r="BE259" i="8" s="1"/>
  <c r="X259" i="8"/>
  <c r="AK259" i="8" s="1"/>
  <c r="BX227" i="9" l="1"/>
  <c r="BP227" i="8" s="1"/>
  <c r="BV226" i="9"/>
  <c r="BU226" i="9" s="1"/>
  <c r="BM226" i="9"/>
  <c r="BN225" i="9"/>
  <c r="BB259" i="8"/>
  <c r="BF259" i="8" s="1"/>
  <c r="BD259" i="8" s="1"/>
  <c r="AA259" i="8"/>
  <c r="W260" i="8" s="1"/>
  <c r="BM260" i="8" s="1"/>
  <c r="BC259" i="8"/>
  <c r="BJ259" i="8"/>
  <c r="BX226" i="9" l="1"/>
  <c r="BP226" i="8" s="1"/>
  <c r="BN224" i="9"/>
  <c r="BM225" i="9"/>
  <c r="BV225" i="9"/>
  <c r="BU225" i="9" s="1"/>
  <c r="AN259" i="8"/>
  <c r="BN223" i="9" l="1"/>
  <c r="BM224" i="9"/>
  <c r="BX225" i="9"/>
  <c r="BP225" i="8" s="1"/>
  <c r="BV224" i="9"/>
  <c r="BU224" i="9" s="1"/>
  <c r="BK259" i="8"/>
  <c r="AM259" i="8"/>
  <c r="BT259" i="8"/>
  <c r="Y260" i="8"/>
  <c r="AL260" i="8" s="1"/>
  <c r="X260" i="8"/>
  <c r="AK260" i="8" s="1"/>
  <c r="AE260" i="8"/>
  <c r="Z260" i="8"/>
  <c r="BA260" i="8"/>
  <c r="BE260" i="8" s="1"/>
  <c r="BC260" i="8" s="1"/>
  <c r="BX224" i="9" l="1"/>
  <c r="BP224" i="8" s="1"/>
  <c r="BN222" i="9"/>
  <c r="BM223" i="9"/>
  <c r="BV223" i="9"/>
  <c r="BU223" i="9" s="1"/>
  <c r="AA260" i="8"/>
  <c r="BJ260" i="8"/>
  <c r="BB260" i="8"/>
  <c r="BF260" i="8" s="1"/>
  <c r="BD260" i="8" s="1"/>
  <c r="BV222" i="9" l="1"/>
  <c r="BU222" i="9" s="1"/>
  <c r="BX223" i="9"/>
  <c r="BP223" i="8" s="1"/>
  <c r="BM222" i="9"/>
  <c r="BN221" i="9"/>
  <c r="W261" i="8"/>
  <c r="AN260" i="8"/>
  <c r="BX222" i="9" l="1"/>
  <c r="BP222" i="8" s="1"/>
  <c r="BN220" i="9"/>
  <c r="BM221" i="9"/>
  <c r="BV221" i="9"/>
  <c r="BU221" i="9" s="1"/>
  <c r="X261" i="8"/>
  <c r="AK261" i="8" s="1"/>
  <c r="BM261" i="8"/>
  <c r="Y261" i="8"/>
  <c r="AL261" i="8" s="1"/>
  <c r="Z261" i="8"/>
  <c r="BA261" i="8"/>
  <c r="BE261" i="8" s="1"/>
  <c r="BC261" i="8" s="1"/>
  <c r="AE261" i="8"/>
  <c r="BK260" i="8"/>
  <c r="AM260" i="8"/>
  <c r="BT260" i="8"/>
  <c r="BN219" i="9" l="1"/>
  <c r="BM220" i="9"/>
  <c r="BX221" i="9"/>
  <c r="BP221" i="8" s="1"/>
  <c r="BV220" i="9"/>
  <c r="BU220" i="9" s="1"/>
  <c r="AA261" i="8"/>
  <c r="W262" i="8" s="1"/>
  <c r="BM262" i="8" s="1"/>
  <c r="BB261" i="8"/>
  <c r="BF261" i="8" s="1"/>
  <c r="BD261" i="8" s="1"/>
  <c r="BJ261" i="8"/>
  <c r="BT261" i="8"/>
  <c r="AN261" i="8"/>
  <c r="BX220" i="9" l="1"/>
  <c r="BP220" i="8" s="1"/>
  <c r="BM219" i="9"/>
  <c r="BN218" i="9"/>
  <c r="BV219" i="9"/>
  <c r="BU219" i="9" s="1"/>
  <c r="BK261" i="8"/>
  <c r="AM261" i="8"/>
  <c r="BA262" i="8"/>
  <c r="BE262" i="8" s="1"/>
  <c r="Z262" i="8"/>
  <c r="Y262" i="8"/>
  <c r="AL262" i="8" s="1"/>
  <c r="AE262" i="8"/>
  <c r="X262" i="8"/>
  <c r="AK262" i="8" s="1"/>
  <c r="BV218" i="9" l="1"/>
  <c r="BU218" i="9" s="1"/>
  <c r="BN217" i="9"/>
  <c r="BM218" i="9"/>
  <c r="BX219" i="9"/>
  <c r="BP219" i="8" s="1"/>
  <c r="AA262" i="8"/>
  <c r="BB262" i="8"/>
  <c r="BF262" i="8" s="1"/>
  <c r="BD262" i="8" s="1"/>
  <c r="BC262" i="8"/>
  <c r="BJ262" i="8"/>
  <c r="BX218" i="9" l="1"/>
  <c r="BP218" i="8" s="1"/>
  <c r="BV217" i="9"/>
  <c r="BU217" i="9" s="1"/>
  <c r="BN216" i="9"/>
  <c r="BM217" i="9"/>
  <c r="AN262" i="8"/>
  <c r="Y263" i="8"/>
  <c r="AL263" i="8" s="1"/>
  <c r="Z263" i="8"/>
  <c r="X263" i="8"/>
  <c r="AK263" i="8" s="1"/>
  <c r="AE263" i="8"/>
  <c r="BA263" i="8"/>
  <c r="BE263" i="8" s="1"/>
  <c r="BC263" i="8" s="1"/>
  <c r="BT262" i="8"/>
  <c r="BX217" i="9" l="1"/>
  <c r="BP217" i="8" s="1"/>
  <c r="BN215" i="9"/>
  <c r="BM216" i="9"/>
  <c r="BV216" i="9"/>
  <c r="BU216" i="9" s="1"/>
  <c r="BJ263" i="8"/>
  <c r="AN263" i="8"/>
  <c r="BB263" i="8"/>
  <c r="BF263" i="8" s="1"/>
  <c r="BD263" i="8" s="1"/>
  <c r="AA263" i="8"/>
  <c r="BK262" i="8"/>
  <c r="AM262" i="8"/>
  <c r="BN214" i="9" l="1"/>
  <c r="BM215" i="9"/>
  <c r="BX216" i="9"/>
  <c r="BP216" i="8" s="1"/>
  <c r="BV215" i="9"/>
  <c r="BU215" i="9" s="1"/>
  <c r="BK263" i="8"/>
  <c r="AM263" i="8"/>
  <c r="BT263" i="8"/>
  <c r="BM214" i="9" l="1"/>
  <c r="BN213" i="9"/>
  <c r="BX215" i="9"/>
  <c r="BP215" i="8" s="1"/>
  <c r="BV214" i="9"/>
  <c r="BU214" i="9" s="1"/>
  <c r="X264" i="8"/>
  <c r="AK264" i="8" s="1"/>
  <c r="AE264" i="8"/>
  <c r="BA264" i="8"/>
  <c r="BE264" i="8" s="1"/>
  <c r="BC264" i="8" s="1"/>
  <c r="Z264" i="8"/>
  <c r="Y264" i="8"/>
  <c r="AL264" i="8" s="1"/>
  <c r="BN212" i="9" l="1"/>
  <c r="BM213" i="9"/>
  <c r="BX214" i="9"/>
  <c r="BP214" i="8" s="1"/>
  <c r="BV213" i="9"/>
  <c r="BU213" i="9" s="1"/>
  <c r="AA264" i="8"/>
  <c r="BJ264" i="8"/>
  <c r="AN264" i="8"/>
  <c r="BB264" i="8"/>
  <c r="BF264" i="8" s="1"/>
  <c r="BD264" i="8" s="1"/>
  <c r="BN211" i="9" l="1"/>
  <c r="BM212" i="9"/>
  <c r="BX213" i="9"/>
  <c r="BP213" i="8" s="1"/>
  <c r="BV212" i="9"/>
  <c r="BU212" i="9" s="1"/>
  <c r="BK264" i="8"/>
  <c r="AM264" i="8"/>
  <c r="BT264" i="8"/>
  <c r="X265" i="8"/>
  <c r="AK265" i="8" s="1"/>
  <c r="Z265" i="8"/>
  <c r="BA265" i="8"/>
  <c r="BE265" i="8" s="1"/>
  <c r="Y265" i="8"/>
  <c r="AL265" i="8" s="1"/>
  <c r="AE265" i="8"/>
  <c r="BX212" i="9" l="1"/>
  <c r="BP212" i="8" s="1"/>
  <c r="BN210" i="9"/>
  <c r="BM211" i="9"/>
  <c r="BV211" i="9"/>
  <c r="BU211" i="9" s="1"/>
  <c r="AN265" i="8"/>
  <c r="BB265" i="8"/>
  <c r="BF265" i="8" s="1"/>
  <c r="BD265" i="8" s="1"/>
  <c r="BJ265" i="8"/>
  <c r="AA265" i="8"/>
  <c r="BC265" i="8"/>
  <c r="BV210" i="9" l="1"/>
  <c r="BU210" i="9" s="1"/>
  <c r="BX211" i="9"/>
  <c r="BP211" i="8" s="1"/>
  <c r="BN209" i="9"/>
  <c r="BM210" i="9"/>
  <c r="BK265" i="8"/>
  <c r="AM265" i="8"/>
  <c r="BX210" i="9" l="1"/>
  <c r="BP210" i="8" s="1"/>
  <c r="BN208" i="9"/>
  <c r="BM209" i="9"/>
  <c r="BV209" i="9"/>
  <c r="BU209" i="9" s="1"/>
  <c r="Z266" i="8"/>
  <c r="AE266" i="8"/>
  <c r="X266" i="8"/>
  <c r="AK266" i="8" s="1"/>
  <c r="BA266" i="8"/>
  <c r="BE266" i="8" s="1"/>
  <c r="BC266" i="8" s="1"/>
  <c r="Y266" i="8"/>
  <c r="AL266" i="8" s="1"/>
  <c r="BT265" i="8"/>
  <c r="BN207" i="9" l="1"/>
  <c r="BM208" i="9"/>
  <c r="BX209" i="9"/>
  <c r="BP209" i="8" s="1"/>
  <c r="BV208" i="9"/>
  <c r="BU208" i="9" s="1"/>
  <c r="AA266" i="8"/>
  <c r="BJ266" i="8"/>
  <c r="BB266" i="8"/>
  <c r="BF266" i="8" s="1"/>
  <c r="BD266" i="8" s="1"/>
  <c r="AN266" i="8"/>
  <c r="BM207" i="9" l="1"/>
  <c r="BN206" i="9"/>
  <c r="BX208" i="9"/>
  <c r="BP208" i="8" s="1"/>
  <c r="BV207" i="9"/>
  <c r="BU207" i="9" s="1"/>
  <c r="BK266" i="8"/>
  <c r="AM266" i="8"/>
  <c r="X267" i="8"/>
  <c r="AK267" i="8" s="1"/>
  <c r="BA267" i="8"/>
  <c r="BE267" i="8" s="1"/>
  <c r="BC267" i="8" s="1"/>
  <c r="Y267" i="8"/>
  <c r="AL267" i="8" s="1"/>
  <c r="AE267" i="8"/>
  <c r="Z267" i="8"/>
  <c r="BN205" i="9" l="1"/>
  <c r="BM206" i="9"/>
  <c r="BX207" i="9"/>
  <c r="BP207" i="8" s="1"/>
  <c r="BV206" i="9"/>
  <c r="BU206" i="9" s="1"/>
  <c r="AA267" i="8"/>
  <c r="AN267" i="8"/>
  <c r="BB267" i="8"/>
  <c r="BF267" i="8" s="1"/>
  <c r="BD267" i="8" s="1"/>
  <c r="BJ267" i="8"/>
  <c r="BT266" i="8"/>
  <c r="BX206" i="9" l="1"/>
  <c r="BP206" i="8" s="1"/>
  <c r="BN204" i="9"/>
  <c r="BM205" i="9"/>
  <c r="BV205" i="9"/>
  <c r="BU205" i="9" s="1"/>
  <c r="BT267" i="8"/>
  <c r="BK267" i="8"/>
  <c r="AM267" i="8"/>
  <c r="BV204" i="9" l="1"/>
  <c r="BU204" i="9" s="1"/>
  <c r="BX205" i="9"/>
  <c r="BP205" i="8" s="1"/>
  <c r="BM204" i="9"/>
  <c r="BN203" i="9"/>
  <c r="Y268" i="8"/>
  <c r="AL268" i="8" s="1"/>
  <c r="AE268" i="8"/>
  <c r="Z268" i="8"/>
  <c r="X268" i="8"/>
  <c r="AK268" i="8" s="1"/>
  <c r="BA268" i="8"/>
  <c r="BE268" i="8" s="1"/>
  <c r="BX204" i="9" l="1"/>
  <c r="BP204" i="8" s="1"/>
  <c r="BV203" i="9"/>
  <c r="BU203" i="9" s="1"/>
  <c r="BM203" i="9"/>
  <c r="BN202" i="9"/>
  <c r="AN268" i="8"/>
  <c r="BB268" i="8"/>
  <c r="BF268" i="8" s="1"/>
  <c r="BD268" i="8" s="1"/>
  <c r="BJ268" i="8"/>
  <c r="AA268" i="8"/>
  <c r="BC268" i="8"/>
  <c r="BX203" i="9" l="1"/>
  <c r="BP203" i="8" s="1"/>
  <c r="BV202" i="9"/>
  <c r="BU202" i="9" s="1"/>
  <c r="BN201" i="9"/>
  <c r="BM202" i="9"/>
  <c r="BK268" i="8"/>
  <c r="AM268" i="8"/>
  <c r="BX202" i="9" l="1"/>
  <c r="BP202" i="8" s="1"/>
  <c r="BV201" i="9"/>
  <c r="BU201" i="9" s="1"/>
  <c r="BN200" i="9"/>
  <c r="BM201" i="9"/>
  <c r="BG269" i="8"/>
  <c r="X269" i="8"/>
  <c r="Y269" i="8"/>
  <c r="C13" i="5" s="1"/>
  <c r="BA269" i="8"/>
  <c r="BE269" i="8" s="1"/>
  <c r="AO269" i="8"/>
  <c r="Z269" i="8"/>
  <c r="AE269" i="8"/>
  <c r="AF269" i="8"/>
  <c r="BT268" i="8"/>
  <c r="AK269" i="8" l="1"/>
  <c r="C12" i="5"/>
  <c r="BX201" i="9"/>
  <c r="BP201" i="8" s="1"/>
  <c r="BV200" i="9"/>
  <c r="BU200" i="9" s="1"/>
  <c r="BM200" i="9"/>
  <c r="BN199" i="9"/>
  <c r="AL269" i="8"/>
  <c r="L34" i="5" s="1"/>
  <c r="BJ269" i="8"/>
  <c r="AG268" i="8"/>
  <c r="AF268" i="8" s="1"/>
  <c r="AG214" i="8"/>
  <c r="AF214" i="8" s="1"/>
  <c r="AG194" i="8"/>
  <c r="AF194" i="8" s="1"/>
  <c r="AG32" i="8"/>
  <c r="AF32" i="8" s="1"/>
  <c r="AG77" i="8"/>
  <c r="AF77" i="8" s="1"/>
  <c r="AG51" i="8"/>
  <c r="AF51" i="8" s="1"/>
  <c r="AG82" i="8"/>
  <c r="AF82" i="8" s="1"/>
  <c r="AG171" i="8"/>
  <c r="AF171" i="8" s="1"/>
  <c r="AG232" i="8"/>
  <c r="AF232" i="8" s="1"/>
  <c r="AG106" i="8"/>
  <c r="AF106" i="8" s="1"/>
  <c r="AG257" i="8"/>
  <c r="AF257" i="8" s="1"/>
  <c r="AG209" i="8"/>
  <c r="AF209" i="8" s="1"/>
  <c r="AG182" i="8"/>
  <c r="AF182" i="8" s="1"/>
  <c r="AG24" i="8"/>
  <c r="AF24" i="8" s="1"/>
  <c r="AG149" i="8"/>
  <c r="AF149" i="8" s="1"/>
  <c r="AG128" i="8"/>
  <c r="AF128" i="8" s="1"/>
  <c r="AG38" i="8"/>
  <c r="AF38" i="8" s="1"/>
  <c r="AG19" i="8"/>
  <c r="AF19" i="8" s="1"/>
  <c r="AG104" i="8"/>
  <c r="AF104" i="8" s="1"/>
  <c r="AG189" i="8"/>
  <c r="AF189" i="8" s="1"/>
  <c r="AG12" i="8"/>
  <c r="AF12" i="8" s="1"/>
  <c r="AG81" i="8"/>
  <c r="AF81" i="8" s="1"/>
  <c r="AG251" i="8"/>
  <c r="AF251" i="8" s="1"/>
  <c r="AG118" i="8"/>
  <c r="AF118" i="8" s="1"/>
  <c r="AG219" i="8"/>
  <c r="AF219" i="8" s="1"/>
  <c r="AG150" i="8"/>
  <c r="AF150" i="8" s="1"/>
  <c r="AG11" i="8"/>
  <c r="AF11" i="8" s="1"/>
  <c r="AG230" i="8"/>
  <c r="AF230" i="8" s="1"/>
  <c r="AG57" i="8"/>
  <c r="AF57" i="8" s="1"/>
  <c r="AG79" i="8"/>
  <c r="AF79" i="8" s="1"/>
  <c r="AG240" i="8"/>
  <c r="AF240" i="8" s="1"/>
  <c r="AG16" i="8"/>
  <c r="AF16" i="8" s="1"/>
  <c r="AG247" i="8"/>
  <c r="AF247" i="8" s="1"/>
  <c r="AG107" i="8"/>
  <c r="AF107" i="8" s="1"/>
  <c r="K12" i="5"/>
  <c r="AG220" i="8"/>
  <c r="AF220" i="8" s="1"/>
  <c r="AG200" i="8"/>
  <c r="AF200" i="8" s="1"/>
  <c r="AG9" i="8"/>
  <c r="AF9" i="8" s="1"/>
  <c r="AG60" i="8"/>
  <c r="AF60" i="8" s="1"/>
  <c r="AG153" i="8"/>
  <c r="AF153" i="8" s="1"/>
  <c r="AG172" i="8"/>
  <c r="AF172" i="8" s="1"/>
  <c r="AG74" i="8"/>
  <c r="AF74" i="8" s="1"/>
  <c r="AG52" i="8"/>
  <c r="AF52" i="8" s="1"/>
  <c r="AG126" i="8"/>
  <c r="AF126" i="8" s="1"/>
  <c r="AG241" i="8"/>
  <c r="AF241" i="8" s="1"/>
  <c r="AG58" i="8"/>
  <c r="AF58" i="8" s="1"/>
  <c r="AG41" i="8"/>
  <c r="AF41" i="8" s="1"/>
  <c r="AG243" i="8"/>
  <c r="AF243" i="8" s="1"/>
  <c r="AG132" i="8"/>
  <c r="AF132" i="8" s="1"/>
  <c r="AG112" i="8"/>
  <c r="AF112" i="8" s="1"/>
  <c r="AG124" i="8"/>
  <c r="AF124" i="8" s="1"/>
  <c r="AG157" i="8"/>
  <c r="AF157" i="8" s="1"/>
  <c r="AG101" i="8"/>
  <c r="AF101" i="8" s="1"/>
  <c r="AG95" i="8"/>
  <c r="AF95" i="8" s="1"/>
  <c r="AG113" i="8"/>
  <c r="AF113" i="8" s="1"/>
  <c r="AG158" i="8"/>
  <c r="AF158" i="8" s="1"/>
  <c r="AG246" i="8"/>
  <c r="AF246" i="8" s="1"/>
  <c r="AG190" i="8"/>
  <c r="AF190" i="8" s="1"/>
  <c r="AG88" i="8"/>
  <c r="AF88" i="8" s="1"/>
  <c r="AG103" i="8"/>
  <c r="AF103" i="8" s="1"/>
  <c r="AG211" i="8"/>
  <c r="AF211" i="8" s="1"/>
  <c r="AG18" i="8"/>
  <c r="AF18" i="8" s="1"/>
  <c r="AG99" i="8"/>
  <c r="AF99" i="8" s="1"/>
  <c r="AG242" i="8"/>
  <c r="AF242" i="8" s="1"/>
  <c r="AG142" i="8"/>
  <c r="AF142" i="8" s="1"/>
  <c r="AG146" i="8"/>
  <c r="AF146" i="8" s="1"/>
  <c r="AG203" i="8"/>
  <c r="AF203" i="8" s="1"/>
  <c r="AG5" i="8"/>
  <c r="AG161" i="8"/>
  <c r="AF161" i="8" s="1"/>
  <c r="AG102" i="8"/>
  <c r="AF102" i="8" s="1"/>
  <c r="AG89" i="8"/>
  <c r="AF89" i="8" s="1"/>
  <c r="AG125" i="8"/>
  <c r="AF125" i="8" s="1"/>
  <c r="AG42" i="8"/>
  <c r="AF42" i="8" s="1"/>
  <c r="AG75" i="8"/>
  <c r="AF75" i="8" s="1"/>
  <c r="AG8" i="8"/>
  <c r="AF8" i="8" s="1"/>
  <c r="AG224" i="8"/>
  <c r="AF224" i="8" s="1"/>
  <c r="AG239" i="8"/>
  <c r="AF239" i="8" s="1"/>
  <c r="AG197" i="8"/>
  <c r="AF197" i="8" s="1"/>
  <c r="AG63" i="8"/>
  <c r="AF63" i="8" s="1"/>
  <c r="AG175" i="8"/>
  <c r="AF175" i="8" s="1"/>
  <c r="AG97" i="8"/>
  <c r="AF97" i="8" s="1"/>
  <c r="AG233" i="8"/>
  <c r="AF233" i="8" s="1"/>
  <c r="AG196" i="8"/>
  <c r="AF196" i="8" s="1"/>
  <c r="AG49" i="8"/>
  <c r="AF49" i="8" s="1"/>
  <c r="AG93" i="8"/>
  <c r="AF93" i="8" s="1"/>
  <c r="AG50" i="8"/>
  <c r="AF50" i="8" s="1"/>
  <c r="AG28" i="8"/>
  <c r="AF28" i="8" s="1"/>
  <c r="AG40" i="8"/>
  <c r="AF40" i="8" s="1"/>
  <c r="AG188" i="8"/>
  <c r="AF188" i="8" s="1"/>
  <c r="AG30" i="8"/>
  <c r="AF30" i="8" s="1"/>
  <c r="AG10" i="8"/>
  <c r="AF10" i="8" s="1"/>
  <c r="AG120" i="8"/>
  <c r="AF120" i="8" s="1"/>
  <c r="AG98" i="8"/>
  <c r="AF98" i="8" s="1"/>
  <c r="AG109" i="8"/>
  <c r="AF109" i="8" s="1"/>
  <c r="AG174" i="8"/>
  <c r="AF174" i="8" s="1"/>
  <c r="AG138" i="8"/>
  <c r="AF138" i="8" s="1"/>
  <c r="AG86" i="8"/>
  <c r="AF86" i="8" s="1"/>
  <c r="AG137" i="8"/>
  <c r="AF137" i="8" s="1"/>
  <c r="AG198" i="8"/>
  <c r="AF198" i="8" s="1"/>
  <c r="AG33" i="8"/>
  <c r="AF33" i="8" s="1"/>
  <c r="AG221" i="8"/>
  <c r="AF221" i="8" s="1"/>
  <c r="AG177" i="8"/>
  <c r="AF177" i="8" s="1"/>
  <c r="AG76" i="8"/>
  <c r="AF76" i="8" s="1"/>
  <c r="AG155" i="8"/>
  <c r="AF155" i="8" s="1"/>
  <c r="AG13" i="8"/>
  <c r="AF13" i="8" s="1"/>
  <c r="AG191" i="8"/>
  <c r="AF191" i="8" s="1"/>
  <c r="AG249" i="8"/>
  <c r="AF249" i="8" s="1"/>
  <c r="AG166" i="8"/>
  <c r="AF166" i="8" s="1"/>
  <c r="AG53" i="8"/>
  <c r="AF53" i="8" s="1"/>
  <c r="AG148" i="8"/>
  <c r="AF148" i="8" s="1"/>
  <c r="AG127" i="8"/>
  <c r="AF127" i="8" s="1"/>
  <c r="AG156" i="8"/>
  <c r="AF156" i="8" s="1"/>
  <c r="AG234" i="8"/>
  <c r="AF234" i="8" s="1"/>
  <c r="AG117" i="8"/>
  <c r="AF117" i="8" s="1"/>
  <c r="AG36" i="8"/>
  <c r="AF36" i="8" s="1"/>
  <c r="AG115" i="8"/>
  <c r="AF115" i="8" s="1"/>
  <c r="AG141" i="8"/>
  <c r="AF141" i="8" s="1"/>
  <c r="AG43" i="8"/>
  <c r="AF43" i="8" s="1"/>
  <c r="AG15" i="8"/>
  <c r="AF15" i="8" s="1"/>
  <c r="AG90" i="8"/>
  <c r="AF90" i="8" s="1"/>
  <c r="AG176" i="8"/>
  <c r="AF176" i="8" s="1"/>
  <c r="AG184" i="8"/>
  <c r="AF184" i="8" s="1"/>
  <c r="AG105" i="8"/>
  <c r="AF105" i="8" s="1"/>
  <c r="AG110" i="8"/>
  <c r="AF110" i="8" s="1"/>
  <c r="AG129" i="8"/>
  <c r="AF129" i="8" s="1"/>
  <c r="AG253" i="8"/>
  <c r="AF253" i="8" s="1"/>
  <c r="AG226" i="8"/>
  <c r="AF226" i="8" s="1"/>
  <c r="AG85" i="8"/>
  <c r="AF85" i="8" s="1"/>
  <c r="AG7" i="8"/>
  <c r="AF7" i="8" s="1"/>
  <c r="AG66" i="8"/>
  <c r="AF66" i="8" s="1"/>
  <c r="AG181" i="8"/>
  <c r="AF181" i="8" s="1"/>
  <c r="AG61" i="8"/>
  <c r="AF61" i="8" s="1"/>
  <c r="AG167" i="8"/>
  <c r="AF167" i="8" s="1"/>
  <c r="AG143" i="8"/>
  <c r="AF143" i="8" s="1"/>
  <c r="AG94" i="8"/>
  <c r="AF94" i="8" s="1"/>
  <c r="AG69" i="8"/>
  <c r="AF69" i="8" s="1"/>
  <c r="AG135" i="8"/>
  <c r="AF135" i="8" s="1"/>
  <c r="AG173" i="8"/>
  <c r="AF173" i="8" s="1"/>
  <c r="AG206" i="8"/>
  <c r="AF206" i="8" s="1"/>
  <c r="AG151" i="8"/>
  <c r="AF151" i="8" s="1"/>
  <c r="AG199" i="8"/>
  <c r="AF199" i="8" s="1"/>
  <c r="AG252" i="8"/>
  <c r="AF252" i="8" s="1"/>
  <c r="AG178" i="8"/>
  <c r="AF178" i="8" s="1"/>
  <c r="AG14" i="8"/>
  <c r="AF14" i="8" s="1"/>
  <c r="AG87" i="8"/>
  <c r="AF87" i="8" s="1"/>
  <c r="AG179" i="8"/>
  <c r="AF179" i="8" s="1"/>
  <c r="AG256" i="8"/>
  <c r="AF256" i="8" s="1"/>
  <c r="AG34" i="8"/>
  <c r="AF34" i="8" s="1"/>
  <c r="AG25" i="8"/>
  <c r="AF25" i="8" s="1"/>
  <c r="AG180" i="8"/>
  <c r="AF180" i="8" s="1"/>
  <c r="AG17" i="8"/>
  <c r="AF17" i="8" s="1"/>
  <c r="AG45" i="8"/>
  <c r="AF45" i="8" s="1"/>
  <c r="AG154" i="8"/>
  <c r="AF154" i="8" s="1"/>
  <c r="AG22" i="8"/>
  <c r="AF22" i="8" s="1"/>
  <c r="AG70" i="8"/>
  <c r="AF70" i="8" s="1"/>
  <c r="AG229" i="8"/>
  <c r="AF229" i="8" s="1"/>
  <c r="AG59" i="8"/>
  <c r="AF59" i="8" s="1"/>
  <c r="AG23" i="8"/>
  <c r="AF23" i="8" s="1"/>
  <c r="AG192" i="8"/>
  <c r="AF192" i="8" s="1"/>
  <c r="AG162" i="8"/>
  <c r="AF162" i="8" s="1"/>
  <c r="AG254" i="8"/>
  <c r="AF254" i="8" s="1"/>
  <c r="AG64" i="8"/>
  <c r="AF64" i="8" s="1"/>
  <c r="AG212" i="8"/>
  <c r="AF212" i="8" s="1"/>
  <c r="AG72" i="8"/>
  <c r="AF72" i="8" s="1"/>
  <c r="AG147" i="8"/>
  <c r="AF147" i="8" s="1"/>
  <c r="AG187" i="8"/>
  <c r="AF187" i="8" s="1"/>
  <c r="AG67" i="8"/>
  <c r="AF67" i="8" s="1"/>
  <c r="AG163" i="8"/>
  <c r="AF163" i="8" s="1"/>
  <c r="AG56" i="8"/>
  <c r="AF56" i="8" s="1"/>
  <c r="AG96" i="8"/>
  <c r="AF96" i="8" s="1"/>
  <c r="AG44" i="8"/>
  <c r="AF44" i="8" s="1"/>
  <c r="AG216" i="8"/>
  <c r="AF216" i="8" s="1"/>
  <c r="AG46" i="8"/>
  <c r="AF46" i="8" s="1"/>
  <c r="AG202" i="8"/>
  <c r="AF202" i="8" s="1"/>
  <c r="AG170" i="8"/>
  <c r="AF170" i="8" s="1"/>
  <c r="AG250" i="8"/>
  <c r="AF250" i="8" s="1"/>
  <c r="AG144" i="8"/>
  <c r="AF144" i="8" s="1"/>
  <c r="AG26" i="8"/>
  <c r="AF26" i="8" s="1"/>
  <c r="AG130" i="8"/>
  <c r="AF130" i="8" s="1"/>
  <c r="AG119" i="8"/>
  <c r="AF119" i="8" s="1"/>
  <c r="AG73" i="8"/>
  <c r="AF73" i="8" s="1"/>
  <c r="AG213" i="8"/>
  <c r="AF213" i="8" s="1"/>
  <c r="AG54" i="8"/>
  <c r="AF54" i="8" s="1"/>
  <c r="AG80" i="8"/>
  <c r="AF80" i="8" s="1"/>
  <c r="AG237" i="8"/>
  <c r="AF237" i="8" s="1"/>
  <c r="AG207" i="8"/>
  <c r="AF207" i="8" s="1"/>
  <c r="AG244" i="8"/>
  <c r="AF244" i="8" s="1"/>
  <c r="AG116" i="8"/>
  <c r="AF116" i="8" s="1"/>
  <c r="AG47" i="8"/>
  <c r="AF47" i="8" s="1"/>
  <c r="AG71" i="8"/>
  <c r="AF71" i="8" s="1"/>
  <c r="AG37" i="8"/>
  <c r="AF37" i="8" s="1"/>
  <c r="AG248" i="8"/>
  <c r="AF248" i="8" s="1"/>
  <c r="AG136" i="8"/>
  <c r="AF136" i="8" s="1"/>
  <c r="AG215" i="8"/>
  <c r="AF215" i="8" s="1"/>
  <c r="AG83" i="8"/>
  <c r="AF83" i="8" s="1"/>
  <c r="AG111" i="8"/>
  <c r="AF111" i="8" s="1"/>
  <c r="AG160" i="8"/>
  <c r="AF160" i="8" s="1"/>
  <c r="AG245" i="8"/>
  <c r="AF245" i="8" s="1"/>
  <c r="AG193" i="8"/>
  <c r="AF193" i="8" s="1"/>
  <c r="AG29" i="8"/>
  <c r="AF29" i="8" s="1"/>
  <c r="AG140" i="8"/>
  <c r="AF140" i="8" s="1"/>
  <c r="AG122" i="8"/>
  <c r="AF122" i="8" s="1"/>
  <c r="AG236" i="8"/>
  <c r="AF236" i="8" s="1"/>
  <c r="AG228" i="8"/>
  <c r="AF228" i="8" s="1"/>
  <c r="AG91" i="8"/>
  <c r="AF91" i="8" s="1"/>
  <c r="AG218" i="8"/>
  <c r="AF218" i="8" s="1"/>
  <c r="AG123" i="8"/>
  <c r="AF123" i="8" s="1"/>
  <c r="AG65" i="8"/>
  <c r="AF65" i="8" s="1"/>
  <c r="AG20" i="8"/>
  <c r="AF20" i="8" s="1"/>
  <c r="AG133" i="8"/>
  <c r="AF133" i="8" s="1"/>
  <c r="AG238" i="8"/>
  <c r="AF238" i="8" s="1"/>
  <c r="AG152" i="8"/>
  <c r="AF152" i="8" s="1"/>
  <c r="AG255" i="8"/>
  <c r="AF255" i="8" s="1"/>
  <c r="AG62" i="8"/>
  <c r="AF62" i="8" s="1"/>
  <c r="AG165" i="8"/>
  <c r="AF165" i="8" s="1"/>
  <c r="AG78" i="8"/>
  <c r="AF78" i="8" s="1"/>
  <c r="AG27" i="8"/>
  <c r="AF27" i="8" s="1"/>
  <c r="AG208" i="8"/>
  <c r="AF208" i="8" s="1"/>
  <c r="AG195" i="8"/>
  <c r="AF195" i="8" s="1"/>
  <c r="AG223" i="8"/>
  <c r="AF223" i="8" s="1"/>
  <c r="AG210" i="8"/>
  <c r="AF210" i="8" s="1"/>
  <c r="AG205" i="8"/>
  <c r="AF205" i="8" s="1"/>
  <c r="AG225" i="8"/>
  <c r="AF225" i="8" s="1"/>
  <c r="AG186" i="8"/>
  <c r="AF186" i="8" s="1"/>
  <c r="AG114" i="8"/>
  <c r="AF114" i="8" s="1"/>
  <c r="AG231" i="8"/>
  <c r="AF231" i="8" s="1"/>
  <c r="AG204" i="8"/>
  <c r="AF204" i="8" s="1"/>
  <c r="AG31" i="8"/>
  <c r="AF31" i="8" s="1"/>
  <c r="AG222" i="8"/>
  <c r="AF222" i="8" s="1"/>
  <c r="AG6" i="8"/>
  <c r="AF6" i="8" s="1"/>
  <c r="AG227" i="8"/>
  <c r="AF227" i="8" s="1"/>
  <c r="AG68" i="8"/>
  <c r="AF68" i="8" s="1"/>
  <c r="AG185" i="8"/>
  <c r="AF185" i="8" s="1"/>
  <c r="AG159" i="8"/>
  <c r="AF159" i="8" s="1"/>
  <c r="AG235" i="8"/>
  <c r="AF235" i="8" s="1"/>
  <c r="AG183" i="8"/>
  <c r="AF183" i="8" s="1"/>
  <c r="AG169" i="8"/>
  <c r="AF169" i="8" s="1"/>
  <c r="AG84" i="8"/>
  <c r="AF84" i="8" s="1"/>
  <c r="AG164" i="8"/>
  <c r="AF164" i="8" s="1"/>
  <c r="AG217" i="8"/>
  <c r="AF217" i="8" s="1"/>
  <c r="AG92" i="8"/>
  <c r="AF92" i="8" s="1"/>
  <c r="AG134" i="8"/>
  <c r="AF134" i="8" s="1"/>
  <c r="AG131" i="8"/>
  <c r="AF131" i="8" s="1"/>
  <c r="AG55" i="8"/>
  <c r="AF55" i="8" s="1"/>
  <c r="AG21" i="8"/>
  <c r="AF21" i="8" s="1"/>
  <c r="AG100" i="8"/>
  <c r="AF100" i="8" s="1"/>
  <c r="AG168" i="8"/>
  <c r="AF168" i="8" s="1"/>
  <c r="AG139" i="8"/>
  <c r="AF139" i="8" s="1"/>
  <c r="AG48" i="8"/>
  <c r="AF48" i="8" s="1"/>
  <c r="AG39" i="8"/>
  <c r="AF39" i="8" s="1"/>
  <c r="AG108" i="8"/>
  <c r="AF108" i="8" s="1"/>
  <c r="AG145" i="8"/>
  <c r="AF145" i="8" s="1"/>
  <c r="AG121" i="8"/>
  <c r="AF121" i="8" s="1"/>
  <c r="AG201" i="8"/>
  <c r="AF201" i="8" s="1"/>
  <c r="AG35" i="8"/>
  <c r="AF35" i="8" s="1"/>
  <c r="AG258" i="8"/>
  <c r="AF258" i="8" s="1"/>
  <c r="AG259" i="8"/>
  <c r="AF259" i="8" s="1"/>
  <c r="AG260" i="8"/>
  <c r="AF260" i="8" s="1"/>
  <c r="AG261" i="8"/>
  <c r="AF261" i="8" s="1"/>
  <c r="AG262" i="8"/>
  <c r="AF262" i="8" s="1"/>
  <c r="AG263" i="8"/>
  <c r="AF263" i="8" s="1"/>
  <c r="AG264" i="8"/>
  <c r="AF264" i="8" s="1"/>
  <c r="AG265" i="8"/>
  <c r="AF265" i="8" s="1"/>
  <c r="AG266" i="8"/>
  <c r="AF266" i="8" s="1"/>
  <c r="AG267" i="8"/>
  <c r="AF267" i="8" s="1"/>
  <c r="BC269" i="8"/>
  <c r="BB269" i="8"/>
  <c r="BF269" i="8" s="1"/>
  <c r="BD269" i="8" s="1"/>
  <c r="AA269" i="8"/>
  <c r="BQ269" i="8" s="1"/>
  <c r="BX200" i="9" l="1"/>
  <c r="BP200" i="8" s="1"/>
  <c r="BN198" i="9"/>
  <c r="BM199" i="9"/>
  <c r="BV199" i="9"/>
  <c r="BU199" i="9" s="1"/>
  <c r="BH127" i="8"/>
  <c r="BG127" i="8" s="1"/>
  <c r="BH265" i="8"/>
  <c r="BG265" i="8" s="1"/>
  <c r="BH185" i="8"/>
  <c r="BG185" i="8" s="1"/>
  <c r="BH110" i="8"/>
  <c r="BG110" i="8" s="1"/>
  <c r="BH146" i="8"/>
  <c r="BG146" i="8" s="1"/>
  <c r="BH267" i="8"/>
  <c r="BG267" i="8" s="1"/>
  <c r="BH262" i="8"/>
  <c r="BG262" i="8" s="1"/>
  <c r="BH261" i="8"/>
  <c r="BG261" i="8" s="1"/>
  <c r="BH172" i="8"/>
  <c r="BG172" i="8" s="1"/>
  <c r="BH128" i="8"/>
  <c r="BG128" i="8" s="1"/>
  <c r="BH210" i="8"/>
  <c r="BG210" i="8" s="1"/>
  <c r="BH266" i="8"/>
  <c r="BG266" i="8" s="1"/>
  <c r="BH67" i="8"/>
  <c r="BG67" i="8" s="1"/>
  <c r="BH215" i="8"/>
  <c r="BG215" i="8" s="1"/>
  <c r="BH180" i="8"/>
  <c r="BG180" i="8" s="1"/>
  <c r="BH158" i="8"/>
  <c r="BG158" i="8" s="1"/>
  <c r="BH87" i="8"/>
  <c r="BG87" i="8" s="1"/>
  <c r="BH169" i="8"/>
  <c r="BG169" i="8" s="1"/>
  <c r="BH231" i="8"/>
  <c r="BG231" i="8" s="1"/>
  <c r="BH33" i="8"/>
  <c r="BG33" i="8" s="1"/>
  <c r="BH148" i="8"/>
  <c r="BG148" i="8" s="1"/>
  <c r="BH194" i="8"/>
  <c r="BG194" i="8" s="1"/>
  <c r="BH52" i="8"/>
  <c r="BG52" i="8" s="1"/>
  <c r="BH94" i="8"/>
  <c r="BG94" i="8" s="1"/>
  <c r="BH27" i="8"/>
  <c r="BG27" i="8" s="1"/>
  <c r="BH220" i="8"/>
  <c r="BG220" i="8" s="1"/>
  <c r="BH37" i="8"/>
  <c r="BG37" i="8" s="1"/>
  <c r="BH66" i="8"/>
  <c r="BG66" i="8" s="1"/>
  <c r="BH17" i="8"/>
  <c r="BG17" i="8" s="1"/>
  <c r="BH187" i="8"/>
  <c r="BG187" i="8" s="1"/>
  <c r="BH73" i="8"/>
  <c r="BG73" i="8" s="1"/>
  <c r="BH201" i="8"/>
  <c r="BG201" i="8" s="1"/>
  <c r="BH136" i="8"/>
  <c r="BG136" i="8" s="1"/>
  <c r="BH143" i="8"/>
  <c r="BG143" i="8" s="1"/>
  <c r="BH242" i="8"/>
  <c r="BG242" i="8" s="1"/>
  <c r="BH144" i="8"/>
  <c r="BG144" i="8" s="1"/>
  <c r="BH108" i="8"/>
  <c r="BG108" i="8" s="1"/>
  <c r="BH56" i="8"/>
  <c r="BG56" i="8" s="1"/>
  <c r="BH118" i="8"/>
  <c r="BG118" i="8" s="1"/>
  <c r="BH5" i="8"/>
  <c r="L36" i="5" s="1"/>
  <c r="BH85" i="8"/>
  <c r="BG85" i="8" s="1"/>
  <c r="BH174" i="8"/>
  <c r="BG174" i="8" s="1"/>
  <c r="BH221" i="8"/>
  <c r="BG221" i="8" s="1"/>
  <c r="BH71" i="8"/>
  <c r="BG71" i="8" s="1"/>
  <c r="BH121" i="8"/>
  <c r="BG121" i="8" s="1"/>
  <c r="BH253" i="8"/>
  <c r="BG253" i="8" s="1"/>
  <c r="BH248" i="8"/>
  <c r="BG248" i="8" s="1"/>
  <c r="BH209" i="8"/>
  <c r="BG209" i="8" s="1"/>
  <c r="BH114" i="8"/>
  <c r="BG114" i="8" s="1"/>
  <c r="BH41" i="8"/>
  <c r="BG41" i="8" s="1"/>
  <c r="BH92" i="8"/>
  <c r="BG92" i="8" s="1"/>
  <c r="BH82" i="8"/>
  <c r="BG82" i="8" s="1"/>
  <c r="BU270" i="8"/>
  <c r="BR270" i="8"/>
  <c r="BH260" i="8"/>
  <c r="BG260" i="8" s="1"/>
  <c r="BH179" i="8"/>
  <c r="BG179" i="8" s="1"/>
  <c r="BH168" i="8"/>
  <c r="BG168" i="8" s="1"/>
  <c r="BH132" i="8"/>
  <c r="BG132" i="8" s="1"/>
  <c r="BH99" i="8"/>
  <c r="BG99" i="8" s="1"/>
  <c r="BH217" i="8"/>
  <c r="BG217" i="8" s="1"/>
  <c r="BH109" i="8"/>
  <c r="BG109" i="8" s="1"/>
  <c r="BH133" i="8"/>
  <c r="BG133" i="8" s="1"/>
  <c r="BH197" i="8"/>
  <c r="BG197" i="8" s="1"/>
  <c r="BH97" i="8"/>
  <c r="BG97" i="8" s="1"/>
  <c r="BH53" i="8"/>
  <c r="BG53" i="8" s="1"/>
  <c r="BH141" i="8"/>
  <c r="BG141" i="8" s="1"/>
  <c r="BH160" i="8"/>
  <c r="BG160" i="8" s="1"/>
  <c r="BH176" i="8"/>
  <c r="BG176" i="8" s="1"/>
  <c r="BH68" i="8"/>
  <c r="BG68" i="8" s="1"/>
  <c r="BH65" i="8"/>
  <c r="BG65" i="8" s="1"/>
  <c r="BH149" i="8"/>
  <c r="BG149" i="8" s="1"/>
  <c r="BH159" i="8"/>
  <c r="BG159" i="8" s="1"/>
  <c r="BH189" i="8"/>
  <c r="BG189" i="8" s="1"/>
  <c r="BH153" i="8"/>
  <c r="BG153" i="8" s="1"/>
  <c r="BH137" i="8"/>
  <c r="BG137" i="8" s="1"/>
  <c r="BH256" i="8"/>
  <c r="BG256" i="8" s="1"/>
  <c r="BH237" i="8"/>
  <c r="BG237" i="8" s="1"/>
  <c r="BH140" i="8"/>
  <c r="BG140" i="8" s="1"/>
  <c r="BH131" i="8"/>
  <c r="BG131" i="8" s="1"/>
  <c r="BH47" i="8"/>
  <c r="BG47" i="8" s="1"/>
  <c r="BH166" i="8"/>
  <c r="BG166" i="8" s="1"/>
  <c r="BH103" i="8"/>
  <c r="BG103" i="8" s="1"/>
  <c r="BH202" i="8"/>
  <c r="BG202" i="8" s="1"/>
  <c r="BH31" i="8"/>
  <c r="BG31" i="8" s="1"/>
  <c r="BH112" i="8"/>
  <c r="BG112" i="8" s="1"/>
  <c r="BH200" i="8"/>
  <c r="BG200" i="8" s="1"/>
  <c r="BH254" i="8"/>
  <c r="BG254" i="8" s="1"/>
  <c r="BH181" i="8"/>
  <c r="BG181" i="8" s="1"/>
  <c r="BH165" i="8"/>
  <c r="BG165" i="8" s="1"/>
  <c r="BH32" i="8"/>
  <c r="BG32" i="8" s="1"/>
  <c r="BH130" i="8"/>
  <c r="BG130" i="8" s="1"/>
  <c r="BH120" i="8"/>
  <c r="BG120" i="8" s="1"/>
  <c r="BH80" i="8"/>
  <c r="BG80" i="8" s="1"/>
  <c r="BH152" i="8"/>
  <c r="BG152" i="8" s="1"/>
  <c r="BH151" i="8"/>
  <c r="BG151" i="8" s="1"/>
  <c r="BH7" i="8"/>
  <c r="BG7" i="8" s="1"/>
  <c r="BH83" i="8"/>
  <c r="BG83" i="8" s="1"/>
  <c r="AN269" i="8"/>
  <c r="L35" i="5"/>
  <c r="L41" i="5" s="1"/>
  <c r="BH264" i="8"/>
  <c r="BG264" i="8" s="1"/>
  <c r="BH259" i="8"/>
  <c r="BG259" i="8" s="1"/>
  <c r="BH234" i="8"/>
  <c r="BG234" i="8" s="1"/>
  <c r="BH192" i="8"/>
  <c r="BG192" i="8" s="1"/>
  <c r="BH226" i="8"/>
  <c r="BG226" i="8" s="1"/>
  <c r="BH40" i="8"/>
  <c r="BG40" i="8" s="1"/>
  <c r="BH238" i="8"/>
  <c r="BG238" i="8" s="1"/>
  <c r="BH252" i="8"/>
  <c r="BG252" i="8" s="1"/>
  <c r="BH203" i="8"/>
  <c r="BG203" i="8" s="1"/>
  <c r="BH23" i="8"/>
  <c r="BG23" i="8" s="1"/>
  <c r="BH230" i="8"/>
  <c r="BG230" i="8" s="1"/>
  <c r="BH95" i="8"/>
  <c r="BG95" i="8" s="1"/>
  <c r="BH59" i="8"/>
  <c r="BG59" i="8" s="1"/>
  <c r="BH154" i="8"/>
  <c r="BG154" i="8" s="1"/>
  <c r="BH183" i="8"/>
  <c r="BG183" i="8" s="1"/>
  <c r="BH247" i="8"/>
  <c r="BG247" i="8" s="1"/>
  <c r="BH15" i="8"/>
  <c r="BG15" i="8" s="1"/>
  <c r="BH246" i="8"/>
  <c r="BG246" i="8" s="1"/>
  <c r="BH196" i="8"/>
  <c r="BG196" i="8" s="1"/>
  <c r="BH38" i="8"/>
  <c r="BG38" i="8" s="1"/>
  <c r="BH188" i="8"/>
  <c r="BG188" i="8" s="1"/>
  <c r="BH49" i="8"/>
  <c r="BG49" i="8" s="1"/>
  <c r="BH171" i="8"/>
  <c r="BG171" i="8" s="1"/>
  <c r="BH106" i="8"/>
  <c r="BG106" i="8" s="1"/>
  <c r="BH25" i="8"/>
  <c r="BG25" i="8" s="1"/>
  <c r="BH233" i="8"/>
  <c r="BG233" i="8" s="1"/>
  <c r="BH219" i="8"/>
  <c r="BG219" i="8" s="1"/>
  <c r="BH232" i="8"/>
  <c r="BG232" i="8" s="1"/>
  <c r="BH190" i="8"/>
  <c r="BG190" i="8" s="1"/>
  <c r="BH225" i="8"/>
  <c r="BG225" i="8" s="1"/>
  <c r="BH91" i="8"/>
  <c r="BG91" i="8" s="1"/>
  <c r="BH13" i="8"/>
  <c r="BG13" i="8" s="1"/>
  <c r="BH134" i="8"/>
  <c r="BG134" i="8" s="1"/>
  <c r="BH62" i="8"/>
  <c r="BG62" i="8" s="1"/>
  <c r="BH72" i="8"/>
  <c r="BG72" i="8" s="1"/>
  <c r="BH236" i="8"/>
  <c r="BG236" i="8" s="1"/>
  <c r="BH222" i="8"/>
  <c r="BG222" i="8" s="1"/>
  <c r="BH218" i="8"/>
  <c r="BG218" i="8" s="1"/>
  <c r="BH195" i="8"/>
  <c r="BG195" i="8" s="1"/>
  <c r="BH135" i="8"/>
  <c r="BG135" i="8" s="1"/>
  <c r="BH115" i="8"/>
  <c r="BG115" i="8" s="1"/>
  <c r="BH76" i="8"/>
  <c r="BG76" i="8" s="1"/>
  <c r="BH54" i="8"/>
  <c r="BG54" i="8" s="1"/>
  <c r="BH228" i="8"/>
  <c r="BG228" i="8" s="1"/>
  <c r="BH69" i="8"/>
  <c r="BG69" i="8" s="1"/>
  <c r="BH122" i="8"/>
  <c r="BG122" i="8" s="1"/>
  <c r="BH58" i="8"/>
  <c r="BG58" i="8" s="1"/>
  <c r="BH177" i="8"/>
  <c r="BG177" i="8" s="1"/>
  <c r="BH239" i="8"/>
  <c r="BG239" i="8" s="1"/>
  <c r="BH84" i="8"/>
  <c r="BG84" i="8" s="1"/>
  <c r="BH104" i="8"/>
  <c r="BG104" i="8" s="1"/>
  <c r="BH18" i="8"/>
  <c r="BG18" i="8" s="1"/>
  <c r="BH205" i="8"/>
  <c r="BG205" i="8" s="1"/>
  <c r="BH61" i="8"/>
  <c r="BG61" i="8" s="1"/>
  <c r="BH216" i="8"/>
  <c r="BG216" i="8" s="1"/>
  <c r="BH170" i="8"/>
  <c r="BG170" i="8" s="1"/>
  <c r="BH11" i="8"/>
  <c r="BG11" i="8" s="1"/>
  <c r="BH78" i="8"/>
  <c r="BG78" i="8" s="1"/>
  <c r="BH214" i="8"/>
  <c r="BG214" i="8" s="1"/>
  <c r="BH245" i="8"/>
  <c r="BG245" i="8" s="1"/>
  <c r="BH250" i="8"/>
  <c r="BG250" i="8" s="1"/>
  <c r="BH107" i="8"/>
  <c r="BG107" i="8" s="1"/>
  <c r="BH208" i="8"/>
  <c r="BG208" i="8" s="1"/>
  <c r="BH119" i="8"/>
  <c r="BG119" i="8" s="1"/>
  <c r="BH98" i="8"/>
  <c r="BG98" i="8" s="1"/>
  <c r="BH88" i="8"/>
  <c r="BG88" i="8" s="1"/>
  <c r="BH124" i="8"/>
  <c r="BG124" i="8" s="1"/>
  <c r="BH142" i="8"/>
  <c r="BG142" i="8" s="1"/>
  <c r="BH86" i="8"/>
  <c r="BG86" i="8" s="1"/>
  <c r="BH96" i="8"/>
  <c r="BG96" i="8" s="1"/>
  <c r="BH156" i="8"/>
  <c r="BG156" i="8" s="1"/>
  <c r="BH63" i="8"/>
  <c r="BG63" i="8" s="1"/>
  <c r="BH150" i="8"/>
  <c r="BG150" i="8" s="1"/>
  <c r="BH251" i="8"/>
  <c r="BG251" i="8" s="1"/>
  <c r="BH46" i="8"/>
  <c r="BG46" i="8" s="1"/>
  <c r="BH102" i="8"/>
  <c r="BG102" i="8" s="1"/>
  <c r="BH42" i="8"/>
  <c r="BG42" i="8" s="1"/>
  <c r="BH28" i="8"/>
  <c r="BG28" i="8" s="1"/>
  <c r="BH126" i="8"/>
  <c r="BG126" i="8" s="1"/>
  <c r="BH90" i="8"/>
  <c r="BG90" i="8" s="1"/>
  <c r="BH39" i="8"/>
  <c r="BG39" i="8" s="1"/>
  <c r="BH257" i="8"/>
  <c r="BG257" i="8" s="1"/>
  <c r="BH64" i="8"/>
  <c r="BG64" i="8" s="1"/>
  <c r="BH255" i="8"/>
  <c r="BG255" i="8" s="1"/>
  <c r="BH175" i="8"/>
  <c r="BG175" i="8" s="1"/>
  <c r="BH213" i="8"/>
  <c r="BG213" i="8" s="1"/>
  <c r="K20" i="5"/>
  <c r="L40" i="5"/>
  <c r="BH258" i="8"/>
  <c r="BG258" i="8" s="1"/>
  <c r="BH263" i="8"/>
  <c r="BG263" i="8" s="1"/>
  <c r="BH139" i="8"/>
  <c r="BG139" i="8" s="1"/>
  <c r="BH8" i="8"/>
  <c r="BG8" i="8" s="1"/>
  <c r="BH163" i="8"/>
  <c r="BG163" i="8" s="1"/>
  <c r="BH125" i="8"/>
  <c r="BG125" i="8" s="1"/>
  <c r="BH161" i="8"/>
  <c r="BG161" i="8" s="1"/>
  <c r="BH145" i="8"/>
  <c r="BG145" i="8" s="1"/>
  <c r="BH155" i="8"/>
  <c r="BG155" i="8" s="1"/>
  <c r="BH21" i="8"/>
  <c r="BG21" i="8" s="1"/>
  <c r="BH199" i="8"/>
  <c r="BG199" i="8" s="1"/>
  <c r="BH162" i="8"/>
  <c r="BG162" i="8" s="1"/>
  <c r="BH173" i="8"/>
  <c r="BG173" i="8" s="1"/>
  <c r="BH30" i="8"/>
  <c r="BG30" i="8" s="1"/>
  <c r="BH240" i="8"/>
  <c r="BG240" i="8" s="1"/>
  <c r="BH211" i="8"/>
  <c r="BG211" i="8" s="1"/>
  <c r="BH244" i="8"/>
  <c r="BG244" i="8" s="1"/>
  <c r="BH229" i="8"/>
  <c r="BG229" i="8" s="1"/>
  <c r="BH198" i="8"/>
  <c r="BG198" i="8" s="1"/>
  <c r="BH186" i="8"/>
  <c r="BG186" i="8" s="1"/>
  <c r="BH241" i="8"/>
  <c r="BG241" i="8" s="1"/>
  <c r="BH235" i="8"/>
  <c r="BG235" i="8" s="1"/>
  <c r="BH60" i="8"/>
  <c r="BG60" i="8" s="1"/>
  <c r="BH100" i="8"/>
  <c r="BG100" i="8" s="1"/>
  <c r="BH129" i="8"/>
  <c r="BG129" i="8" s="1"/>
  <c r="BH89" i="8"/>
  <c r="BG89" i="8" s="1"/>
  <c r="BH111" i="8"/>
  <c r="BG111" i="8" s="1"/>
  <c r="BH223" i="8"/>
  <c r="BG223" i="8" s="1"/>
  <c r="BH157" i="8"/>
  <c r="BG157" i="8" s="1"/>
  <c r="BH26" i="8"/>
  <c r="BG26" i="8" s="1"/>
  <c r="BH164" i="8"/>
  <c r="BG164" i="8" s="1"/>
  <c r="BH16" i="8"/>
  <c r="BG16" i="8" s="1"/>
  <c r="BH178" i="8"/>
  <c r="BG178" i="8" s="1"/>
  <c r="BH10" i="8"/>
  <c r="BG10" i="8" s="1"/>
  <c r="BH207" i="8"/>
  <c r="BG207" i="8" s="1"/>
  <c r="BH43" i="8"/>
  <c r="BG43" i="8" s="1"/>
  <c r="BH34" i="8"/>
  <c r="BG34" i="8" s="1"/>
  <c r="BH191" i="8"/>
  <c r="BG191" i="8" s="1"/>
  <c r="BH35" i="8"/>
  <c r="BG35" i="8" s="1"/>
  <c r="BH227" i="8"/>
  <c r="BG227" i="8" s="1"/>
  <c r="BH55" i="8"/>
  <c r="BG55" i="8" s="1"/>
  <c r="BH93" i="8"/>
  <c r="BG93" i="8" s="1"/>
  <c r="BH212" i="8"/>
  <c r="BG212" i="8" s="1"/>
  <c r="BH70" i="8"/>
  <c r="BG70" i="8" s="1"/>
  <c r="BH182" i="8"/>
  <c r="BG182" i="8" s="1"/>
  <c r="BH101" i="8"/>
  <c r="BG101" i="8" s="1"/>
  <c r="BH224" i="8"/>
  <c r="BG224" i="8" s="1"/>
  <c r="BH113" i="8"/>
  <c r="BG113" i="8" s="1"/>
  <c r="BH117" i="8"/>
  <c r="BG117" i="8" s="1"/>
  <c r="BH50" i="8"/>
  <c r="BG50" i="8" s="1"/>
  <c r="BH48" i="8"/>
  <c r="BG48" i="8" s="1"/>
  <c r="BH138" i="8"/>
  <c r="BG138" i="8" s="1"/>
  <c r="BH105" i="8"/>
  <c r="BG105" i="8" s="1"/>
  <c r="BH20" i="8"/>
  <c r="BG20" i="8" s="1"/>
  <c r="BH14" i="8"/>
  <c r="BG14" i="8" s="1"/>
  <c r="BH36" i="8"/>
  <c r="BG36" i="8" s="1"/>
  <c r="BH22" i="8"/>
  <c r="BG22" i="8" s="1"/>
  <c r="BH29" i="8"/>
  <c r="BG29" i="8" s="1"/>
  <c r="BH79" i="8"/>
  <c r="BG79" i="8" s="1"/>
  <c r="BH81" i="8"/>
  <c r="BG81" i="8" s="1"/>
  <c r="BH9" i="8"/>
  <c r="BG9" i="8" s="1"/>
  <c r="BH243" i="8"/>
  <c r="BG243" i="8" s="1"/>
  <c r="BH57" i="8"/>
  <c r="BG57" i="8" s="1"/>
  <c r="BH77" i="8"/>
  <c r="BG77" i="8" s="1"/>
  <c r="BH249" i="8"/>
  <c r="BG249" i="8" s="1"/>
  <c r="BH44" i="8"/>
  <c r="BG44" i="8" s="1"/>
  <c r="BH45" i="8"/>
  <c r="BG45" i="8" s="1"/>
  <c r="BH74" i="8"/>
  <c r="BG74" i="8" s="1"/>
  <c r="BH12" i="8"/>
  <c r="BG12" i="8" s="1"/>
  <c r="BH147" i="8"/>
  <c r="BG147" i="8" s="1"/>
  <c r="BH51" i="8"/>
  <c r="BG51" i="8" s="1"/>
  <c r="BH184" i="8"/>
  <c r="BG184" i="8" s="1"/>
  <c r="BH19" i="8"/>
  <c r="BG19" i="8" s="1"/>
  <c r="BH123" i="8"/>
  <c r="BG123" i="8" s="1"/>
  <c r="BH204" i="8"/>
  <c r="BG204" i="8" s="1"/>
  <c r="BH24" i="8"/>
  <c r="BG24" i="8" s="1"/>
  <c r="BH193" i="8"/>
  <c r="BG193" i="8" s="1"/>
  <c r="BH6" i="8"/>
  <c r="BG6" i="8" s="1"/>
  <c r="BH75" i="8"/>
  <c r="BG75" i="8" s="1"/>
  <c r="BH206" i="8"/>
  <c r="BG206" i="8" s="1"/>
  <c r="BH167" i="8"/>
  <c r="BG167" i="8" s="1"/>
  <c r="BH116" i="8"/>
  <c r="BG116" i="8" s="1"/>
  <c r="BH268" i="8"/>
  <c r="BG268" i="8" s="1"/>
  <c r="BX199" i="9" l="1"/>
  <c r="BP199" i="8" s="1"/>
  <c r="BN197" i="9"/>
  <c r="BM198" i="9"/>
  <c r="BV198" i="9"/>
  <c r="BU198" i="9" s="1"/>
  <c r="BT269" i="8"/>
  <c r="K36" i="5"/>
  <c r="K38" i="5"/>
  <c r="K34" i="5"/>
  <c r="BZ270" i="8"/>
  <c r="BV269" i="8"/>
  <c r="K35" i="5"/>
  <c r="BK269" i="8"/>
  <c r="AP268" i="8"/>
  <c r="AO268" i="8" s="1"/>
  <c r="AP191" i="8"/>
  <c r="AO191" i="8" s="1"/>
  <c r="AP177" i="8"/>
  <c r="AO177" i="8" s="1"/>
  <c r="AP106" i="8"/>
  <c r="AO106" i="8" s="1"/>
  <c r="AP188" i="8"/>
  <c r="AO188" i="8" s="1"/>
  <c r="AP111" i="8"/>
  <c r="AO111" i="8" s="1"/>
  <c r="AP236" i="8"/>
  <c r="AO236" i="8" s="1"/>
  <c r="AP131" i="8"/>
  <c r="AO131" i="8" s="1"/>
  <c r="AP224" i="8"/>
  <c r="AO224" i="8" s="1"/>
  <c r="AP150" i="8"/>
  <c r="AO150" i="8" s="1"/>
  <c r="AP159" i="8"/>
  <c r="AO159" i="8" s="1"/>
  <c r="AP42" i="8"/>
  <c r="AO42" i="8" s="1"/>
  <c r="AP34" i="8"/>
  <c r="AO34" i="8" s="1"/>
  <c r="AP62" i="8"/>
  <c r="AO62" i="8" s="1"/>
  <c r="AP76" i="8"/>
  <c r="AO76" i="8" s="1"/>
  <c r="AP226" i="8"/>
  <c r="AO226" i="8" s="1"/>
  <c r="AP29" i="8"/>
  <c r="AO29" i="8" s="1"/>
  <c r="AP192" i="8"/>
  <c r="AO192" i="8" s="1"/>
  <c r="AP6" i="8"/>
  <c r="AO6" i="8" s="1"/>
  <c r="AP102" i="8"/>
  <c r="AO102" i="8" s="1"/>
  <c r="AP251" i="8"/>
  <c r="AO251" i="8" s="1"/>
  <c r="AP148" i="8"/>
  <c r="AO148" i="8" s="1"/>
  <c r="AP252" i="8"/>
  <c r="AO252" i="8" s="1"/>
  <c r="AP223" i="8"/>
  <c r="AO223" i="8" s="1"/>
  <c r="AP214" i="8"/>
  <c r="AO214" i="8" s="1"/>
  <c r="AP60" i="8"/>
  <c r="AO60" i="8" s="1"/>
  <c r="AP219" i="8"/>
  <c r="AO219" i="8" s="1"/>
  <c r="AP166" i="8"/>
  <c r="AO166" i="8" s="1"/>
  <c r="AP255" i="8"/>
  <c r="AO255" i="8" s="1"/>
  <c r="AP253" i="8"/>
  <c r="AO253" i="8" s="1"/>
  <c r="AP103" i="8"/>
  <c r="AO103" i="8" s="1"/>
  <c r="AP113" i="8"/>
  <c r="AO113" i="8" s="1"/>
  <c r="AP36" i="8"/>
  <c r="AO36" i="8" s="1"/>
  <c r="AP189" i="8"/>
  <c r="AO189" i="8" s="1"/>
  <c r="AP196" i="8"/>
  <c r="AO196" i="8" s="1"/>
  <c r="AP182" i="8"/>
  <c r="AO182" i="8" s="1"/>
  <c r="AP121" i="8"/>
  <c r="AO121" i="8" s="1"/>
  <c r="AP112" i="8"/>
  <c r="AO112" i="8" s="1"/>
  <c r="AP217" i="8"/>
  <c r="AO217" i="8" s="1"/>
  <c r="AP144" i="8"/>
  <c r="AO144" i="8" s="1"/>
  <c r="AP78" i="8"/>
  <c r="AO78" i="8" s="1"/>
  <c r="AP71" i="8"/>
  <c r="AO71" i="8" s="1"/>
  <c r="AP15" i="8"/>
  <c r="AO15" i="8" s="1"/>
  <c r="AP155" i="8"/>
  <c r="AO155" i="8" s="1"/>
  <c r="AP140" i="8"/>
  <c r="AO140" i="8" s="1"/>
  <c r="AP43" i="8"/>
  <c r="AO43" i="8" s="1"/>
  <c r="AP83" i="8"/>
  <c r="AO83" i="8" s="1"/>
  <c r="AP208" i="8"/>
  <c r="AO208" i="8" s="1"/>
  <c r="AP56" i="8"/>
  <c r="AO56" i="8" s="1"/>
  <c r="AP108" i="8"/>
  <c r="AO108" i="8" s="1"/>
  <c r="AP64" i="8"/>
  <c r="AO64" i="8" s="1"/>
  <c r="AP147" i="8"/>
  <c r="AO147" i="8" s="1"/>
  <c r="AP193" i="8"/>
  <c r="AO193" i="8" s="1"/>
  <c r="AP136" i="8"/>
  <c r="AO136" i="8" s="1"/>
  <c r="AP16" i="8"/>
  <c r="AO16" i="8" s="1"/>
  <c r="AP31" i="8"/>
  <c r="AO31" i="8" s="1"/>
  <c r="AP172" i="8"/>
  <c r="AO172" i="8" s="1"/>
  <c r="AP210" i="8"/>
  <c r="AO210" i="8" s="1"/>
  <c r="AP141" i="8"/>
  <c r="AO141" i="8" s="1"/>
  <c r="AP22" i="8"/>
  <c r="AO22" i="8" s="1"/>
  <c r="AP53" i="8"/>
  <c r="AO53" i="8" s="1"/>
  <c r="AP163" i="8"/>
  <c r="AO163" i="8" s="1"/>
  <c r="AP92" i="8"/>
  <c r="AO92" i="8" s="1"/>
  <c r="AP238" i="8"/>
  <c r="AO238" i="8" s="1"/>
  <c r="AP79" i="8"/>
  <c r="AO79" i="8" s="1"/>
  <c r="AP205" i="8"/>
  <c r="AO205" i="8" s="1"/>
  <c r="AP209" i="8"/>
  <c r="AO209" i="8" s="1"/>
  <c r="AP232" i="8"/>
  <c r="AO232" i="8" s="1"/>
  <c r="AP21" i="8"/>
  <c r="AO21" i="8" s="1"/>
  <c r="AP249" i="8"/>
  <c r="AO249" i="8" s="1"/>
  <c r="AP187" i="8"/>
  <c r="AO187" i="8" s="1"/>
  <c r="AP202" i="8"/>
  <c r="AO202" i="8" s="1"/>
  <c r="AP246" i="8"/>
  <c r="AO246" i="8" s="1"/>
  <c r="AP146" i="8"/>
  <c r="AO146" i="8" s="1"/>
  <c r="AP91" i="8"/>
  <c r="AO91" i="8" s="1"/>
  <c r="AP114" i="8"/>
  <c r="AO114" i="8" s="1"/>
  <c r="AP228" i="8"/>
  <c r="AO228" i="8" s="1"/>
  <c r="AP63" i="8"/>
  <c r="AO63" i="8" s="1"/>
  <c r="AP256" i="8"/>
  <c r="AO256" i="8" s="1"/>
  <c r="AP180" i="8"/>
  <c r="AO180" i="8" s="1"/>
  <c r="AP134" i="8"/>
  <c r="AO134" i="8" s="1"/>
  <c r="AP244" i="8"/>
  <c r="AO244" i="8" s="1"/>
  <c r="AP231" i="8"/>
  <c r="AO231" i="8" s="1"/>
  <c r="AP110" i="8"/>
  <c r="AO110" i="8" s="1"/>
  <c r="AP54" i="8"/>
  <c r="AO54" i="8" s="1"/>
  <c r="AP87" i="8"/>
  <c r="AO87" i="8" s="1"/>
  <c r="AP59" i="8"/>
  <c r="AO59" i="8" s="1"/>
  <c r="AP157" i="8"/>
  <c r="AO157" i="8" s="1"/>
  <c r="AP51" i="8"/>
  <c r="AO51" i="8" s="1"/>
  <c r="AP199" i="8"/>
  <c r="AO199" i="8" s="1"/>
  <c r="AP38" i="8"/>
  <c r="AO38" i="8" s="1"/>
  <c r="AP32" i="8"/>
  <c r="AO32" i="8" s="1"/>
  <c r="AP33" i="8"/>
  <c r="AO33" i="8" s="1"/>
  <c r="AP82" i="8"/>
  <c r="AO82" i="8" s="1"/>
  <c r="AP55" i="8"/>
  <c r="AO55" i="8" s="1"/>
  <c r="AP174" i="8"/>
  <c r="AO174" i="8" s="1"/>
  <c r="AP145" i="8"/>
  <c r="AO145" i="8" s="1"/>
  <c r="AP49" i="8"/>
  <c r="AO49" i="8" s="1"/>
  <c r="AP122" i="8"/>
  <c r="AO122" i="8" s="1"/>
  <c r="AP123" i="8"/>
  <c r="AO123" i="8" s="1"/>
  <c r="AP195" i="8"/>
  <c r="AO195" i="8" s="1"/>
  <c r="AP165" i="8"/>
  <c r="AO165" i="8" s="1"/>
  <c r="AP139" i="8"/>
  <c r="AO139" i="8" s="1"/>
  <c r="AP81" i="8"/>
  <c r="AO81" i="8" s="1"/>
  <c r="AP213" i="8"/>
  <c r="AO213" i="8" s="1"/>
  <c r="AP119" i="8"/>
  <c r="AO119" i="8" s="1"/>
  <c r="AP190" i="8"/>
  <c r="AO190" i="8" s="1"/>
  <c r="AP237" i="8"/>
  <c r="AO237" i="8" s="1"/>
  <c r="AP247" i="8"/>
  <c r="AO247" i="8" s="1"/>
  <c r="AP101" i="8"/>
  <c r="AO101" i="8" s="1"/>
  <c r="AP138" i="8"/>
  <c r="AO138" i="8" s="1"/>
  <c r="AP68" i="8"/>
  <c r="AO68" i="8" s="1"/>
  <c r="AP40" i="8"/>
  <c r="AO40" i="8" s="1"/>
  <c r="AP11" i="8"/>
  <c r="AO11" i="8" s="1"/>
  <c r="AP230" i="8"/>
  <c r="AO230" i="8" s="1"/>
  <c r="AP7" i="8"/>
  <c r="AO7" i="8" s="1"/>
  <c r="AP183" i="8"/>
  <c r="AO183" i="8" s="1"/>
  <c r="AP161" i="8"/>
  <c r="AO161" i="8" s="1"/>
  <c r="AP167" i="8"/>
  <c r="AO167" i="8" s="1"/>
  <c r="AP24" i="8"/>
  <c r="AO24" i="8" s="1"/>
  <c r="AP86" i="8"/>
  <c r="AO86" i="8" s="1"/>
  <c r="AP151" i="8"/>
  <c r="AO151" i="8" s="1"/>
  <c r="AP149" i="8"/>
  <c r="AO149" i="8" s="1"/>
  <c r="AP173" i="8"/>
  <c r="AO173" i="8" s="1"/>
  <c r="AP197" i="8"/>
  <c r="AO197" i="8" s="1"/>
  <c r="AP135" i="8"/>
  <c r="AO135" i="8" s="1"/>
  <c r="AP153" i="8"/>
  <c r="AO153" i="8" s="1"/>
  <c r="AP104" i="8"/>
  <c r="AO104" i="8" s="1"/>
  <c r="AP169" i="8"/>
  <c r="AO169" i="8" s="1"/>
  <c r="AP206" i="8"/>
  <c r="AO206" i="8" s="1"/>
  <c r="AP46" i="8"/>
  <c r="AO46" i="8" s="1"/>
  <c r="AP248" i="8"/>
  <c r="AO248" i="8" s="1"/>
  <c r="AP8" i="8"/>
  <c r="AO8" i="8" s="1"/>
  <c r="AP80" i="8"/>
  <c r="AO80" i="8" s="1"/>
  <c r="AP142" i="8"/>
  <c r="AO142" i="8" s="1"/>
  <c r="AP109" i="8"/>
  <c r="AO109" i="8" s="1"/>
  <c r="AP234" i="8"/>
  <c r="AO234" i="8" s="1"/>
  <c r="AP67" i="8"/>
  <c r="AO67" i="8" s="1"/>
  <c r="AP154" i="8"/>
  <c r="AO154" i="8" s="1"/>
  <c r="AP5" i="8"/>
  <c r="M32" i="5" s="1"/>
  <c r="AP143" i="8"/>
  <c r="AO143" i="8" s="1"/>
  <c r="AP185" i="8"/>
  <c r="AO185" i="8" s="1"/>
  <c r="AP158" i="8"/>
  <c r="AO158" i="8" s="1"/>
  <c r="AP117" i="8"/>
  <c r="AO117" i="8" s="1"/>
  <c r="AP225" i="8"/>
  <c r="AO225" i="8" s="1"/>
  <c r="AP132" i="8"/>
  <c r="AO132" i="8" s="1"/>
  <c r="AP14" i="8"/>
  <c r="AO14" i="8" s="1"/>
  <c r="AP137" i="8"/>
  <c r="AO137" i="8" s="1"/>
  <c r="AP48" i="8"/>
  <c r="AO48" i="8" s="1"/>
  <c r="AP116" i="8"/>
  <c r="AO116" i="8" s="1"/>
  <c r="AP37" i="8"/>
  <c r="AO37" i="8" s="1"/>
  <c r="AP23" i="8"/>
  <c r="AO23" i="8" s="1"/>
  <c r="AP66" i="8"/>
  <c r="AO66" i="8" s="1"/>
  <c r="AP35" i="8"/>
  <c r="AO35" i="8" s="1"/>
  <c r="AP130" i="8"/>
  <c r="AO130" i="8" s="1"/>
  <c r="AP97" i="8"/>
  <c r="AO97" i="8" s="1"/>
  <c r="AP194" i="8"/>
  <c r="AO194" i="8" s="1"/>
  <c r="AP100" i="8"/>
  <c r="AO100" i="8" s="1"/>
  <c r="AP69" i="8"/>
  <c r="AO69" i="8" s="1"/>
  <c r="AP17" i="8"/>
  <c r="AO17" i="8" s="1"/>
  <c r="AP93" i="8"/>
  <c r="AO93" i="8" s="1"/>
  <c r="AP250" i="8"/>
  <c r="AO250" i="8" s="1"/>
  <c r="AP240" i="8"/>
  <c r="AO240" i="8" s="1"/>
  <c r="AP84" i="8"/>
  <c r="AO84" i="8" s="1"/>
  <c r="AP74" i="8"/>
  <c r="AO74" i="8" s="1"/>
  <c r="AP198" i="8"/>
  <c r="AO198" i="8" s="1"/>
  <c r="AP176" i="8"/>
  <c r="AO176" i="8" s="1"/>
  <c r="AP107" i="8"/>
  <c r="AO107" i="8" s="1"/>
  <c r="AP61" i="8"/>
  <c r="AO61" i="8" s="1"/>
  <c r="AP118" i="8"/>
  <c r="AO118" i="8" s="1"/>
  <c r="AP10" i="8"/>
  <c r="AO10" i="8" s="1"/>
  <c r="AP94" i="8"/>
  <c r="AO94" i="8" s="1"/>
  <c r="AP13" i="8"/>
  <c r="AO13" i="8" s="1"/>
  <c r="AP72" i="8"/>
  <c r="AO72" i="8" s="1"/>
  <c r="AP220" i="8"/>
  <c r="AO220" i="8" s="1"/>
  <c r="AP19" i="8"/>
  <c r="AO19" i="8" s="1"/>
  <c r="AP120" i="8"/>
  <c r="AO120" i="8" s="1"/>
  <c r="AP85" i="8"/>
  <c r="AO85" i="8" s="1"/>
  <c r="AP162" i="8"/>
  <c r="AO162" i="8" s="1"/>
  <c r="AP204" i="8"/>
  <c r="AO204" i="8" s="1"/>
  <c r="AP200" i="8"/>
  <c r="AO200" i="8" s="1"/>
  <c r="AP156" i="8"/>
  <c r="AO156" i="8" s="1"/>
  <c r="AP77" i="8"/>
  <c r="AO77" i="8" s="1"/>
  <c r="AP239" i="8"/>
  <c r="AO239" i="8" s="1"/>
  <c r="AP179" i="8"/>
  <c r="AO179" i="8" s="1"/>
  <c r="AP233" i="8"/>
  <c r="AO233" i="8" s="1"/>
  <c r="AP44" i="8"/>
  <c r="AO44" i="8" s="1"/>
  <c r="AP96" i="8"/>
  <c r="AO96" i="8" s="1"/>
  <c r="AP95" i="8"/>
  <c r="AO95" i="8" s="1"/>
  <c r="AP170" i="8"/>
  <c r="AO170" i="8" s="1"/>
  <c r="AP222" i="8"/>
  <c r="AO222" i="8" s="1"/>
  <c r="AP27" i="8"/>
  <c r="AO27" i="8" s="1"/>
  <c r="AP47" i="8"/>
  <c r="AO47" i="8" s="1"/>
  <c r="AP125" i="8"/>
  <c r="AO125" i="8" s="1"/>
  <c r="AP203" i="8"/>
  <c r="AO203" i="8" s="1"/>
  <c r="AP39" i="8"/>
  <c r="AO39" i="8" s="1"/>
  <c r="AP160" i="8"/>
  <c r="AO160" i="8" s="1"/>
  <c r="AP229" i="8"/>
  <c r="AO229" i="8" s="1"/>
  <c r="AP128" i="8"/>
  <c r="AO128" i="8" s="1"/>
  <c r="AP164" i="8"/>
  <c r="AO164" i="8" s="1"/>
  <c r="AP211" i="8"/>
  <c r="AO211" i="8" s="1"/>
  <c r="AP181" i="8"/>
  <c r="AO181" i="8" s="1"/>
  <c r="AP201" i="8"/>
  <c r="AO201" i="8" s="1"/>
  <c r="AP152" i="8"/>
  <c r="AO152" i="8" s="1"/>
  <c r="AP18" i="8"/>
  <c r="AO18" i="8" s="1"/>
  <c r="AP178" i="8"/>
  <c r="AO178" i="8" s="1"/>
  <c r="AP126" i="8"/>
  <c r="AO126" i="8" s="1"/>
  <c r="AP57" i="8"/>
  <c r="AO57" i="8" s="1"/>
  <c r="AP221" i="8"/>
  <c r="AO221" i="8" s="1"/>
  <c r="AP184" i="8"/>
  <c r="AO184" i="8" s="1"/>
  <c r="AP12" i="8"/>
  <c r="AO12" i="8" s="1"/>
  <c r="AP241" i="8"/>
  <c r="AO241" i="8" s="1"/>
  <c r="AP30" i="8"/>
  <c r="AO30" i="8" s="1"/>
  <c r="AP89" i="8"/>
  <c r="AO89" i="8" s="1"/>
  <c r="AP254" i="8"/>
  <c r="AO254" i="8" s="1"/>
  <c r="AP212" i="8"/>
  <c r="AO212" i="8" s="1"/>
  <c r="AP215" i="8"/>
  <c r="AO215" i="8" s="1"/>
  <c r="AP52" i="8"/>
  <c r="AO52" i="8" s="1"/>
  <c r="AP70" i="8"/>
  <c r="AO70" i="8" s="1"/>
  <c r="AP20" i="8"/>
  <c r="AO20" i="8" s="1"/>
  <c r="AP243" i="8"/>
  <c r="AO243" i="8" s="1"/>
  <c r="AP28" i="8"/>
  <c r="AO28" i="8" s="1"/>
  <c r="AP168" i="8"/>
  <c r="AO168" i="8" s="1"/>
  <c r="AP115" i="8"/>
  <c r="AO115" i="8" s="1"/>
  <c r="AP175" i="8"/>
  <c r="AO175" i="8" s="1"/>
  <c r="AP65" i="8"/>
  <c r="AO65" i="8" s="1"/>
  <c r="AP245" i="8"/>
  <c r="AO245" i="8" s="1"/>
  <c r="AP105" i="8"/>
  <c r="AO105" i="8" s="1"/>
  <c r="AP90" i="8"/>
  <c r="AO90" i="8" s="1"/>
  <c r="AP75" i="8"/>
  <c r="AO75" i="8" s="1"/>
  <c r="AP50" i="8"/>
  <c r="AO50" i="8" s="1"/>
  <c r="AP186" i="8"/>
  <c r="AO186" i="8" s="1"/>
  <c r="AP41" i="8"/>
  <c r="AO41" i="8" s="1"/>
  <c r="AP207" i="8"/>
  <c r="AO207" i="8" s="1"/>
  <c r="AP133" i="8"/>
  <c r="AO133" i="8" s="1"/>
  <c r="AP216" i="8"/>
  <c r="AO216" i="8" s="1"/>
  <c r="AP235" i="8"/>
  <c r="AO235" i="8" s="1"/>
  <c r="AP73" i="8"/>
  <c r="AO73" i="8" s="1"/>
  <c r="AP257" i="8"/>
  <c r="AO257" i="8" s="1"/>
  <c r="AP45" i="8"/>
  <c r="AO45" i="8" s="1"/>
  <c r="AP25" i="8"/>
  <c r="AO25" i="8" s="1"/>
  <c r="AP218" i="8"/>
  <c r="AO218" i="8" s="1"/>
  <c r="AP124" i="8"/>
  <c r="AO124" i="8" s="1"/>
  <c r="AP99" i="8"/>
  <c r="AO99" i="8" s="1"/>
  <c r="AP127" i="8"/>
  <c r="AO127" i="8" s="1"/>
  <c r="AP26" i="8"/>
  <c r="AO26" i="8" s="1"/>
  <c r="AP9" i="8"/>
  <c r="AO9" i="8" s="1"/>
  <c r="AP171" i="8"/>
  <c r="AO171" i="8" s="1"/>
  <c r="AP58" i="8"/>
  <c r="AO58" i="8" s="1"/>
  <c r="AP129" i="8"/>
  <c r="AO129" i="8" s="1"/>
  <c r="AP88" i="8"/>
  <c r="AO88" i="8" s="1"/>
  <c r="AP242" i="8"/>
  <c r="AO242" i="8" s="1"/>
  <c r="AP227" i="8"/>
  <c r="AO227" i="8" s="1"/>
  <c r="AP98" i="8"/>
  <c r="AO98" i="8" s="1"/>
  <c r="AP258" i="8"/>
  <c r="AO258" i="8" s="1"/>
  <c r="AP259" i="8"/>
  <c r="AO259" i="8" s="1"/>
  <c r="AP260" i="8"/>
  <c r="AO260" i="8" s="1"/>
  <c r="AP261" i="8"/>
  <c r="AO261" i="8" s="1"/>
  <c r="AP262" i="8"/>
  <c r="AO262" i="8" s="1"/>
  <c r="AP267" i="8"/>
  <c r="AO267" i="8" s="1"/>
  <c r="AP263" i="8"/>
  <c r="AO263" i="8" s="1"/>
  <c r="AP266" i="8"/>
  <c r="AO266" i="8" s="1"/>
  <c r="AP264" i="8"/>
  <c r="AO264" i="8" s="1"/>
  <c r="AP265" i="8"/>
  <c r="AO265" i="8" s="1"/>
  <c r="AM269" i="8"/>
  <c r="BX198" i="9" l="1"/>
  <c r="BP198" i="8" s="1"/>
  <c r="BN196" i="9"/>
  <c r="BM197" i="9"/>
  <c r="BV197" i="9"/>
  <c r="BU197" i="9" s="1"/>
  <c r="BX270" i="8"/>
  <c r="CD269" i="8"/>
  <c r="K41" i="5"/>
  <c r="BN268" i="8"/>
  <c r="BV196" i="9" l="1"/>
  <c r="BU196" i="9" s="1"/>
  <c r="BX197" i="9"/>
  <c r="BP197" i="8" s="1"/>
  <c r="BN195" i="9"/>
  <c r="BM196" i="9"/>
  <c r="CA270" i="8"/>
  <c r="CB270" i="8" s="1"/>
  <c r="Q33" i="5" s="1"/>
  <c r="R33" i="5" s="1"/>
  <c r="BN267" i="8"/>
  <c r="BQ268" i="8"/>
  <c r="BX196" i="9" l="1"/>
  <c r="BP196" i="8" s="1"/>
  <c r="BM195" i="9"/>
  <c r="BN194" i="9"/>
  <c r="BV195" i="9"/>
  <c r="BU195" i="9" s="1"/>
  <c r="CE269" i="8"/>
  <c r="BR269" i="8"/>
  <c r="BU269" i="8"/>
  <c r="BV268" i="8" s="1"/>
  <c r="CF269" i="8"/>
  <c r="BN266" i="8"/>
  <c r="BQ267" i="8"/>
  <c r="BM194" i="9" l="1"/>
  <c r="BN193" i="9"/>
  <c r="BX195" i="9"/>
  <c r="BP195" i="8" s="1"/>
  <c r="BV194" i="9"/>
  <c r="BU194" i="9" s="1"/>
  <c r="BU268" i="8"/>
  <c r="BV267" i="8" s="1"/>
  <c r="BR268" i="8"/>
  <c r="BZ269" i="8"/>
  <c r="BN265" i="8"/>
  <c r="BQ266" i="8"/>
  <c r="BN192" i="9" l="1"/>
  <c r="BM193" i="9"/>
  <c r="BX194" i="9"/>
  <c r="BP194" i="8" s="1"/>
  <c r="BV193" i="9"/>
  <c r="BU193" i="9" s="1"/>
  <c r="BZ268" i="8"/>
  <c r="BX268" i="8" s="1"/>
  <c r="CA268" i="8" s="1"/>
  <c r="BU267" i="8"/>
  <c r="BV266" i="8" s="1"/>
  <c r="BR267" i="8"/>
  <c r="BX269" i="8"/>
  <c r="CA269" i="8" s="1"/>
  <c r="CD268" i="8"/>
  <c r="BN264" i="8"/>
  <c r="BQ265" i="8"/>
  <c r="BU266" i="8" s="1"/>
  <c r="BX193" i="9" l="1"/>
  <c r="BP193" i="8" s="1"/>
  <c r="BN191" i="9"/>
  <c r="BM192" i="9"/>
  <c r="BV192" i="9"/>
  <c r="BU192" i="9" s="1"/>
  <c r="CD267" i="8"/>
  <c r="BZ267" i="8"/>
  <c r="BX267" i="8" s="1"/>
  <c r="CA267" i="8" s="1"/>
  <c r="BV265" i="8"/>
  <c r="CB268" i="8"/>
  <c r="CE267" i="8"/>
  <c r="CB269" i="8"/>
  <c r="CE268" i="8"/>
  <c r="BR266" i="8"/>
  <c r="BZ266" i="8" s="1"/>
  <c r="BN263" i="8"/>
  <c r="BQ264" i="8"/>
  <c r="BN190" i="9" l="1"/>
  <c r="BM191" i="9"/>
  <c r="BX192" i="9"/>
  <c r="BP192" i="8" s="1"/>
  <c r="BV191" i="9"/>
  <c r="BU191" i="9" s="1"/>
  <c r="CD266" i="8"/>
  <c r="BX266" i="8"/>
  <c r="CA266" i="8" s="1"/>
  <c r="CD265" i="8"/>
  <c r="CB267" i="8"/>
  <c r="CF266" i="8" s="1"/>
  <c r="CE266" i="8"/>
  <c r="CF268" i="8"/>
  <c r="BU265" i="8"/>
  <c r="BV264" i="8" s="1"/>
  <c r="BR265" i="8"/>
  <c r="CF267" i="8"/>
  <c r="BN262" i="8"/>
  <c r="BQ263" i="8"/>
  <c r="BX191" i="9" l="1"/>
  <c r="BP191" i="8" s="1"/>
  <c r="BN189" i="9"/>
  <c r="BM190" i="9"/>
  <c r="BV190" i="9"/>
  <c r="BU190" i="9" s="1"/>
  <c r="BR264" i="8"/>
  <c r="BU264" i="8"/>
  <c r="BV263" i="8" s="1"/>
  <c r="BZ265" i="8"/>
  <c r="CB266" i="8"/>
  <c r="CF265" i="8" s="1"/>
  <c r="CE265" i="8"/>
  <c r="BN261" i="8"/>
  <c r="BQ262" i="8"/>
  <c r="BX190" i="9" l="1"/>
  <c r="BP190" i="8" s="1"/>
  <c r="BN188" i="9"/>
  <c r="BM189" i="9"/>
  <c r="BV189" i="9"/>
  <c r="BU189" i="9" s="1"/>
  <c r="BZ264" i="8"/>
  <c r="CD263" i="8" s="1"/>
  <c r="BU263" i="8"/>
  <c r="BV262" i="8" s="1"/>
  <c r="BX265" i="8"/>
  <c r="CA265" i="8" s="1"/>
  <c r="CD264" i="8"/>
  <c r="BR263" i="8"/>
  <c r="BN260" i="8"/>
  <c r="BQ261" i="8"/>
  <c r="BX189" i="9" l="1"/>
  <c r="BP189" i="8" s="1"/>
  <c r="BV188" i="9"/>
  <c r="BU188" i="9" s="1"/>
  <c r="BN187" i="9"/>
  <c r="BM188" i="9"/>
  <c r="BZ263" i="8"/>
  <c r="BX263" i="8" s="1"/>
  <c r="CA263" i="8" s="1"/>
  <c r="BX264" i="8"/>
  <c r="CA264" i="8" s="1"/>
  <c r="CB264" i="8" s="1"/>
  <c r="CB265" i="8"/>
  <c r="CF264" i="8" s="1"/>
  <c r="CE264" i="8"/>
  <c r="BU262" i="8"/>
  <c r="BV261" i="8" s="1"/>
  <c r="BR262" i="8"/>
  <c r="BN259" i="8"/>
  <c r="BQ260" i="8"/>
  <c r="BR261" i="8" s="1"/>
  <c r="BX188" i="9" l="1"/>
  <c r="BP188" i="8" s="1"/>
  <c r="BN186" i="9"/>
  <c r="BM187" i="9"/>
  <c r="BV187" i="9"/>
  <c r="BU187" i="9" s="1"/>
  <c r="CE263" i="8"/>
  <c r="CD262" i="8"/>
  <c r="CF263" i="8"/>
  <c r="BU261" i="8"/>
  <c r="BV260" i="8" s="1"/>
  <c r="BZ262" i="8"/>
  <c r="CB263" i="8"/>
  <c r="CF262" i="8" s="1"/>
  <c r="CE262" i="8"/>
  <c r="BN258" i="8"/>
  <c r="BQ259" i="8"/>
  <c r="BU260" i="8" s="1"/>
  <c r="BX187" i="9" l="1"/>
  <c r="BP187" i="8" s="1"/>
  <c r="BN185" i="9"/>
  <c r="BM186" i="9"/>
  <c r="BV186" i="9"/>
  <c r="BU186" i="9" s="1"/>
  <c r="BR260" i="8"/>
  <c r="BZ260" i="8" s="1"/>
  <c r="BX260" i="8" s="1"/>
  <c r="CA260" i="8" s="1"/>
  <c r="BX262" i="8"/>
  <c r="CA262" i="8" s="1"/>
  <c r="CD261" i="8"/>
  <c r="BV259" i="8"/>
  <c r="BZ261" i="8"/>
  <c r="BN257" i="8"/>
  <c r="BQ258" i="8"/>
  <c r="BN184" i="9" l="1"/>
  <c r="BM185" i="9"/>
  <c r="BX186" i="9"/>
  <c r="BP186" i="8" s="1"/>
  <c r="BV185" i="9"/>
  <c r="BU185" i="9" s="1"/>
  <c r="BX261" i="8"/>
  <c r="CA261" i="8" s="1"/>
  <c r="CE259" i="8" s="1"/>
  <c r="CD260" i="8"/>
  <c r="CD259" i="8"/>
  <c r="CB260" i="8"/>
  <c r="BU259" i="8"/>
  <c r="BV258" i="8" s="1"/>
  <c r="BR259" i="8"/>
  <c r="CB262" i="8"/>
  <c r="CF261" i="8" s="1"/>
  <c r="CE261" i="8"/>
  <c r="BQ257" i="8"/>
  <c r="BN256" i="8"/>
  <c r="BM256" i="8" s="1"/>
  <c r="BN183" i="9" l="1"/>
  <c r="BM184" i="9"/>
  <c r="BX185" i="9"/>
  <c r="BP185" i="8" s="1"/>
  <c r="BV184" i="9"/>
  <c r="BU184" i="9" s="1"/>
  <c r="BZ259" i="8"/>
  <c r="BX259" i="8" s="1"/>
  <c r="CA259" i="8" s="1"/>
  <c r="BU258" i="8"/>
  <c r="BV257" i="8" s="1"/>
  <c r="BR258" i="8"/>
  <c r="CB261" i="8"/>
  <c r="CF260" i="8" s="1"/>
  <c r="CE260" i="8"/>
  <c r="BQ256" i="8"/>
  <c r="BN255" i="8"/>
  <c r="BM255" i="8" s="1"/>
  <c r="BX184" i="9" l="1"/>
  <c r="BP184" i="8" s="1"/>
  <c r="BN182" i="9"/>
  <c r="BM183" i="9"/>
  <c r="BV183" i="9"/>
  <c r="BU183" i="9" s="1"/>
  <c r="CD258" i="8"/>
  <c r="BZ258" i="8"/>
  <c r="BX258" i="8" s="1"/>
  <c r="CA258" i="8" s="1"/>
  <c r="CB259" i="8"/>
  <c r="CF258" i="8" s="1"/>
  <c r="CE258" i="8"/>
  <c r="CF259" i="8"/>
  <c r="BU257" i="8"/>
  <c r="BV256" i="8" s="1"/>
  <c r="BR257" i="8"/>
  <c r="BN254" i="8"/>
  <c r="BM254" i="8" s="1"/>
  <c r="BQ255" i="8"/>
  <c r="BX183" i="9" l="1"/>
  <c r="BP183" i="8" s="1"/>
  <c r="BM182" i="9"/>
  <c r="BN181" i="9"/>
  <c r="BV182" i="9"/>
  <c r="BU182" i="9" s="1"/>
  <c r="CD257" i="8"/>
  <c r="BZ257" i="8"/>
  <c r="BX257" i="8" s="1"/>
  <c r="CA257" i="8" s="1"/>
  <c r="BU256" i="8"/>
  <c r="BR256" i="8"/>
  <c r="CB258" i="8"/>
  <c r="CE257" i="8"/>
  <c r="BN253" i="8"/>
  <c r="BM253" i="8" s="1"/>
  <c r="BQ254" i="8"/>
  <c r="BN180" i="9" l="1"/>
  <c r="BM181" i="9"/>
  <c r="BX182" i="9"/>
  <c r="BP182" i="8" s="1"/>
  <c r="BV181" i="9"/>
  <c r="BU181" i="9" s="1"/>
  <c r="BV255" i="8"/>
  <c r="BT256" i="8"/>
  <c r="CF257" i="8"/>
  <c r="Q32" i="5"/>
  <c r="R32" i="5" s="1"/>
  <c r="CD256" i="8"/>
  <c r="BZ256" i="8"/>
  <c r="BX256" i="8" s="1"/>
  <c r="CA256" i="8" s="1"/>
  <c r="CB257" i="8"/>
  <c r="CF256" i="8" s="1"/>
  <c r="CE256" i="8"/>
  <c r="BU255" i="8"/>
  <c r="BR255" i="8"/>
  <c r="BN252" i="8"/>
  <c r="BM252" i="8" s="1"/>
  <c r="BQ253" i="8"/>
  <c r="BX181" i="9" l="1"/>
  <c r="BP181" i="8" s="1"/>
  <c r="BM180" i="9"/>
  <c r="BN179" i="9"/>
  <c r="BV254" i="8"/>
  <c r="BT255" i="8"/>
  <c r="BV180" i="9"/>
  <c r="BU180" i="9" s="1"/>
  <c r="CD255" i="8"/>
  <c r="BZ255" i="8"/>
  <c r="BX255" i="8" s="1"/>
  <c r="CA255" i="8" s="1"/>
  <c r="BU254" i="8"/>
  <c r="BR254" i="8"/>
  <c r="CB256" i="8"/>
  <c r="CF255" i="8" s="1"/>
  <c r="CE255" i="8"/>
  <c r="BQ252" i="8"/>
  <c r="BN251" i="8"/>
  <c r="BM251" i="8" s="1"/>
  <c r="BX180" i="9" l="1"/>
  <c r="BP180" i="8" s="1"/>
  <c r="BM179" i="9"/>
  <c r="BN178" i="9"/>
  <c r="BV179" i="9"/>
  <c r="BU179" i="9" s="1"/>
  <c r="CD254" i="8"/>
  <c r="BZ254" i="8"/>
  <c r="CD253" i="8" s="1"/>
  <c r="BU253" i="8"/>
  <c r="BR253" i="8"/>
  <c r="CB255" i="8"/>
  <c r="CF254" i="8" s="1"/>
  <c r="CE254" i="8"/>
  <c r="BT254" i="8"/>
  <c r="BV253" i="8"/>
  <c r="BN250" i="8"/>
  <c r="BM250" i="8" s="1"/>
  <c r="BQ251" i="8"/>
  <c r="BM178" i="9" l="1"/>
  <c r="BN177" i="9"/>
  <c r="BX179" i="9"/>
  <c r="BP179" i="8" s="1"/>
  <c r="BV178" i="9"/>
  <c r="BU178" i="9" s="1"/>
  <c r="BX254" i="8"/>
  <c r="CA254" i="8" s="1"/>
  <c r="CB254" i="8" s="1"/>
  <c r="CF253" i="8" s="1"/>
  <c r="BZ253" i="8"/>
  <c r="CD252" i="8" s="1"/>
  <c r="BU252" i="8"/>
  <c r="BR252" i="8"/>
  <c r="BT253" i="8"/>
  <c r="BV252" i="8"/>
  <c r="BN249" i="8"/>
  <c r="BM249" i="8" s="1"/>
  <c r="BQ250" i="8"/>
  <c r="BM177" i="9" l="1"/>
  <c r="BN176" i="9"/>
  <c r="BX178" i="9"/>
  <c r="BP178" i="8" s="1"/>
  <c r="BV177" i="9"/>
  <c r="BU177" i="9" s="1"/>
  <c r="CE253" i="8"/>
  <c r="BX253" i="8"/>
  <c r="CA253" i="8" s="1"/>
  <c r="CB253" i="8" s="1"/>
  <c r="CF252" i="8" s="1"/>
  <c r="BZ252" i="8"/>
  <c r="CD251" i="8" s="1"/>
  <c r="BU251" i="8"/>
  <c r="BR251" i="8"/>
  <c r="BT252" i="8"/>
  <c r="BV251" i="8"/>
  <c r="BN248" i="8"/>
  <c r="BM248" i="8" s="1"/>
  <c r="CE252" i="8" l="1"/>
  <c r="BN175" i="9"/>
  <c r="BM176" i="9"/>
  <c r="BX177" i="9"/>
  <c r="BP177" i="8" s="1"/>
  <c r="BV176" i="9"/>
  <c r="BU176" i="9" s="1"/>
  <c r="BZ251" i="8"/>
  <c r="BX251" i="8" s="1"/>
  <c r="CA251" i="8" s="1"/>
  <c r="BX252" i="8"/>
  <c r="CA252" i="8" s="1"/>
  <c r="CB252" i="8" s="1"/>
  <c r="CF251" i="8" s="1"/>
  <c r="CH249" i="8"/>
  <c r="CI249" i="8"/>
  <c r="BT251" i="8"/>
  <c r="BV250" i="8"/>
  <c r="BN247" i="8"/>
  <c r="BM247" i="8" s="1"/>
  <c r="CD250" i="8" l="1"/>
  <c r="BX176" i="9"/>
  <c r="BP176" i="8" s="1"/>
  <c r="BN174" i="9"/>
  <c r="BM175" i="9"/>
  <c r="BV175" i="9"/>
  <c r="BU175" i="9" s="1"/>
  <c r="CE251" i="8"/>
  <c r="CH248" i="8"/>
  <c r="CI248" i="8"/>
  <c r="BQ248" i="8"/>
  <c r="BU250" i="8"/>
  <c r="BR250" i="8"/>
  <c r="CB251" i="8"/>
  <c r="CF250" i="8" s="1"/>
  <c r="CE250" i="8"/>
  <c r="BN246" i="8"/>
  <c r="BM246" i="8" s="1"/>
  <c r="BV174" i="9" l="1"/>
  <c r="BU174" i="9" s="1"/>
  <c r="BX175" i="9"/>
  <c r="BP175" i="8" s="1"/>
  <c r="BN173" i="9"/>
  <c r="BM174" i="9"/>
  <c r="BZ250" i="8"/>
  <c r="BX250" i="8" s="1"/>
  <c r="CA250" i="8" s="1"/>
  <c r="CH247" i="8"/>
  <c r="BQ247" i="8"/>
  <c r="BU249" i="8"/>
  <c r="BR249" i="8"/>
  <c r="BT250" i="8"/>
  <c r="BV249" i="8"/>
  <c r="BN245" i="8"/>
  <c r="BM245" i="8" s="1"/>
  <c r="BX174" i="9" l="1"/>
  <c r="BP174" i="8" s="1"/>
  <c r="BN172" i="9"/>
  <c r="BM173" i="9"/>
  <c r="BV173" i="9"/>
  <c r="BU173" i="9" s="1"/>
  <c r="CD249" i="8"/>
  <c r="BT249" i="8"/>
  <c r="BV248" i="8"/>
  <c r="BU248" i="8"/>
  <c r="BR248" i="8"/>
  <c r="BZ249" i="8"/>
  <c r="CB250" i="8"/>
  <c r="CF249" i="8" s="1"/>
  <c r="CE249" i="8"/>
  <c r="CH246" i="8"/>
  <c r="CI246" i="8"/>
  <c r="BQ246" i="8"/>
  <c r="BN244" i="8"/>
  <c r="BM244" i="8" s="1"/>
  <c r="BX173" i="9" l="1"/>
  <c r="BP173" i="8" s="1"/>
  <c r="BM172" i="9"/>
  <c r="BN171" i="9"/>
  <c r="BV172" i="9"/>
  <c r="BU172" i="9" s="1"/>
  <c r="BZ248" i="8"/>
  <c r="BX248" i="8" s="1"/>
  <c r="CA248" i="8" s="1"/>
  <c r="BT248" i="8"/>
  <c r="BV247" i="8"/>
  <c r="BX249" i="8"/>
  <c r="CA249" i="8" s="1"/>
  <c r="CD248" i="8"/>
  <c r="CH245" i="8"/>
  <c r="CI245" i="8"/>
  <c r="BQ245" i="8"/>
  <c r="BU247" i="8"/>
  <c r="BR247" i="8"/>
  <c r="BN243" i="8"/>
  <c r="BM243" i="8" s="1"/>
  <c r="BN170" i="9" l="1"/>
  <c r="BM171" i="9"/>
  <c r="BX172" i="9"/>
  <c r="BP172" i="8" s="1"/>
  <c r="BV171" i="9"/>
  <c r="BU171" i="9" s="1"/>
  <c r="BZ247" i="8"/>
  <c r="BX247" i="8" s="1"/>
  <c r="CA247" i="8" s="1"/>
  <c r="CD247" i="8"/>
  <c r="CH244" i="8"/>
  <c r="CI244" i="8"/>
  <c r="BQ244" i="8"/>
  <c r="CB248" i="8"/>
  <c r="CE247" i="8"/>
  <c r="CB249" i="8"/>
  <c r="CF248" i="8" s="1"/>
  <c r="CE248" i="8"/>
  <c r="BT247" i="8"/>
  <c r="BV246" i="8"/>
  <c r="BU246" i="8"/>
  <c r="BR246" i="8"/>
  <c r="BN242" i="8"/>
  <c r="BM242" i="8" s="1"/>
  <c r="BX171" i="9" l="1"/>
  <c r="BP171" i="8" s="1"/>
  <c r="BN169" i="9"/>
  <c r="BM170" i="9"/>
  <c r="BV170" i="9"/>
  <c r="BU170" i="9" s="1"/>
  <c r="CD246" i="8"/>
  <c r="BZ246" i="8"/>
  <c r="CD245" i="8" s="1"/>
  <c r="CH243" i="8"/>
  <c r="CI243" i="8"/>
  <c r="BQ243" i="8"/>
  <c r="CB247" i="8"/>
  <c r="CF246" i="8" s="1"/>
  <c r="CE246" i="8"/>
  <c r="BT246" i="8"/>
  <c r="BV245" i="8"/>
  <c r="BU245" i="8"/>
  <c r="BR245" i="8"/>
  <c r="CF247" i="8"/>
  <c r="BN241" i="8"/>
  <c r="BM241" i="8" s="1"/>
  <c r="BX170" i="9" l="1"/>
  <c r="BP170" i="8" s="1"/>
  <c r="BN168" i="9"/>
  <c r="BM169" i="9"/>
  <c r="BV169" i="9"/>
  <c r="BU169" i="9" s="1"/>
  <c r="BX246" i="8"/>
  <c r="CA246" i="8" s="1"/>
  <c r="CB246" i="8" s="1"/>
  <c r="BZ245" i="8"/>
  <c r="BX245" i="8" s="1"/>
  <c r="CA245" i="8" s="1"/>
  <c r="CH242" i="8"/>
  <c r="CI242" i="8"/>
  <c r="BQ242" i="8"/>
  <c r="BU244" i="8"/>
  <c r="BR244" i="8"/>
  <c r="BT245" i="8"/>
  <c r="BV244" i="8"/>
  <c r="BN240" i="8"/>
  <c r="BM240" i="8" s="1"/>
  <c r="CE245" i="8" l="1"/>
  <c r="BX169" i="9"/>
  <c r="BP169" i="8" s="1"/>
  <c r="BN167" i="9"/>
  <c r="BM168" i="9"/>
  <c r="BV168" i="9"/>
  <c r="BU168" i="9" s="1"/>
  <c r="CD244" i="8"/>
  <c r="CF245" i="8"/>
  <c r="Q31" i="5"/>
  <c r="R31" i="5" s="1"/>
  <c r="BZ244" i="8"/>
  <c r="BX244" i="8" s="1"/>
  <c r="CA244" i="8" s="1"/>
  <c r="CB245" i="8"/>
  <c r="CF244" i="8" s="1"/>
  <c r="CE244" i="8"/>
  <c r="BT244" i="8"/>
  <c r="BV243" i="8"/>
  <c r="BU243" i="8"/>
  <c r="BR243" i="8"/>
  <c r="CH241" i="8"/>
  <c r="CI241" i="8"/>
  <c r="BQ241" i="8"/>
  <c r="BN239" i="8"/>
  <c r="BM239" i="8" s="1"/>
  <c r="BX168" i="9" l="1"/>
  <c r="BP168" i="8" s="1"/>
  <c r="BN166" i="9"/>
  <c r="BM167" i="9"/>
  <c r="BV167" i="9"/>
  <c r="BU167" i="9" s="1"/>
  <c r="CD243" i="8"/>
  <c r="BZ243" i="8"/>
  <c r="BX243" i="8" s="1"/>
  <c r="CA243" i="8" s="1"/>
  <c r="BT243" i="8"/>
  <c r="BV242" i="8"/>
  <c r="CB244" i="8"/>
  <c r="CF243" i="8" s="1"/>
  <c r="CE243" i="8"/>
  <c r="CH240" i="8"/>
  <c r="CI240" i="8"/>
  <c r="BQ240" i="8"/>
  <c r="BU242" i="8"/>
  <c r="BR242" i="8"/>
  <c r="BN238" i="8"/>
  <c r="BM238" i="8" s="1"/>
  <c r="BX167" i="9" l="1"/>
  <c r="BP167" i="8" s="1"/>
  <c r="BN165" i="9"/>
  <c r="BM166" i="9"/>
  <c r="BV166" i="9"/>
  <c r="BU166" i="9" s="1"/>
  <c r="BZ242" i="8"/>
  <c r="BX242" i="8" s="1"/>
  <c r="CA242" i="8" s="1"/>
  <c r="CD242" i="8"/>
  <c r="CH239" i="8"/>
  <c r="CI239" i="8"/>
  <c r="BQ239" i="8"/>
  <c r="BU240" i="8" s="1"/>
  <c r="BT242" i="8"/>
  <c r="BV241" i="8"/>
  <c r="BU241" i="8"/>
  <c r="BR241" i="8"/>
  <c r="CB243" i="8"/>
  <c r="CF242" i="8" s="1"/>
  <c r="CE242" i="8"/>
  <c r="BN237" i="8"/>
  <c r="BM237" i="8" s="1"/>
  <c r="CD241" i="8" l="1"/>
  <c r="BX166" i="9"/>
  <c r="BP166" i="8" s="1"/>
  <c r="BM165" i="9"/>
  <c r="BN164" i="9"/>
  <c r="BV165" i="9"/>
  <c r="BU165" i="9" s="1"/>
  <c r="BR240" i="8"/>
  <c r="BZ240" i="8" s="1"/>
  <c r="BX240" i="8" s="1"/>
  <c r="CA240" i="8" s="1"/>
  <c r="BZ241" i="8"/>
  <c r="BX241" i="8" s="1"/>
  <c r="CA241" i="8" s="1"/>
  <c r="CH238" i="8"/>
  <c r="CI238" i="8"/>
  <c r="BQ238" i="8"/>
  <c r="CB242" i="8"/>
  <c r="CF241" i="8" s="1"/>
  <c r="CE241" i="8"/>
  <c r="BT240" i="8"/>
  <c r="BV239" i="8"/>
  <c r="BT241" i="8"/>
  <c r="BV240" i="8"/>
  <c r="BN236" i="8"/>
  <c r="BM236" i="8" s="1"/>
  <c r="BN163" i="9" l="1"/>
  <c r="BM164" i="9"/>
  <c r="BX165" i="9"/>
  <c r="BP165" i="8" s="1"/>
  <c r="BV164" i="9"/>
  <c r="BU164" i="9" s="1"/>
  <c r="CD240" i="8"/>
  <c r="CD239" i="8"/>
  <c r="CB240" i="8"/>
  <c r="CE239" i="8"/>
  <c r="BU239" i="8"/>
  <c r="BR239" i="8"/>
  <c r="CB241" i="8"/>
  <c r="CF240" i="8" s="1"/>
  <c r="CE240" i="8"/>
  <c r="CH237" i="8"/>
  <c r="CI237" i="8"/>
  <c r="BQ237" i="8"/>
  <c r="BN235" i="8"/>
  <c r="BM235" i="8" s="1"/>
  <c r="BX164" i="9" l="1"/>
  <c r="BP164" i="8" s="1"/>
  <c r="BN162" i="9"/>
  <c r="BM163" i="9"/>
  <c r="BV163" i="9"/>
  <c r="BU163" i="9" s="1"/>
  <c r="BZ239" i="8"/>
  <c r="BX239" i="8" s="1"/>
  <c r="CA239" i="8" s="1"/>
  <c r="CH236" i="8"/>
  <c r="CI236" i="8"/>
  <c r="BQ236" i="8"/>
  <c r="BT239" i="8"/>
  <c r="BV238" i="8"/>
  <c r="BU238" i="8"/>
  <c r="BR238" i="8"/>
  <c r="CF239" i="8"/>
  <c r="BN234" i="8"/>
  <c r="BM234" i="8" s="1"/>
  <c r="BN161" i="9" l="1"/>
  <c r="BM162" i="9"/>
  <c r="BX163" i="9"/>
  <c r="BP163" i="8" s="1"/>
  <c r="BV162" i="9"/>
  <c r="BU162" i="9" s="1"/>
  <c r="CD238" i="8"/>
  <c r="BU237" i="8"/>
  <c r="BR237" i="8"/>
  <c r="BT238" i="8"/>
  <c r="BV237" i="8"/>
  <c r="CH235" i="8"/>
  <c r="CI235" i="8"/>
  <c r="BQ235" i="8"/>
  <c r="BZ238" i="8"/>
  <c r="CB239" i="8"/>
  <c r="CF238" i="8" s="1"/>
  <c r="CE238" i="8"/>
  <c r="BN233" i="8"/>
  <c r="BM233" i="8" s="1"/>
  <c r="BX162" i="9" l="1"/>
  <c r="BP162" i="8" s="1"/>
  <c r="BN160" i="9"/>
  <c r="BM161" i="9"/>
  <c r="BV161" i="9"/>
  <c r="BU161" i="9" s="1"/>
  <c r="BZ237" i="8"/>
  <c r="BX237" i="8" s="1"/>
  <c r="CA237" i="8" s="1"/>
  <c r="BX238" i="8"/>
  <c r="CA238" i="8" s="1"/>
  <c r="CD237" i="8"/>
  <c r="BU236" i="8"/>
  <c r="BR236" i="8"/>
  <c r="CH234" i="8"/>
  <c r="CI234" i="8"/>
  <c r="BQ234" i="8"/>
  <c r="BT237" i="8"/>
  <c r="BV236" i="8"/>
  <c r="BN232" i="8"/>
  <c r="BM232" i="8" s="1"/>
  <c r="BX161" i="9" l="1"/>
  <c r="BP161" i="8" s="1"/>
  <c r="BN159" i="9"/>
  <c r="BM160" i="9"/>
  <c r="BV160" i="9"/>
  <c r="BU160" i="9" s="1"/>
  <c r="CD236" i="8"/>
  <c r="BZ236" i="8"/>
  <c r="CD235" i="8" s="1"/>
  <c r="CB237" i="8"/>
  <c r="CE236" i="8"/>
  <c r="BU235" i="8"/>
  <c r="BR235" i="8"/>
  <c r="CH233" i="8"/>
  <c r="CI233" i="8"/>
  <c r="BQ233" i="8"/>
  <c r="BT236" i="8"/>
  <c r="BV235" i="8"/>
  <c r="CB238" i="8"/>
  <c r="CF237" i="8" s="1"/>
  <c r="CE237" i="8"/>
  <c r="BN231" i="8"/>
  <c r="BM231" i="8" s="1"/>
  <c r="BX236" i="8" l="1"/>
  <c r="CA236" i="8" s="1"/>
  <c r="CB236" i="8" s="1"/>
  <c r="CF235" i="8" s="1"/>
  <c r="BX160" i="9"/>
  <c r="BP160" i="8" s="1"/>
  <c r="BM159" i="9"/>
  <c r="BN158" i="9"/>
  <c r="BV159" i="9"/>
  <c r="BU159" i="9" s="1"/>
  <c r="BZ235" i="8"/>
  <c r="CD234" i="8" s="1"/>
  <c r="BU234" i="8"/>
  <c r="BR234" i="8"/>
  <c r="CH232" i="8"/>
  <c r="CI232" i="8"/>
  <c r="BQ232" i="8"/>
  <c r="BT235" i="8"/>
  <c r="BV234" i="8"/>
  <c r="CF236" i="8"/>
  <c r="BN230" i="8"/>
  <c r="BM230" i="8" s="1"/>
  <c r="CE235" i="8" l="1"/>
  <c r="BN157" i="9"/>
  <c r="BM158" i="9"/>
  <c r="BX159" i="9"/>
  <c r="BP159" i="8" s="1"/>
  <c r="BV158" i="9"/>
  <c r="BU158" i="9" s="1"/>
  <c r="BX235" i="8"/>
  <c r="CA235" i="8" s="1"/>
  <c r="CE234" i="8" s="1"/>
  <c r="BZ234" i="8"/>
  <c r="BX234" i="8" s="1"/>
  <c r="CA234" i="8" s="1"/>
  <c r="BU233" i="8"/>
  <c r="BR233" i="8"/>
  <c r="CH231" i="8"/>
  <c r="CI231" i="8"/>
  <c r="BQ231" i="8"/>
  <c r="BT234" i="8"/>
  <c r="BV233" i="8"/>
  <c r="BN229" i="8"/>
  <c r="BM229" i="8" s="1"/>
  <c r="CB235" i="8" l="1"/>
  <c r="CF234" i="8" s="1"/>
  <c r="BX158" i="9"/>
  <c r="BP158" i="8" s="1"/>
  <c r="BN156" i="9"/>
  <c r="BM157" i="9"/>
  <c r="BV157" i="9"/>
  <c r="BU157" i="9" s="1"/>
  <c r="CD233" i="8"/>
  <c r="BZ233" i="8"/>
  <c r="BX233" i="8" s="1"/>
  <c r="CA233" i="8" s="1"/>
  <c r="BU232" i="8"/>
  <c r="BR232" i="8"/>
  <c r="CB234" i="8"/>
  <c r="CE233" i="8"/>
  <c r="CH230" i="8"/>
  <c r="CI230" i="8"/>
  <c r="BQ230" i="8"/>
  <c r="BT233" i="8"/>
  <c r="BV232" i="8"/>
  <c r="BN228" i="8"/>
  <c r="BM228" i="8" s="1"/>
  <c r="BX157" i="9" l="1"/>
  <c r="BP157" i="8" s="1"/>
  <c r="BN155" i="9"/>
  <c r="BM156" i="9"/>
  <c r="BV156" i="9"/>
  <c r="BU156" i="9" s="1"/>
  <c r="CD232" i="8"/>
  <c r="CF233" i="8"/>
  <c r="Q30" i="5"/>
  <c r="R30" i="5" s="1"/>
  <c r="BZ232" i="8"/>
  <c r="BX232" i="8" s="1"/>
  <c r="CA232" i="8" s="1"/>
  <c r="CB233" i="8"/>
  <c r="CF232" i="8" s="1"/>
  <c r="CE232" i="8"/>
  <c r="BU231" i="8"/>
  <c r="BR231" i="8"/>
  <c r="CH229" i="8"/>
  <c r="CI229" i="8"/>
  <c r="BQ229" i="8"/>
  <c r="BU230" i="8" s="1"/>
  <c r="BT232" i="8"/>
  <c r="BV231" i="8"/>
  <c r="BN227" i="8"/>
  <c r="BM227" i="8" s="1"/>
  <c r="BX156" i="9" l="1"/>
  <c r="BP156" i="8" s="1"/>
  <c r="BN154" i="9"/>
  <c r="BM155" i="9"/>
  <c r="BV155" i="9"/>
  <c r="BU155" i="9" s="1"/>
  <c r="CD231" i="8"/>
  <c r="BZ231" i="8"/>
  <c r="CD230" i="8" s="1"/>
  <c r="CH228" i="8"/>
  <c r="CI228" i="8"/>
  <c r="BQ228" i="8"/>
  <c r="CB232" i="8"/>
  <c r="CF231" i="8" s="1"/>
  <c r="CE231" i="8"/>
  <c r="BT230" i="8"/>
  <c r="BV229" i="8"/>
  <c r="BT231" i="8"/>
  <c r="BV230" i="8"/>
  <c r="BR230" i="8"/>
  <c r="BZ230" i="8" s="1"/>
  <c r="BN226" i="8"/>
  <c r="BM226" i="8" s="1"/>
  <c r="BX155" i="9" l="1"/>
  <c r="BP155" i="8" s="1"/>
  <c r="BN153" i="9"/>
  <c r="BM154" i="9"/>
  <c r="BV154" i="9"/>
  <c r="BU154" i="9" s="1"/>
  <c r="BX231" i="8"/>
  <c r="CA231" i="8" s="1"/>
  <c r="CE230" i="8" s="1"/>
  <c r="CH227" i="8"/>
  <c r="CI227" i="8"/>
  <c r="BQ227" i="8"/>
  <c r="BX230" i="8"/>
  <c r="CA230" i="8" s="1"/>
  <c r="CD229" i="8"/>
  <c r="BU229" i="8"/>
  <c r="BR229" i="8"/>
  <c r="BN225" i="8"/>
  <c r="BM225" i="8" s="1"/>
  <c r="BX154" i="9" l="1"/>
  <c r="BP154" i="8" s="1"/>
  <c r="BV153" i="9"/>
  <c r="BU153" i="9" s="1"/>
  <c r="CB231" i="8"/>
  <c r="CF230" i="8" s="1"/>
  <c r="BN152" i="9"/>
  <c r="BM153" i="9"/>
  <c r="BZ229" i="8"/>
  <c r="BX229" i="8" s="1"/>
  <c r="CA229" i="8" s="1"/>
  <c r="CB230" i="8"/>
  <c r="CE229" i="8"/>
  <c r="BT229" i="8"/>
  <c r="BV228" i="8"/>
  <c r="BU228" i="8"/>
  <c r="BR228" i="8"/>
  <c r="CH226" i="8"/>
  <c r="CI226" i="8"/>
  <c r="BQ226" i="8"/>
  <c r="BN224" i="8"/>
  <c r="BM224" i="8" s="1"/>
  <c r="BX153" i="9" l="1"/>
  <c r="BP153" i="8" s="1"/>
  <c r="CD228" i="8"/>
  <c r="BM152" i="9"/>
  <c r="BN151" i="9"/>
  <c r="BV152" i="9"/>
  <c r="BU152" i="9" s="1"/>
  <c r="BZ228" i="8"/>
  <c r="BX228" i="8" s="1"/>
  <c r="CA228" i="8" s="1"/>
  <c r="BT228" i="8"/>
  <c r="BV227" i="8"/>
  <c r="CH225" i="8"/>
  <c r="CI225" i="8"/>
  <c r="BQ225" i="8"/>
  <c r="CF229" i="8"/>
  <c r="BU227" i="8"/>
  <c r="BR227" i="8"/>
  <c r="CB229" i="8"/>
  <c r="CF228" i="8" s="1"/>
  <c r="CE228" i="8"/>
  <c r="BN223" i="8"/>
  <c r="BM223" i="8" s="1"/>
  <c r="BN150" i="9" l="1"/>
  <c r="BM151" i="9"/>
  <c r="BX152" i="9"/>
  <c r="BP152" i="8" s="1"/>
  <c r="BV151" i="9"/>
  <c r="BU151" i="9" s="1"/>
  <c r="CD227" i="8"/>
  <c r="BT227" i="8"/>
  <c r="BV226" i="8"/>
  <c r="BU226" i="8"/>
  <c r="BR226" i="8"/>
  <c r="CH224" i="8"/>
  <c r="CI224" i="8"/>
  <c r="BQ224" i="8"/>
  <c r="BZ227" i="8"/>
  <c r="CB228" i="8"/>
  <c r="CF227" i="8" s="1"/>
  <c r="CE227" i="8"/>
  <c r="BN222" i="8"/>
  <c r="BM222" i="8" s="1"/>
  <c r="BX151" i="9" l="1"/>
  <c r="BP151" i="8" s="1"/>
  <c r="BN149" i="9"/>
  <c r="BM150" i="9"/>
  <c r="BV150" i="9"/>
  <c r="BU150" i="9" s="1"/>
  <c r="BZ226" i="8"/>
  <c r="BX226" i="8" s="1"/>
  <c r="CA226" i="8" s="1"/>
  <c r="BX227" i="8"/>
  <c r="CA227" i="8" s="1"/>
  <c r="CD226" i="8"/>
  <c r="BU225" i="8"/>
  <c r="BR225" i="8"/>
  <c r="CH223" i="8"/>
  <c r="CI223" i="8"/>
  <c r="BQ223" i="8"/>
  <c r="BT226" i="8"/>
  <c r="BV225" i="8"/>
  <c r="BN221" i="8"/>
  <c r="BM221" i="8" s="1"/>
  <c r="BN148" i="9" l="1"/>
  <c r="BM149" i="9"/>
  <c r="BV149" i="9"/>
  <c r="BU149" i="9" s="1"/>
  <c r="BX150" i="9"/>
  <c r="BP150" i="8" s="1"/>
  <c r="CD225" i="8"/>
  <c r="BZ225" i="8"/>
  <c r="BX225" i="8" s="1"/>
  <c r="CA225" i="8" s="1"/>
  <c r="BT225" i="8"/>
  <c r="BV224" i="8"/>
  <c r="CH222" i="8"/>
  <c r="CI222" i="8"/>
  <c r="BQ222" i="8"/>
  <c r="CB227" i="8"/>
  <c r="CF226" i="8" s="1"/>
  <c r="CE226" i="8"/>
  <c r="BU224" i="8"/>
  <c r="BR224" i="8"/>
  <c r="CB226" i="8"/>
  <c r="CE225" i="8"/>
  <c r="BN220" i="8"/>
  <c r="BM220" i="8" s="1"/>
  <c r="BX149" i="9" l="1"/>
  <c r="BP149" i="8" s="1"/>
  <c r="BN147" i="9"/>
  <c r="BM148" i="9"/>
  <c r="BV148" i="9"/>
  <c r="BU148" i="9" s="1"/>
  <c r="CD224" i="8"/>
  <c r="CH221" i="8"/>
  <c r="CI221" i="8"/>
  <c r="BQ221" i="8"/>
  <c r="BU223" i="8"/>
  <c r="BR223" i="8"/>
  <c r="BT224" i="8"/>
  <c r="BV223" i="8"/>
  <c r="CF225" i="8"/>
  <c r="BZ224" i="8"/>
  <c r="CB225" i="8"/>
  <c r="CF224" i="8" s="1"/>
  <c r="CE224" i="8"/>
  <c r="BN219" i="8"/>
  <c r="BM219" i="8" s="1"/>
  <c r="BX148" i="9" l="1"/>
  <c r="BP148" i="8" s="1"/>
  <c r="BN146" i="9"/>
  <c r="BM147" i="9"/>
  <c r="BV147" i="9"/>
  <c r="BU147" i="9" s="1"/>
  <c r="BZ223" i="8"/>
  <c r="BX223" i="8" s="1"/>
  <c r="CA223" i="8" s="1"/>
  <c r="BU222" i="8"/>
  <c r="BR222" i="8"/>
  <c r="CH220" i="8"/>
  <c r="CI220" i="8"/>
  <c r="BQ220" i="8"/>
  <c r="BT223" i="8"/>
  <c r="BV222" i="8"/>
  <c r="BX224" i="8"/>
  <c r="CA224" i="8" s="1"/>
  <c r="CD223" i="8"/>
  <c r="BN218" i="8"/>
  <c r="BM218" i="8" s="1"/>
  <c r="BN145" i="9" l="1"/>
  <c r="BM146" i="9"/>
  <c r="BV146" i="9"/>
  <c r="BU146" i="9" s="1"/>
  <c r="BX147" i="9"/>
  <c r="BP147" i="8" s="1"/>
  <c r="BZ222" i="8"/>
  <c r="BX222" i="8" s="1"/>
  <c r="CA222" i="8" s="1"/>
  <c r="CD222" i="8"/>
  <c r="BU221" i="8"/>
  <c r="BR221" i="8"/>
  <c r="CB223" i="8"/>
  <c r="CE222" i="8"/>
  <c r="CH219" i="8"/>
  <c r="CI219" i="8"/>
  <c r="BQ219" i="8"/>
  <c r="CB224" i="8"/>
  <c r="CF223" i="8" s="1"/>
  <c r="CE223" i="8"/>
  <c r="BT222" i="8"/>
  <c r="BV221" i="8"/>
  <c r="BN217" i="8"/>
  <c r="BM217" i="8" s="1"/>
  <c r="BX146" i="9" l="1"/>
  <c r="BP146" i="8" s="1"/>
  <c r="CD221" i="8"/>
  <c r="BN144" i="9"/>
  <c r="BM145" i="9"/>
  <c r="BV145" i="9"/>
  <c r="BU145" i="9" s="1"/>
  <c r="BZ221" i="8"/>
  <c r="BX221" i="8" s="1"/>
  <c r="CA221" i="8" s="1"/>
  <c r="CF222" i="8"/>
  <c r="CH218" i="8"/>
  <c r="CI218" i="8"/>
  <c r="BQ218" i="8"/>
  <c r="BU219" i="8" s="1"/>
  <c r="BU220" i="8"/>
  <c r="CB222" i="8"/>
  <c r="CE221" i="8"/>
  <c r="BT221" i="8"/>
  <c r="BV220" i="8"/>
  <c r="BR220" i="8"/>
  <c r="BN216" i="8"/>
  <c r="BM216" i="8" s="1"/>
  <c r="BX145" i="9" l="1"/>
  <c r="BP145" i="8" s="1"/>
  <c r="BN143" i="9"/>
  <c r="BM144" i="9"/>
  <c r="BV144" i="9"/>
  <c r="BU144" i="9" s="1"/>
  <c r="CD220" i="8"/>
  <c r="CF221" i="8"/>
  <c r="Q29" i="5"/>
  <c r="R29" i="5" s="1"/>
  <c r="BR219" i="8"/>
  <c r="BZ219" i="8" s="1"/>
  <c r="BX219" i="8" s="1"/>
  <c r="CA219" i="8" s="1"/>
  <c r="CB221" i="8"/>
  <c r="CF220" i="8" s="1"/>
  <c r="CE220" i="8"/>
  <c r="BT220" i="8"/>
  <c r="BV219" i="8"/>
  <c r="CH217" i="8"/>
  <c r="CI217" i="8"/>
  <c r="BQ217" i="8"/>
  <c r="BZ220" i="8"/>
  <c r="BT219" i="8"/>
  <c r="BV218" i="8"/>
  <c r="BN215" i="8"/>
  <c r="BM215" i="8" s="1"/>
  <c r="BX144" i="9" l="1"/>
  <c r="BP144" i="8" s="1"/>
  <c r="BN142" i="9"/>
  <c r="BM143" i="9"/>
  <c r="BV143" i="9"/>
  <c r="BU143" i="9" s="1"/>
  <c r="BX220" i="8"/>
  <c r="CA220" i="8" s="1"/>
  <c r="CE218" i="8" s="1"/>
  <c r="CD219" i="8"/>
  <c r="CD218" i="8"/>
  <c r="CB219" i="8"/>
  <c r="BU218" i="8"/>
  <c r="BR218" i="8"/>
  <c r="CH216" i="8"/>
  <c r="CI216" i="8"/>
  <c r="BQ216" i="8"/>
  <c r="BN214" i="8"/>
  <c r="BM214" i="8" s="1"/>
  <c r="BX143" i="9" l="1"/>
  <c r="BP143" i="8" s="1"/>
  <c r="BN141" i="9"/>
  <c r="BM142" i="9"/>
  <c r="BV142" i="9"/>
  <c r="BU142" i="9" s="1"/>
  <c r="BZ218" i="8"/>
  <c r="BT218" i="8"/>
  <c r="BV217" i="8"/>
  <c r="CH215" i="8"/>
  <c r="CI215" i="8"/>
  <c r="BQ215" i="8"/>
  <c r="BU217" i="8"/>
  <c r="BR217" i="8"/>
  <c r="CB220" i="8"/>
  <c r="CF218" i="8" s="1"/>
  <c r="CE219" i="8"/>
  <c r="BN213" i="8"/>
  <c r="BM213" i="8" s="1"/>
  <c r="BN140" i="9" l="1"/>
  <c r="BM141" i="9"/>
  <c r="BV141" i="9"/>
  <c r="BU141" i="9" s="1"/>
  <c r="BX142" i="9"/>
  <c r="BP142" i="8" s="1"/>
  <c r="BU216" i="8"/>
  <c r="BR216" i="8"/>
  <c r="BT217" i="8"/>
  <c r="BV216" i="8"/>
  <c r="CH214" i="8"/>
  <c r="CI214" i="8"/>
  <c r="BQ214" i="8"/>
  <c r="CF219" i="8"/>
  <c r="BZ217" i="8"/>
  <c r="BX218" i="8"/>
  <c r="CA218" i="8" s="1"/>
  <c r="CD217" i="8"/>
  <c r="BN212" i="8"/>
  <c r="BM212" i="8" s="1"/>
  <c r="BX141" i="9" l="1"/>
  <c r="BP141" i="8" s="1"/>
  <c r="BN139" i="9"/>
  <c r="BM140" i="9"/>
  <c r="BV140" i="9"/>
  <c r="BU140" i="9" s="1"/>
  <c r="BZ216" i="8"/>
  <c r="BX216" i="8" s="1"/>
  <c r="CA216" i="8" s="1"/>
  <c r="BU215" i="8"/>
  <c r="BR215" i="8"/>
  <c r="CH213" i="8"/>
  <c r="CI213" i="8"/>
  <c r="BQ213" i="8"/>
  <c r="CB218" i="8"/>
  <c r="CF217" i="8" s="1"/>
  <c r="CE217" i="8"/>
  <c r="BX217" i="8"/>
  <c r="CA217" i="8" s="1"/>
  <c r="CD216" i="8"/>
  <c r="BT216" i="8"/>
  <c r="BV215" i="8"/>
  <c r="BN211" i="8"/>
  <c r="BM211" i="8" s="1"/>
  <c r="BX140" i="9" l="1"/>
  <c r="BP140" i="8" s="1"/>
  <c r="BN138" i="9"/>
  <c r="BM139" i="9"/>
  <c r="BV139" i="9"/>
  <c r="BU139" i="9" s="1"/>
  <c r="BZ215" i="8"/>
  <c r="BX215" i="8" s="1"/>
  <c r="CA215" i="8" s="1"/>
  <c r="CD215" i="8"/>
  <c r="CB217" i="8"/>
  <c r="CF216" i="8" s="1"/>
  <c r="CE216" i="8"/>
  <c r="CH212" i="8"/>
  <c r="CI212" i="8"/>
  <c r="BQ212" i="8"/>
  <c r="BU214" i="8"/>
  <c r="BR214" i="8"/>
  <c r="CB216" i="8"/>
  <c r="CE215" i="8"/>
  <c r="BT215" i="8"/>
  <c r="BV214" i="8"/>
  <c r="BN210" i="8"/>
  <c r="BM210" i="8" s="1"/>
  <c r="CF215" i="8" l="1"/>
  <c r="BX139" i="9"/>
  <c r="BP139" i="8" s="1"/>
  <c r="CD214" i="8"/>
  <c r="BN137" i="9"/>
  <c r="BM138" i="9"/>
  <c r="BV138" i="9"/>
  <c r="BU138" i="9" s="1"/>
  <c r="BZ214" i="8"/>
  <c r="BX214" i="8" s="1"/>
  <c r="CA214" i="8" s="1"/>
  <c r="CB215" i="8"/>
  <c r="CF214" i="8" s="1"/>
  <c r="CE214" i="8"/>
  <c r="CH211" i="8"/>
  <c r="CI211" i="8"/>
  <c r="BQ211" i="8"/>
  <c r="BT214" i="8"/>
  <c r="BV213" i="8"/>
  <c r="BU213" i="8"/>
  <c r="BR213" i="8"/>
  <c r="BN209" i="8"/>
  <c r="BM209" i="8" s="1"/>
  <c r="BX138" i="9" l="1"/>
  <c r="BP138" i="8" s="1"/>
  <c r="BN136" i="9"/>
  <c r="BM137" i="9"/>
  <c r="BV137" i="9"/>
  <c r="BU137" i="9" s="1"/>
  <c r="CD213" i="8"/>
  <c r="BT213" i="8"/>
  <c r="BV212" i="8"/>
  <c r="CB214" i="8"/>
  <c r="CF213" i="8" s="1"/>
  <c r="CE213" i="8"/>
  <c r="BU212" i="8"/>
  <c r="BR212" i="8"/>
  <c r="CH210" i="8"/>
  <c r="CI210" i="8"/>
  <c r="BQ210" i="8"/>
  <c r="BZ213" i="8"/>
  <c r="BN208" i="8"/>
  <c r="BM208" i="8" s="1"/>
  <c r="BX137" i="9" l="1"/>
  <c r="BP137" i="8" s="1"/>
  <c r="BN135" i="9"/>
  <c r="BM136" i="9"/>
  <c r="BV136" i="9"/>
  <c r="BU136" i="9" s="1"/>
  <c r="BZ212" i="8"/>
  <c r="BX212" i="8" s="1"/>
  <c r="CA212" i="8" s="1"/>
  <c r="BT212" i="8"/>
  <c r="BV211" i="8"/>
  <c r="CH209" i="8"/>
  <c r="CI209" i="8"/>
  <c r="BQ209" i="8"/>
  <c r="BX213" i="8"/>
  <c r="CA213" i="8" s="1"/>
  <c r="CD212" i="8"/>
  <c r="BU211" i="8"/>
  <c r="BR211" i="8"/>
  <c r="BN207" i="8"/>
  <c r="BM207" i="8" s="1"/>
  <c r="BN134" i="9" l="1"/>
  <c r="BM135" i="9"/>
  <c r="BX136" i="9"/>
  <c r="BP136" i="8" s="1"/>
  <c r="BV135" i="9"/>
  <c r="BU135" i="9" s="1"/>
  <c r="CD211" i="8"/>
  <c r="BT211" i="8"/>
  <c r="BV210" i="8"/>
  <c r="BU210" i="8"/>
  <c r="BR210" i="8"/>
  <c r="CB213" i="8"/>
  <c r="CF212" i="8" s="1"/>
  <c r="CE212" i="8"/>
  <c r="CH208" i="8"/>
  <c r="CI208" i="8"/>
  <c r="BQ208" i="8"/>
  <c r="BZ211" i="8"/>
  <c r="CB212" i="8"/>
  <c r="CE211" i="8"/>
  <c r="BN206" i="8"/>
  <c r="BM206" i="8" s="1"/>
  <c r="BX135" i="9" l="1"/>
  <c r="BP135" i="8" s="1"/>
  <c r="BN133" i="9"/>
  <c r="BM134" i="9"/>
  <c r="BV134" i="9"/>
  <c r="BU134" i="9" s="1"/>
  <c r="BZ210" i="8"/>
  <c r="BX210" i="8" s="1"/>
  <c r="CA210" i="8" s="1"/>
  <c r="CH207" i="8"/>
  <c r="CI207" i="8"/>
  <c r="BQ207" i="8"/>
  <c r="BT210" i="8"/>
  <c r="BV209" i="8"/>
  <c r="CF211" i="8"/>
  <c r="BX211" i="8"/>
  <c r="CA211" i="8" s="1"/>
  <c r="CD210" i="8"/>
  <c r="BU209" i="8"/>
  <c r="BR209" i="8"/>
  <c r="BN205" i="8"/>
  <c r="BM205" i="8" s="1"/>
  <c r="BX134" i="9" l="1"/>
  <c r="BP134" i="8" s="1"/>
  <c r="BN132" i="9"/>
  <c r="BM133" i="9"/>
  <c r="BV133" i="9"/>
  <c r="BU133" i="9" s="1"/>
  <c r="CD209" i="8"/>
  <c r="BZ209" i="8"/>
  <c r="BX209" i="8" s="1"/>
  <c r="CA209" i="8" s="1"/>
  <c r="BU208" i="8"/>
  <c r="BR208" i="8"/>
  <c r="CH206" i="8"/>
  <c r="CI206" i="8"/>
  <c r="BQ206" i="8"/>
  <c r="CB210" i="8"/>
  <c r="CE209" i="8"/>
  <c r="BT209" i="8"/>
  <c r="BV208" i="8"/>
  <c r="CB211" i="8"/>
  <c r="CF210" i="8" s="1"/>
  <c r="CE210" i="8"/>
  <c r="BN204" i="8"/>
  <c r="BM204" i="8" s="1"/>
  <c r="Q28" i="5" l="1"/>
  <c r="R28" i="5" s="1"/>
  <c r="BX133" i="9"/>
  <c r="BP133" i="8" s="1"/>
  <c r="BN131" i="9"/>
  <c r="BM132" i="9"/>
  <c r="BV132" i="9"/>
  <c r="BU132" i="9" s="1"/>
  <c r="CD208" i="8"/>
  <c r="BZ208" i="8"/>
  <c r="BX208" i="8" s="1"/>
  <c r="CA208" i="8" s="1"/>
  <c r="CF209" i="8"/>
  <c r="CH205" i="8"/>
  <c r="CI205" i="8"/>
  <c r="BQ205" i="8"/>
  <c r="BU207" i="8"/>
  <c r="BR207" i="8"/>
  <c r="BT208" i="8"/>
  <c r="BV207" i="8"/>
  <c r="CB209" i="8"/>
  <c r="CF208" i="8" s="1"/>
  <c r="CE208" i="8"/>
  <c r="BN203" i="8"/>
  <c r="BM203" i="8" s="1"/>
  <c r="BX132" i="9" l="1"/>
  <c r="BP132" i="8" s="1"/>
  <c r="BN130" i="9"/>
  <c r="BM131" i="9"/>
  <c r="BV131" i="9"/>
  <c r="BU131" i="9" s="1"/>
  <c r="CD207" i="8"/>
  <c r="BZ207" i="8"/>
  <c r="BX207" i="8" s="1"/>
  <c r="CA207" i="8" s="1"/>
  <c r="CB208" i="8"/>
  <c r="CF207" i="8" s="1"/>
  <c r="CE207" i="8"/>
  <c r="CH204" i="8"/>
  <c r="CI204" i="8"/>
  <c r="BQ204" i="8"/>
  <c r="BR205" i="8" s="1"/>
  <c r="BT207" i="8"/>
  <c r="BV206" i="8"/>
  <c r="BU206" i="8"/>
  <c r="BR206" i="8"/>
  <c r="BN202" i="8"/>
  <c r="BM202" i="8" s="1"/>
  <c r="BX131" i="9" l="1"/>
  <c r="BP131" i="8" s="1"/>
  <c r="BN129" i="9"/>
  <c r="BM130" i="9"/>
  <c r="BV130" i="9"/>
  <c r="BU130" i="9" s="1"/>
  <c r="CD206" i="8"/>
  <c r="BZ206" i="8"/>
  <c r="BX206" i="8" s="1"/>
  <c r="CA206" i="8" s="1"/>
  <c r="BU205" i="8"/>
  <c r="CH203" i="8"/>
  <c r="CI203" i="8"/>
  <c r="BQ203" i="8"/>
  <c r="BT206" i="8"/>
  <c r="BV205" i="8"/>
  <c r="CB207" i="8"/>
  <c r="CF206" i="8" s="1"/>
  <c r="CE206" i="8"/>
  <c r="BN201" i="8"/>
  <c r="BM201" i="8" s="1"/>
  <c r="BX130" i="9" l="1"/>
  <c r="BP130" i="8" s="1"/>
  <c r="BN128" i="9"/>
  <c r="BM129" i="9"/>
  <c r="BV129" i="9"/>
  <c r="BU129" i="9" s="1"/>
  <c r="CD205" i="8"/>
  <c r="BU204" i="8"/>
  <c r="BR204" i="8"/>
  <c r="CB206" i="8"/>
  <c r="CF205" i="8" s="1"/>
  <c r="CE205" i="8"/>
  <c r="CH202" i="8"/>
  <c r="CI202" i="8"/>
  <c r="BQ202" i="8"/>
  <c r="BU203" i="8" s="1"/>
  <c r="BT205" i="8"/>
  <c r="BV204" i="8"/>
  <c r="BZ205" i="8"/>
  <c r="BN200" i="8"/>
  <c r="BM200" i="8" s="1"/>
  <c r="BX129" i="9" l="1"/>
  <c r="BP129" i="8" s="1"/>
  <c r="BN127" i="9"/>
  <c r="BM128" i="9"/>
  <c r="BV128" i="9"/>
  <c r="BU128" i="9" s="1"/>
  <c r="BZ204" i="8"/>
  <c r="BX204" i="8" s="1"/>
  <c r="CA204" i="8" s="1"/>
  <c r="BT203" i="8"/>
  <c r="BV202" i="8"/>
  <c r="CH201" i="8"/>
  <c r="CI201" i="8"/>
  <c r="BQ201" i="8"/>
  <c r="BX205" i="8"/>
  <c r="CA205" i="8" s="1"/>
  <c r="CD204" i="8"/>
  <c r="BT204" i="8"/>
  <c r="BV203" i="8"/>
  <c r="BR203" i="8"/>
  <c r="BZ203" i="8" s="1"/>
  <c r="BN199" i="8"/>
  <c r="BM199" i="8" s="1"/>
  <c r="BM127" i="9" l="1"/>
  <c r="BN126" i="9"/>
  <c r="BV127" i="9"/>
  <c r="BU127" i="9" s="1"/>
  <c r="BX128" i="9"/>
  <c r="BP128" i="8" s="1"/>
  <c r="CD203" i="8"/>
  <c r="CB204" i="8"/>
  <c r="CE203" i="8"/>
  <c r="CB205" i="8"/>
  <c r="CF204" i="8" s="1"/>
  <c r="CE204" i="8"/>
  <c r="CH200" i="8"/>
  <c r="CI200" i="8"/>
  <c r="BQ200" i="8"/>
  <c r="BU202" i="8"/>
  <c r="BR202" i="8"/>
  <c r="BX203" i="8"/>
  <c r="CA203" i="8" s="1"/>
  <c r="CD202" i="8"/>
  <c r="BN198" i="8"/>
  <c r="BM198" i="8" s="1"/>
  <c r="BN125" i="9" l="1"/>
  <c r="BM126" i="9"/>
  <c r="BX127" i="9"/>
  <c r="BP127" i="8" s="1"/>
  <c r="BV126" i="9"/>
  <c r="BU126" i="9" s="1"/>
  <c r="BZ202" i="8"/>
  <c r="BX202" i="8" s="1"/>
  <c r="CA202" i="8" s="1"/>
  <c r="CB203" i="8"/>
  <c r="CF202" i="8" s="1"/>
  <c r="CE202" i="8"/>
  <c r="BU201" i="8"/>
  <c r="BR201" i="8"/>
  <c r="BT202" i="8"/>
  <c r="BV201" i="8"/>
  <c r="CH199" i="8"/>
  <c r="CI199" i="8"/>
  <c r="BQ199" i="8"/>
  <c r="CF203" i="8"/>
  <c r="BN197" i="8"/>
  <c r="BM197" i="8" s="1"/>
  <c r="BX126" i="9" l="1"/>
  <c r="BP126" i="8" s="1"/>
  <c r="BN124" i="9"/>
  <c r="BM125" i="9"/>
  <c r="BV125" i="9"/>
  <c r="BU125" i="9" s="1"/>
  <c r="CD201" i="8"/>
  <c r="BZ201" i="8"/>
  <c r="BX201" i="8" s="1"/>
  <c r="CA201" i="8" s="1"/>
  <c r="CH198" i="8"/>
  <c r="CI198" i="8"/>
  <c r="BQ198" i="8"/>
  <c r="CB202" i="8"/>
  <c r="CF201" i="8" s="1"/>
  <c r="CE201" i="8"/>
  <c r="BU200" i="8"/>
  <c r="BR200" i="8"/>
  <c r="BT201" i="8"/>
  <c r="BV200" i="8"/>
  <c r="BN196" i="8"/>
  <c r="BM196" i="8" s="1"/>
  <c r="BX125" i="9" l="1"/>
  <c r="BP125" i="8" s="1"/>
  <c r="BN123" i="9"/>
  <c r="BM124" i="9"/>
  <c r="BV124" i="9"/>
  <c r="BU124" i="9" s="1"/>
  <c r="CD200" i="8"/>
  <c r="BT200" i="8"/>
  <c r="BV199" i="8"/>
  <c r="CB201" i="8"/>
  <c r="CF200" i="8" s="1"/>
  <c r="CE200" i="8"/>
  <c r="CH197" i="8"/>
  <c r="CI197" i="8"/>
  <c r="BQ197" i="8"/>
  <c r="BU199" i="8"/>
  <c r="BR199" i="8"/>
  <c r="BZ200" i="8"/>
  <c r="BN195" i="8"/>
  <c r="BM195" i="8" s="1"/>
  <c r="BX124" i="9" l="1"/>
  <c r="BP124" i="8" s="1"/>
  <c r="BN122" i="9"/>
  <c r="BM123" i="9"/>
  <c r="BV123" i="9"/>
  <c r="BU123" i="9" s="1"/>
  <c r="BU198" i="8"/>
  <c r="BR198" i="8"/>
  <c r="BT199" i="8"/>
  <c r="BV198" i="8"/>
  <c r="CH196" i="8"/>
  <c r="CI196" i="8"/>
  <c r="BQ196" i="8"/>
  <c r="BX200" i="8"/>
  <c r="CA200" i="8" s="1"/>
  <c r="CD199" i="8"/>
  <c r="BZ199" i="8"/>
  <c r="BN194" i="8"/>
  <c r="BM194" i="8" s="1"/>
  <c r="BX123" i="9" l="1"/>
  <c r="BP123" i="8" s="1"/>
  <c r="BN121" i="9"/>
  <c r="BM122" i="9"/>
  <c r="BV122" i="9"/>
  <c r="BU122" i="9" s="1"/>
  <c r="BZ198" i="8"/>
  <c r="BX198" i="8" s="1"/>
  <c r="CA198" i="8" s="1"/>
  <c r="BU197" i="8"/>
  <c r="BR197" i="8"/>
  <c r="CH195" i="8"/>
  <c r="CI195" i="8"/>
  <c r="BQ195" i="8"/>
  <c r="CB200" i="8"/>
  <c r="CF199" i="8" s="1"/>
  <c r="CE199" i="8"/>
  <c r="BX199" i="8"/>
  <c r="CA199" i="8" s="1"/>
  <c r="CD198" i="8"/>
  <c r="BT198" i="8"/>
  <c r="BV197" i="8"/>
  <c r="BN193" i="8"/>
  <c r="BM193" i="8" s="1"/>
  <c r="BX122" i="9" l="1"/>
  <c r="BP122" i="8" s="1"/>
  <c r="CD197" i="8"/>
  <c r="BN120" i="9"/>
  <c r="BM121" i="9"/>
  <c r="BV121" i="9"/>
  <c r="BU121" i="9" s="1"/>
  <c r="BZ197" i="8"/>
  <c r="CD196" i="8" s="1"/>
  <c r="CH194" i="8"/>
  <c r="CI194" i="8"/>
  <c r="BQ194" i="8"/>
  <c r="BR195" i="8" s="1"/>
  <c r="BU196" i="8"/>
  <c r="CB198" i="8"/>
  <c r="CE197" i="8"/>
  <c r="BT197" i="8"/>
  <c r="BV196" i="8"/>
  <c r="CB199" i="8"/>
  <c r="CF198" i="8" s="1"/>
  <c r="CE198" i="8"/>
  <c r="BR196" i="8"/>
  <c r="BN192" i="8"/>
  <c r="BM192" i="8" s="1"/>
  <c r="Q27" i="5" l="1"/>
  <c r="R27" i="5" s="1"/>
  <c r="BX197" i="8"/>
  <c r="CA197" i="8" s="1"/>
  <c r="CB197" i="8" s="1"/>
  <c r="CF196" i="8" s="1"/>
  <c r="BX121" i="9"/>
  <c r="BP121" i="8" s="1"/>
  <c r="BN119" i="9"/>
  <c r="BM120" i="9"/>
  <c r="BV120" i="9"/>
  <c r="BU120" i="9" s="1"/>
  <c r="CF197" i="8"/>
  <c r="BZ196" i="8"/>
  <c r="BX196" i="8" s="1"/>
  <c r="CA196" i="8" s="1"/>
  <c r="CH193" i="8"/>
  <c r="CI193" i="8"/>
  <c r="BQ193" i="8"/>
  <c r="BT196" i="8"/>
  <c r="BV195" i="8"/>
  <c r="BU195" i="8"/>
  <c r="BZ195" i="8" s="1"/>
  <c r="BN191" i="8"/>
  <c r="BM191" i="8" s="1"/>
  <c r="CE196" i="8" l="1"/>
  <c r="BN118" i="9"/>
  <c r="BM119" i="9"/>
  <c r="BX120" i="9"/>
  <c r="BP120" i="8" s="1"/>
  <c r="BV119" i="9"/>
  <c r="BU119" i="9" s="1"/>
  <c r="CD195" i="8"/>
  <c r="BU194" i="8"/>
  <c r="BX195" i="8"/>
  <c r="CA195" i="8" s="1"/>
  <c r="CD194" i="8"/>
  <c r="CH192" i="8"/>
  <c r="CI192" i="8"/>
  <c r="BQ192" i="8"/>
  <c r="BT195" i="8"/>
  <c r="BV194" i="8"/>
  <c r="BR194" i="8"/>
  <c r="CB196" i="8"/>
  <c r="CE195" i="8"/>
  <c r="BN190" i="8"/>
  <c r="BM190" i="8" s="1"/>
  <c r="BZ194" i="8" l="1"/>
  <c r="BX194" i="8" s="1"/>
  <c r="CA194" i="8" s="1"/>
  <c r="BX119" i="9"/>
  <c r="BP119" i="8" s="1"/>
  <c r="BN117" i="9"/>
  <c r="BM118" i="9"/>
  <c r="BV118" i="9"/>
  <c r="BU118" i="9" s="1"/>
  <c r="BU193" i="8"/>
  <c r="CH191" i="8"/>
  <c r="CI191" i="8"/>
  <c r="BQ191" i="8"/>
  <c r="CF195" i="8"/>
  <c r="CB195" i="8"/>
  <c r="CF194" i="8" s="1"/>
  <c r="CE194" i="8"/>
  <c r="BT194" i="8"/>
  <c r="BV193" i="8"/>
  <c r="BR193" i="8"/>
  <c r="BN189" i="8"/>
  <c r="BM189" i="8" s="1"/>
  <c r="CD193" i="8" l="1"/>
  <c r="BX118" i="9"/>
  <c r="BP118" i="8" s="1"/>
  <c r="BN116" i="9"/>
  <c r="BM117" i="9"/>
  <c r="BV117" i="9"/>
  <c r="BU117" i="9" s="1"/>
  <c r="BZ193" i="8"/>
  <c r="BX193" i="8" s="1"/>
  <c r="CA193" i="8" s="1"/>
  <c r="CH190" i="8"/>
  <c r="CI190" i="8"/>
  <c r="BQ190" i="8"/>
  <c r="BR191" i="8" s="1"/>
  <c r="BU192" i="8"/>
  <c r="CB194" i="8"/>
  <c r="CF193" i="8" s="1"/>
  <c r="CE193" i="8"/>
  <c r="BT193" i="8"/>
  <c r="BV192" i="8"/>
  <c r="BR192" i="8"/>
  <c r="BN188" i="8"/>
  <c r="BM188" i="8" s="1"/>
  <c r="BX117" i="9" l="1"/>
  <c r="BP117" i="8" s="1"/>
  <c r="BN115" i="9"/>
  <c r="BM116" i="9"/>
  <c r="BV116" i="9"/>
  <c r="BU116" i="9" s="1"/>
  <c r="CD192" i="8"/>
  <c r="BZ192" i="8"/>
  <c r="BX192" i="8" s="1"/>
  <c r="CA192" i="8" s="1"/>
  <c r="BT192" i="8"/>
  <c r="BV191" i="8"/>
  <c r="CH189" i="8"/>
  <c r="CI189" i="8"/>
  <c r="BQ189" i="8"/>
  <c r="BR190" i="8" s="1"/>
  <c r="BU191" i="8"/>
  <c r="CB193" i="8"/>
  <c r="CF192" i="8" s="1"/>
  <c r="CE192" i="8"/>
  <c r="BN187" i="8"/>
  <c r="BM187" i="8" s="1"/>
  <c r="BX116" i="9" l="1"/>
  <c r="BP116" i="8" s="1"/>
  <c r="BN114" i="9"/>
  <c r="BM115" i="9"/>
  <c r="BV115" i="9"/>
  <c r="BU115" i="9" s="1"/>
  <c r="CD191" i="8"/>
  <c r="CH188" i="8"/>
  <c r="CI188" i="8"/>
  <c r="BQ188" i="8"/>
  <c r="BR189" i="8" s="1"/>
  <c r="BT191" i="8"/>
  <c r="BV190" i="8"/>
  <c r="BU190" i="8"/>
  <c r="BZ191" i="8"/>
  <c r="CB192" i="8"/>
  <c r="CF191" i="8" s="1"/>
  <c r="CE191" i="8"/>
  <c r="BN186" i="8"/>
  <c r="BM186" i="8" s="1"/>
  <c r="BX115" i="9" l="1"/>
  <c r="BP115" i="8" s="1"/>
  <c r="BN113" i="9"/>
  <c r="BM114" i="9"/>
  <c r="BV114" i="9"/>
  <c r="BU114" i="9" s="1"/>
  <c r="BT190" i="8"/>
  <c r="BV189" i="8"/>
  <c r="BU189" i="8"/>
  <c r="CH187" i="8"/>
  <c r="CI187" i="8"/>
  <c r="BQ187" i="8"/>
  <c r="BX191" i="8"/>
  <c r="CA191" i="8" s="1"/>
  <c r="CD190" i="8"/>
  <c r="BZ190" i="8"/>
  <c r="BN185" i="8"/>
  <c r="BM185" i="8" s="1"/>
  <c r="BN112" i="9" l="1"/>
  <c r="BM113" i="9"/>
  <c r="BX114" i="9"/>
  <c r="BP114" i="8" s="1"/>
  <c r="BV113" i="9"/>
  <c r="BU113" i="9" s="1"/>
  <c r="BU188" i="8"/>
  <c r="BT189" i="8"/>
  <c r="BV188" i="8"/>
  <c r="BZ189" i="8"/>
  <c r="CH186" i="8"/>
  <c r="CI186" i="8"/>
  <c r="BQ186" i="8"/>
  <c r="BU187" i="8" s="1"/>
  <c r="BX190" i="8"/>
  <c r="CA190" i="8" s="1"/>
  <c r="CD189" i="8"/>
  <c r="BR188" i="8"/>
  <c r="CB191" i="8"/>
  <c r="CF190" i="8" s="1"/>
  <c r="CE190" i="8"/>
  <c r="BN184" i="8"/>
  <c r="BM184" i="8" s="1"/>
  <c r="BX113" i="9" l="1"/>
  <c r="BP113" i="8" s="1"/>
  <c r="BN111" i="9"/>
  <c r="BM112" i="9"/>
  <c r="BV112" i="9"/>
  <c r="BU112" i="9" s="1"/>
  <c r="BZ188" i="8"/>
  <c r="CD187" i="8" s="1"/>
  <c r="BT187" i="8"/>
  <c r="BV186" i="8"/>
  <c r="CH185" i="8"/>
  <c r="CI185" i="8"/>
  <c r="BQ185" i="8"/>
  <c r="BX189" i="8"/>
  <c r="CA189" i="8" s="1"/>
  <c r="CD188" i="8"/>
  <c r="BT188" i="8"/>
  <c r="BV187" i="8"/>
  <c r="CB190" i="8"/>
  <c r="CF189" i="8" s="1"/>
  <c r="CE189" i="8"/>
  <c r="BR187" i="8"/>
  <c r="BZ187" i="8" s="1"/>
  <c r="BN183" i="8"/>
  <c r="BM183" i="8" s="1"/>
  <c r="BX188" i="8" l="1"/>
  <c r="CA188" i="8" s="1"/>
  <c r="CE187" i="8" s="1"/>
  <c r="BX112" i="9"/>
  <c r="BP112" i="8" s="1"/>
  <c r="BN110" i="9"/>
  <c r="BM111" i="9"/>
  <c r="BV111" i="9"/>
  <c r="BU111" i="9" s="1"/>
  <c r="CH184" i="8"/>
  <c r="CI184" i="8"/>
  <c r="BQ184" i="8"/>
  <c r="BX187" i="8"/>
  <c r="CA187" i="8" s="1"/>
  <c r="CD186" i="8"/>
  <c r="CB189" i="8"/>
  <c r="CF188" i="8" s="1"/>
  <c r="CE188" i="8"/>
  <c r="BU186" i="8"/>
  <c r="BR186" i="8"/>
  <c r="BN182" i="8"/>
  <c r="BM182" i="8" s="1"/>
  <c r="CB188" i="8" l="1"/>
  <c r="CF187" i="8" s="1"/>
  <c r="BN109" i="9"/>
  <c r="BM110" i="9"/>
  <c r="BV110" i="9"/>
  <c r="BU110" i="9" s="1"/>
  <c r="BX111" i="9"/>
  <c r="BP111" i="8" s="1"/>
  <c r="BT186" i="8"/>
  <c r="BV185" i="8"/>
  <c r="BU185" i="8"/>
  <c r="BR185" i="8"/>
  <c r="CB187" i="8"/>
  <c r="CE186" i="8"/>
  <c r="CH183" i="8"/>
  <c r="CI183" i="8"/>
  <c r="BQ183" i="8"/>
  <c r="BZ186" i="8"/>
  <c r="BN181" i="8"/>
  <c r="BM181" i="8" s="1"/>
  <c r="CF186" i="8" l="1"/>
  <c r="BX110" i="9"/>
  <c r="BP110" i="8" s="1"/>
  <c r="BN108" i="9"/>
  <c r="BM109" i="9"/>
  <c r="BV109" i="9"/>
  <c r="BU109" i="9" s="1"/>
  <c r="BZ185" i="8"/>
  <c r="BX185" i="8" s="1"/>
  <c r="CA185" i="8" s="1"/>
  <c r="CH182" i="8"/>
  <c r="CI182" i="8"/>
  <c r="BQ182" i="8"/>
  <c r="BT185" i="8"/>
  <c r="BV184" i="8"/>
  <c r="BX186" i="8"/>
  <c r="CA186" i="8" s="1"/>
  <c r="CD185" i="8"/>
  <c r="BU184" i="8"/>
  <c r="BR184" i="8"/>
  <c r="BN180" i="8"/>
  <c r="BM180" i="8" s="1"/>
  <c r="BN107" i="9" l="1"/>
  <c r="BM108" i="9"/>
  <c r="BX109" i="9"/>
  <c r="BP109" i="8" s="1"/>
  <c r="BV108" i="9"/>
  <c r="BU108" i="9" s="1"/>
  <c r="CD184" i="8"/>
  <c r="BZ184" i="8"/>
  <c r="BX184" i="8" s="1"/>
  <c r="CA184" i="8" s="1"/>
  <c r="BU183" i="8"/>
  <c r="BR183" i="8"/>
  <c r="CB186" i="8"/>
  <c r="CE185" i="8"/>
  <c r="CH181" i="8"/>
  <c r="CI181" i="8"/>
  <c r="BQ181" i="8"/>
  <c r="CB185" i="8"/>
  <c r="CE184" i="8"/>
  <c r="BT184" i="8"/>
  <c r="BV183" i="8"/>
  <c r="BN179" i="8"/>
  <c r="BM179" i="8" s="1"/>
  <c r="BX108" i="9" l="1"/>
  <c r="BP108" i="8" s="1"/>
  <c r="BN106" i="9"/>
  <c r="BM107" i="9"/>
  <c r="BV107" i="9"/>
  <c r="BU107" i="9" s="1"/>
  <c r="CD183" i="8"/>
  <c r="CF185" i="8"/>
  <c r="Q26" i="5"/>
  <c r="R26" i="5" s="1"/>
  <c r="BZ183" i="8"/>
  <c r="BX183" i="8" s="1"/>
  <c r="CA183" i="8" s="1"/>
  <c r="CH180" i="8"/>
  <c r="CI180" i="8"/>
  <c r="BQ180" i="8"/>
  <c r="BT183" i="8"/>
  <c r="BV182" i="8"/>
  <c r="CF184" i="8"/>
  <c r="BU182" i="8"/>
  <c r="BR182" i="8"/>
  <c r="CB184" i="8"/>
  <c r="CF183" i="8" s="1"/>
  <c r="CE183" i="8"/>
  <c r="BN178" i="8"/>
  <c r="BM178" i="8" s="1"/>
  <c r="BX107" i="9" l="1"/>
  <c r="BP107" i="8" s="1"/>
  <c r="BN105" i="9"/>
  <c r="BM106" i="9"/>
  <c r="BV106" i="9"/>
  <c r="BU106" i="9" s="1"/>
  <c r="CD182" i="8"/>
  <c r="BZ182" i="8"/>
  <c r="BX182" i="8" s="1"/>
  <c r="CA182" i="8" s="1"/>
  <c r="CH179" i="8"/>
  <c r="CI179" i="8"/>
  <c r="BQ179" i="8"/>
  <c r="BU181" i="8"/>
  <c r="BR181" i="8"/>
  <c r="CB183" i="8"/>
  <c r="CF182" i="8" s="1"/>
  <c r="CE182" i="8"/>
  <c r="BT182" i="8"/>
  <c r="BV181" i="8"/>
  <c r="BN177" i="8"/>
  <c r="BM177" i="8" s="1"/>
  <c r="BX106" i="9" l="1"/>
  <c r="BP106" i="8" s="1"/>
  <c r="BN104" i="9"/>
  <c r="BM105" i="9"/>
  <c r="BV105" i="9"/>
  <c r="BU105" i="9" s="1"/>
  <c r="CD181" i="8"/>
  <c r="BZ181" i="8"/>
  <c r="CD180" i="8" s="1"/>
  <c r="CB182" i="8"/>
  <c r="CF181" i="8" s="1"/>
  <c r="CE181" i="8"/>
  <c r="CH178" i="8"/>
  <c r="CI178" i="8"/>
  <c r="BQ178" i="8"/>
  <c r="BR179" i="8" s="1"/>
  <c r="BU180" i="8"/>
  <c r="BR180" i="8"/>
  <c r="BT181" i="8"/>
  <c r="BV180" i="8"/>
  <c r="BN176" i="8"/>
  <c r="BM176" i="8" s="1"/>
  <c r="BX181" i="8" l="1"/>
  <c r="CA181" i="8" s="1"/>
  <c r="CB181" i="8" s="1"/>
  <c r="CF180" i="8" s="1"/>
  <c r="BX105" i="9"/>
  <c r="BP105" i="8" s="1"/>
  <c r="BN103" i="9"/>
  <c r="BM104" i="9"/>
  <c r="BV104" i="9"/>
  <c r="BU104" i="9" s="1"/>
  <c r="BT180" i="8"/>
  <c r="BV179" i="8"/>
  <c r="BZ180" i="8"/>
  <c r="CH177" i="8"/>
  <c r="CI177" i="8"/>
  <c r="BQ177" i="8"/>
  <c r="BR178" i="8" s="1"/>
  <c r="BU179" i="8"/>
  <c r="BZ179" i="8" s="1"/>
  <c r="BN175" i="8"/>
  <c r="BM175" i="8" s="1"/>
  <c r="CE180" i="8" l="1"/>
  <c r="BN102" i="9"/>
  <c r="BM103" i="9"/>
  <c r="BV103" i="9"/>
  <c r="BU103" i="9" s="1"/>
  <c r="BX104" i="9"/>
  <c r="BP104" i="8" s="1"/>
  <c r="BX179" i="8"/>
  <c r="CA179" i="8" s="1"/>
  <c r="CD178" i="8"/>
  <c r="BX180" i="8"/>
  <c r="CA180" i="8" s="1"/>
  <c r="CD179" i="8"/>
  <c r="CH176" i="8"/>
  <c r="CI176" i="8"/>
  <c r="BQ176" i="8"/>
  <c r="BT179" i="8"/>
  <c r="BV178" i="8"/>
  <c r="BU178" i="8"/>
  <c r="BZ178" i="8" s="1"/>
  <c r="BN174" i="8"/>
  <c r="BM174" i="8" s="1"/>
  <c r="BX103" i="9" l="1"/>
  <c r="BP103" i="8" s="1"/>
  <c r="BN101" i="9"/>
  <c r="BM102" i="9"/>
  <c r="BV102" i="9"/>
  <c r="BU102" i="9" s="1"/>
  <c r="CH175" i="8"/>
  <c r="CI175" i="8"/>
  <c r="BQ175" i="8"/>
  <c r="BR176" i="8" s="1"/>
  <c r="BX178" i="8"/>
  <c r="CA178" i="8" s="1"/>
  <c r="CD177" i="8"/>
  <c r="BU177" i="8"/>
  <c r="BT178" i="8"/>
  <c r="BV177" i="8"/>
  <c r="BR177" i="8"/>
  <c r="CB180" i="8"/>
  <c r="CF179" i="8" s="1"/>
  <c r="CE179" i="8"/>
  <c r="CB179" i="8"/>
  <c r="CE178" i="8"/>
  <c r="BN173" i="8"/>
  <c r="BM173" i="8" s="1"/>
  <c r="BX102" i="9" l="1"/>
  <c r="BP102" i="8" s="1"/>
  <c r="BN100" i="9"/>
  <c r="BM101" i="9"/>
  <c r="BV101" i="9"/>
  <c r="BU101" i="9" s="1"/>
  <c r="CH174" i="8"/>
  <c r="CI174" i="8"/>
  <c r="BQ174" i="8"/>
  <c r="BR175" i="8" s="1"/>
  <c r="BT177" i="8"/>
  <c r="BV176" i="8"/>
  <c r="CF178" i="8"/>
  <c r="CB178" i="8"/>
  <c r="CE177" i="8"/>
  <c r="BU176" i="8"/>
  <c r="BZ176" i="8" s="1"/>
  <c r="BZ177" i="8"/>
  <c r="BN172" i="8"/>
  <c r="BM172" i="8" s="1"/>
  <c r="BX101" i="9" l="1"/>
  <c r="BP101" i="8" s="1"/>
  <c r="BM100" i="9"/>
  <c r="BN99" i="9"/>
  <c r="BV100" i="9"/>
  <c r="BU100" i="9" s="1"/>
  <c r="BX176" i="8"/>
  <c r="CA176" i="8" s="1"/>
  <c r="CD175" i="8"/>
  <c r="BT176" i="8"/>
  <c r="BV175" i="8"/>
  <c r="BU175" i="8"/>
  <c r="CH173" i="8"/>
  <c r="CI173" i="8"/>
  <c r="BQ173" i="8"/>
  <c r="BR174" i="8" s="1"/>
  <c r="BX177" i="8"/>
  <c r="CA177" i="8" s="1"/>
  <c r="CD176" i="8"/>
  <c r="CF177" i="8"/>
  <c r="BN171" i="8"/>
  <c r="BM171" i="8" s="1"/>
  <c r="BN98" i="9" l="1"/>
  <c r="BM99" i="9"/>
  <c r="BX100" i="9"/>
  <c r="BP100" i="8" s="1"/>
  <c r="BV99" i="9"/>
  <c r="BU99" i="9" s="1"/>
  <c r="CH172" i="8"/>
  <c r="CI172" i="8"/>
  <c r="BQ172" i="8"/>
  <c r="BR173" i="8" s="1"/>
  <c r="BT175" i="8"/>
  <c r="BV174" i="8"/>
  <c r="BZ175" i="8"/>
  <c r="CB177" i="8"/>
  <c r="CF176" i="8" s="1"/>
  <c r="CE176" i="8"/>
  <c r="BU174" i="8"/>
  <c r="BZ174" i="8" s="1"/>
  <c r="CB176" i="8"/>
  <c r="CE175" i="8"/>
  <c r="BN170" i="8"/>
  <c r="BM170" i="8" s="1"/>
  <c r="BX99" i="9" l="1"/>
  <c r="BP99" i="8" s="1"/>
  <c r="BN97" i="9"/>
  <c r="BM98" i="9"/>
  <c r="BV98" i="9"/>
  <c r="BU98" i="9" s="1"/>
  <c r="CH171" i="8"/>
  <c r="CI171" i="8"/>
  <c r="BQ171" i="8"/>
  <c r="BR172" i="8" s="1"/>
  <c r="BX175" i="8"/>
  <c r="CA175" i="8" s="1"/>
  <c r="CD174" i="8"/>
  <c r="BX174" i="8"/>
  <c r="CA174" i="8" s="1"/>
  <c r="CD173" i="8"/>
  <c r="CF175" i="8"/>
  <c r="BT174" i="8"/>
  <c r="BV173" i="8"/>
  <c r="BU173" i="8"/>
  <c r="BZ173" i="8" s="1"/>
  <c r="BN169" i="8"/>
  <c r="BM169" i="8" s="1"/>
  <c r="BX98" i="9" l="1"/>
  <c r="BP98" i="8" s="1"/>
  <c r="BN96" i="9"/>
  <c r="BM97" i="9"/>
  <c r="BV97" i="9"/>
  <c r="BU97" i="9" s="1"/>
  <c r="CH170" i="8"/>
  <c r="CI170" i="8"/>
  <c r="BQ170" i="8"/>
  <c r="BR171" i="8" s="1"/>
  <c r="BX173" i="8"/>
  <c r="CA173" i="8" s="1"/>
  <c r="CD172" i="8"/>
  <c r="BU172" i="8"/>
  <c r="CB174" i="8"/>
  <c r="Q25" i="5" s="1"/>
  <c r="R25" i="5" s="1"/>
  <c r="CE173" i="8"/>
  <c r="BT173" i="8"/>
  <c r="BV172" i="8"/>
  <c r="CB175" i="8"/>
  <c r="CE174" i="8"/>
  <c r="BN168" i="8"/>
  <c r="BM168" i="8" s="1"/>
  <c r="BX97" i="9" l="1"/>
  <c r="BP97" i="8" s="1"/>
  <c r="BN95" i="9"/>
  <c r="BM96" i="9"/>
  <c r="BV96" i="9"/>
  <c r="BU96" i="9" s="1"/>
  <c r="CH169" i="8"/>
  <c r="CI169" i="8"/>
  <c r="BQ169" i="8"/>
  <c r="BU170" i="8" s="1"/>
  <c r="BT172" i="8"/>
  <c r="BV171" i="8"/>
  <c r="BZ172" i="8"/>
  <c r="CF174" i="8"/>
  <c r="CB173" i="8"/>
  <c r="CF172" i="8" s="1"/>
  <c r="CE172" i="8"/>
  <c r="BU171" i="8"/>
  <c r="CF173" i="8"/>
  <c r="BN167" i="8"/>
  <c r="BM167" i="8" s="1"/>
  <c r="BX96" i="9" l="1"/>
  <c r="BP96" i="8" s="1"/>
  <c r="BN94" i="9"/>
  <c r="BM95" i="9"/>
  <c r="BV95" i="9"/>
  <c r="BU95" i="9" s="1"/>
  <c r="BR170" i="8"/>
  <c r="BZ170" i="8" s="1"/>
  <c r="BX170" i="8" s="1"/>
  <c r="CA170" i="8" s="1"/>
  <c r="CH168" i="8"/>
  <c r="CI168" i="8"/>
  <c r="BQ168" i="8"/>
  <c r="BX172" i="8"/>
  <c r="CA172" i="8" s="1"/>
  <c r="CD171" i="8"/>
  <c r="BT171" i="8"/>
  <c r="BV170" i="8"/>
  <c r="BT170" i="8"/>
  <c r="BV169" i="8"/>
  <c r="BZ171" i="8"/>
  <c r="BN166" i="8"/>
  <c r="BM166" i="8" s="1"/>
  <c r="BX95" i="9" l="1"/>
  <c r="BP95" i="8" s="1"/>
  <c r="BN93" i="9"/>
  <c r="BM94" i="9"/>
  <c r="BV94" i="9"/>
  <c r="BU94" i="9" s="1"/>
  <c r="CB170" i="8"/>
  <c r="CH167" i="8"/>
  <c r="CI167" i="8"/>
  <c r="BQ167" i="8"/>
  <c r="BX171" i="8"/>
  <c r="CA171" i="8" s="1"/>
  <c r="CD170" i="8"/>
  <c r="BU169" i="8"/>
  <c r="BR169" i="8"/>
  <c r="CB172" i="8"/>
  <c r="CE171" i="8"/>
  <c r="CD169" i="8"/>
  <c r="BN165" i="8"/>
  <c r="BM165" i="8" s="1"/>
  <c r="BX94" i="9" l="1"/>
  <c r="BP94" i="8" s="1"/>
  <c r="BN92" i="9"/>
  <c r="BM93" i="9"/>
  <c r="BV93" i="9"/>
  <c r="BU93" i="9" s="1"/>
  <c r="BZ169" i="8"/>
  <c r="CD168" i="8" s="1"/>
  <c r="CF171" i="8"/>
  <c r="BT169" i="8"/>
  <c r="BV168" i="8"/>
  <c r="CB171" i="8"/>
  <c r="CF170" i="8" s="1"/>
  <c r="CE170" i="8"/>
  <c r="CH166" i="8"/>
  <c r="CI166" i="8"/>
  <c r="BQ166" i="8"/>
  <c r="BR168" i="8"/>
  <c r="BU168" i="8"/>
  <c r="CE169" i="8"/>
  <c r="BN164" i="8"/>
  <c r="BM164" i="8" s="1"/>
  <c r="BX93" i="9" l="1"/>
  <c r="BP93" i="8" s="1"/>
  <c r="BN91" i="9"/>
  <c r="BM92" i="9"/>
  <c r="BV92" i="9"/>
  <c r="BU92" i="9" s="1"/>
  <c r="BX169" i="8"/>
  <c r="CA169" i="8" s="1"/>
  <c r="CB169" i="8" s="1"/>
  <c r="CF168" i="8" s="1"/>
  <c r="CF169" i="8"/>
  <c r="CH165" i="8"/>
  <c r="CI165" i="8"/>
  <c r="BQ165" i="8"/>
  <c r="BT168" i="8"/>
  <c r="BV167" i="8"/>
  <c r="BZ168" i="8"/>
  <c r="BU167" i="8"/>
  <c r="BR167" i="8"/>
  <c r="BN163" i="8"/>
  <c r="BM163" i="8" s="1"/>
  <c r="BX92" i="9" l="1"/>
  <c r="BP92" i="8" s="1"/>
  <c r="BN90" i="9"/>
  <c r="BM91" i="9"/>
  <c r="BV91" i="9"/>
  <c r="BU91" i="9" s="1"/>
  <c r="CE168" i="8"/>
  <c r="BZ167" i="8"/>
  <c r="CD166" i="8" s="1"/>
  <c r="BT167" i="8"/>
  <c r="BV166" i="8"/>
  <c r="BX168" i="8"/>
  <c r="CA168" i="8" s="1"/>
  <c r="CD167" i="8"/>
  <c r="CH164" i="8"/>
  <c r="CI164" i="8"/>
  <c r="BQ164" i="8"/>
  <c r="BU166" i="8"/>
  <c r="BR166" i="8"/>
  <c r="BN162" i="8"/>
  <c r="BM162" i="8" s="1"/>
  <c r="BX91" i="9" l="1"/>
  <c r="BP91" i="8" s="1"/>
  <c r="BN89" i="9"/>
  <c r="BM90" i="9"/>
  <c r="BV90" i="9"/>
  <c r="BU90" i="9" s="1"/>
  <c r="BX167" i="8"/>
  <c r="CA167" i="8" s="1"/>
  <c r="CE166" i="8" s="1"/>
  <c r="BZ166" i="8"/>
  <c r="BX166" i="8" s="1"/>
  <c r="CA166" i="8" s="1"/>
  <c r="CB168" i="8"/>
  <c r="CE167" i="8"/>
  <c r="CH163" i="8"/>
  <c r="CI163" i="8"/>
  <c r="BQ163" i="8"/>
  <c r="BT166" i="8"/>
  <c r="BV165" i="8"/>
  <c r="BU165" i="8"/>
  <c r="BR165" i="8"/>
  <c r="BN161" i="8"/>
  <c r="BM161" i="8" s="1"/>
  <c r="CB167" i="8" l="1"/>
  <c r="CF166" i="8" s="1"/>
  <c r="BX90" i="9"/>
  <c r="BP90" i="8" s="1"/>
  <c r="BN88" i="9"/>
  <c r="BM89" i="9"/>
  <c r="BV89" i="9"/>
  <c r="BU89" i="9" s="1"/>
  <c r="CD165" i="8"/>
  <c r="CB166" i="8"/>
  <c r="CE165" i="8"/>
  <c r="BT165" i="8"/>
  <c r="BV164" i="8"/>
  <c r="CH162" i="8"/>
  <c r="CI162" i="8"/>
  <c r="BQ162" i="8"/>
  <c r="BZ165" i="8"/>
  <c r="BU164" i="8"/>
  <c r="BR164" i="8"/>
  <c r="CF167" i="8"/>
  <c r="BN160" i="8"/>
  <c r="BM160" i="8" s="1"/>
  <c r="CF165" i="8" l="1"/>
  <c r="BX89" i="9"/>
  <c r="BP89" i="8" s="1"/>
  <c r="BN87" i="9"/>
  <c r="BM88" i="9"/>
  <c r="BV88" i="9"/>
  <c r="BU88" i="9" s="1"/>
  <c r="BT164" i="8"/>
  <c r="BV163" i="8"/>
  <c r="CH161" i="8"/>
  <c r="CI161" i="8"/>
  <c r="BQ161" i="8"/>
  <c r="BX165" i="8"/>
  <c r="CA165" i="8" s="1"/>
  <c r="CD164" i="8"/>
  <c r="BU163" i="8"/>
  <c r="BR163" i="8"/>
  <c r="BZ164" i="8"/>
  <c r="BN159" i="8"/>
  <c r="BM159" i="8" s="1"/>
  <c r="BN86" i="9" l="1"/>
  <c r="BM87" i="9"/>
  <c r="BV87" i="9"/>
  <c r="BU87" i="9" s="1"/>
  <c r="BX88" i="9"/>
  <c r="BP88" i="8" s="1"/>
  <c r="BU162" i="8"/>
  <c r="BR162" i="8"/>
  <c r="BT163" i="8"/>
  <c r="BV162" i="8"/>
  <c r="CB165" i="8"/>
  <c r="CE164" i="8"/>
  <c r="CH160" i="8"/>
  <c r="CI160" i="8"/>
  <c r="BQ160" i="8"/>
  <c r="BX164" i="8"/>
  <c r="CA164" i="8" s="1"/>
  <c r="CD163" i="8"/>
  <c r="BZ163" i="8"/>
  <c r="BN158" i="8"/>
  <c r="BM158" i="8" s="1"/>
  <c r="BX87" i="9" l="1"/>
  <c r="BP87" i="8" s="1"/>
  <c r="BN85" i="9"/>
  <c r="BM86" i="9"/>
  <c r="BV86" i="9"/>
  <c r="BU86" i="9" s="1"/>
  <c r="BZ162" i="8"/>
  <c r="CD161" i="8" s="1"/>
  <c r="CF164" i="8"/>
  <c r="CH159" i="8"/>
  <c r="CI159" i="8"/>
  <c r="BQ159" i="8"/>
  <c r="BX163" i="8"/>
  <c r="CA163" i="8" s="1"/>
  <c r="CD162" i="8"/>
  <c r="CB164" i="8"/>
  <c r="CE163" i="8"/>
  <c r="BU161" i="8"/>
  <c r="BR161" i="8"/>
  <c r="BT162" i="8"/>
  <c r="BV161" i="8"/>
  <c r="BN157" i="8"/>
  <c r="BM157" i="8" s="1"/>
  <c r="BX162" i="8" l="1"/>
  <c r="CA162" i="8" s="1"/>
  <c r="CE161" i="8" s="1"/>
  <c r="BX86" i="9"/>
  <c r="BP86" i="8" s="1"/>
  <c r="BM85" i="9"/>
  <c r="BN84" i="9"/>
  <c r="BV85" i="9"/>
  <c r="BU85" i="9" s="1"/>
  <c r="CF163" i="8"/>
  <c r="BT161" i="8"/>
  <c r="BV160" i="8"/>
  <c r="CH158" i="8"/>
  <c r="CI158" i="8"/>
  <c r="BQ158" i="8"/>
  <c r="CB163" i="8"/>
  <c r="CF162" i="8" s="1"/>
  <c r="CE162" i="8"/>
  <c r="BZ161" i="8"/>
  <c r="BU160" i="8"/>
  <c r="BR160" i="8"/>
  <c r="BN156" i="8"/>
  <c r="BM156" i="8" s="1"/>
  <c r="CB162" i="8" l="1"/>
  <c r="Q24" i="5" s="1"/>
  <c r="R24" i="5" s="1"/>
  <c r="BM84" i="9"/>
  <c r="BN83" i="9"/>
  <c r="BX85" i="9"/>
  <c r="BP85" i="8" s="1"/>
  <c r="BV84" i="9"/>
  <c r="BU84" i="9" s="1"/>
  <c r="BZ160" i="8"/>
  <c r="CD159" i="8" s="1"/>
  <c r="BU159" i="8"/>
  <c r="BR159" i="8"/>
  <c r="BX161" i="8"/>
  <c r="CA161" i="8" s="1"/>
  <c r="CD160" i="8"/>
  <c r="CH157" i="8"/>
  <c r="CI157" i="8"/>
  <c r="BQ157" i="8"/>
  <c r="BT160" i="8"/>
  <c r="BV159" i="8"/>
  <c r="BN155" i="8"/>
  <c r="BM155" i="8" s="1"/>
  <c r="CF161" i="8" l="1"/>
  <c r="BN82" i="9"/>
  <c r="BM83" i="9"/>
  <c r="BX84" i="9"/>
  <c r="BP84" i="8" s="1"/>
  <c r="BV83" i="9"/>
  <c r="BU83" i="9" s="1"/>
  <c r="BX160" i="8"/>
  <c r="CA160" i="8" s="1"/>
  <c r="CB160" i="8" s="1"/>
  <c r="BZ159" i="8"/>
  <c r="CD158" i="8" s="1"/>
  <c r="BU158" i="8"/>
  <c r="BR158" i="8"/>
  <c r="CH156" i="8"/>
  <c r="CI156" i="8"/>
  <c r="BQ156" i="8"/>
  <c r="CB161" i="8"/>
  <c r="CF160" i="8" s="1"/>
  <c r="CE160" i="8"/>
  <c r="BT159" i="8"/>
  <c r="BV158" i="8"/>
  <c r="BN154" i="8"/>
  <c r="BM154" i="8" s="1"/>
  <c r="CE159" i="8" l="1"/>
  <c r="BX83" i="9"/>
  <c r="BP83" i="8" s="1"/>
  <c r="BN81" i="9"/>
  <c r="BM82" i="9"/>
  <c r="BV82" i="9"/>
  <c r="BU82" i="9" s="1"/>
  <c r="BX159" i="8"/>
  <c r="CA159" i="8" s="1"/>
  <c r="CB159" i="8" s="1"/>
  <c r="CF158" i="8" s="1"/>
  <c r="BZ158" i="8"/>
  <c r="BX158" i="8" s="1"/>
  <c r="CA158" i="8" s="1"/>
  <c r="BU157" i="8"/>
  <c r="BR157" i="8"/>
  <c r="CH155" i="8"/>
  <c r="CI155" i="8"/>
  <c r="BQ155" i="8"/>
  <c r="CF159" i="8"/>
  <c r="BT158" i="8"/>
  <c r="BV157" i="8"/>
  <c r="BN153" i="8"/>
  <c r="BM153" i="8" s="1"/>
  <c r="BX82" i="9" l="1"/>
  <c r="BP82" i="8" s="1"/>
  <c r="BN80" i="9"/>
  <c r="BM81" i="9"/>
  <c r="CE158" i="8"/>
  <c r="BV81" i="9"/>
  <c r="BU81" i="9" s="1"/>
  <c r="BZ157" i="8"/>
  <c r="CD156" i="8" s="1"/>
  <c r="CD157" i="8"/>
  <c r="CH154" i="8"/>
  <c r="CI154" i="8"/>
  <c r="BQ154" i="8"/>
  <c r="BU156" i="8"/>
  <c r="BR156" i="8"/>
  <c r="CB158" i="8"/>
  <c r="CF157" i="8" s="1"/>
  <c r="CE157" i="8"/>
  <c r="BT157" i="8"/>
  <c r="BV156" i="8"/>
  <c r="BN152" i="8"/>
  <c r="BM152" i="8" s="1"/>
  <c r="BX157" i="8" l="1"/>
  <c r="CA157" i="8" s="1"/>
  <c r="CB157" i="8" s="1"/>
  <c r="CF156" i="8" s="1"/>
  <c r="BX81" i="9"/>
  <c r="BP81" i="8" s="1"/>
  <c r="BN79" i="9"/>
  <c r="BM80" i="9"/>
  <c r="BV80" i="9"/>
  <c r="BU80" i="9" s="1"/>
  <c r="BZ156" i="8"/>
  <c r="CD155" i="8" s="1"/>
  <c r="CH153" i="8"/>
  <c r="CI153" i="8"/>
  <c r="BQ153" i="8"/>
  <c r="BU155" i="8"/>
  <c r="BR155" i="8"/>
  <c r="BT156" i="8"/>
  <c r="BV155" i="8"/>
  <c r="BN151" i="8"/>
  <c r="BM151" i="8" s="1"/>
  <c r="CE156" i="8" l="1"/>
  <c r="BX156" i="8"/>
  <c r="CA156" i="8" s="1"/>
  <c r="CE155" i="8" s="1"/>
  <c r="BX80" i="9"/>
  <c r="BP80" i="8" s="1"/>
  <c r="BN78" i="9"/>
  <c r="BM79" i="9"/>
  <c r="BV79" i="9"/>
  <c r="BU79" i="9" s="1"/>
  <c r="BT155" i="8"/>
  <c r="BV154" i="8"/>
  <c r="BZ155" i="8"/>
  <c r="BU154" i="8"/>
  <c r="BR154" i="8"/>
  <c r="CH152" i="8"/>
  <c r="CI152" i="8"/>
  <c r="BQ152" i="8"/>
  <c r="BN150" i="8"/>
  <c r="BM150" i="8" s="1"/>
  <c r="CB156" i="8" l="1"/>
  <c r="CF155" i="8" s="1"/>
  <c r="BN77" i="9"/>
  <c r="BM78" i="9"/>
  <c r="BX79" i="9"/>
  <c r="BP79" i="8" s="1"/>
  <c r="BV78" i="9"/>
  <c r="BU78" i="9" s="1"/>
  <c r="BZ154" i="8"/>
  <c r="BX154" i="8" s="1"/>
  <c r="CA154" i="8" s="1"/>
  <c r="BX155" i="8"/>
  <c r="CA155" i="8" s="1"/>
  <c r="CD154" i="8"/>
  <c r="BU153" i="8"/>
  <c r="BR153" i="8"/>
  <c r="BT154" i="8"/>
  <c r="BV153" i="8"/>
  <c r="CH151" i="8"/>
  <c r="CI151" i="8"/>
  <c r="BQ151" i="8"/>
  <c r="BN149" i="8"/>
  <c r="BM149" i="8" s="1"/>
  <c r="BX78" i="9" l="1"/>
  <c r="BP78" i="8" s="1"/>
  <c r="BN76" i="9"/>
  <c r="BM77" i="9"/>
  <c r="BV77" i="9"/>
  <c r="BU77" i="9" s="1"/>
  <c r="CD153" i="8"/>
  <c r="BZ153" i="8"/>
  <c r="BX153" i="8" s="1"/>
  <c r="CA153" i="8" s="1"/>
  <c r="BT153" i="8"/>
  <c r="BV152" i="8"/>
  <c r="CH150" i="8"/>
  <c r="CI150" i="8"/>
  <c r="BQ150" i="8"/>
  <c r="CB155" i="8"/>
  <c r="CF154" i="8" s="1"/>
  <c r="CE154" i="8"/>
  <c r="BU152" i="8"/>
  <c r="BR152" i="8"/>
  <c r="CB154" i="8"/>
  <c r="CE153" i="8"/>
  <c r="BN148" i="8"/>
  <c r="BM148" i="8" s="1"/>
  <c r="BX77" i="9" l="1"/>
  <c r="BP77" i="8" s="1"/>
  <c r="BN75" i="9"/>
  <c r="BM76" i="9"/>
  <c r="BV76" i="9"/>
  <c r="BU76" i="9" s="1"/>
  <c r="CD152" i="8"/>
  <c r="BT152" i="8"/>
  <c r="BV151" i="8"/>
  <c r="BU151" i="8"/>
  <c r="BR151" i="8"/>
  <c r="CH149" i="8"/>
  <c r="CI149" i="8"/>
  <c r="BQ149" i="8"/>
  <c r="CF153" i="8"/>
  <c r="BZ152" i="8"/>
  <c r="CB153" i="8"/>
  <c r="CF152" i="8" s="1"/>
  <c r="CE152" i="8"/>
  <c r="BN147" i="8"/>
  <c r="BM147" i="8" s="1"/>
  <c r="BX76" i="9" l="1"/>
  <c r="BP76" i="8" s="1"/>
  <c r="BN74" i="9"/>
  <c r="BM75" i="9"/>
  <c r="BV75" i="9"/>
  <c r="BU75" i="9" s="1"/>
  <c r="BZ151" i="8"/>
  <c r="BX151" i="8" s="1"/>
  <c r="CA151" i="8" s="1"/>
  <c r="BU150" i="8"/>
  <c r="BR150" i="8"/>
  <c r="CH148" i="8"/>
  <c r="CI148" i="8"/>
  <c r="BQ148" i="8"/>
  <c r="BT151" i="8"/>
  <c r="BV150" i="8"/>
  <c r="BX152" i="8"/>
  <c r="CA152" i="8" s="1"/>
  <c r="CD151" i="8"/>
  <c r="BN146" i="8"/>
  <c r="BM146" i="8" s="1"/>
  <c r="BX75" i="9" l="1"/>
  <c r="BP75" i="8" s="1"/>
  <c r="BN73" i="9"/>
  <c r="BM74" i="9"/>
  <c r="BV74" i="9"/>
  <c r="BU74" i="9" s="1"/>
  <c r="BZ150" i="8"/>
  <c r="BX150" i="8" s="1"/>
  <c r="CA150" i="8" s="1"/>
  <c r="CD150" i="8"/>
  <c r="BU149" i="8"/>
  <c r="BR149" i="8"/>
  <c r="CB151" i="8"/>
  <c r="CE150" i="8"/>
  <c r="CH147" i="8"/>
  <c r="CI147" i="8"/>
  <c r="BQ147" i="8"/>
  <c r="CB152" i="8"/>
  <c r="CF151" i="8" s="1"/>
  <c r="CE151" i="8"/>
  <c r="BT150" i="8"/>
  <c r="BV149" i="8"/>
  <c r="BN145" i="8"/>
  <c r="BM145" i="8" s="1"/>
  <c r="CD149" i="8" l="1"/>
  <c r="BX74" i="9"/>
  <c r="BP74" i="8" s="1"/>
  <c r="BN72" i="9"/>
  <c r="BM73" i="9"/>
  <c r="BV73" i="9"/>
  <c r="BU73" i="9" s="1"/>
  <c r="BZ149" i="8"/>
  <c r="BX149" i="8" s="1"/>
  <c r="CA149" i="8" s="1"/>
  <c r="BU148" i="8"/>
  <c r="BR148" i="8"/>
  <c r="CH146" i="8"/>
  <c r="CI146" i="8"/>
  <c r="BQ146" i="8"/>
  <c r="CF150" i="8"/>
  <c r="CB150" i="8"/>
  <c r="CE149" i="8"/>
  <c r="BT149" i="8"/>
  <c r="BV148" i="8"/>
  <c r="BN144" i="8"/>
  <c r="BM144" i="8" s="1"/>
  <c r="BZ148" i="8" l="1"/>
  <c r="CD147" i="8" s="1"/>
  <c r="BX73" i="9"/>
  <c r="BP73" i="8" s="1"/>
  <c r="BN71" i="9"/>
  <c r="BM72" i="9"/>
  <c r="BV72" i="9"/>
  <c r="BU72" i="9" s="1"/>
  <c r="CD148" i="8"/>
  <c r="CF149" i="8"/>
  <c r="Q23" i="5"/>
  <c r="R23" i="5" s="1"/>
  <c r="CH145" i="8"/>
  <c r="CI145" i="8"/>
  <c r="BQ145" i="8"/>
  <c r="BU147" i="8"/>
  <c r="BR147" i="8"/>
  <c r="CB149" i="8"/>
  <c r="CF148" i="8" s="1"/>
  <c r="CE148" i="8"/>
  <c r="BT148" i="8"/>
  <c r="BV147" i="8"/>
  <c r="BN143" i="8"/>
  <c r="BM143" i="8" s="1"/>
  <c r="BX148" i="8" l="1"/>
  <c r="CA148" i="8" s="1"/>
  <c r="CB148" i="8" s="1"/>
  <c r="CF147" i="8" s="1"/>
  <c r="BX72" i="9"/>
  <c r="BP72" i="8" s="1"/>
  <c r="BN70" i="9"/>
  <c r="BM71" i="9"/>
  <c r="BV71" i="9"/>
  <c r="BU71" i="9" s="1"/>
  <c r="BZ147" i="8"/>
  <c r="CD146" i="8" s="1"/>
  <c r="CH144" i="8"/>
  <c r="CI144" i="8"/>
  <c r="BQ144" i="8"/>
  <c r="BT147" i="8"/>
  <c r="BV146" i="8"/>
  <c r="BU146" i="8"/>
  <c r="BR146" i="8"/>
  <c r="BN142" i="8"/>
  <c r="BM142" i="8" s="1"/>
  <c r="CE147" i="8" l="1"/>
  <c r="BX147" i="8"/>
  <c r="CA147" i="8" s="1"/>
  <c r="CB147" i="8" s="1"/>
  <c r="BX71" i="9"/>
  <c r="BP71" i="8" s="1"/>
  <c r="BN69" i="9"/>
  <c r="BM70" i="9"/>
  <c r="BV70" i="9"/>
  <c r="BU70" i="9" s="1"/>
  <c r="BZ146" i="8"/>
  <c r="BX146" i="8" s="1"/>
  <c r="CA146" i="8" s="1"/>
  <c r="CH143" i="8"/>
  <c r="CI143" i="8"/>
  <c r="BQ143" i="8"/>
  <c r="BU145" i="8"/>
  <c r="BR145" i="8"/>
  <c r="BT146" i="8"/>
  <c r="BV145" i="8"/>
  <c r="BN141" i="8"/>
  <c r="BM141" i="8" s="1"/>
  <c r="CE146" i="8" l="1"/>
  <c r="BN68" i="9"/>
  <c r="BM69" i="9"/>
  <c r="BV69" i="9"/>
  <c r="BU69" i="9" s="1"/>
  <c r="BX70" i="9"/>
  <c r="BP70" i="8" s="1"/>
  <c r="CD145" i="8"/>
  <c r="BT145" i="8"/>
  <c r="BV144" i="8"/>
  <c r="BU144" i="8"/>
  <c r="BR144" i="8"/>
  <c r="CB146" i="8"/>
  <c r="CF145" i="8" s="1"/>
  <c r="CE145" i="8"/>
  <c r="CH142" i="8"/>
  <c r="CI142" i="8"/>
  <c r="BQ142" i="8"/>
  <c r="BZ145" i="8"/>
  <c r="CF146" i="8"/>
  <c r="BN140" i="8"/>
  <c r="BM140" i="8" s="1"/>
  <c r="BX69" i="9" l="1"/>
  <c r="BP69" i="8" s="1"/>
  <c r="BN67" i="9"/>
  <c r="BM68" i="9"/>
  <c r="BV68" i="9"/>
  <c r="BU68" i="9" s="1"/>
  <c r="BZ144" i="8"/>
  <c r="BX144" i="8" s="1"/>
  <c r="CA144" i="8" s="1"/>
  <c r="BT144" i="8"/>
  <c r="BV143" i="8"/>
  <c r="CH141" i="8"/>
  <c r="CI141" i="8"/>
  <c r="BQ141" i="8"/>
  <c r="BX145" i="8"/>
  <c r="CA145" i="8" s="1"/>
  <c r="CD144" i="8"/>
  <c r="BU143" i="8"/>
  <c r="BR143" i="8"/>
  <c r="BN139" i="8"/>
  <c r="BM139" i="8" s="1"/>
  <c r="BN66" i="9" l="1"/>
  <c r="BM67" i="9"/>
  <c r="BV67" i="9"/>
  <c r="BU67" i="9" s="1"/>
  <c r="BX68" i="9"/>
  <c r="BP68" i="8" s="1"/>
  <c r="CD143" i="8"/>
  <c r="CB144" i="8"/>
  <c r="CE143" i="8"/>
  <c r="BU142" i="8"/>
  <c r="BR142" i="8"/>
  <c r="BT143" i="8"/>
  <c r="BV142" i="8"/>
  <c r="CB145" i="8"/>
  <c r="CF144" i="8" s="1"/>
  <c r="CE144" i="8"/>
  <c r="CH140" i="8"/>
  <c r="CI140" i="8"/>
  <c r="BQ140" i="8"/>
  <c r="BZ143" i="8"/>
  <c r="BN138" i="8"/>
  <c r="BM138" i="8" s="1"/>
  <c r="BX67" i="9" l="1"/>
  <c r="BP67" i="8" s="1"/>
  <c r="BN65" i="9"/>
  <c r="BM66" i="9"/>
  <c r="BV66" i="9"/>
  <c r="BU66" i="9" s="1"/>
  <c r="BZ142" i="8"/>
  <c r="BX142" i="8" s="1"/>
  <c r="CA142" i="8" s="1"/>
  <c r="CH139" i="8"/>
  <c r="CI139" i="8"/>
  <c r="BQ139" i="8"/>
  <c r="BX143" i="8"/>
  <c r="CA143" i="8" s="1"/>
  <c r="CD142" i="8"/>
  <c r="BU141" i="8"/>
  <c r="BR141" i="8"/>
  <c r="BT142" i="8"/>
  <c r="BV141" i="8"/>
  <c r="CF143" i="8"/>
  <c r="BN137" i="8"/>
  <c r="BM137" i="8" s="1"/>
  <c r="CD141" i="8" l="1"/>
  <c r="BX66" i="9"/>
  <c r="BP66" i="8" s="1"/>
  <c r="BN64" i="9"/>
  <c r="BM65" i="9"/>
  <c r="BV65" i="9"/>
  <c r="BU65" i="9" s="1"/>
  <c r="BT141" i="8"/>
  <c r="BV140" i="8"/>
  <c r="BU140" i="8"/>
  <c r="BR140" i="8"/>
  <c r="CB142" i="8"/>
  <c r="CE141" i="8"/>
  <c r="CH138" i="8"/>
  <c r="CI138" i="8"/>
  <c r="BQ138" i="8"/>
  <c r="CB143" i="8"/>
  <c r="CE142" i="8"/>
  <c r="BZ141" i="8"/>
  <c r="BN136" i="8"/>
  <c r="BM136" i="8" s="1"/>
  <c r="BX65" i="9" l="1"/>
  <c r="BP65" i="8" s="1"/>
  <c r="BN63" i="9"/>
  <c r="BM64" i="9"/>
  <c r="BV64" i="9"/>
  <c r="BU64" i="9" s="1"/>
  <c r="BZ140" i="8"/>
  <c r="CD139" i="8" s="1"/>
  <c r="CF141" i="8"/>
  <c r="CH137" i="8"/>
  <c r="CI137" i="8"/>
  <c r="BQ137" i="8"/>
  <c r="BX141" i="8"/>
  <c r="CA141" i="8" s="1"/>
  <c r="CD140" i="8"/>
  <c r="BT140" i="8"/>
  <c r="BV139" i="8"/>
  <c r="CF142" i="8"/>
  <c r="BU139" i="8"/>
  <c r="BR139" i="8"/>
  <c r="BN135" i="8"/>
  <c r="BM135" i="8" s="1"/>
  <c r="BX140" i="8" l="1"/>
  <c r="CA140" i="8" s="1"/>
  <c r="CB140" i="8" s="1"/>
  <c r="BX64" i="9"/>
  <c r="BP64" i="8" s="1"/>
  <c r="BN62" i="9"/>
  <c r="BM63" i="9"/>
  <c r="BV63" i="9"/>
  <c r="BU63" i="9" s="1"/>
  <c r="BZ139" i="8"/>
  <c r="BX139" i="8" s="1"/>
  <c r="CA139" i="8" s="1"/>
  <c r="CH136" i="8"/>
  <c r="CI136" i="8"/>
  <c r="BQ136" i="8"/>
  <c r="CB141" i="8"/>
  <c r="CF140" i="8" s="1"/>
  <c r="CE140" i="8"/>
  <c r="BR138" i="8"/>
  <c r="BU138" i="8"/>
  <c r="BT139" i="8"/>
  <c r="BV138" i="8"/>
  <c r="BN134" i="8"/>
  <c r="BM134" i="8" s="1"/>
  <c r="CE139" i="8" l="1"/>
  <c r="BX63" i="9"/>
  <c r="BP63" i="8" s="1"/>
  <c r="BN61" i="9"/>
  <c r="BM62" i="9"/>
  <c r="BV62" i="9"/>
  <c r="BU62" i="9" s="1"/>
  <c r="CD138" i="8"/>
  <c r="CF139" i="8"/>
  <c r="CH135" i="8"/>
  <c r="CI135" i="8"/>
  <c r="BQ135" i="8"/>
  <c r="CB139" i="8"/>
  <c r="CF138" i="8" s="1"/>
  <c r="CE138" i="8"/>
  <c r="BT138" i="8"/>
  <c r="BV137" i="8"/>
  <c r="BU137" i="8"/>
  <c r="BR137" i="8"/>
  <c r="BZ138" i="8"/>
  <c r="BN133" i="8"/>
  <c r="BM133" i="8" s="1"/>
  <c r="BX62" i="9" l="1"/>
  <c r="BP62" i="8" s="1"/>
  <c r="BN60" i="9"/>
  <c r="BM61" i="9"/>
  <c r="BV61" i="9"/>
  <c r="BU61" i="9" s="1"/>
  <c r="BT137" i="8"/>
  <c r="BV136" i="8"/>
  <c r="CH134" i="8"/>
  <c r="CI134" i="8"/>
  <c r="BQ134" i="8"/>
  <c r="BU136" i="8"/>
  <c r="BR136" i="8"/>
  <c r="BX138" i="8"/>
  <c r="CA138" i="8" s="1"/>
  <c r="CD137" i="8"/>
  <c r="BZ137" i="8"/>
  <c r="BN132" i="8"/>
  <c r="BM132" i="8" s="1"/>
  <c r="BN59" i="9" l="1"/>
  <c r="BM60" i="9"/>
  <c r="BV60" i="9"/>
  <c r="BU60" i="9" s="1"/>
  <c r="BX61" i="9"/>
  <c r="BP61" i="8" s="1"/>
  <c r="BZ136" i="8"/>
  <c r="BX136" i="8" s="1"/>
  <c r="CA136" i="8" s="1"/>
  <c r="CB138" i="8"/>
  <c r="Q22" i="5" s="1"/>
  <c r="R22" i="5" s="1"/>
  <c r="CE137" i="8"/>
  <c r="BU135" i="8"/>
  <c r="BR135" i="8"/>
  <c r="BX137" i="8"/>
  <c r="CA137" i="8" s="1"/>
  <c r="CD136" i="8"/>
  <c r="BT136" i="8"/>
  <c r="BV135" i="8"/>
  <c r="CH133" i="8"/>
  <c r="CI133" i="8"/>
  <c r="BQ133" i="8"/>
  <c r="BN131" i="8"/>
  <c r="BM131" i="8" s="1"/>
  <c r="CD135" i="8" l="1"/>
  <c r="BX60" i="9"/>
  <c r="BP60" i="8" s="1"/>
  <c r="BN58" i="9"/>
  <c r="BM59" i="9"/>
  <c r="BV59" i="9"/>
  <c r="BU59" i="9" s="1"/>
  <c r="BZ135" i="8"/>
  <c r="BX135" i="8" s="1"/>
  <c r="CA135" i="8" s="1"/>
  <c r="CB136" i="8"/>
  <c r="CE135" i="8"/>
  <c r="CB137" i="8"/>
  <c r="CE136" i="8"/>
  <c r="CH132" i="8"/>
  <c r="CI132" i="8"/>
  <c r="BQ132" i="8"/>
  <c r="BU134" i="8"/>
  <c r="BR134" i="8"/>
  <c r="BT135" i="8"/>
  <c r="BV134" i="8"/>
  <c r="CF137" i="8"/>
  <c r="BN130" i="8"/>
  <c r="BM130" i="8" s="1"/>
  <c r="BX59" i="9" l="1"/>
  <c r="BP59" i="8" s="1"/>
  <c r="BN57" i="9"/>
  <c r="BM58" i="9"/>
  <c r="BV58" i="9"/>
  <c r="BU58" i="9" s="1"/>
  <c r="CD134" i="8"/>
  <c r="BT134" i="8"/>
  <c r="BV133" i="8"/>
  <c r="BU133" i="8"/>
  <c r="BR133" i="8"/>
  <c r="CH131" i="8"/>
  <c r="CI131" i="8"/>
  <c r="BQ131" i="8"/>
  <c r="BU132" i="8" s="1"/>
  <c r="CB135" i="8"/>
  <c r="CF134" i="8" s="1"/>
  <c r="CE134" i="8"/>
  <c r="BZ134" i="8"/>
  <c r="CF136" i="8"/>
  <c r="CF135" i="8"/>
  <c r="BN129" i="8"/>
  <c r="BM129" i="8" s="1"/>
  <c r="BX58" i="9" l="1"/>
  <c r="BP58" i="8" s="1"/>
  <c r="BN56" i="9"/>
  <c r="BM57" i="9"/>
  <c r="BV57" i="9"/>
  <c r="BU57" i="9" s="1"/>
  <c r="BZ133" i="8"/>
  <c r="CD132" i="8" s="1"/>
  <c r="CH130" i="8"/>
  <c r="CI130" i="8"/>
  <c r="BQ130" i="8"/>
  <c r="BT132" i="8"/>
  <c r="BV131" i="8"/>
  <c r="BT133" i="8"/>
  <c r="BV132" i="8"/>
  <c r="BX134" i="8"/>
  <c r="CA134" i="8" s="1"/>
  <c r="CD133" i="8"/>
  <c r="BR132" i="8"/>
  <c r="BZ132" i="8" s="1"/>
  <c r="BN128" i="8"/>
  <c r="BM128" i="8" s="1"/>
  <c r="BX57" i="9" l="1"/>
  <c r="BP57" i="8" s="1"/>
  <c r="BN55" i="9"/>
  <c r="BM56" i="9"/>
  <c r="BV56" i="9"/>
  <c r="BU56" i="9" s="1"/>
  <c r="BX133" i="8"/>
  <c r="CA133" i="8" s="1"/>
  <c r="CB133" i="8" s="1"/>
  <c r="CH129" i="8"/>
  <c r="CI129" i="8"/>
  <c r="BQ129" i="8"/>
  <c r="BU131" i="8"/>
  <c r="BR131" i="8"/>
  <c r="BX132" i="8"/>
  <c r="CA132" i="8" s="1"/>
  <c r="CD131" i="8"/>
  <c r="CB134" i="8"/>
  <c r="CF133" i="8" s="1"/>
  <c r="CE133" i="8"/>
  <c r="BN127" i="8"/>
  <c r="BM127" i="8" s="1"/>
  <c r="BX56" i="9" l="1"/>
  <c r="BP56" i="8" s="1"/>
  <c r="BN54" i="9"/>
  <c r="BM55" i="9"/>
  <c r="CE132" i="8"/>
  <c r="BV55" i="9"/>
  <c r="BU55" i="9" s="1"/>
  <c r="BZ131" i="8"/>
  <c r="BX131" i="8" s="1"/>
  <c r="CA131" i="8" s="1"/>
  <c r="CF132" i="8"/>
  <c r="CH128" i="8"/>
  <c r="CI128" i="8"/>
  <c r="BQ128" i="8"/>
  <c r="CB132" i="8"/>
  <c r="CE131" i="8"/>
  <c r="BT131" i="8"/>
  <c r="BV130" i="8"/>
  <c r="BU130" i="8"/>
  <c r="BR130" i="8"/>
  <c r="BN126" i="8"/>
  <c r="BM126" i="8" s="1"/>
  <c r="BN53" i="9" l="1"/>
  <c r="BM54" i="9"/>
  <c r="BV54" i="9"/>
  <c r="BU54" i="9" s="1"/>
  <c r="BX55" i="9"/>
  <c r="BP55" i="8" s="1"/>
  <c r="CD130" i="8"/>
  <c r="BZ130" i="8"/>
  <c r="BX130" i="8" s="1"/>
  <c r="CA130" i="8" s="1"/>
  <c r="CH127" i="8"/>
  <c r="CI127" i="8"/>
  <c r="BQ127" i="8"/>
  <c r="CF131" i="8"/>
  <c r="CB131" i="8"/>
  <c r="CF130" i="8" s="1"/>
  <c r="CE130" i="8"/>
  <c r="BU129" i="8"/>
  <c r="BR129" i="8"/>
  <c r="BT130" i="8"/>
  <c r="BV129" i="8"/>
  <c r="BN125" i="8"/>
  <c r="BM125" i="8" s="1"/>
  <c r="BX54" i="9" l="1"/>
  <c r="BP54" i="8" s="1"/>
  <c r="BN52" i="9"/>
  <c r="BM53" i="9"/>
  <c r="BV53" i="9"/>
  <c r="BU53" i="9" s="1"/>
  <c r="CD129" i="8"/>
  <c r="BT129" i="8"/>
  <c r="BV128" i="8"/>
  <c r="CH126" i="8"/>
  <c r="CI126" i="8"/>
  <c r="BQ126" i="8"/>
  <c r="BU128" i="8"/>
  <c r="BR128" i="8"/>
  <c r="CB130" i="8"/>
  <c r="CF129" i="8" s="1"/>
  <c r="CE129" i="8"/>
  <c r="BZ129" i="8"/>
  <c r="BN124" i="8"/>
  <c r="BM124" i="8" s="1"/>
  <c r="BX53" i="9" l="1"/>
  <c r="BP53" i="8" s="1"/>
  <c r="BN51" i="9"/>
  <c r="BM52" i="9"/>
  <c r="BV52" i="9"/>
  <c r="BU52" i="9" s="1"/>
  <c r="BZ128" i="8"/>
  <c r="BX128" i="8" s="1"/>
  <c r="CA128" i="8" s="1"/>
  <c r="BU127" i="8"/>
  <c r="BR127" i="8"/>
  <c r="BX129" i="8"/>
  <c r="CA129" i="8" s="1"/>
  <c r="CD128" i="8"/>
  <c r="BT128" i="8"/>
  <c r="BV127" i="8"/>
  <c r="CH125" i="8"/>
  <c r="CI125" i="8"/>
  <c r="BQ125" i="8"/>
  <c r="BN123" i="8"/>
  <c r="BM123" i="8" s="1"/>
  <c r="BX52" i="9" l="1"/>
  <c r="BP52" i="8" s="1"/>
  <c r="BN50" i="9"/>
  <c r="BM51" i="9"/>
  <c r="BV51" i="9"/>
  <c r="BU51" i="9" s="1"/>
  <c r="CD127" i="8"/>
  <c r="BZ127" i="8"/>
  <c r="BX127" i="8" s="1"/>
  <c r="CA127" i="8" s="1"/>
  <c r="CB129" i="8"/>
  <c r="CF128" i="8" s="1"/>
  <c r="CE128" i="8"/>
  <c r="CH124" i="8"/>
  <c r="CI124" i="8"/>
  <c r="BQ124" i="8"/>
  <c r="BU126" i="8"/>
  <c r="BR126" i="8"/>
  <c r="BT127" i="8"/>
  <c r="BV126" i="8"/>
  <c r="CB128" i="8"/>
  <c r="CE127" i="8"/>
  <c r="BN122" i="8"/>
  <c r="BM122" i="8" s="1"/>
  <c r="BX51" i="9" l="1"/>
  <c r="BP51" i="8" s="1"/>
  <c r="BN49" i="9"/>
  <c r="BM50" i="9"/>
  <c r="BV50" i="9"/>
  <c r="BU50" i="9" s="1"/>
  <c r="CD126" i="8"/>
  <c r="CF127" i="8"/>
  <c r="BZ126" i="8"/>
  <c r="BX126" i="8" s="1"/>
  <c r="CA126" i="8" s="1"/>
  <c r="CB127" i="8"/>
  <c r="CF126" i="8" s="1"/>
  <c r="CE126" i="8"/>
  <c r="CH123" i="8"/>
  <c r="CI123" i="8"/>
  <c r="BQ123" i="8"/>
  <c r="BT126" i="8"/>
  <c r="BV125" i="8"/>
  <c r="BU125" i="8"/>
  <c r="BR125" i="8"/>
  <c r="BN121" i="8"/>
  <c r="BM121" i="8" s="1"/>
  <c r="BX50" i="9" l="1"/>
  <c r="BP50" i="8" s="1"/>
  <c r="BN48" i="9"/>
  <c r="BM49" i="9"/>
  <c r="BV49" i="9"/>
  <c r="BU49" i="9" s="1"/>
  <c r="CD125" i="8"/>
  <c r="BU124" i="8"/>
  <c r="BR124" i="8"/>
  <c r="BT125" i="8"/>
  <c r="BV124" i="8"/>
  <c r="CH122" i="8"/>
  <c r="CI122" i="8"/>
  <c r="BQ122" i="8"/>
  <c r="BZ125" i="8"/>
  <c r="CB126" i="8"/>
  <c r="CE125" i="8"/>
  <c r="BN120" i="8"/>
  <c r="BM120" i="8" s="1"/>
  <c r="BX49" i="9" l="1"/>
  <c r="BP49" i="8" s="1"/>
  <c r="BN47" i="9"/>
  <c r="BM48" i="9"/>
  <c r="BV48" i="9"/>
  <c r="BU48" i="9" s="1"/>
  <c r="CF125" i="8"/>
  <c r="Q21" i="5"/>
  <c r="R21" i="5" s="1"/>
  <c r="BZ124" i="8"/>
  <c r="BX124" i="8" s="1"/>
  <c r="CA124" i="8" s="1"/>
  <c r="BU123" i="8"/>
  <c r="CH121" i="8"/>
  <c r="CI121" i="8"/>
  <c r="BQ121" i="8"/>
  <c r="BT124" i="8"/>
  <c r="BV123" i="8"/>
  <c r="BX125" i="8"/>
  <c r="CA125" i="8" s="1"/>
  <c r="CD124" i="8"/>
  <c r="BR123" i="8"/>
  <c r="BN119" i="8"/>
  <c r="BM119" i="8" s="1"/>
  <c r="BX48" i="9" l="1"/>
  <c r="BP48" i="8" s="1"/>
  <c r="BN46" i="9"/>
  <c r="BM47" i="9"/>
  <c r="BV47" i="9"/>
  <c r="BU47" i="9" s="1"/>
  <c r="CD123" i="8"/>
  <c r="BZ123" i="8"/>
  <c r="BX123" i="8" s="1"/>
  <c r="CA123" i="8" s="1"/>
  <c r="CH120" i="8"/>
  <c r="CI120" i="8"/>
  <c r="BQ120" i="8"/>
  <c r="BR121" i="8" s="1"/>
  <c r="BU122" i="8"/>
  <c r="CB124" i="8"/>
  <c r="CE123" i="8"/>
  <c r="CB125" i="8"/>
  <c r="CF124" i="8" s="1"/>
  <c r="CE124" i="8"/>
  <c r="BT123" i="8"/>
  <c r="BV122" i="8"/>
  <c r="BR122" i="8"/>
  <c r="BN118" i="8"/>
  <c r="BM118" i="8" s="1"/>
  <c r="BX47" i="9" l="1"/>
  <c r="BP47" i="8" s="1"/>
  <c r="BN45" i="9"/>
  <c r="BM46" i="9"/>
  <c r="BV46" i="9"/>
  <c r="BU46" i="9" s="1"/>
  <c r="CD122" i="8"/>
  <c r="CF123" i="8"/>
  <c r="BZ122" i="8"/>
  <c r="BX122" i="8" s="1"/>
  <c r="CA122" i="8" s="1"/>
  <c r="CH119" i="8"/>
  <c r="CI119" i="8"/>
  <c r="BQ119" i="8"/>
  <c r="BR120" i="8" s="1"/>
  <c r="CB123" i="8"/>
  <c r="CF122" i="8" s="1"/>
  <c r="CE122" i="8"/>
  <c r="BT122" i="8"/>
  <c r="BV121" i="8"/>
  <c r="BU121" i="8"/>
  <c r="BN117" i="8"/>
  <c r="BM117" i="8" s="1"/>
  <c r="BX46" i="9" l="1"/>
  <c r="BP46" i="8" s="1"/>
  <c r="BN44" i="9"/>
  <c r="BM45" i="9"/>
  <c r="BV45" i="9"/>
  <c r="BU45" i="9" s="1"/>
  <c r="CD121" i="8"/>
  <c r="CB122" i="8"/>
  <c r="CE121" i="8"/>
  <c r="CH118" i="8"/>
  <c r="CI118" i="8"/>
  <c r="BQ118" i="8"/>
  <c r="BT121" i="8"/>
  <c r="BV120" i="8"/>
  <c r="BU120" i="8"/>
  <c r="BZ120" i="8" s="1"/>
  <c r="BZ121" i="8"/>
  <c r="BN116" i="8"/>
  <c r="BM116" i="8" s="1"/>
  <c r="BN43" i="9" l="1"/>
  <c r="BM44" i="9"/>
  <c r="BV44" i="9"/>
  <c r="BU44" i="9" s="1"/>
  <c r="BX45" i="9"/>
  <c r="BP45" i="8" s="1"/>
  <c r="BX120" i="8"/>
  <c r="CA120" i="8" s="1"/>
  <c r="CD119" i="8"/>
  <c r="CH117" i="8"/>
  <c r="CI117" i="8"/>
  <c r="BQ117" i="8"/>
  <c r="BR118" i="8" s="1"/>
  <c r="BU119" i="8"/>
  <c r="BX121" i="8"/>
  <c r="CA121" i="8" s="1"/>
  <c r="CD120" i="8"/>
  <c r="BT120" i="8"/>
  <c r="BV119" i="8"/>
  <c r="BR119" i="8"/>
  <c r="CF121" i="8"/>
  <c r="BN115" i="8"/>
  <c r="BM115" i="8" s="1"/>
  <c r="BX44" i="9" l="1"/>
  <c r="BP44" i="8" s="1"/>
  <c r="BN42" i="9"/>
  <c r="BM43" i="9"/>
  <c r="BV43" i="9"/>
  <c r="BU43" i="9" s="1"/>
  <c r="CH116" i="8"/>
  <c r="CI116" i="8"/>
  <c r="BQ116" i="8"/>
  <c r="CB121" i="8"/>
  <c r="CE120" i="8"/>
  <c r="BT119" i="8"/>
  <c r="BV118" i="8"/>
  <c r="BU118" i="8"/>
  <c r="BZ118" i="8" s="1"/>
  <c r="BZ119" i="8"/>
  <c r="CB120" i="8"/>
  <c r="CE119" i="8"/>
  <c r="BN114" i="8"/>
  <c r="BM114" i="8" s="1"/>
  <c r="BX43" i="9" l="1"/>
  <c r="BP43" i="8" s="1"/>
  <c r="BN41" i="9"/>
  <c r="BM42" i="9"/>
  <c r="BV42" i="9"/>
  <c r="BU42" i="9" s="1"/>
  <c r="CF119" i="8"/>
  <c r="BX118" i="8"/>
  <c r="CA118" i="8" s="1"/>
  <c r="CD117" i="8"/>
  <c r="CH115" i="8"/>
  <c r="CI115" i="8"/>
  <c r="BQ115" i="8"/>
  <c r="BR116" i="8" s="1"/>
  <c r="BU117" i="8"/>
  <c r="CF120" i="8"/>
  <c r="BX119" i="8"/>
  <c r="CA119" i="8" s="1"/>
  <c r="CD118" i="8"/>
  <c r="BT118" i="8"/>
  <c r="BV117" i="8"/>
  <c r="BR117" i="8"/>
  <c r="BN113" i="8"/>
  <c r="BM113" i="8" s="1"/>
  <c r="BX42" i="9" l="1"/>
  <c r="BP42" i="8" s="1"/>
  <c r="BN40" i="9"/>
  <c r="BM41" i="9"/>
  <c r="BV41" i="9"/>
  <c r="BU41" i="9" s="1"/>
  <c r="BT117" i="8"/>
  <c r="BV116" i="8"/>
  <c r="BU116" i="8"/>
  <c r="CB119" i="8"/>
  <c r="CF118" i="8" s="1"/>
  <c r="CE118" i="8"/>
  <c r="CH114" i="8"/>
  <c r="CI114" i="8"/>
  <c r="BQ114" i="8"/>
  <c r="BR115" i="8" s="1"/>
  <c r="BZ117" i="8"/>
  <c r="CB118" i="8"/>
  <c r="CE117" i="8"/>
  <c r="BN112" i="8"/>
  <c r="BM112" i="8" s="1"/>
  <c r="BX41" i="9" l="1"/>
  <c r="BP41" i="8" s="1"/>
  <c r="BN39" i="9"/>
  <c r="BM40" i="9"/>
  <c r="BV40" i="9"/>
  <c r="BU40" i="9" s="1"/>
  <c r="CH113" i="8"/>
  <c r="CI113" i="8"/>
  <c r="BQ113" i="8"/>
  <c r="BR114" i="8" s="1"/>
  <c r="CF117" i="8"/>
  <c r="BT116" i="8"/>
  <c r="BV115" i="8"/>
  <c r="BZ116" i="8"/>
  <c r="BX117" i="8"/>
  <c r="CA117" i="8" s="1"/>
  <c r="CD116" i="8"/>
  <c r="BU115" i="8"/>
  <c r="BN111" i="8"/>
  <c r="BM111" i="8" s="1"/>
  <c r="BX40" i="9" l="1"/>
  <c r="BP40" i="8" s="1"/>
  <c r="BN38" i="9"/>
  <c r="BM39" i="9"/>
  <c r="BV39" i="9"/>
  <c r="BU39" i="9" s="1"/>
  <c r="BU114" i="8"/>
  <c r="BZ114" i="8" s="1"/>
  <c r="CB117" i="8"/>
  <c r="CE116" i="8"/>
  <c r="BX116" i="8"/>
  <c r="CA116" i="8" s="1"/>
  <c r="CD115" i="8"/>
  <c r="CH112" i="8"/>
  <c r="CI112" i="8"/>
  <c r="BQ112" i="8"/>
  <c r="BT115" i="8"/>
  <c r="BV114" i="8"/>
  <c r="BZ115" i="8"/>
  <c r="BN110" i="8"/>
  <c r="BM110" i="8" s="1"/>
  <c r="BX39" i="9" l="1"/>
  <c r="BP39" i="8" s="1"/>
  <c r="BN37" i="9"/>
  <c r="BM38" i="9"/>
  <c r="BV38" i="9"/>
  <c r="BU38" i="9" s="1"/>
  <c r="CH111" i="8"/>
  <c r="CI111" i="8"/>
  <c r="BQ111" i="8"/>
  <c r="BR112" i="8" s="1"/>
  <c r="CB116" i="8"/>
  <c r="CE115" i="8"/>
  <c r="BX115" i="8"/>
  <c r="CA115" i="8" s="1"/>
  <c r="CD114" i="8"/>
  <c r="BX114" i="8"/>
  <c r="CA114" i="8" s="1"/>
  <c r="CD113" i="8"/>
  <c r="CF116" i="8"/>
  <c r="BU113" i="8"/>
  <c r="BT114" i="8"/>
  <c r="BV113" i="8"/>
  <c r="BR113" i="8"/>
  <c r="BN109" i="8"/>
  <c r="BM109" i="8" s="1"/>
  <c r="BX38" i="9" l="1"/>
  <c r="BP38" i="8" s="1"/>
  <c r="BN36" i="9"/>
  <c r="BM37" i="9"/>
  <c r="BV37" i="9"/>
  <c r="BU37" i="9" s="1"/>
  <c r="BZ113" i="8"/>
  <c r="BX113" i="8" s="1"/>
  <c r="CA113" i="8" s="1"/>
  <c r="CB114" i="8"/>
  <c r="CE113" i="8"/>
  <c r="CF115" i="8"/>
  <c r="BU112" i="8"/>
  <c r="BZ112" i="8" s="1"/>
  <c r="CB115" i="8"/>
  <c r="CF114" i="8" s="1"/>
  <c r="CE114" i="8"/>
  <c r="BT113" i="8"/>
  <c r="BV112" i="8"/>
  <c r="CH110" i="8"/>
  <c r="CI110" i="8"/>
  <c r="BQ110" i="8"/>
  <c r="BN108" i="8"/>
  <c r="BM108" i="8" s="1"/>
  <c r="Q20" i="5" l="1"/>
  <c r="R20" i="5" s="1"/>
  <c r="BX37" i="9"/>
  <c r="BP37" i="8" s="1"/>
  <c r="BN35" i="9"/>
  <c r="BM36" i="9"/>
  <c r="BV36" i="9"/>
  <c r="BU36" i="9" s="1"/>
  <c r="CD112" i="8"/>
  <c r="BU111" i="8"/>
  <c r="BR111" i="8"/>
  <c r="BX112" i="8"/>
  <c r="CA112" i="8" s="1"/>
  <c r="CD111" i="8"/>
  <c r="CF113" i="8"/>
  <c r="CH109" i="8"/>
  <c r="CI109" i="8"/>
  <c r="BQ109" i="8"/>
  <c r="BT112" i="8"/>
  <c r="BV111" i="8"/>
  <c r="CB113" i="8"/>
  <c r="CE112" i="8"/>
  <c r="BN107" i="8"/>
  <c r="BM107" i="8" s="1"/>
  <c r="BX36" i="9" l="1"/>
  <c r="BP36" i="8" s="1"/>
  <c r="BN34" i="9"/>
  <c r="BM35" i="9"/>
  <c r="BV35" i="9"/>
  <c r="BU35" i="9" s="1"/>
  <c r="BZ111" i="8"/>
  <c r="BX111" i="8" s="1"/>
  <c r="CA111" i="8" s="1"/>
  <c r="CH108" i="8"/>
  <c r="CI108" i="8"/>
  <c r="BQ108" i="8"/>
  <c r="BU109" i="8" s="1"/>
  <c r="CF112" i="8"/>
  <c r="BU110" i="8"/>
  <c r="BT111" i="8"/>
  <c r="BV110" i="8"/>
  <c r="CB112" i="8"/>
  <c r="CE111" i="8"/>
  <c r="BR110" i="8"/>
  <c r="BN106" i="8"/>
  <c r="BM106" i="8" s="1"/>
  <c r="BX35" i="9" l="1"/>
  <c r="BP35" i="8" s="1"/>
  <c r="CD110" i="8"/>
  <c r="BN33" i="9"/>
  <c r="BM34" i="9"/>
  <c r="BV34" i="9"/>
  <c r="BU34" i="9" s="1"/>
  <c r="BR109" i="8"/>
  <c r="BZ109" i="8" s="1"/>
  <c r="BX109" i="8" s="1"/>
  <c r="CA109" i="8" s="1"/>
  <c r="BZ110" i="8"/>
  <c r="CH107" i="8"/>
  <c r="CI107" i="8"/>
  <c r="BQ107" i="8"/>
  <c r="CF111" i="8"/>
  <c r="BT109" i="8"/>
  <c r="BV108" i="8"/>
  <c r="CB111" i="8"/>
  <c r="CF110" i="8" s="1"/>
  <c r="CE110" i="8"/>
  <c r="BT110" i="8"/>
  <c r="BV109" i="8"/>
  <c r="BN105" i="8"/>
  <c r="BM105" i="8" s="1"/>
  <c r="CD108" i="8" l="1"/>
  <c r="BX34" i="9"/>
  <c r="BP34" i="8" s="1"/>
  <c r="BM33" i="9"/>
  <c r="BN32" i="9"/>
  <c r="BV33" i="9"/>
  <c r="BU33" i="9" s="1"/>
  <c r="CD109" i="8"/>
  <c r="BX110" i="8"/>
  <c r="CA110" i="8" s="1"/>
  <c r="CE108" i="8" s="1"/>
  <c r="CH106" i="8"/>
  <c r="CI106" i="8"/>
  <c r="BQ106" i="8"/>
  <c r="BU108" i="8"/>
  <c r="BR108" i="8"/>
  <c r="CB109" i="8"/>
  <c r="BN104" i="8"/>
  <c r="BM104" i="8" s="1"/>
  <c r="CE109" i="8" l="1"/>
  <c r="CB110" i="8"/>
  <c r="CF109" i="8" s="1"/>
  <c r="BN31" i="9"/>
  <c r="BM32" i="9"/>
  <c r="BX33" i="9"/>
  <c r="BP33" i="8" s="1"/>
  <c r="BV32" i="9"/>
  <c r="BU32" i="9" s="1"/>
  <c r="BZ108" i="8"/>
  <c r="BX108" i="8" s="1"/>
  <c r="CA108" i="8" s="1"/>
  <c r="BT108" i="8"/>
  <c r="BV107" i="8"/>
  <c r="BU107" i="8"/>
  <c r="BR107" i="8"/>
  <c r="CH105" i="8"/>
  <c r="CI105" i="8"/>
  <c r="BQ105" i="8"/>
  <c r="BN103" i="8"/>
  <c r="BM103" i="8" s="1"/>
  <c r="CF108" i="8" l="1"/>
  <c r="BN30" i="9"/>
  <c r="BM31" i="9"/>
  <c r="BX32" i="9"/>
  <c r="BP32" i="8" s="1"/>
  <c r="BV31" i="9"/>
  <c r="BU31" i="9" s="1"/>
  <c r="CD107" i="8"/>
  <c r="BZ107" i="8"/>
  <c r="BX107" i="8" s="1"/>
  <c r="CA107" i="8" s="1"/>
  <c r="BT107" i="8"/>
  <c r="BV106" i="8"/>
  <c r="CH104" i="8"/>
  <c r="CI104" i="8"/>
  <c r="BQ104" i="8"/>
  <c r="BU106" i="8"/>
  <c r="BR106" i="8"/>
  <c r="CB108" i="8"/>
  <c r="CE107" i="8"/>
  <c r="BN102" i="8"/>
  <c r="BM102" i="8" s="1"/>
  <c r="BX31" i="9" l="1"/>
  <c r="BP31" i="8" s="1"/>
  <c r="BN29" i="9"/>
  <c r="BM30" i="9"/>
  <c r="BV30" i="9"/>
  <c r="BU30" i="9" s="1"/>
  <c r="CD106" i="8"/>
  <c r="BU105" i="8"/>
  <c r="BR105" i="8"/>
  <c r="BT106" i="8"/>
  <c r="BV105" i="8"/>
  <c r="CH103" i="8"/>
  <c r="CI103" i="8"/>
  <c r="BQ103" i="8"/>
  <c r="CF107" i="8"/>
  <c r="BZ106" i="8"/>
  <c r="CB107" i="8"/>
  <c r="CF106" i="8" s="1"/>
  <c r="CE106" i="8"/>
  <c r="BN101" i="8"/>
  <c r="BM101" i="8" s="1"/>
  <c r="BX30" i="9" l="1"/>
  <c r="BP30" i="8" s="1"/>
  <c r="BN28" i="9"/>
  <c r="BM29" i="9"/>
  <c r="BV29" i="9"/>
  <c r="BU29" i="9" s="1"/>
  <c r="BZ105" i="8"/>
  <c r="BX105" i="8" s="1"/>
  <c r="CA105" i="8" s="1"/>
  <c r="BU104" i="8"/>
  <c r="BR104" i="8"/>
  <c r="CH102" i="8"/>
  <c r="CI102" i="8"/>
  <c r="BQ102" i="8"/>
  <c r="BX106" i="8"/>
  <c r="CA106" i="8" s="1"/>
  <c r="CD105" i="8"/>
  <c r="BT105" i="8"/>
  <c r="BV104" i="8"/>
  <c r="BN100" i="8"/>
  <c r="BM100" i="8" s="1"/>
  <c r="BX29" i="9" l="1"/>
  <c r="BP29" i="8" s="1"/>
  <c r="BN27" i="9"/>
  <c r="BM28" i="9"/>
  <c r="BV28" i="9"/>
  <c r="BU28" i="9" s="1"/>
  <c r="CD104" i="8"/>
  <c r="BZ104" i="8"/>
  <c r="BX104" i="8" s="1"/>
  <c r="CA104" i="8" s="1"/>
  <c r="BU103" i="8"/>
  <c r="BT104" i="8"/>
  <c r="BV103" i="8"/>
  <c r="CB106" i="8"/>
  <c r="CF105" i="8" s="1"/>
  <c r="CE105" i="8"/>
  <c r="CH101" i="8"/>
  <c r="CI101" i="8"/>
  <c r="BQ101" i="8"/>
  <c r="CB105" i="8"/>
  <c r="CE104" i="8"/>
  <c r="BR103" i="8"/>
  <c r="BN99" i="8"/>
  <c r="BM99" i="8" s="1"/>
  <c r="BZ103" i="8" l="1"/>
  <c r="BX103" i="8" s="1"/>
  <c r="CA103" i="8" s="1"/>
  <c r="BX28" i="9"/>
  <c r="BP28" i="8" s="1"/>
  <c r="BN26" i="9"/>
  <c r="BM27" i="9"/>
  <c r="BV27" i="9"/>
  <c r="BU27" i="9" s="1"/>
  <c r="CD103" i="8"/>
  <c r="CH100" i="8"/>
  <c r="CI100" i="8"/>
  <c r="BQ100" i="8"/>
  <c r="CF104" i="8"/>
  <c r="BT103" i="8"/>
  <c r="BV102" i="8"/>
  <c r="CB104" i="8"/>
  <c r="CF103" i="8" s="1"/>
  <c r="CE103" i="8"/>
  <c r="BU102" i="8"/>
  <c r="BR102" i="8"/>
  <c r="BN98" i="8"/>
  <c r="BM98" i="8" s="1"/>
  <c r="CD102" i="8" l="1"/>
  <c r="BX27" i="9"/>
  <c r="BP27" i="8" s="1"/>
  <c r="BM26" i="9"/>
  <c r="BN25" i="9"/>
  <c r="BV26" i="9"/>
  <c r="BU26" i="9" s="1"/>
  <c r="BZ102" i="8"/>
  <c r="BX102" i="8" s="1"/>
  <c r="CA102" i="8" s="1"/>
  <c r="CH99" i="8"/>
  <c r="CI99" i="8"/>
  <c r="BQ99" i="8"/>
  <c r="BR100" i="8" s="1"/>
  <c r="BU101" i="8"/>
  <c r="BT102" i="8"/>
  <c r="BV101" i="8"/>
  <c r="BR101" i="8"/>
  <c r="CB103" i="8"/>
  <c r="CE102" i="8"/>
  <c r="BN97" i="8"/>
  <c r="BM97" i="8" s="1"/>
  <c r="BN24" i="9" l="1"/>
  <c r="BM25" i="9"/>
  <c r="BX26" i="9"/>
  <c r="BP26" i="8" s="1"/>
  <c r="BV25" i="9"/>
  <c r="BU25" i="9" s="1"/>
  <c r="CD101" i="8"/>
  <c r="CH98" i="8"/>
  <c r="CI98" i="8"/>
  <c r="BQ98" i="8"/>
  <c r="BR99" i="8" s="1"/>
  <c r="CF102" i="8"/>
  <c r="BU100" i="8"/>
  <c r="CB102" i="8"/>
  <c r="CE101" i="8"/>
  <c r="BT101" i="8"/>
  <c r="BV100" i="8"/>
  <c r="BZ101" i="8"/>
  <c r="BN96" i="8"/>
  <c r="BM96" i="8" s="1"/>
  <c r="BX25" i="9" l="1"/>
  <c r="BP25" i="8" s="1"/>
  <c r="BN23" i="9"/>
  <c r="BM24" i="9"/>
  <c r="BV24" i="9"/>
  <c r="BU24" i="9" s="1"/>
  <c r="CF101" i="8"/>
  <c r="Q19" i="5"/>
  <c r="R19" i="5" s="1"/>
  <c r="BT100" i="8"/>
  <c r="BV99" i="8"/>
  <c r="CH97" i="8"/>
  <c r="CI97" i="8"/>
  <c r="BQ97" i="8"/>
  <c r="BU98" i="8" s="1"/>
  <c r="BX101" i="8"/>
  <c r="CA101" i="8" s="1"/>
  <c r="CD100" i="8"/>
  <c r="BZ100" i="8"/>
  <c r="BU99" i="8"/>
  <c r="BN95" i="8"/>
  <c r="BM95" i="8" s="1"/>
  <c r="BX24" i="9" l="1"/>
  <c r="BP24" i="8" s="1"/>
  <c r="BN22" i="9"/>
  <c r="BM23" i="9"/>
  <c r="BV23" i="9"/>
  <c r="BU23" i="9" s="1"/>
  <c r="BT98" i="8"/>
  <c r="BV97" i="8"/>
  <c r="CB101" i="8"/>
  <c r="CF100" i="8" s="1"/>
  <c r="CE100" i="8"/>
  <c r="CH96" i="8"/>
  <c r="CI96" i="8"/>
  <c r="BQ96" i="8"/>
  <c r="BT99" i="8"/>
  <c r="BV98" i="8"/>
  <c r="BR98" i="8"/>
  <c r="BZ98" i="8" s="1"/>
  <c r="BX100" i="8"/>
  <c r="CA100" i="8" s="1"/>
  <c r="CD99" i="8"/>
  <c r="BZ99" i="8"/>
  <c r="BN94" i="8"/>
  <c r="BM94" i="8" s="1"/>
  <c r="BX23" i="9" l="1"/>
  <c r="BP23" i="8" s="1"/>
  <c r="BN21" i="9"/>
  <c r="BM22" i="9"/>
  <c r="BV22" i="9"/>
  <c r="BU22" i="9" s="1"/>
  <c r="BU97" i="8"/>
  <c r="BR97" i="8"/>
  <c r="BX98" i="8"/>
  <c r="CA98" i="8" s="1"/>
  <c r="CD97" i="8"/>
  <c r="CB100" i="8"/>
  <c r="CF99" i="8" s="1"/>
  <c r="CE99" i="8"/>
  <c r="CH95" i="8"/>
  <c r="CI95" i="8"/>
  <c r="BQ95" i="8"/>
  <c r="BX99" i="8"/>
  <c r="CA99" i="8" s="1"/>
  <c r="CD98" i="8"/>
  <c r="BN93" i="8"/>
  <c r="BM93" i="8" s="1"/>
  <c r="BX22" i="9" l="1"/>
  <c r="BP22" i="8" s="1"/>
  <c r="BN20" i="9"/>
  <c r="BM21" i="9"/>
  <c r="BV21" i="9"/>
  <c r="BU21" i="9" s="1"/>
  <c r="BZ97" i="8"/>
  <c r="CD96" i="8" s="1"/>
  <c r="CH94" i="8"/>
  <c r="CI94" i="8"/>
  <c r="BQ94" i="8"/>
  <c r="CB98" i="8"/>
  <c r="CE97" i="8"/>
  <c r="CB99" i="8"/>
  <c r="CF98" i="8" s="1"/>
  <c r="CE98" i="8"/>
  <c r="BU96" i="8"/>
  <c r="BR96" i="8"/>
  <c r="BT97" i="8"/>
  <c r="BV96" i="8"/>
  <c r="BN92" i="8"/>
  <c r="BM92" i="8" s="1"/>
  <c r="BX97" i="8" l="1"/>
  <c r="CA97" i="8" s="1"/>
  <c r="CB97" i="8" s="1"/>
  <c r="CF96" i="8" s="1"/>
  <c r="BX21" i="9"/>
  <c r="BP21" i="8" s="1"/>
  <c r="BN19" i="9"/>
  <c r="BM20" i="9"/>
  <c r="BV20" i="9"/>
  <c r="BU20" i="9" s="1"/>
  <c r="BZ96" i="8"/>
  <c r="CD95" i="8" s="1"/>
  <c r="CH93" i="8"/>
  <c r="CI93" i="8"/>
  <c r="BQ93" i="8"/>
  <c r="BU95" i="8"/>
  <c r="BR95" i="8"/>
  <c r="CF97" i="8"/>
  <c r="BT96" i="8"/>
  <c r="BV95" i="8"/>
  <c r="BN91" i="8"/>
  <c r="BM91" i="8" s="1"/>
  <c r="BX96" i="8" l="1"/>
  <c r="CA96" i="8" s="1"/>
  <c r="CB96" i="8" s="1"/>
  <c r="CF95" i="8" s="1"/>
  <c r="CE96" i="8"/>
  <c r="BX20" i="9"/>
  <c r="BP20" i="8" s="1"/>
  <c r="BN18" i="9"/>
  <c r="BN17" i="9" s="1"/>
  <c r="BM19" i="9"/>
  <c r="BV19" i="9"/>
  <c r="BU19" i="9" s="1"/>
  <c r="BT95" i="8"/>
  <c r="BV94" i="8"/>
  <c r="CH92" i="8"/>
  <c r="CI92" i="8"/>
  <c r="BQ92" i="8"/>
  <c r="BU94" i="8"/>
  <c r="BR94" i="8"/>
  <c r="BZ95" i="8"/>
  <c r="BN90" i="8"/>
  <c r="BM90" i="8" s="1"/>
  <c r="CE95" i="8" l="1"/>
  <c r="BX19" i="9"/>
  <c r="BP19" i="8" s="1"/>
  <c r="BM18" i="9"/>
  <c r="BV18" i="9"/>
  <c r="BU18" i="9" s="1"/>
  <c r="BU93" i="8"/>
  <c r="BR93" i="8"/>
  <c r="BT94" i="8"/>
  <c r="BV93" i="8"/>
  <c r="CH91" i="8"/>
  <c r="CI91" i="8"/>
  <c r="BQ91" i="8"/>
  <c r="BX95" i="8"/>
  <c r="CA95" i="8" s="1"/>
  <c r="CD94" i="8"/>
  <c r="BZ94" i="8"/>
  <c r="BN89" i="8"/>
  <c r="BM89" i="8" s="1"/>
  <c r="BX18" i="9" l="1"/>
  <c r="BP18" i="8" s="1"/>
  <c r="BM17" i="9"/>
  <c r="BN16" i="9"/>
  <c r="BV17" i="9"/>
  <c r="BU17" i="9" s="1"/>
  <c r="BZ93" i="8"/>
  <c r="BX93" i="8" s="1"/>
  <c r="CA93" i="8" s="1"/>
  <c r="BU92" i="8"/>
  <c r="BR92" i="8"/>
  <c r="CB95" i="8"/>
  <c r="CF94" i="8" s="1"/>
  <c r="CE94" i="8"/>
  <c r="CH90" i="8"/>
  <c r="CI90" i="8"/>
  <c r="BQ90" i="8"/>
  <c r="BX94" i="8"/>
  <c r="CA94" i="8" s="1"/>
  <c r="CD93" i="8"/>
  <c r="BT93" i="8"/>
  <c r="BV92" i="8"/>
  <c r="BN88" i="8"/>
  <c r="BM88" i="8" s="1"/>
  <c r="BZ92" i="8" l="1"/>
  <c r="CD91" i="8" s="1"/>
  <c r="CD92" i="8"/>
  <c r="BN15" i="9"/>
  <c r="BM16" i="9"/>
  <c r="BX17" i="9"/>
  <c r="BP17" i="8" s="1"/>
  <c r="BV16" i="9"/>
  <c r="BU16" i="9" s="1"/>
  <c r="BR91" i="8"/>
  <c r="BU91" i="8"/>
  <c r="CB94" i="8"/>
  <c r="CF93" i="8" s="1"/>
  <c r="CE93" i="8"/>
  <c r="CH89" i="8"/>
  <c r="CI89" i="8"/>
  <c r="BQ89" i="8"/>
  <c r="CB93" i="8"/>
  <c r="CE92" i="8"/>
  <c r="BT92" i="8"/>
  <c r="BV91" i="8"/>
  <c r="BN87" i="8"/>
  <c r="BM87" i="8" s="1"/>
  <c r="BX92" i="8" l="1"/>
  <c r="CA92" i="8" s="1"/>
  <c r="CB92" i="8" s="1"/>
  <c r="CF91" i="8" s="1"/>
  <c r="BX16" i="9"/>
  <c r="BP16" i="8" s="1"/>
  <c r="BN14" i="9"/>
  <c r="BM15" i="9"/>
  <c r="BV15" i="9"/>
  <c r="BU15" i="9" s="1"/>
  <c r="CF92" i="8"/>
  <c r="CH88" i="8"/>
  <c r="CI88" i="8"/>
  <c r="BQ88" i="8"/>
  <c r="BU90" i="8"/>
  <c r="BR90" i="8"/>
  <c r="BT91" i="8"/>
  <c r="BV90" i="8"/>
  <c r="BZ91" i="8"/>
  <c r="BN86" i="8"/>
  <c r="BM86" i="8" s="1"/>
  <c r="CE91" i="8" l="1"/>
  <c r="BX15" i="9"/>
  <c r="BP15" i="8" s="1"/>
  <c r="BN13" i="9"/>
  <c r="BM14" i="9"/>
  <c r="BV14" i="9"/>
  <c r="BU14" i="9" s="1"/>
  <c r="BT90" i="8"/>
  <c r="BV89" i="8"/>
  <c r="CH87" i="8"/>
  <c r="CI87" i="8"/>
  <c r="BQ87" i="8"/>
  <c r="BU89" i="8"/>
  <c r="BR89" i="8"/>
  <c r="BZ90" i="8"/>
  <c r="BX91" i="8"/>
  <c r="CA91" i="8" s="1"/>
  <c r="CD90" i="8"/>
  <c r="BN85" i="8"/>
  <c r="BM85" i="8" s="1"/>
  <c r="BX14" i="9" l="1"/>
  <c r="BP14" i="8" s="1"/>
  <c r="BN12" i="9"/>
  <c r="BM13" i="9"/>
  <c r="BV13" i="9"/>
  <c r="BU13" i="9" s="1"/>
  <c r="BZ89" i="8"/>
  <c r="CD88" i="8" s="1"/>
  <c r="BX90" i="8"/>
  <c r="CA90" i="8" s="1"/>
  <c r="CD89" i="8"/>
  <c r="BT89" i="8"/>
  <c r="BV88" i="8"/>
  <c r="BU88" i="8"/>
  <c r="BR88" i="8"/>
  <c r="CH86" i="8"/>
  <c r="CI86" i="8"/>
  <c r="BQ86" i="8"/>
  <c r="CB91" i="8"/>
  <c r="CF90" i="8" s="1"/>
  <c r="CE90" i="8"/>
  <c r="BN84" i="8"/>
  <c r="BM84" i="8" s="1"/>
  <c r="BN11" i="9" l="1"/>
  <c r="BM12" i="9"/>
  <c r="BV12" i="9"/>
  <c r="BU12" i="9" s="1"/>
  <c r="BX13" i="9"/>
  <c r="BP13" i="8" s="1"/>
  <c r="BX89" i="8"/>
  <c r="CA89" i="8" s="1"/>
  <c r="CB89" i="8" s="1"/>
  <c r="BZ88" i="8"/>
  <c r="BX88" i="8" s="1"/>
  <c r="CA88" i="8" s="1"/>
  <c r="BT88" i="8"/>
  <c r="BV87" i="8"/>
  <c r="CH85" i="8"/>
  <c r="CI85" i="8"/>
  <c r="BQ85" i="8"/>
  <c r="CB90" i="8"/>
  <c r="CE89" i="8"/>
  <c r="BU87" i="8"/>
  <c r="BR87" i="8"/>
  <c r="BN83" i="8"/>
  <c r="BM83" i="8" s="1"/>
  <c r="CD87" i="8" l="1"/>
  <c r="BX12" i="9"/>
  <c r="BP12" i="8" s="1"/>
  <c r="BN10" i="9"/>
  <c r="BM11" i="9"/>
  <c r="CE88" i="8"/>
  <c r="BV11" i="9"/>
  <c r="BU11" i="9" s="1"/>
  <c r="CF89" i="8"/>
  <c r="Q18" i="5"/>
  <c r="R18" i="5" s="1"/>
  <c r="BU86" i="8"/>
  <c r="BR86" i="8"/>
  <c r="BT87" i="8"/>
  <c r="BV86" i="8"/>
  <c r="CH84" i="8"/>
  <c r="CI84" i="8"/>
  <c r="BQ84" i="8"/>
  <c r="CF88" i="8"/>
  <c r="BZ87" i="8"/>
  <c r="CB88" i="8"/>
  <c r="CF87" i="8" s="1"/>
  <c r="CE87" i="8"/>
  <c r="BN82" i="8"/>
  <c r="BM82" i="8" s="1"/>
  <c r="BZ86" i="8" l="1"/>
  <c r="BX86" i="8" s="1"/>
  <c r="CA86" i="8" s="1"/>
  <c r="BX11" i="9"/>
  <c r="BP11" i="8" s="1"/>
  <c r="BN9" i="9"/>
  <c r="BM10" i="9"/>
  <c r="BV10" i="9"/>
  <c r="BU10" i="9" s="1"/>
  <c r="BU85" i="8"/>
  <c r="BR85" i="8"/>
  <c r="CH83" i="8"/>
  <c r="CI83" i="8"/>
  <c r="BQ83" i="8"/>
  <c r="BX87" i="8"/>
  <c r="CA87" i="8" s="1"/>
  <c r="CD86" i="8"/>
  <c r="BT86" i="8"/>
  <c r="BV85" i="8"/>
  <c r="BN81" i="8"/>
  <c r="BM81" i="8" s="1"/>
  <c r="CD85" i="8" l="1"/>
  <c r="BX10" i="9"/>
  <c r="BP10" i="8" s="1"/>
  <c r="BN8" i="9"/>
  <c r="BM9" i="9"/>
  <c r="BV9" i="9"/>
  <c r="BU9" i="9" s="1"/>
  <c r="BZ85" i="8"/>
  <c r="BX85" i="8" s="1"/>
  <c r="CA85" i="8" s="1"/>
  <c r="CB87" i="8"/>
  <c r="CF86" i="8" s="1"/>
  <c r="CE86" i="8"/>
  <c r="CB86" i="8"/>
  <c r="CE85" i="8"/>
  <c r="CH82" i="8"/>
  <c r="CI82" i="8"/>
  <c r="BQ82" i="8"/>
  <c r="BR84" i="8"/>
  <c r="BU84" i="8"/>
  <c r="BT85" i="8"/>
  <c r="BV84" i="8"/>
  <c r="BN80" i="8"/>
  <c r="BM80" i="8" s="1"/>
  <c r="CF85" i="8" l="1"/>
  <c r="CD84" i="8"/>
  <c r="BX9" i="9"/>
  <c r="BP9" i="8" s="1"/>
  <c r="BN7" i="9"/>
  <c r="BN6" i="9" s="1"/>
  <c r="BM8" i="9"/>
  <c r="BV8" i="9"/>
  <c r="BU8" i="9" s="1"/>
  <c r="CB85" i="8"/>
  <c r="CF84" i="8" s="1"/>
  <c r="CE84" i="8"/>
  <c r="BT84" i="8"/>
  <c r="BV83" i="8"/>
  <c r="BU83" i="8"/>
  <c r="BR83" i="8"/>
  <c r="BZ84" i="8"/>
  <c r="CH81" i="8"/>
  <c r="CI81" i="8"/>
  <c r="BQ81" i="8"/>
  <c r="BN79" i="8"/>
  <c r="BM79" i="8" s="1"/>
  <c r="BN5" i="9" l="1"/>
  <c r="BV6" i="9"/>
  <c r="BX8" i="9"/>
  <c r="BP8" i="8" s="1"/>
  <c r="BM7" i="9"/>
  <c r="BV7" i="9"/>
  <c r="BU7" i="9" s="1"/>
  <c r="BU82" i="8"/>
  <c r="BR82" i="8"/>
  <c r="BT83" i="8"/>
  <c r="BV82" i="8"/>
  <c r="BX84" i="8"/>
  <c r="CA84" i="8" s="1"/>
  <c r="CD83" i="8"/>
  <c r="BZ83" i="8"/>
  <c r="CH80" i="8"/>
  <c r="CI80" i="8"/>
  <c r="BQ80" i="8"/>
  <c r="BN78" i="8"/>
  <c r="BM78" i="8" s="1"/>
  <c r="BU6" i="9" l="1"/>
  <c r="BV5" i="9"/>
  <c r="BM5" i="9"/>
  <c r="BM6" i="9"/>
  <c r="BX7" i="9"/>
  <c r="BP7" i="8" s="1"/>
  <c r="BZ82" i="8"/>
  <c r="BX82" i="8" s="1"/>
  <c r="CA82" i="8" s="1"/>
  <c r="CB84" i="8"/>
  <c r="CE83" i="8"/>
  <c r="BT82" i="8"/>
  <c r="BV81" i="8"/>
  <c r="BX83" i="8"/>
  <c r="CA83" i="8" s="1"/>
  <c r="CD82" i="8"/>
  <c r="CH79" i="8"/>
  <c r="CI79" i="8"/>
  <c r="BQ79" i="8"/>
  <c r="BR80" i="8" s="1"/>
  <c r="BU81" i="8"/>
  <c r="BR81" i="8"/>
  <c r="BN77" i="8"/>
  <c r="BM77" i="8" s="1"/>
  <c r="BX6" i="9" l="1"/>
  <c r="BP6" i="8" s="1"/>
  <c r="CD81" i="8"/>
  <c r="BU5" i="9"/>
  <c r="BX5" i="9" s="1"/>
  <c r="BP5" i="8" s="1"/>
  <c r="BQ5" i="8" s="1"/>
  <c r="BU6" i="8" s="1"/>
  <c r="BZ81" i="8"/>
  <c r="BX81" i="8" s="1"/>
  <c r="CA81" i="8" s="1"/>
  <c r="CH78" i="8"/>
  <c r="CI78" i="8"/>
  <c r="BQ78" i="8"/>
  <c r="BR79" i="8" s="1"/>
  <c r="CB83" i="8"/>
  <c r="CF82" i="8" s="1"/>
  <c r="CE82" i="8"/>
  <c r="BT81" i="8"/>
  <c r="BV80" i="8"/>
  <c r="CB82" i="8"/>
  <c r="CE81" i="8"/>
  <c r="BU80" i="8"/>
  <c r="BZ80" i="8" s="1"/>
  <c r="CF83" i="8"/>
  <c r="BN76" i="8"/>
  <c r="BM76" i="8" s="1"/>
  <c r="CD80" i="8" l="1"/>
  <c r="BT6" i="8"/>
  <c r="BR5" i="8"/>
  <c r="BZ5" i="8" s="1"/>
  <c r="BX5" i="8" s="1"/>
  <c r="CA5" i="8" s="1"/>
  <c r="CB5" i="8" s="1"/>
  <c r="Q10" i="5" s="1"/>
  <c r="R10" i="5" s="1"/>
  <c r="BX80" i="8"/>
  <c r="CA80" i="8" s="1"/>
  <c r="CD79" i="8"/>
  <c r="BT80" i="8"/>
  <c r="BV79" i="8"/>
  <c r="CF81" i="8"/>
  <c r="BU79" i="8"/>
  <c r="CB81" i="8"/>
  <c r="CF80" i="8" s="1"/>
  <c r="CE80" i="8"/>
  <c r="CH77" i="8"/>
  <c r="CI77" i="8"/>
  <c r="BQ77" i="8"/>
  <c r="BR78" i="8" s="1"/>
  <c r="BN75" i="8"/>
  <c r="BM75" i="8" s="1"/>
  <c r="BT79" i="8" l="1"/>
  <c r="BV78" i="8"/>
  <c r="CH76" i="8"/>
  <c r="CI76" i="8"/>
  <c r="BQ76" i="8"/>
  <c r="BU77" i="8" s="1"/>
  <c r="BZ79" i="8"/>
  <c r="BU78" i="8"/>
  <c r="BZ78" i="8" s="1"/>
  <c r="CB80" i="8"/>
  <c r="CF79" i="8" s="1"/>
  <c r="CE79" i="8"/>
  <c r="BN74" i="8"/>
  <c r="BM74" i="8" s="1"/>
  <c r="BR77" i="8" l="1"/>
  <c r="BZ77" i="8" s="1"/>
  <c r="BX77" i="8" s="1"/>
  <c r="CA77" i="8" s="1"/>
  <c r="BX78" i="8"/>
  <c r="CA78" i="8" s="1"/>
  <c r="CD77" i="8"/>
  <c r="CH75" i="8"/>
  <c r="CI75" i="8"/>
  <c r="BQ75" i="8"/>
  <c r="BX79" i="8"/>
  <c r="CA79" i="8" s="1"/>
  <c r="CD78" i="8"/>
  <c r="BT77" i="8"/>
  <c r="BV76" i="8"/>
  <c r="BT78" i="8"/>
  <c r="BV77" i="8"/>
  <c r="BN73" i="8"/>
  <c r="BM73" i="8" s="1"/>
  <c r="CD76" i="8" l="1"/>
  <c r="CB79" i="8"/>
  <c r="CE78" i="8"/>
  <c r="CH74" i="8"/>
  <c r="CI74" i="8"/>
  <c r="BQ74" i="8"/>
  <c r="BU75" i="8" s="1"/>
  <c r="BU76" i="8"/>
  <c r="BR76" i="8"/>
  <c r="CB78" i="8"/>
  <c r="CE77" i="8"/>
  <c r="CB77" i="8"/>
  <c r="CE76" i="8"/>
  <c r="BN72" i="8"/>
  <c r="BM72" i="8" s="1"/>
  <c r="Q17" i="5" l="1"/>
  <c r="R17" i="5" s="1"/>
  <c r="BR75" i="8"/>
  <c r="BZ75" i="8" s="1"/>
  <c r="BX75" i="8" s="1"/>
  <c r="CA75" i="8" s="1"/>
  <c r="BZ76" i="8"/>
  <c r="CD75" i="8" s="1"/>
  <c r="BT76" i="8"/>
  <c r="BV75" i="8"/>
  <c r="CH73" i="8"/>
  <c r="CI73" i="8"/>
  <c r="BQ73" i="8"/>
  <c r="BT75" i="8"/>
  <c r="BV74" i="8"/>
  <c r="CF76" i="8"/>
  <c r="CF77" i="8"/>
  <c r="CF78" i="8"/>
  <c r="BN71" i="8"/>
  <c r="BM71" i="8" s="1"/>
  <c r="BX76" i="8" l="1"/>
  <c r="CA76" i="8" s="1"/>
  <c r="CE75" i="8" s="1"/>
  <c r="CD74" i="8"/>
  <c r="CH72" i="8"/>
  <c r="CI72" i="8"/>
  <c r="BQ72" i="8"/>
  <c r="CB75" i="8"/>
  <c r="CE74" i="8"/>
  <c r="CB76" i="8"/>
  <c r="BU74" i="8"/>
  <c r="BR74" i="8"/>
  <c r="BN70" i="8"/>
  <c r="BM70" i="8" s="1"/>
  <c r="BT74" i="8" l="1"/>
  <c r="BV73" i="8"/>
  <c r="CF75" i="8"/>
  <c r="BU73" i="8"/>
  <c r="BR73" i="8"/>
  <c r="CH71" i="8"/>
  <c r="CI71" i="8"/>
  <c r="BQ71" i="8"/>
  <c r="CF74" i="8"/>
  <c r="BZ74" i="8"/>
  <c r="BN69" i="8"/>
  <c r="BM69" i="8" s="1"/>
  <c r="BZ73" i="8" l="1"/>
  <c r="BX73" i="8" s="1"/>
  <c r="CA73" i="8" s="1"/>
  <c r="BT73" i="8"/>
  <c r="BV72" i="8"/>
  <c r="CH70" i="8"/>
  <c r="CI70" i="8"/>
  <c r="BQ70" i="8"/>
  <c r="BR71" i="8" s="1"/>
  <c r="BX74" i="8"/>
  <c r="CA74" i="8" s="1"/>
  <c r="CD73" i="8"/>
  <c r="BU72" i="8"/>
  <c r="BR72" i="8"/>
  <c r="BN68" i="8"/>
  <c r="BM68" i="8" s="1"/>
  <c r="CD72" i="8" l="1"/>
  <c r="BZ72" i="8"/>
  <c r="CD71" i="8" s="1"/>
  <c r="CB74" i="8"/>
  <c r="CF73" i="8" s="1"/>
  <c r="CE73" i="8"/>
  <c r="CH69" i="8"/>
  <c r="CI69" i="8"/>
  <c r="BQ69" i="8"/>
  <c r="BR70" i="8" s="1"/>
  <c r="BU71" i="8"/>
  <c r="BT72" i="8"/>
  <c r="BV71" i="8"/>
  <c r="CB73" i="8"/>
  <c r="CE72" i="8"/>
  <c r="BN67" i="8"/>
  <c r="BM67" i="8" s="1"/>
  <c r="BX72" i="8" l="1"/>
  <c r="CA72" i="8" s="1"/>
  <c r="CB72" i="8" s="1"/>
  <c r="CF71" i="8" s="1"/>
  <c r="CF72" i="8"/>
  <c r="BT71" i="8"/>
  <c r="BV70" i="8"/>
  <c r="CH68" i="8"/>
  <c r="CI68" i="8"/>
  <c r="BQ68" i="8"/>
  <c r="BZ71" i="8"/>
  <c r="BU70" i="8"/>
  <c r="BN66" i="8"/>
  <c r="BM66" i="8" s="1"/>
  <c r="CE71" i="8" l="1"/>
  <c r="BU69" i="8"/>
  <c r="CH67" i="8"/>
  <c r="CI67" i="8"/>
  <c r="BQ67" i="8"/>
  <c r="BT70" i="8"/>
  <c r="BV69" i="8"/>
  <c r="BR69" i="8"/>
  <c r="BX71" i="8"/>
  <c r="CA71" i="8" s="1"/>
  <c r="CD70" i="8"/>
  <c r="BZ70" i="8"/>
  <c r="BN65" i="8"/>
  <c r="BM65" i="8" s="1"/>
  <c r="BZ69" i="8" l="1"/>
  <c r="BX69" i="8" s="1"/>
  <c r="CA69" i="8" s="1"/>
  <c r="CH66" i="8"/>
  <c r="CI66" i="8"/>
  <c r="BQ66" i="8"/>
  <c r="BR67" i="8" s="1"/>
  <c r="BU68" i="8"/>
  <c r="BX70" i="8"/>
  <c r="CA70" i="8" s="1"/>
  <c r="CD69" i="8"/>
  <c r="BT69" i="8"/>
  <c r="BV68" i="8"/>
  <c r="CB71" i="8"/>
  <c r="CE70" i="8"/>
  <c r="BR68" i="8"/>
  <c r="BN64" i="8"/>
  <c r="BM64" i="8" s="1"/>
  <c r="CD68" i="8" l="1"/>
  <c r="BT68" i="8"/>
  <c r="BV67" i="8"/>
  <c r="CB70" i="8"/>
  <c r="CF69" i="8" s="1"/>
  <c r="CE69" i="8"/>
  <c r="BU67" i="8"/>
  <c r="CH65" i="8"/>
  <c r="CI65" i="8"/>
  <c r="BQ65" i="8"/>
  <c r="BR66" i="8" s="1"/>
  <c r="BZ68" i="8"/>
  <c r="CF70" i="8"/>
  <c r="CB69" i="8"/>
  <c r="CE68" i="8"/>
  <c r="BN63" i="8"/>
  <c r="BM63" i="8" s="1"/>
  <c r="CF68" i="8" l="1"/>
  <c r="BT67" i="8"/>
  <c r="BV66" i="8"/>
  <c r="BZ67" i="8"/>
  <c r="BX68" i="8"/>
  <c r="CA68" i="8" s="1"/>
  <c r="CD67" i="8"/>
  <c r="BU66" i="8"/>
  <c r="BZ66" i="8" s="1"/>
  <c r="CH64" i="8"/>
  <c r="CI64" i="8"/>
  <c r="BQ64" i="8"/>
  <c r="BR65" i="8" s="1"/>
  <c r="BN62" i="8"/>
  <c r="BM62" i="8" s="1"/>
  <c r="BX66" i="8" l="1"/>
  <c r="CA66" i="8" s="1"/>
  <c r="CD65" i="8"/>
  <c r="CH63" i="8"/>
  <c r="CI63" i="8"/>
  <c r="BQ63" i="8"/>
  <c r="CB68" i="8"/>
  <c r="CE67" i="8"/>
  <c r="BT66" i="8"/>
  <c r="BV65" i="8"/>
  <c r="BX67" i="8"/>
  <c r="CA67" i="8" s="1"/>
  <c r="CD66" i="8"/>
  <c r="BU65" i="8"/>
  <c r="BN61" i="8"/>
  <c r="BM61" i="8" s="1"/>
  <c r="BT65" i="8" l="1"/>
  <c r="BV64" i="8"/>
  <c r="CH62" i="8"/>
  <c r="CI62" i="8"/>
  <c r="BQ62" i="8"/>
  <c r="BR63" i="8" s="1"/>
  <c r="CF67" i="8"/>
  <c r="BU64" i="8"/>
  <c r="BR64" i="8"/>
  <c r="CB67" i="8"/>
  <c r="CE66" i="8"/>
  <c r="BZ65" i="8"/>
  <c r="CB66" i="8"/>
  <c r="CE65" i="8"/>
  <c r="BN60" i="8"/>
  <c r="BM60" i="8" s="1"/>
  <c r="Q16" i="5" l="1"/>
  <c r="R16" i="5" s="1"/>
  <c r="CF65" i="8"/>
  <c r="BZ64" i="8"/>
  <c r="BX64" i="8" s="1"/>
  <c r="CA64" i="8" s="1"/>
  <c r="CH61" i="8"/>
  <c r="CI61" i="8"/>
  <c r="BQ61" i="8"/>
  <c r="BR62" i="8" s="1"/>
  <c r="BU63" i="8"/>
  <c r="BX65" i="8"/>
  <c r="CA65" i="8" s="1"/>
  <c r="CD64" i="8"/>
  <c r="CF66" i="8"/>
  <c r="BT64" i="8"/>
  <c r="BV63" i="8"/>
  <c r="BN59" i="8"/>
  <c r="BM59" i="8" s="1"/>
  <c r="CD63" i="8" l="1"/>
  <c r="CH60" i="8"/>
  <c r="CI60" i="8"/>
  <c r="BQ60" i="8"/>
  <c r="CB65" i="8"/>
  <c r="CF64" i="8" s="1"/>
  <c r="CE64" i="8"/>
  <c r="CB64" i="8"/>
  <c r="CE63" i="8"/>
  <c r="BU62" i="8"/>
  <c r="BZ62" i="8" s="1"/>
  <c r="BT63" i="8"/>
  <c r="BV62" i="8"/>
  <c r="BZ63" i="8"/>
  <c r="BN58" i="8"/>
  <c r="BM58" i="8" s="1"/>
  <c r="CF63" i="8" l="1"/>
  <c r="BX62" i="8"/>
  <c r="CA62" i="8" s="1"/>
  <c r="CD61" i="8"/>
  <c r="CH59" i="8"/>
  <c r="CI59" i="8"/>
  <c r="BQ59" i="8"/>
  <c r="BR60" i="8" s="1"/>
  <c r="BX63" i="8"/>
  <c r="CA63" i="8" s="1"/>
  <c r="CD62" i="8"/>
  <c r="BU61" i="8"/>
  <c r="BT62" i="8"/>
  <c r="BV61" i="8"/>
  <c r="BR61" i="8"/>
  <c r="BN57" i="8"/>
  <c r="BM57" i="8" s="1"/>
  <c r="BZ61" i="8" l="1"/>
  <c r="CD60" i="8" s="1"/>
  <c r="BU60" i="8"/>
  <c r="BZ60" i="8" s="1"/>
  <c r="CB63" i="8"/>
  <c r="CF62" i="8" s="1"/>
  <c r="CE62" i="8"/>
  <c r="CH58" i="8"/>
  <c r="CI58" i="8"/>
  <c r="BQ58" i="8"/>
  <c r="BT61" i="8"/>
  <c r="BV60" i="8"/>
  <c r="CB62" i="8"/>
  <c r="CE61" i="8"/>
  <c r="BN56" i="8"/>
  <c r="BM56" i="8" s="1"/>
  <c r="CF61" i="8" l="1"/>
  <c r="BX61" i="8"/>
  <c r="CA61" i="8" s="1"/>
  <c r="CE60" i="8" s="1"/>
  <c r="BU59" i="8"/>
  <c r="CH57" i="8"/>
  <c r="CI57" i="8"/>
  <c r="BQ57" i="8"/>
  <c r="BX60" i="8"/>
  <c r="CA60" i="8" s="1"/>
  <c r="CD59" i="8"/>
  <c r="BT60" i="8"/>
  <c r="BV59" i="8"/>
  <c r="BR59" i="8"/>
  <c r="BN55" i="8"/>
  <c r="BM55" i="8" s="1"/>
  <c r="CB61" i="8" l="1"/>
  <c r="CF60" i="8" s="1"/>
  <c r="BZ59" i="8"/>
  <c r="BX59" i="8" s="1"/>
  <c r="CA59" i="8" s="1"/>
  <c r="CH56" i="8"/>
  <c r="CI56" i="8"/>
  <c r="BQ56" i="8"/>
  <c r="BR57" i="8" s="1"/>
  <c r="BU58" i="8"/>
  <c r="CB60" i="8"/>
  <c r="CE59" i="8"/>
  <c r="BT59" i="8"/>
  <c r="BV58" i="8"/>
  <c r="BR58" i="8"/>
  <c r="BN54" i="8"/>
  <c r="BM54" i="8" s="1"/>
  <c r="CD58" i="8" l="1"/>
  <c r="BZ58" i="8"/>
  <c r="BX58" i="8" s="1"/>
  <c r="CA58" i="8" s="1"/>
  <c r="CH55" i="8"/>
  <c r="CI55" i="8"/>
  <c r="BQ55" i="8"/>
  <c r="BR56" i="8" s="1"/>
  <c r="CB59" i="8"/>
  <c r="CE58" i="8"/>
  <c r="BU57" i="8"/>
  <c r="CF59" i="8"/>
  <c r="BT58" i="8"/>
  <c r="BV57" i="8"/>
  <c r="BN53" i="8"/>
  <c r="BM53" i="8" s="1"/>
  <c r="CD57" i="8" l="1"/>
  <c r="BT57" i="8"/>
  <c r="BV56" i="8"/>
  <c r="CH54" i="8"/>
  <c r="CI54" i="8"/>
  <c r="BQ54" i="8"/>
  <c r="BR55" i="8" s="1"/>
  <c r="BZ57" i="8"/>
  <c r="BU56" i="8"/>
  <c r="BZ56" i="8" s="1"/>
  <c r="CF58" i="8"/>
  <c r="CB58" i="8"/>
  <c r="CE57" i="8"/>
  <c r="BN52" i="8"/>
  <c r="BM52" i="8" s="1"/>
  <c r="CH53" i="8" l="1"/>
  <c r="CI53" i="8"/>
  <c r="BQ53" i="8"/>
  <c r="BX57" i="8"/>
  <c r="CA57" i="8" s="1"/>
  <c r="CD56" i="8"/>
  <c r="BX56" i="8"/>
  <c r="CA56" i="8" s="1"/>
  <c r="CD55" i="8"/>
  <c r="BU55" i="8"/>
  <c r="BZ55" i="8" s="1"/>
  <c r="CF57" i="8"/>
  <c r="BT56" i="8"/>
  <c r="BV55" i="8"/>
  <c r="BN51" i="8"/>
  <c r="BM51" i="8" s="1"/>
  <c r="CH52" i="8" l="1"/>
  <c r="CI52" i="8"/>
  <c r="BQ52" i="8"/>
  <c r="CB56" i="8"/>
  <c r="CE55" i="8"/>
  <c r="CB57" i="8"/>
  <c r="CE56" i="8"/>
  <c r="BX55" i="8"/>
  <c r="CA55" i="8" s="1"/>
  <c r="CD54" i="8"/>
  <c r="BU54" i="8"/>
  <c r="BT55" i="8"/>
  <c r="BV54" i="8"/>
  <c r="BR54" i="8"/>
  <c r="BN50" i="8"/>
  <c r="BM50" i="8" s="1"/>
  <c r="BZ54" i="8" l="1"/>
  <c r="CD53" i="8" s="1"/>
  <c r="CH51" i="8"/>
  <c r="CI51" i="8"/>
  <c r="BQ51" i="8"/>
  <c r="BR52" i="8" s="1"/>
  <c r="CB55" i="8"/>
  <c r="CE54" i="8"/>
  <c r="CF56" i="8"/>
  <c r="BT54" i="8"/>
  <c r="BV53" i="8"/>
  <c r="BU53" i="8"/>
  <c r="CF55" i="8"/>
  <c r="BR53" i="8"/>
  <c r="BN49" i="8"/>
  <c r="BM49" i="8" s="1"/>
  <c r="BX54" i="8" l="1"/>
  <c r="CA54" i="8" s="1"/>
  <c r="CB54" i="8" s="1"/>
  <c r="BZ53" i="8"/>
  <c r="BX53" i="8" s="1"/>
  <c r="CA53" i="8" s="1"/>
  <c r="CH50" i="8"/>
  <c r="CI50" i="8"/>
  <c r="BQ50" i="8"/>
  <c r="BR51" i="8" s="1"/>
  <c r="BT53" i="8"/>
  <c r="BV52" i="8"/>
  <c r="CF54" i="8"/>
  <c r="BU52" i="8"/>
  <c r="BZ52" i="8" s="1"/>
  <c r="BN48" i="8"/>
  <c r="BM48" i="8" s="1"/>
  <c r="CE53" i="8" l="1"/>
  <c r="CD52" i="8"/>
  <c r="CF53" i="8"/>
  <c r="Q15" i="5"/>
  <c r="R15" i="5" s="1"/>
  <c r="BX52" i="8"/>
  <c r="CA52" i="8" s="1"/>
  <c r="CD51" i="8"/>
  <c r="CH49" i="8"/>
  <c r="CI49" i="8"/>
  <c r="BQ49" i="8"/>
  <c r="BR50" i="8" s="1"/>
  <c r="BT52" i="8"/>
  <c r="BV51" i="8"/>
  <c r="CB53" i="8"/>
  <c r="CF52" i="8" s="1"/>
  <c r="CE52" i="8"/>
  <c r="BU51" i="8"/>
  <c r="BZ51" i="8" s="1"/>
  <c r="BN47" i="8"/>
  <c r="BM47" i="8" s="1"/>
  <c r="BU50" i="8" l="1"/>
  <c r="CH48" i="8"/>
  <c r="CI48" i="8"/>
  <c r="BQ48" i="8"/>
  <c r="BR49" i="8" s="1"/>
  <c r="BX51" i="8"/>
  <c r="CA51" i="8" s="1"/>
  <c r="CD50" i="8"/>
  <c r="BT51" i="8"/>
  <c r="BV50" i="8"/>
  <c r="CB52" i="8"/>
  <c r="CE51" i="8"/>
  <c r="BN46" i="8"/>
  <c r="BM46" i="8" s="1"/>
  <c r="CB51" i="8" l="1"/>
  <c r="CE50" i="8"/>
  <c r="BT50" i="8"/>
  <c r="BV49" i="8"/>
  <c r="BU49" i="8"/>
  <c r="CH47" i="8"/>
  <c r="CI47" i="8"/>
  <c r="BQ47" i="8"/>
  <c r="BR48" i="8" s="1"/>
  <c r="CF51" i="8"/>
  <c r="BZ50" i="8"/>
  <c r="BN45" i="8"/>
  <c r="BM45" i="8" s="1"/>
  <c r="BT49" i="8" l="1"/>
  <c r="BV48" i="8"/>
  <c r="CH46" i="8"/>
  <c r="CI46" i="8"/>
  <c r="BQ46" i="8"/>
  <c r="BX50" i="8"/>
  <c r="CA50" i="8" s="1"/>
  <c r="CD49" i="8"/>
  <c r="BU48" i="8"/>
  <c r="BZ48" i="8" s="1"/>
  <c r="CF50" i="8"/>
  <c r="BZ49" i="8"/>
  <c r="BN44" i="8"/>
  <c r="BM44" i="8" s="1"/>
  <c r="CH45" i="8" l="1"/>
  <c r="CI45" i="8"/>
  <c r="BQ45" i="8"/>
  <c r="BR46" i="8" s="1"/>
  <c r="BX48" i="8"/>
  <c r="CA48" i="8" s="1"/>
  <c r="CD47" i="8"/>
  <c r="CB50" i="8"/>
  <c r="CF49" i="8" s="1"/>
  <c r="CE49" i="8"/>
  <c r="BX49" i="8"/>
  <c r="CA49" i="8" s="1"/>
  <c r="CD48" i="8"/>
  <c r="BU47" i="8"/>
  <c r="BT48" i="8"/>
  <c r="BV47" i="8"/>
  <c r="BR47" i="8"/>
  <c r="BN43" i="8"/>
  <c r="BM43" i="8" s="1"/>
  <c r="BZ47" i="8" l="1"/>
  <c r="CD46" i="8" s="1"/>
  <c r="CH44" i="8"/>
  <c r="CI44" i="8"/>
  <c r="BQ44" i="8"/>
  <c r="BR45" i="8" s="1"/>
  <c r="CB49" i="8"/>
  <c r="CF48" i="8" s="1"/>
  <c r="CE48" i="8"/>
  <c r="CB48" i="8"/>
  <c r="CE47" i="8"/>
  <c r="BT47" i="8"/>
  <c r="BV46" i="8"/>
  <c r="BU46" i="8"/>
  <c r="BZ46" i="8" s="1"/>
  <c r="BN42" i="8"/>
  <c r="BM42" i="8" s="1"/>
  <c r="BX47" i="8" l="1"/>
  <c r="CA47" i="8" s="1"/>
  <c r="CE46" i="8" s="1"/>
  <c r="CF47" i="8"/>
  <c r="BX46" i="8"/>
  <c r="CA46" i="8" s="1"/>
  <c r="CD45" i="8"/>
  <c r="CH43" i="8"/>
  <c r="CI43" i="8"/>
  <c r="BQ43" i="8"/>
  <c r="BT46" i="8"/>
  <c r="BV45" i="8"/>
  <c r="BU45" i="8"/>
  <c r="BZ45" i="8" s="1"/>
  <c r="BN41" i="8"/>
  <c r="BM41" i="8" s="1"/>
  <c r="CB47" i="8" l="1"/>
  <c r="CF46" i="8" s="1"/>
  <c r="BX45" i="8"/>
  <c r="CA45" i="8" s="1"/>
  <c r="CD44" i="8"/>
  <c r="CH42" i="8"/>
  <c r="CI42" i="8"/>
  <c r="BQ42" i="8"/>
  <c r="BR43" i="8" s="1"/>
  <c r="BU44" i="8"/>
  <c r="BT45" i="8"/>
  <c r="BV44" i="8"/>
  <c r="BR44" i="8"/>
  <c r="CB46" i="8"/>
  <c r="CE45" i="8"/>
  <c r="BN40" i="8"/>
  <c r="BM40" i="8" s="1"/>
  <c r="CF45" i="8" l="1"/>
  <c r="BT44" i="8"/>
  <c r="BV43" i="8"/>
  <c r="BZ44" i="8"/>
  <c r="CH41" i="8"/>
  <c r="CI41" i="8"/>
  <c r="BQ41" i="8"/>
  <c r="BR42" i="8" s="1"/>
  <c r="BU43" i="8"/>
  <c r="BZ43" i="8" s="1"/>
  <c r="CB45" i="8"/>
  <c r="CF44" i="8" s="1"/>
  <c r="CE44" i="8"/>
  <c r="BN39" i="8"/>
  <c r="BM39" i="8" s="1"/>
  <c r="BU42" i="8" l="1"/>
  <c r="CH40" i="8"/>
  <c r="CI40" i="8"/>
  <c r="BQ40" i="8"/>
  <c r="BR41" i="8" s="1"/>
  <c r="BX44" i="8"/>
  <c r="CA44" i="8" s="1"/>
  <c r="CD43" i="8"/>
  <c r="BX43" i="8"/>
  <c r="CA43" i="8" s="1"/>
  <c r="CD42" i="8"/>
  <c r="BT43" i="8"/>
  <c r="BV42" i="8"/>
  <c r="BN38" i="8"/>
  <c r="BM38" i="8" s="1"/>
  <c r="CB44" i="8" l="1"/>
  <c r="CE43" i="8"/>
  <c r="CH39" i="8"/>
  <c r="CI39" i="8"/>
  <c r="BQ39" i="8"/>
  <c r="BT42" i="8"/>
  <c r="BV41" i="8"/>
  <c r="BU41" i="8"/>
  <c r="CB43" i="8"/>
  <c r="CE42" i="8"/>
  <c r="BZ42" i="8"/>
  <c r="BN37" i="8"/>
  <c r="BM37" i="8" s="1"/>
  <c r="CF42" i="8" l="1"/>
  <c r="BU40" i="8"/>
  <c r="CH38" i="8"/>
  <c r="CI38" i="8"/>
  <c r="BQ38" i="8"/>
  <c r="BX42" i="8"/>
  <c r="CA42" i="8" s="1"/>
  <c r="CD41" i="8"/>
  <c r="CF43" i="8"/>
  <c r="BT41" i="8"/>
  <c r="BV40" i="8"/>
  <c r="BR40" i="8"/>
  <c r="BZ41" i="8"/>
  <c r="BN36" i="8"/>
  <c r="BM36" i="8" s="1"/>
  <c r="BZ40" i="8" l="1"/>
  <c r="BX40" i="8" s="1"/>
  <c r="CA40" i="8" s="1"/>
  <c r="BX41" i="8"/>
  <c r="CA41" i="8" s="1"/>
  <c r="CD40" i="8"/>
  <c r="CH37" i="8"/>
  <c r="CI37" i="8"/>
  <c r="BQ37" i="8"/>
  <c r="BR38" i="8" s="1"/>
  <c r="CB42" i="8"/>
  <c r="Q14" i="5" s="1"/>
  <c r="R14" i="5" s="1"/>
  <c r="CE41" i="8"/>
  <c r="BU39" i="8"/>
  <c r="BT40" i="8"/>
  <c r="BV39" i="8"/>
  <c r="BR39" i="8"/>
  <c r="BN35" i="8"/>
  <c r="BM35" i="8" s="1"/>
  <c r="CD39" i="8" l="1"/>
  <c r="BZ39" i="8"/>
  <c r="BX39" i="8" s="1"/>
  <c r="CA39" i="8" s="1"/>
  <c r="CF41" i="8"/>
  <c r="BU38" i="8"/>
  <c r="CH36" i="8"/>
  <c r="CI36" i="8"/>
  <c r="BQ36" i="8"/>
  <c r="CB40" i="8"/>
  <c r="CE39" i="8"/>
  <c r="BT39" i="8"/>
  <c r="BV38" i="8"/>
  <c r="CB41" i="8"/>
  <c r="CE40" i="8"/>
  <c r="BN34" i="8"/>
  <c r="BM34" i="8" s="1"/>
  <c r="CD38" i="8" l="1"/>
  <c r="BU37" i="8"/>
  <c r="CF40" i="8"/>
  <c r="BT38" i="8"/>
  <c r="BV37" i="8"/>
  <c r="BR37" i="8"/>
  <c r="CF39" i="8"/>
  <c r="CH35" i="8"/>
  <c r="CI35" i="8"/>
  <c r="BQ35" i="8"/>
  <c r="CB39" i="8"/>
  <c r="CE38" i="8"/>
  <c r="BZ38" i="8"/>
  <c r="BN33" i="8"/>
  <c r="BM33" i="8" s="1"/>
  <c r="BZ37" i="8" l="1"/>
  <c r="BX37" i="8" s="1"/>
  <c r="CA37" i="8" s="1"/>
  <c r="CH34" i="8"/>
  <c r="CI34" i="8"/>
  <c r="BQ34" i="8"/>
  <c r="BR35" i="8" s="1"/>
  <c r="BX38" i="8"/>
  <c r="CA38" i="8" s="1"/>
  <c r="CD37" i="8"/>
  <c r="CF38" i="8"/>
  <c r="BU36" i="8"/>
  <c r="BT37" i="8"/>
  <c r="BV36" i="8"/>
  <c r="BR36" i="8"/>
  <c r="BN32" i="8"/>
  <c r="BM32" i="8" s="1"/>
  <c r="CD36" i="8" l="1"/>
  <c r="BZ36" i="8"/>
  <c r="BX36" i="8" s="1"/>
  <c r="CA36" i="8" s="1"/>
  <c r="CH33" i="8"/>
  <c r="CI33" i="8"/>
  <c r="BQ33" i="8"/>
  <c r="BR34" i="8" s="1"/>
  <c r="BU35" i="8"/>
  <c r="CB38" i="8"/>
  <c r="CF37" i="8" s="1"/>
  <c r="CE37" i="8"/>
  <c r="CB37" i="8"/>
  <c r="CE36" i="8"/>
  <c r="BT36" i="8"/>
  <c r="BV35" i="8"/>
  <c r="BN31" i="8"/>
  <c r="BM31" i="8" s="1"/>
  <c r="CD35" i="8" l="1"/>
  <c r="CF36" i="8"/>
  <c r="BT35" i="8"/>
  <c r="BV34" i="8"/>
  <c r="CH32" i="8"/>
  <c r="CI32" i="8"/>
  <c r="BQ32" i="8"/>
  <c r="CB36" i="8"/>
  <c r="CF35" i="8" s="1"/>
  <c r="CE35" i="8"/>
  <c r="BZ35" i="8"/>
  <c r="BU34" i="8"/>
  <c r="BZ34" i="8" s="1"/>
  <c r="BN30" i="8"/>
  <c r="BM30" i="8" s="1"/>
  <c r="BU33" i="8" l="1"/>
  <c r="CH31" i="8"/>
  <c r="CI31" i="8"/>
  <c r="BQ31" i="8"/>
  <c r="BT34" i="8"/>
  <c r="BV33" i="8"/>
  <c r="BX34" i="8"/>
  <c r="CA34" i="8" s="1"/>
  <c r="CD33" i="8"/>
  <c r="BR33" i="8"/>
  <c r="BX35" i="8"/>
  <c r="CA35" i="8" s="1"/>
  <c r="CD34" i="8"/>
  <c r="BN29" i="8"/>
  <c r="BM29" i="8" s="1"/>
  <c r="BZ33" i="8" l="1"/>
  <c r="BX33" i="8" s="1"/>
  <c r="CA33" i="8" s="1"/>
  <c r="CB34" i="8"/>
  <c r="CE33" i="8"/>
  <c r="CH30" i="8"/>
  <c r="CI30" i="8"/>
  <c r="BQ30" i="8"/>
  <c r="BR31" i="8" s="1"/>
  <c r="BU32" i="8"/>
  <c r="CB35" i="8"/>
  <c r="CF34" i="8" s="1"/>
  <c r="CE34" i="8"/>
  <c r="BT33" i="8"/>
  <c r="BV32" i="8"/>
  <c r="BR32" i="8"/>
  <c r="BN28" i="8"/>
  <c r="BM28" i="8" s="1"/>
  <c r="CD32" i="8" l="1"/>
  <c r="BT32" i="8"/>
  <c r="BV31" i="8"/>
  <c r="BU31" i="8"/>
  <c r="CB33" i="8"/>
  <c r="CF32" i="8" s="1"/>
  <c r="CE32" i="8"/>
  <c r="CH29" i="8"/>
  <c r="CI29" i="8"/>
  <c r="BQ29" i="8"/>
  <c r="BR30" i="8" s="1"/>
  <c r="BZ32" i="8"/>
  <c r="CF33" i="8"/>
  <c r="BN27" i="8"/>
  <c r="BM27" i="8" s="1"/>
  <c r="CH28" i="8" l="1"/>
  <c r="CI28" i="8"/>
  <c r="BQ28" i="8"/>
  <c r="BR29" i="8" s="1"/>
  <c r="BT31" i="8"/>
  <c r="BV30" i="8"/>
  <c r="BZ31" i="8"/>
  <c r="BX32" i="8"/>
  <c r="CA32" i="8" s="1"/>
  <c r="CD31" i="8"/>
  <c r="BU30" i="8"/>
  <c r="BZ30" i="8" s="1"/>
  <c r="BN26" i="8"/>
  <c r="BM26" i="8" s="1"/>
  <c r="BX31" i="8" l="1"/>
  <c r="CA31" i="8" s="1"/>
  <c r="CD30" i="8"/>
  <c r="BX30" i="8"/>
  <c r="CA30" i="8" s="1"/>
  <c r="CD29" i="8"/>
  <c r="CB32" i="8"/>
  <c r="CE31" i="8"/>
  <c r="CH27" i="8"/>
  <c r="CI27" i="8"/>
  <c r="BQ27" i="8"/>
  <c r="BR28" i="8" s="1"/>
  <c r="BT30" i="8"/>
  <c r="BV29" i="8"/>
  <c r="BU29" i="8"/>
  <c r="BZ29" i="8" s="1"/>
  <c r="BN25" i="8"/>
  <c r="BM25" i="8" s="1"/>
  <c r="BX29" i="8" l="1"/>
  <c r="CA29" i="8" s="1"/>
  <c r="CD28" i="8"/>
  <c r="CH26" i="8"/>
  <c r="CI26" i="8"/>
  <c r="BQ26" i="8"/>
  <c r="BR27" i="8" s="1"/>
  <c r="CF31" i="8"/>
  <c r="BT29" i="8"/>
  <c r="BV28" i="8"/>
  <c r="CB30" i="8"/>
  <c r="CE29" i="8"/>
  <c r="BU28" i="8"/>
  <c r="BZ28" i="8" s="1"/>
  <c r="CB31" i="8"/>
  <c r="CF30" i="8" s="1"/>
  <c r="CE30" i="8"/>
  <c r="BN24" i="8"/>
  <c r="BM24" i="8" s="1"/>
  <c r="Q13" i="5" l="1"/>
  <c r="R13" i="5" s="1"/>
  <c r="BT28" i="8"/>
  <c r="BV27" i="8"/>
  <c r="BX28" i="8"/>
  <c r="CA28" i="8" s="1"/>
  <c r="CD27" i="8"/>
  <c r="CH25" i="8"/>
  <c r="CI25" i="8"/>
  <c r="BQ25" i="8"/>
  <c r="BU27" i="8"/>
  <c r="BZ27" i="8" s="1"/>
  <c r="CF29" i="8"/>
  <c r="CB29" i="8"/>
  <c r="CF28" i="8" s="1"/>
  <c r="CE28" i="8"/>
  <c r="BN23" i="8"/>
  <c r="BM23" i="8" s="1"/>
  <c r="BX27" i="8" l="1"/>
  <c r="CA27" i="8" s="1"/>
  <c r="CD26" i="8"/>
  <c r="CH24" i="8"/>
  <c r="CI24" i="8"/>
  <c r="BQ24" i="8"/>
  <c r="BR25" i="8" s="1"/>
  <c r="BU26" i="8"/>
  <c r="CB28" i="8"/>
  <c r="CF27" i="8" s="1"/>
  <c r="CE27" i="8"/>
  <c r="BT27" i="8"/>
  <c r="BV26" i="8"/>
  <c r="BR26" i="8"/>
  <c r="BN22" i="8"/>
  <c r="BM22" i="8" s="1"/>
  <c r="BT26" i="8" l="1"/>
  <c r="BV25" i="8"/>
  <c r="CH23" i="8"/>
  <c r="CI23" i="8"/>
  <c r="BQ23" i="8"/>
  <c r="BR24" i="8" s="1"/>
  <c r="BU25" i="8"/>
  <c r="BZ26" i="8"/>
  <c r="CB27" i="8"/>
  <c r="CE26" i="8"/>
  <c r="BN21" i="8"/>
  <c r="BM21" i="8" s="1"/>
  <c r="BT25" i="8" l="1"/>
  <c r="BV24" i="8"/>
  <c r="CH22" i="8"/>
  <c r="CI22" i="8"/>
  <c r="BQ22" i="8"/>
  <c r="BR23" i="8" s="1"/>
  <c r="BU24" i="8"/>
  <c r="BZ25" i="8"/>
  <c r="CF26" i="8"/>
  <c r="BX26" i="8"/>
  <c r="CA26" i="8" s="1"/>
  <c r="CD25" i="8"/>
  <c r="BN20" i="8"/>
  <c r="BM20" i="8" s="1"/>
  <c r="BT24" i="8" l="1"/>
  <c r="BV23" i="8"/>
  <c r="CH21" i="8"/>
  <c r="CI21" i="8"/>
  <c r="BQ21" i="8"/>
  <c r="BR22" i="8" s="1"/>
  <c r="BZ24" i="8"/>
  <c r="BU23" i="8"/>
  <c r="BZ23" i="8" s="1"/>
  <c r="CB26" i="8"/>
  <c r="CF25" i="8" s="1"/>
  <c r="CE25" i="8"/>
  <c r="BX25" i="8"/>
  <c r="CA25" i="8" s="1"/>
  <c r="CD24" i="8"/>
  <c r="BN19" i="8"/>
  <c r="BM19" i="8" s="1"/>
  <c r="BX24" i="8" l="1"/>
  <c r="CA24" i="8" s="1"/>
  <c r="CD23" i="8"/>
  <c r="CH20" i="8"/>
  <c r="CI20" i="8"/>
  <c r="BQ20" i="8"/>
  <c r="BR21" i="8" s="1"/>
  <c r="BU22" i="8"/>
  <c r="CB25" i="8"/>
  <c r="CF24" i="8" s="1"/>
  <c r="CE24" i="8"/>
  <c r="BX23" i="8"/>
  <c r="CA23" i="8" s="1"/>
  <c r="CD22" i="8"/>
  <c r="BT23" i="8"/>
  <c r="BV22" i="8"/>
  <c r="BN18" i="8"/>
  <c r="BM18" i="8" s="1"/>
  <c r="BT22" i="8" l="1"/>
  <c r="BV21" i="8"/>
  <c r="CH19" i="8"/>
  <c r="CI19" i="8"/>
  <c r="BQ19" i="8"/>
  <c r="BR20" i="8" s="1"/>
  <c r="BU21" i="8"/>
  <c r="CB23" i="8"/>
  <c r="CE22" i="8"/>
  <c r="BZ22" i="8"/>
  <c r="CB24" i="8"/>
  <c r="CF23" i="8" s="1"/>
  <c r="CE23" i="8"/>
  <c r="BN17" i="8"/>
  <c r="BM17" i="8" s="1"/>
  <c r="BX22" i="8" l="1"/>
  <c r="CA22" i="8" s="1"/>
  <c r="CD21" i="8"/>
  <c r="BT21" i="8"/>
  <c r="BV20" i="8"/>
  <c r="CH18" i="8"/>
  <c r="CI18" i="8"/>
  <c r="BQ18" i="8"/>
  <c r="BU20" i="8"/>
  <c r="CF22" i="8"/>
  <c r="BZ21" i="8"/>
  <c r="BN16" i="8"/>
  <c r="BM16" i="8" s="1"/>
  <c r="BU19" i="8" l="1"/>
  <c r="CH17" i="8"/>
  <c r="CI17" i="8"/>
  <c r="BQ17" i="8"/>
  <c r="CB22" i="8"/>
  <c r="CE21" i="8"/>
  <c r="BX21" i="8"/>
  <c r="CA21" i="8" s="1"/>
  <c r="CD20" i="8"/>
  <c r="BT20" i="8"/>
  <c r="BV19" i="8"/>
  <c r="BR19" i="8"/>
  <c r="BZ20" i="8"/>
  <c r="BN15" i="8"/>
  <c r="BM15" i="8" s="1"/>
  <c r="BZ19" i="8" l="1"/>
  <c r="BX19" i="8" s="1"/>
  <c r="CA19" i="8" s="1"/>
  <c r="CB21" i="8"/>
  <c r="CE20" i="8"/>
  <c r="BX20" i="8"/>
  <c r="CA20" i="8" s="1"/>
  <c r="CD19" i="8"/>
  <c r="CH16" i="8"/>
  <c r="CI16" i="8"/>
  <c r="BQ16" i="8"/>
  <c r="BR17" i="8" s="1"/>
  <c r="CF21" i="8"/>
  <c r="BU18" i="8"/>
  <c r="BT19" i="8"/>
  <c r="BV18" i="8"/>
  <c r="BR18" i="8"/>
  <c r="BN14" i="8"/>
  <c r="BM14" i="8" s="1"/>
  <c r="CD18" i="8" l="1"/>
  <c r="BZ18" i="8"/>
  <c r="BX18" i="8" s="1"/>
  <c r="CA18" i="8" s="1"/>
  <c r="CH15" i="8"/>
  <c r="CI15" i="8"/>
  <c r="BQ15" i="8"/>
  <c r="BR16" i="8" s="1"/>
  <c r="BU17" i="8"/>
  <c r="CB19" i="8"/>
  <c r="CE18" i="8"/>
  <c r="BT18" i="8"/>
  <c r="BV17" i="8"/>
  <c r="CB20" i="8"/>
  <c r="CE19" i="8"/>
  <c r="CF20" i="8"/>
  <c r="BN13" i="8"/>
  <c r="BM13" i="8" s="1"/>
  <c r="CD17" i="8" l="1"/>
  <c r="BT17" i="8"/>
  <c r="BV16" i="8"/>
  <c r="CH14" i="8"/>
  <c r="CI14" i="8"/>
  <c r="BQ14" i="8"/>
  <c r="BR15" i="8" s="1"/>
  <c r="BU16" i="8"/>
  <c r="CF19" i="8"/>
  <c r="BZ17" i="8"/>
  <c r="CF18" i="8"/>
  <c r="CB18" i="8"/>
  <c r="CE17" i="8"/>
  <c r="BN12" i="8"/>
  <c r="BM12" i="8" s="1"/>
  <c r="CF17" i="8" l="1"/>
  <c r="Q12" i="5"/>
  <c r="R12" i="5" s="1"/>
  <c r="BT16" i="8"/>
  <c r="BV15" i="8"/>
  <c r="CH13" i="8"/>
  <c r="CI13" i="8"/>
  <c r="BQ13" i="8"/>
  <c r="BZ16" i="8"/>
  <c r="BU15" i="8"/>
  <c r="BZ15" i="8" s="1"/>
  <c r="BX17" i="8"/>
  <c r="CA17" i="8" s="1"/>
  <c r="CD16" i="8"/>
  <c r="BN11" i="8"/>
  <c r="BM11" i="8" s="1"/>
  <c r="BR14" i="8" l="1"/>
  <c r="BU14" i="8"/>
  <c r="CH12" i="8"/>
  <c r="CI12" i="8"/>
  <c r="BQ12" i="8"/>
  <c r="BX16" i="8"/>
  <c r="CA16" i="8" s="1"/>
  <c r="CD15" i="8"/>
  <c r="BX15" i="8"/>
  <c r="CA15" i="8" s="1"/>
  <c r="CD14" i="8"/>
  <c r="CB17" i="8"/>
  <c r="CE16" i="8"/>
  <c r="BT15" i="8"/>
  <c r="BV14" i="8"/>
  <c r="BN10" i="8"/>
  <c r="BM10" i="8" s="1"/>
  <c r="BZ14" i="8" l="1"/>
  <c r="BX14" i="8" s="1"/>
  <c r="CA14" i="8" s="1"/>
  <c r="CH11" i="8"/>
  <c r="CI11" i="8"/>
  <c r="BQ11" i="8"/>
  <c r="BU12" i="8" s="1"/>
  <c r="CB15" i="8"/>
  <c r="CE14" i="8"/>
  <c r="CD13" i="8"/>
  <c r="BU13" i="8"/>
  <c r="CF16" i="8"/>
  <c r="CB16" i="8"/>
  <c r="CE15" i="8"/>
  <c r="BT14" i="8"/>
  <c r="BV13" i="8"/>
  <c r="BR13" i="8"/>
  <c r="BN9" i="8"/>
  <c r="BM9" i="8" s="1"/>
  <c r="BZ13" i="8" l="1"/>
  <c r="CD12" i="8" s="1"/>
  <c r="BR12" i="8"/>
  <c r="BZ12" i="8" s="1"/>
  <c r="BX12" i="8" s="1"/>
  <c r="CA12" i="8" s="1"/>
  <c r="CF14" i="8"/>
  <c r="CB14" i="8"/>
  <c r="CF13" i="8" s="1"/>
  <c r="CE13" i="8"/>
  <c r="BT12" i="8"/>
  <c r="BV11" i="8"/>
  <c r="CF15" i="8"/>
  <c r="CH10" i="8"/>
  <c r="CI10" i="8"/>
  <c r="BQ10" i="8"/>
  <c r="BT13" i="8"/>
  <c r="BV12" i="8"/>
  <c r="BN8" i="8"/>
  <c r="BM8" i="8" s="1"/>
  <c r="BX13" i="8" l="1"/>
  <c r="CA13" i="8" s="1"/>
  <c r="CB13" i="8" s="1"/>
  <c r="CF12" i="8" s="1"/>
  <c r="CD11" i="8"/>
  <c r="BU11" i="8"/>
  <c r="BR11" i="8"/>
  <c r="CH9" i="8"/>
  <c r="CI9" i="8"/>
  <c r="BQ9" i="8"/>
  <c r="CB12" i="8"/>
  <c r="BN7" i="8"/>
  <c r="CE11" i="8" l="1"/>
  <c r="CE12" i="8"/>
  <c r="BM7" i="8"/>
  <c r="BN6" i="8"/>
  <c r="BM6" i="8" s="1"/>
  <c r="BZ11" i="8"/>
  <c r="BX11" i="8" s="1"/>
  <c r="CA11" i="8" s="1"/>
  <c r="BU10" i="8"/>
  <c r="CH8" i="8"/>
  <c r="CI8" i="8"/>
  <c r="BQ8" i="8"/>
  <c r="BT11" i="8"/>
  <c r="BV10" i="8"/>
  <c r="CF11" i="8"/>
  <c r="BR10" i="8"/>
  <c r="CD10" i="8" l="1"/>
  <c r="BZ10" i="8"/>
  <c r="BX10" i="8" s="1"/>
  <c r="CA10" i="8" s="1"/>
  <c r="BU9" i="8"/>
  <c r="CB11" i="8"/>
  <c r="CF10" i="8" s="1"/>
  <c r="CE10" i="8"/>
  <c r="CH7" i="8"/>
  <c r="CI7" i="8"/>
  <c r="BQ7" i="8"/>
  <c r="BT10" i="8"/>
  <c r="BV9" i="8"/>
  <c r="BR9" i="8"/>
  <c r="BN5" i="8"/>
  <c r="BZ9" i="8" l="1"/>
  <c r="CD9" i="8"/>
  <c r="CB10" i="8"/>
  <c r="CF9" i="8" s="1"/>
  <c r="CE9" i="8"/>
  <c r="BU8" i="8"/>
  <c r="CH6" i="8"/>
  <c r="CI6" i="8"/>
  <c r="BQ6" i="8"/>
  <c r="BR7" i="8" s="1"/>
  <c r="BT9" i="8"/>
  <c r="BV8" i="8"/>
  <c r="BR8" i="8"/>
  <c r="BX9" i="8" l="1"/>
  <c r="CA9" i="8" s="1"/>
  <c r="CD8" i="8"/>
  <c r="BZ8" i="8"/>
  <c r="BX8" i="8" s="1"/>
  <c r="CA8" i="8" s="1"/>
  <c r="BT8" i="8"/>
  <c r="BV7" i="8"/>
  <c r="BR6" i="8"/>
  <c r="BZ6" i="8" s="1"/>
  <c r="BU7" i="8"/>
  <c r="BZ7" i="8" s="1"/>
  <c r="CB9" i="8" l="1"/>
  <c r="CF8" i="8" s="1"/>
  <c r="CE8" i="8"/>
  <c r="CD7" i="8"/>
  <c r="BX6" i="8"/>
  <c r="BT7" i="8"/>
  <c r="BV5" i="8"/>
  <c r="BV6" i="8"/>
  <c r="CB8" i="8"/>
  <c r="CE7" i="8"/>
  <c r="CF7" i="8" l="1"/>
  <c r="BX7" i="8"/>
  <c r="CA7" i="8" s="1"/>
  <c r="CD6" i="8"/>
  <c r="CD2" i="8"/>
  <c r="CD5" i="8"/>
  <c r="CA6" i="8"/>
  <c r="L37" i="5" l="1"/>
  <c r="L39" i="5" s="1"/>
  <c r="CB6" i="8"/>
  <c r="CE2" i="8"/>
  <c r="CE5" i="8"/>
  <c r="CB7" i="8"/>
  <c r="CE6" i="8"/>
  <c r="K10" i="5" l="1"/>
  <c r="K19" i="5"/>
  <c r="CF6" i="8"/>
  <c r="CF2" i="8"/>
  <c r="Q11" i="5"/>
  <c r="R11" i="5" s="1"/>
  <c r="L42" i="5"/>
  <c r="K37" i="5"/>
  <c r="K39" i="5" s="1"/>
  <c r="CM6" i="8"/>
  <c r="CK6" i="8"/>
  <c r="CN6" i="8"/>
  <c r="CL6" i="8"/>
  <c r="CM7" i="8"/>
  <c r="CN7" i="8"/>
  <c r="CK7" i="8"/>
  <c r="CL7" i="8"/>
  <c r="CK8" i="8"/>
  <c r="CN8" i="8"/>
  <c r="CL8" i="8"/>
  <c r="CK9" i="8"/>
  <c r="CN9" i="8"/>
  <c r="CL9" i="8"/>
  <c r="CM9" i="8"/>
  <c r="CK10" i="8"/>
  <c r="CL10" i="8"/>
  <c r="CM10" i="8"/>
  <c r="CN10" i="8"/>
  <c r="CK11" i="8"/>
  <c r="CM11" i="8"/>
  <c r="CL11" i="8"/>
  <c r="CN11" i="8"/>
  <c r="CK12" i="8"/>
  <c r="CM12" i="8"/>
  <c r="CL12" i="8"/>
  <c r="CN12" i="8"/>
  <c r="CM13" i="8"/>
  <c r="CN13" i="8"/>
  <c r="CL13" i="8"/>
  <c r="CK13" i="8"/>
  <c r="CK14" i="8"/>
  <c r="CM14" i="8"/>
  <c r="CN14" i="8"/>
  <c r="CL14" i="8"/>
  <c r="CM15" i="8"/>
  <c r="CL15" i="8"/>
  <c r="CK15" i="8"/>
  <c r="CN15" i="8"/>
  <c r="CK16" i="8"/>
  <c r="CL16" i="8"/>
  <c r="CM16" i="8"/>
  <c r="CL17" i="8"/>
  <c r="CK17" i="8"/>
  <c r="CN17" i="8"/>
  <c r="CL18" i="8"/>
  <c r="CM18" i="8"/>
  <c r="CN18" i="8"/>
  <c r="CK18" i="8"/>
  <c r="CK19" i="8"/>
  <c r="CN19" i="8"/>
  <c r="CL19" i="8"/>
  <c r="CM19" i="8"/>
  <c r="CM20" i="8"/>
  <c r="CN20" i="8"/>
  <c r="CL20" i="8"/>
  <c r="CK21" i="8"/>
  <c r="CL21" i="8"/>
  <c r="CM21" i="8"/>
  <c r="CN22" i="8"/>
  <c r="CM22" i="8"/>
  <c r="CK22" i="8"/>
  <c r="CK23" i="8"/>
  <c r="CL23" i="8"/>
  <c r="CN23" i="8"/>
  <c r="CM23" i="8"/>
  <c r="CL24" i="8"/>
  <c r="CN24" i="8"/>
  <c r="CK24" i="8"/>
  <c r="CM24" i="8"/>
  <c r="CN25" i="8"/>
  <c r="CM25" i="8"/>
  <c r="CL25" i="8"/>
  <c r="CK25" i="8"/>
  <c r="CK26" i="8"/>
  <c r="CN26" i="8"/>
  <c r="CM26" i="8"/>
  <c r="CL26" i="8"/>
  <c r="CL27" i="8"/>
  <c r="CK27" i="8"/>
  <c r="CM27" i="8"/>
  <c r="CL28" i="8"/>
  <c r="CN28" i="8"/>
  <c r="CK28" i="8"/>
  <c r="CM28" i="8"/>
  <c r="CM29" i="8"/>
  <c r="CN29" i="8"/>
  <c r="CL29" i="8"/>
  <c r="CK29" i="8"/>
  <c r="CK30" i="8"/>
  <c r="CN30" i="8"/>
  <c r="CL30" i="8"/>
  <c r="CM30" i="8"/>
  <c r="CM31" i="8"/>
  <c r="CL31" i="8"/>
  <c r="CK31" i="8"/>
  <c r="CN31" i="8"/>
  <c r="CL32" i="8"/>
  <c r="CN32" i="8"/>
  <c r="CK32" i="8"/>
  <c r="CM33" i="8"/>
  <c r="CL33" i="8"/>
  <c r="CK33" i="8"/>
  <c r="CN33" i="8"/>
  <c r="CL34" i="8"/>
  <c r="CN34" i="8"/>
  <c r="CK34" i="8"/>
  <c r="CL35" i="8"/>
  <c r="CK35" i="8"/>
  <c r="CM35" i="8"/>
  <c r="CN35" i="8"/>
  <c r="CK36" i="8"/>
  <c r="CM36" i="8"/>
  <c r="CN36" i="8"/>
  <c r="CL36" i="8"/>
  <c r="CM37" i="8"/>
  <c r="CN37" i="8"/>
  <c r="CL37" i="8"/>
  <c r="CK37" i="8"/>
  <c r="CL38" i="8"/>
  <c r="CM38" i="8"/>
  <c r="CK38" i="8"/>
  <c r="CN38" i="8"/>
  <c r="CK39" i="8"/>
  <c r="CM39" i="8"/>
  <c r="CL39" i="8"/>
  <c r="CM40" i="8"/>
  <c r="CN40" i="8"/>
  <c r="CK40" i="8"/>
  <c r="CM41" i="8"/>
  <c r="CK41" i="8"/>
  <c r="CN41" i="8"/>
  <c r="CM42" i="8"/>
  <c r="CK42" i="8"/>
  <c r="CN42" i="8"/>
  <c r="CN43" i="8"/>
  <c r="CM43" i="8"/>
  <c r="CK43" i="8"/>
  <c r="CL43" i="8"/>
  <c r="CL44" i="8"/>
  <c r="CN44" i="8"/>
  <c r="CK44" i="8"/>
  <c r="CM45" i="8"/>
  <c r="CN45" i="8"/>
  <c r="CL45" i="8"/>
  <c r="CK45" i="8"/>
  <c r="CN46" i="8"/>
  <c r="CL46" i="8"/>
  <c r="CK46" i="8"/>
  <c r="CM46" i="8"/>
  <c r="CN47" i="8"/>
  <c r="CK47" i="8"/>
  <c r="CM47" i="8"/>
  <c r="CL47" i="8"/>
  <c r="CM48" i="8"/>
  <c r="CN48" i="8"/>
  <c r="CL48" i="8"/>
  <c r="CK48" i="8"/>
  <c r="CN49" i="8"/>
  <c r="CK49" i="8"/>
  <c r="CL49" i="8"/>
  <c r="CM49" i="8"/>
  <c r="CL50" i="8"/>
  <c r="CM50" i="8"/>
  <c r="CK50" i="8"/>
  <c r="CN50" i="8"/>
  <c r="CL51" i="8"/>
  <c r="CN51" i="8"/>
  <c r="CM51" i="8"/>
  <c r="CK52" i="8"/>
  <c r="CN52" i="8"/>
  <c r="CL52" i="8"/>
  <c r="CN53" i="8"/>
  <c r="CL53" i="8"/>
  <c r="CK53" i="8"/>
  <c r="CM53" i="8"/>
  <c r="CM54" i="8"/>
  <c r="CL54" i="8"/>
  <c r="CK54" i="8"/>
  <c r="CN54" i="8"/>
  <c r="CM55" i="8"/>
  <c r="CN55" i="8"/>
  <c r="CK55" i="8"/>
  <c r="CN56" i="8"/>
  <c r="CK56" i="8"/>
  <c r="CM56" i="8"/>
  <c r="CL56" i="8"/>
  <c r="CM57" i="8"/>
  <c r="CN57" i="8"/>
  <c r="CK57" i="8"/>
  <c r="CM58" i="8"/>
  <c r="CL58" i="8"/>
  <c r="CK58" i="8"/>
  <c r="CK59" i="8"/>
  <c r="CM59" i="8"/>
  <c r="CN59" i="8"/>
  <c r="CL60" i="8"/>
  <c r="CM60" i="8"/>
  <c r="CN60" i="8"/>
  <c r="CK61" i="8"/>
  <c r="CL61" i="8"/>
  <c r="CM61" i="8"/>
  <c r="CM62" i="8"/>
  <c r="CN62" i="8"/>
  <c r="CK62" i="8"/>
  <c r="CL62" i="8"/>
  <c r="CK63" i="8"/>
  <c r="CN63" i="8"/>
  <c r="CL63" i="8"/>
  <c r="CM63" i="8"/>
  <c r="CM64" i="8"/>
  <c r="CK64" i="8"/>
  <c r="CL64" i="8"/>
  <c r="CN64" i="8"/>
  <c r="CN65" i="8"/>
  <c r="CK65" i="8"/>
  <c r="CM65" i="8"/>
  <c r="CL65" i="8"/>
  <c r="CN66" i="8"/>
  <c r="CM66" i="8"/>
  <c r="CK66" i="8"/>
  <c r="CL66" i="8"/>
  <c r="CM67" i="8"/>
  <c r="CK67" i="8"/>
  <c r="CL67" i="8"/>
  <c r="CL68" i="8"/>
  <c r="CN68" i="8"/>
  <c r="CM68" i="8"/>
  <c r="CM69" i="8"/>
  <c r="CL69" i="8"/>
  <c r="CN69" i="8"/>
  <c r="CK69" i="8"/>
  <c r="CL70" i="8"/>
  <c r="CM70" i="8"/>
  <c r="CK70" i="8"/>
  <c r="CN70" i="8"/>
  <c r="CN71" i="8"/>
  <c r="CM71" i="8"/>
  <c r="CL71" i="8"/>
  <c r="CK72" i="8"/>
  <c r="CN72" i="8"/>
  <c r="CM72" i="8"/>
  <c r="CL72" i="8"/>
  <c r="CM73" i="8"/>
  <c r="CN73" i="8"/>
  <c r="CK73" i="8"/>
  <c r="CL73" i="8"/>
  <c r="CL74" i="8"/>
  <c r="CM74" i="8"/>
  <c r="CN74" i="8"/>
  <c r="CK74" i="8"/>
  <c r="CM75" i="8"/>
  <c r="CK75" i="8"/>
  <c r="CN75" i="8"/>
  <c r="CL75" i="8"/>
  <c r="CK76" i="8"/>
  <c r="CN76" i="8"/>
  <c r="CM76" i="8"/>
  <c r="CM77" i="8"/>
  <c r="CL77" i="8"/>
  <c r="CK77" i="8"/>
  <c r="CK78" i="8"/>
  <c r="CM78" i="8"/>
  <c r="CN78" i="8"/>
  <c r="CL79" i="8"/>
  <c r="CN79" i="8"/>
  <c r="CM79" i="8"/>
  <c r="CK80" i="8"/>
  <c r="CM80" i="8"/>
  <c r="CL80" i="8"/>
  <c r="CN80" i="8"/>
  <c r="CM81" i="8"/>
  <c r="CL81" i="8"/>
  <c r="CN81" i="8"/>
  <c r="CK81" i="8"/>
  <c r="CM82" i="8"/>
  <c r="CL82" i="8"/>
  <c r="CN82" i="8"/>
  <c r="CK82" i="8"/>
  <c r="CK83" i="8"/>
  <c r="CN83" i="8"/>
  <c r="CM83" i="8"/>
  <c r="CL83" i="8"/>
  <c r="CL84" i="8"/>
  <c r="CN84" i="8"/>
  <c r="CM84" i="8"/>
  <c r="CK85" i="8"/>
  <c r="CL85" i="8"/>
  <c r="CM85" i="8"/>
  <c r="CN85" i="8"/>
  <c r="CN86" i="8"/>
  <c r="CM86" i="8"/>
  <c r="CL86" i="8"/>
  <c r="CK86" i="8"/>
  <c r="CK87" i="8"/>
  <c r="CM87" i="8"/>
  <c r="CN87" i="8"/>
  <c r="CL87" i="8"/>
  <c r="CM88" i="8"/>
  <c r="CN88" i="8"/>
  <c r="CK88" i="8"/>
  <c r="CL88" i="8"/>
  <c r="CK89" i="8"/>
  <c r="CM89" i="8"/>
  <c r="CL89" i="8"/>
  <c r="CN89" i="8"/>
  <c r="CN90" i="8"/>
  <c r="CM90" i="8"/>
  <c r="CL90" i="8"/>
  <c r="CK90" i="8"/>
  <c r="CN91" i="8"/>
  <c r="CK91" i="8"/>
  <c r="CL91" i="8"/>
  <c r="CM91" i="8"/>
  <c r="CM92" i="8"/>
  <c r="CK92" i="8"/>
  <c r="CL92" i="8"/>
  <c r="CN92" i="8"/>
  <c r="CN93" i="8"/>
  <c r="CM93" i="8"/>
  <c r="CK93" i="8"/>
  <c r="CL93" i="8"/>
  <c r="CM94" i="8"/>
  <c r="CK94" i="8"/>
  <c r="CN94" i="8"/>
  <c r="CL94" i="8"/>
  <c r="CK95" i="8"/>
  <c r="CM95" i="8"/>
  <c r="CL95" i="8"/>
  <c r="CN95" i="8"/>
  <c r="CL96" i="8"/>
  <c r="CN96" i="8"/>
  <c r="CM96" i="8"/>
  <c r="CK96" i="8"/>
  <c r="CM97" i="8"/>
  <c r="CN97" i="8"/>
  <c r="CL97" i="8"/>
  <c r="CK97" i="8"/>
  <c r="CK98" i="8"/>
  <c r="CL98" i="8"/>
  <c r="CN98" i="8"/>
  <c r="CL99" i="8"/>
  <c r="CK99" i="8"/>
  <c r="CN99" i="8"/>
  <c r="CM99" i="8"/>
  <c r="CM100" i="8"/>
  <c r="CN100" i="8"/>
  <c r="CL100" i="8"/>
  <c r="CK100" i="8"/>
  <c r="CK101" i="8"/>
  <c r="CL101" i="8"/>
  <c r="CN101" i="8"/>
  <c r="CM101" i="8"/>
  <c r="CN102" i="8"/>
  <c r="CM102" i="8"/>
  <c r="CK102" i="8"/>
  <c r="CL102" i="8"/>
  <c r="CM103" i="8"/>
  <c r="CN103" i="8"/>
  <c r="CL103" i="8"/>
  <c r="CN104" i="8"/>
  <c r="CK104" i="8"/>
  <c r="CM104" i="8"/>
  <c r="CL104" i="8"/>
  <c r="CM105" i="8"/>
  <c r="CN105" i="8"/>
  <c r="CK105" i="8"/>
  <c r="CL105" i="8"/>
  <c r="CM106" i="8"/>
  <c r="CL106" i="8"/>
  <c r="CN106" i="8"/>
  <c r="CK106" i="8"/>
  <c r="CL107" i="8"/>
  <c r="CK107" i="8"/>
  <c r="CM107" i="8"/>
  <c r="CN107" i="8"/>
  <c r="CN108" i="8"/>
  <c r="CM108" i="8"/>
  <c r="CK108" i="8"/>
  <c r="CN109" i="8"/>
  <c r="CK109" i="8"/>
  <c r="CL109" i="8"/>
  <c r="CM109" i="8"/>
  <c r="CK110" i="8"/>
  <c r="CN110" i="8"/>
  <c r="CM110" i="8"/>
  <c r="CL110" i="8"/>
  <c r="CK111" i="8"/>
  <c r="CN111" i="8"/>
  <c r="CM111" i="8"/>
  <c r="CL111" i="8"/>
  <c r="CN112" i="8"/>
  <c r="CK112" i="8"/>
  <c r="CL112" i="8"/>
  <c r="CM113" i="8"/>
  <c r="CN113" i="8"/>
  <c r="CL113" i="8"/>
  <c r="CK114" i="8"/>
  <c r="CN114" i="8"/>
  <c r="CM114" i="8"/>
  <c r="CM115" i="8"/>
  <c r="CN115" i="8"/>
  <c r="CL115" i="8"/>
  <c r="CK115" i="8"/>
  <c r="CM116" i="8"/>
  <c r="CN116" i="8"/>
  <c r="CK116" i="8"/>
  <c r="CM117" i="8"/>
  <c r="CK117" i="8"/>
  <c r="CL117" i="8"/>
  <c r="CK118" i="8"/>
  <c r="CL118" i="8"/>
  <c r="CN118" i="8"/>
  <c r="CK119" i="8"/>
  <c r="CN119" i="8"/>
  <c r="CM119" i="8"/>
  <c r="CL119" i="8"/>
  <c r="CN120" i="8"/>
  <c r="CL120" i="8"/>
  <c r="CM120" i="8"/>
  <c r="CK120" i="8"/>
  <c r="CK121" i="8"/>
  <c r="CN121" i="8"/>
  <c r="CM121" i="8"/>
  <c r="CL122" i="8"/>
  <c r="CN122" i="8"/>
  <c r="CK122" i="8"/>
  <c r="CM123" i="8"/>
  <c r="CL123" i="8"/>
  <c r="CK123" i="8"/>
  <c r="CN123" i="8"/>
  <c r="CM124" i="8"/>
  <c r="CN124" i="8"/>
  <c r="CL124" i="8"/>
  <c r="CK124" i="8"/>
  <c r="CM125" i="8"/>
  <c r="CL125" i="8"/>
  <c r="CK125" i="8"/>
  <c r="CN125" i="8"/>
  <c r="CM126" i="8"/>
  <c r="CN126" i="8"/>
  <c r="CL126" i="8"/>
  <c r="CK126" i="8"/>
  <c r="CL127" i="8"/>
  <c r="CN127" i="8"/>
  <c r="CK127" i="8"/>
  <c r="CM127" i="8"/>
  <c r="CL128" i="8"/>
  <c r="CK128" i="8"/>
  <c r="CM128" i="8"/>
  <c r="CN128" i="8"/>
  <c r="CM129" i="8"/>
  <c r="CK129" i="8"/>
  <c r="CN129" i="8"/>
  <c r="CL129" i="8"/>
  <c r="CM130" i="8"/>
  <c r="CK130" i="8"/>
  <c r="CL130" i="8"/>
  <c r="CN130" i="8"/>
  <c r="CN131" i="8"/>
  <c r="CL131" i="8"/>
  <c r="CM131" i="8"/>
  <c r="CK131" i="8"/>
  <c r="CL132" i="8"/>
  <c r="CM132" i="8"/>
  <c r="CN132" i="8"/>
  <c r="CM133" i="8"/>
  <c r="CK133" i="8"/>
  <c r="CN133" i="8"/>
  <c r="CL133" i="8"/>
  <c r="CN134" i="8"/>
  <c r="CM134" i="8"/>
  <c r="CL134" i="8"/>
  <c r="CK134" i="8"/>
  <c r="CM135" i="8"/>
  <c r="CK135" i="8"/>
  <c r="CL135" i="8"/>
  <c r="CN135" i="8"/>
  <c r="CM136" i="8"/>
  <c r="CN136" i="8"/>
  <c r="CL136" i="8"/>
  <c r="CK136" i="8"/>
  <c r="CM137" i="8"/>
  <c r="CL137" i="8"/>
  <c r="CK137" i="8"/>
  <c r="CN138" i="8"/>
  <c r="CL138" i="8"/>
  <c r="CK138" i="8"/>
  <c r="CM139" i="8"/>
  <c r="CL139" i="8"/>
  <c r="CN139" i="8"/>
  <c r="CK139" i="8"/>
  <c r="CN140" i="8"/>
  <c r="CK140" i="8"/>
  <c r="CM140" i="8"/>
  <c r="CL140" i="8"/>
  <c r="CL141" i="8"/>
  <c r="CK141" i="8"/>
  <c r="CM141" i="8"/>
  <c r="CN141" i="8"/>
  <c r="CM142" i="8"/>
  <c r="CL142" i="8"/>
  <c r="CN142" i="8"/>
  <c r="CK142" i="8"/>
  <c r="CN143" i="8"/>
  <c r="CM143" i="8"/>
  <c r="CK143" i="8"/>
  <c r="CL144" i="8"/>
  <c r="CN144" i="8"/>
  <c r="CK144" i="8"/>
  <c r="CM144" i="8"/>
  <c r="CM145" i="8"/>
  <c r="CK145" i="8"/>
  <c r="CN145" i="8"/>
  <c r="CL145" i="8"/>
  <c r="CM146" i="8"/>
  <c r="CN146" i="8"/>
  <c r="CL146" i="8"/>
  <c r="CK146" i="8"/>
  <c r="CL147" i="8"/>
  <c r="CN147" i="8"/>
  <c r="CM147" i="8"/>
  <c r="CL148" i="8"/>
  <c r="CK148" i="8"/>
  <c r="CN148" i="8"/>
  <c r="CM148" i="8"/>
  <c r="CN149" i="8"/>
  <c r="CM149" i="8"/>
  <c r="CL149" i="8"/>
  <c r="CK149" i="8"/>
  <c r="CM150" i="8"/>
  <c r="CL150" i="8"/>
  <c r="CK150" i="8"/>
  <c r="CN150" i="8"/>
  <c r="CM151" i="8"/>
  <c r="CN151" i="8"/>
  <c r="CL151" i="8"/>
  <c r="CK151" i="8"/>
  <c r="CK152" i="8"/>
  <c r="CN152" i="8"/>
  <c r="CM152" i="8"/>
  <c r="CL152" i="8"/>
  <c r="CL153" i="8"/>
  <c r="CN153" i="8"/>
  <c r="CK153" i="8"/>
  <c r="CM153" i="8"/>
  <c r="CL154" i="8"/>
  <c r="CN154" i="8"/>
  <c r="CM154" i="8"/>
  <c r="CK154" i="8"/>
  <c r="CL155" i="8"/>
  <c r="CM155" i="8"/>
  <c r="CN155" i="8"/>
  <c r="CK155" i="8"/>
  <c r="CM156" i="8"/>
  <c r="CL156" i="8"/>
  <c r="CN156" i="8"/>
  <c r="CK156" i="8"/>
  <c r="CN157" i="8"/>
  <c r="CM157" i="8"/>
  <c r="CK157" i="8"/>
  <c r="CL157" i="8"/>
  <c r="CK158" i="8"/>
  <c r="CN158" i="8"/>
  <c r="CL158" i="8"/>
  <c r="CM158" i="8"/>
  <c r="CL159" i="8"/>
  <c r="CN159" i="8"/>
  <c r="CM159" i="8"/>
  <c r="CK159" i="8"/>
  <c r="CM160" i="8"/>
  <c r="CN160" i="8"/>
  <c r="CL160" i="8"/>
  <c r="CK160" i="8"/>
  <c r="CN161" i="8"/>
  <c r="CM161" i="8"/>
  <c r="CL161" i="8"/>
  <c r="CK161" i="8"/>
  <c r="CM162" i="8"/>
  <c r="CK162" i="8"/>
  <c r="CN162" i="8"/>
  <c r="CL162" i="8"/>
  <c r="CK163" i="8"/>
  <c r="CM163" i="8"/>
  <c r="CN163" i="8"/>
  <c r="CL163" i="8"/>
  <c r="CM164" i="8"/>
  <c r="CK164" i="8"/>
  <c r="CL164" i="8"/>
  <c r="CK165" i="8"/>
  <c r="CN165" i="8"/>
  <c r="CM165" i="8"/>
  <c r="CN166" i="8"/>
  <c r="CK166" i="8"/>
  <c r="CL166" i="8"/>
  <c r="CM166" i="8"/>
  <c r="CM167" i="8"/>
  <c r="CK167" i="8"/>
  <c r="CL167" i="8"/>
  <c r="CN167" i="8"/>
  <c r="CK168" i="8"/>
  <c r="CN168" i="8"/>
  <c r="CL168" i="8"/>
  <c r="CL169" i="8"/>
  <c r="CL170" i="8"/>
  <c r="CM170" i="8"/>
  <c r="CM169" i="8"/>
  <c r="CK170" i="8"/>
  <c r="CN170" i="8"/>
  <c r="CK169" i="8"/>
  <c r="CN169" i="8"/>
  <c r="CK171" i="8"/>
  <c r="CM171" i="8"/>
  <c r="CL171" i="8"/>
  <c r="CN171" i="8"/>
  <c r="CN172" i="8"/>
  <c r="CL172" i="8"/>
  <c r="CM172" i="8"/>
  <c r="CM173" i="8"/>
  <c r="CL173" i="8"/>
  <c r="CN173" i="8"/>
  <c r="CK173" i="8"/>
  <c r="CL174" i="8"/>
  <c r="CN174" i="8"/>
  <c r="CM174" i="8"/>
  <c r="CK174" i="8"/>
  <c r="CK175" i="8"/>
  <c r="CL175" i="8"/>
  <c r="CN175" i="8"/>
  <c r="CM176" i="8"/>
  <c r="CL176" i="8"/>
  <c r="CK176" i="8"/>
  <c r="CN176" i="8"/>
  <c r="CL177" i="8"/>
  <c r="CN177" i="8"/>
  <c r="CM177" i="8"/>
  <c r="CK177" i="8"/>
  <c r="CL178" i="8"/>
  <c r="CM178" i="8"/>
  <c r="CK178" i="8"/>
  <c r="CM179" i="8"/>
  <c r="CK179" i="8"/>
  <c r="CL179" i="8"/>
  <c r="CM180" i="8"/>
  <c r="CK180" i="8"/>
  <c r="CL180" i="8"/>
  <c r="CN180" i="8"/>
  <c r="CL181" i="8"/>
  <c r="CM181" i="8"/>
  <c r="CK181" i="8"/>
  <c r="CN181" i="8"/>
  <c r="CM182" i="8"/>
  <c r="CK182" i="8"/>
  <c r="CN182" i="8"/>
  <c r="CL182" i="8"/>
  <c r="CN183" i="8"/>
  <c r="CM183" i="8"/>
  <c r="CK183" i="8"/>
  <c r="CL183" i="8"/>
  <c r="CK184" i="8"/>
  <c r="CN184" i="8"/>
  <c r="CM184" i="8"/>
  <c r="CL184" i="8"/>
  <c r="CM185" i="8"/>
  <c r="CN185" i="8"/>
  <c r="CL185" i="8"/>
  <c r="CK185" i="8"/>
  <c r="CL186" i="8"/>
  <c r="CM186" i="8"/>
  <c r="CN186" i="8"/>
  <c r="CK186" i="8"/>
  <c r="CN187" i="8"/>
  <c r="CK187" i="8"/>
  <c r="CM187" i="8"/>
  <c r="CL187" i="8"/>
  <c r="CL188" i="8"/>
  <c r="CN188" i="8"/>
  <c r="CK188" i="8"/>
  <c r="CM188" i="8"/>
  <c r="CM189" i="8"/>
  <c r="CN189" i="8"/>
  <c r="CK189" i="8"/>
  <c r="CL189" i="8"/>
  <c r="CN190" i="8"/>
  <c r="CL190" i="8"/>
  <c r="CM190" i="8"/>
  <c r="CK190" i="8"/>
  <c r="CM191" i="8"/>
  <c r="CL191" i="8"/>
  <c r="CN191" i="8"/>
  <c r="CK191" i="8"/>
  <c r="CK192" i="8"/>
  <c r="CL192" i="8"/>
  <c r="CN192" i="8"/>
  <c r="CM192" i="8"/>
  <c r="CN193" i="8"/>
  <c r="CL193" i="8"/>
  <c r="CK193" i="8"/>
  <c r="CM193" i="8"/>
  <c r="CM194" i="8"/>
  <c r="CN194" i="8"/>
  <c r="CL194" i="8"/>
  <c r="CK194" i="8"/>
  <c r="CK195" i="8"/>
  <c r="CL195" i="8"/>
  <c r="CM195" i="8"/>
  <c r="CN195" i="8"/>
  <c r="CM196" i="8"/>
  <c r="CL196" i="8"/>
  <c r="CN196" i="8"/>
  <c r="CM197" i="8"/>
  <c r="CL197" i="8"/>
  <c r="CK197" i="8"/>
  <c r="CN197" i="8"/>
  <c r="CK198" i="8"/>
  <c r="CL198" i="8"/>
  <c r="CM198" i="8"/>
  <c r="CN198" i="8"/>
  <c r="CM199" i="8"/>
  <c r="CK199" i="8"/>
  <c r="CL199" i="8"/>
  <c r="CN199" i="8"/>
  <c r="CK200" i="8"/>
  <c r="CM200" i="8"/>
  <c r="CL200" i="8"/>
  <c r="CN200" i="8"/>
  <c r="CK201" i="8"/>
  <c r="CM201" i="8"/>
  <c r="CN201" i="8"/>
  <c r="CL201" i="8"/>
  <c r="CL202" i="8"/>
  <c r="CN202" i="8"/>
  <c r="CM202" i="8"/>
  <c r="CK202" i="8"/>
  <c r="CN203" i="8"/>
  <c r="CK203" i="8"/>
  <c r="CM203" i="8"/>
  <c r="CL203" i="8"/>
  <c r="CK204" i="8"/>
  <c r="CL204" i="8"/>
  <c r="CM204" i="8"/>
  <c r="CN204" i="8"/>
  <c r="CK205" i="8"/>
  <c r="CN205" i="8"/>
  <c r="CL205" i="8"/>
  <c r="CM205" i="8"/>
  <c r="CK206" i="8"/>
  <c r="CM206" i="8"/>
  <c r="CL206" i="8"/>
  <c r="CN206" i="8"/>
  <c r="CK207" i="8"/>
  <c r="CM207" i="8"/>
  <c r="CN207" i="8"/>
  <c r="CL207" i="8"/>
  <c r="CK208" i="8"/>
  <c r="CM208" i="8"/>
  <c r="CN208" i="8"/>
  <c r="CL208" i="8"/>
  <c r="CN209" i="8"/>
  <c r="CM209" i="8"/>
  <c r="CL209" i="8"/>
  <c r="CK209" i="8"/>
  <c r="CK210" i="8"/>
  <c r="CL210" i="8"/>
  <c r="CN210" i="8"/>
  <c r="CM210" i="8"/>
  <c r="CM211" i="8"/>
  <c r="CN211" i="8"/>
  <c r="CK211" i="8"/>
  <c r="CL211" i="8"/>
  <c r="CM212" i="8"/>
  <c r="CK212" i="8"/>
  <c r="CN212" i="8"/>
  <c r="CL212" i="8"/>
  <c r="CK213" i="8"/>
  <c r="CN213" i="8"/>
  <c r="CM213" i="8"/>
  <c r="CL213" i="8"/>
  <c r="CL214" i="8"/>
  <c r="CK214" i="8"/>
  <c r="CM214" i="8"/>
  <c r="CN214" i="8"/>
  <c r="CK215" i="8"/>
  <c r="CN215" i="8"/>
  <c r="CM215" i="8"/>
  <c r="CL215" i="8"/>
  <c r="CN216" i="8"/>
  <c r="CL216" i="8"/>
  <c r="CK216" i="8"/>
  <c r="CM216" i="8"/>
  <c r="CN217" i="8"/>
  <c r="CL217" i="8"/>
  <c r="CM217" i="8"/>
  <c r="CK217" i="8"/>
  <c r="CM218" i="8"/>
  <c r="CN218" i="8"/>
  <c r="CL218" i="8"/>
  <c r="CK218" i="8"/>
  <c r="CM219" i="8"/>
  <c r="CK219" i="8"/>
  <c r="CN219" i="8"/>
  <c r="CL219" i="8"/>
  <c r="CN220" i="8"/>
  <c r="CL220" i="8"/>
  <c r="CK220" i="8"/>
  <c r="CK221" i="8"/>
  <c r="CN221" i="8"/>
  <c r="CL221" i="8"/>
  <c r="CM221" i="8"/>
  <c r="CM222" i="8"/>
  <c r="CK222" i="8"/>
  <c r="CL222" i="8"/>
  <c r="CN222" i="8"/>
  <c r="CL223" i="8"/>
  <c r="CK223" i="8"/>
  <c r="CN223" i="8"/>
  <c r="CM223" i="8"/>
  <c r="CL224" i="8"/>
  <c r="CK224" i="8"/>
  <c r="CN224" i="8"/>
  <c r="CM224" i="8"/>
  <c r="CN225" i="8"/>
  <c r="CM225" i="8"/>
  <c r="CK225" i="8"/>
  <c r="CL225" i="8"/>
  <c r="CM226" i="8"/>
  <c r="CL226" i="8"/>
  <c r="CK226" i="8"/>
  <c r="CN226" i="8"/>
  <c r="CM227" i="8"/>
  <c r="CN227" i="8"/>
  <c r="CK227" i="8"/>
  <c r="CL227" i="8"/>
  <c r="CL228" i="8"/>
  <c r="CK228" i="8"/>
  <c r="CM228" i="8"/>
  <c r="CN228" i="8"/>
  <c r="CK229" i="8"/>
  <c r="CM229" i="8"/>
  <c r="CN229" i="8"/>
  <c r="CL229" i="8"/>
  <c r="CK230" i="8"/>
  <c r="CN230" i="8"/>
  <c r="CM230" i="8"/>
  <c r="CM231" i="8"/>
  <c r="CN231" i="8"/>
  <c r="CL231" i="8"/>
  <c r="CK231" i="8"/>
  <c r="CM232" i="8"/>
  <c r="CN232" i="8"/>
  <c r="CL232" i="8"/>
  <c r="CK232" i="8"/>
  <c r="CM233" i="8"/>
  <c r="CL233" i="8"/>
  <c r="CK233" i="8"/>
  <c r="CN233" i="8"/>
  <c r="CK234" i="8"/>
  <c r="CN234" i="8"/>
  <c r="CL234" i="8"/>
  <c r="CM234" i="8"/>
  <c r="CK235" i="8"/>
  <c r="CM235" i="8"/>
  <c r="CN235" i="8"/>
  <c r="CL235" i="8"/>
  <c r="CK236" i="8"/>
  <c r="CN236" i="8"/>
  <c r="CL236" i="8"/>
  <c r="CM236" i="8"/>
  <c r="CK237" i="8"/>
  <c r="CN237" i="8"/>
  <c r="CL237" i="8"/>
  <c r="CM237" i="8"/>
  <c r="CM238" i="8"/>
  <c r="CK238" i="8"/>
  <c r="CN238" i="8"/>
  <c r="CL238" i="8"/>
  <c r="CK239" i="8"/>
  <c r="CM239" i="8"/>
  <c r="CN239" i="8"/>
  <c r="CL239" i="8"/>
  <c r="CN240" i="8"/>
  <c r="CK240" i="8"/>
  <c r="CM240" i="8"/>
  <c r="CL240" i="8"/>
  <c r="CN241" i="8"/>
  <c r="CL241" i="8"/>
  <c r="CM241" i="8"/>
  <c r="CK241" i="8"/>
  <c r="CN242" i="8"/>
  <c r="CK242" i="8"/>
  <c r="CM242" i="8"/>
  <c r="CL242" i="8"/>
  <c r="CM243" i="8"/>
  <c r="CL243" i="8"/>
  <c r="CK243" i="8"/>
  <c r="CN243" i="8"/>
  <c r="CK244" i="8"/>
  <c r="CM244" i="8"/>
  <c r="CL244" i="8"/>
  <c r="CN244" i="8"/>
  <c r="CM245" i="8"/>
  <c r="CK245" i="8"/>
  <c r="CL245" i="8"/>
  <c r="CN245" i="8"/>
  <c r="CN246" i="8"/>
  <c r="CM246" i="8"/>
  <c r="CK246" i="8"/>
  <c r="CL246" i="8"/>
  <c r="CK247" i="8"/>
  <c r="CM247" i="8"/>
  <c r="CN247" i="8"/>
  <c r="CL247" i="8"/>
  <c r="CM248" i="8"/>
  <c r="CL248" i="8"/>
  <c r="CK248" i="8"/>
  <c r="CN248" i="8"/>
  <c r="CM249" i="8"/>
  <c r="CN249" i="8"/>
  <c r="CK249" i="8"/>
  <c r="CL249" i="8"/>
  <c r="CM250" i="8"/>
  <c r="CN250" i="8"/>
  <c r="CL250" i="8"/>
  <c r="CK250" i="8"/>
  <c r="CL251" i="8"/>
  <c r="CK251" i="8"/>
  <c r="CN251" i="8"/>
  <c r="CM251" i="8"/>
  <c r="CL252" i="8"/>
  <c r="CN252" i="8"/>
  <c r="CK252" i="8"/>
  <c r="CM252" i="8"/>
  <c r="CM253" i="8"/>
  <c r="CN253" i="8"/>
  <c r="CK253" i="8"/>
  <c r="CL253" i="8"/>
  <c r="CN254" i="8"/>
  <c r="CK254" i="8"/>
  <c r="CM254" i="8"/>
  <c r="CL254" i="8"/>
  <c r="CL255" i="8"/>
  <c r="CN255" i="8"/>
  <c r="CK255" i="8"/>
  <c r="CM255" i="8"/>
  <c r="CN256" i="8"/>
  <c r="CL256" i="8"/>
  <c r="CK256" i="8"/>
  <c r="CM256" i="8"/>
  <c r="CN257" i="8"/>
  <c r="CM257" i="8"/>
  <c r="CK257" i="8"/>
  <c r="CL257" i="8"/>
  <c r="CL258" i="8"/>
  <c r="CM258" i="8"/>
  <c r="CK258" i="8"/>
  <c r="CN258" i="8"/>
  <c r="CK259" i="8"/>
  <c r="CM259" i="8"/>
  <c r="CN259" i="8"/>
  <c r="CL259" i="8"/>
  <c r="CK260" i="8"/>
  <c r="CM260" i="8"/>
  <c r="CL260" i="8"/>
  <c r="CN260" i="8"/>
  <c r="CM261" i="8"/>
  <c r="CN261" i="8"/>
  <c r="CL261" i="8"/>
  <c r="CK261" i="8"/>
  <c r="CM262" i="8"/>
  <c r="CL262" i="8"/>
  <c r="CN262" i="8"/>
  <c r="CK262" i="8"/>
  <c r="CM263" i="8"/>
  <c r="CK263" i="8"/>
  <c r="CN263" i="8"/>
  <c r="CL263" i="8"/>
  <c r="CK264" i="8"/>
  <c r="CL264" i="8"/>
  <c r="CM264" i="8"/>
  <c r="CN264" i="8"/>
  <c r="CL265" i="8"/>
  <c r="CM265" i="8"/>
  <c r="CN265" i="8"/>
  <c r="CK265" i="8"/>
  <c r="CL266" i="8"/>
  <c r="CK266" i="8"/>
  <c r="CM266" i="8"/>
  <c r="CN266" i="8"/>
  <c r="CN267" i="8"/>
  <c r="CL267" i="8"/>
  <c r="CM267" i="8"/>
  <c r="CK267" i="8"/>
  <c r="CM268" i="8"/>
  <c r="CL268" i="8"/>
  <c r="CN268" i="8"/>
  <c r="CK268" i="8"/>
  <c r="CM279" i="8"/>
  <c r="K8" i="5"/>
  <c r="K15" i="5" s="1"/>
  <c r="CK280" i="8"/>
  <c r="CL312" i="8"/>
  <c r="CM292" i="8"/>
  <c r="CN287" i="8"/>
  <c r="CM287" i="8"/>
  <c r="CM314" i="8"/>
  <c r="CM296" i="8"/>
  <c r="CM316" i="8"/>
  <c r="CK316" i="8"/>
  <c r="CM286" i="8"/>
  <c r="CK274" i="8"/>
  <c r="CM269" i="8"/>
  <c r="CM305" i="8"/>
  <c r="CN313" i="8"/>
  <c r="CN282" i="8"/>
  <c r="CL275" i="8"/>
  <c r="CK295" i="8"/>
  <c r="CM275" i="8"/>
  <c r="CN283" i="8"/>
  <c r="CK298" i="8"/>
  <c r="CN295" i="8"/>
  <c r="CL279" i="8"/>
  <c r="CK275" i="8"/>
  <c r="CN273" i="8"/>
  <c r="CK303" i="8"/>
  <c r="CK312" i="8"/>
  <c r="CL294" i="8"/>
  <c r="CK297" i="8"/>
  <c r="CM280" i="8"/>
  <c r="CN302" i="8"/>
  <c r="CL315" i="8"/>
  <c r="CM295" i="8"/>
  <c r="CL308" i="8"/>
  <c r="CM315" i="8"/>
  <c r="CL301" i="8"/>
  <c r="CK291" i="8"/>
  <c r="CL306" i="8"/>
  <c r="CK269" i="8"/>
  <c r="CN299" i="8"/>
  <c r="CM309" i="8"/>
  <c r="CN297" i="8"/>
  <c r="CM313" i="8"/>
  <c r="CL310" i="8"/>
  <c r="CL295" i="8"/>
  <c r="CN293" i="8"/>
  <c r="CN305" i="8"/>
  <c r="CL276" i="8"/>
  <c r="CL285" i="8"/>
  <c r="CL280" i="8"/>
  <c r="CL292" i="8"/>
  <c r="CL314" i="8"/>
  <c r="CK270" i="8"/>
  <c r="CM277" i="8"/>
  <c r="CN286" i="8"/>
  <c r="CK301" i="8"/>
  <c r="CM300" i="8"/>
  <c r="CK314" i="8"/>
  <c r="CM293" i="8"/>
  <c r="CL305" i="8"/>
  <c r="CN314" i="8"/>
  <c r="CK281" i="8"/>
  <c r="CN274" i="8"/>
  <c r="CN279" i="8"/>
  <c r="CM274" i="8"/>
  <c r="CL317" i="8"/>
  <c r="CK287" i="8"/>
  <c r="CL300" i="8"/>
  <c r="CL282" i="8"/>
  <c r="CN312" i="8"/>
  <c r="CL273" i="8"/>
  <c r="CK279" i="8"/>
  <c r="CM273" i="8"/>
  <c r="CK283" i="8"/>
  <c r="CM306" i="8"/>
  <c r="CK288" i="8"/>
  <c r="CN284" i="8"/>
  <c r="CN292" i="8"/>
  <c r="CN298" i="8"/>
  <c r="CL287" i="8"/>
  <c r="CN300" i="8"/>
  <c r="CN278" i="8"/>
  <c r="CN280" i="8"/>
  <c r="K9" i="5"/>
  <c r="K16" i="5" s="1"/>
  <c r="CK294" i="8"/>
  <c r="CK289" i="8"/>
  <c r="CK278" i="8"/>
  <c r="CN306" i="8"/>
  <c r="CL277" i="8"/>
  <c r="CN307" i="8"/>
  <c r="CK282" i="8"/>
  <c r="CK306" i="8"/>
  <c r="CK300" i="8"/>
  <c r="CM289" i="8"/>
  <c r="CM297" i="8"/>
  <c r="CM284" i="8"/>
  <c r="CM278" i="8"/>
  <c r="CM312" i="8"/>
  <c r="CK317" i="8"/>
  <c r="CL296" i="8"/>
  <c r="CN288" i="8"/>
  <c r="CK311" i="8"/>
  <c r="CN294" i="8"/>
  <c r="CL297" i="8"/>
  <c r="CK315" i="8"/>
  <c r="CN311" i="8"/>
  <c r="CM285" i="8"/>
  <c r="CL274" i="8"/>
  <c r="CK299" i="8"/>
  <c r="CM307" i="8"/>
  <c r="CK313" i="8"/>
  <c r="CK276" i="8"/>
  <c r="CK307" i="8"/>
  <c r="CN290" i="8"/>
  <c r="CN275" i="8"/>
  <c r="CK292" i="8"/>
  <c r="CM281" i="8"/>
  <c r="CM304" i="8"/>
  <c r="CM288" i="8"/>
  <c r="CK273" i="8"/>
  <c r="CN308" i="8"/>
  <c r="CL307" i="8"/>
  <c r="CM294" i="8"/>
  <c r="CM283" i="8"/>
  <c r="CM291" i="8"/>
  <c r="CK272" i="8"/>
  <c r="CL278" i="8"/>
  <c r="CN276" i="8"/>
  <c r="CK305" i="8"/>
  <c r="CN281" i="8"/>
  <c r="CL316" i="8"/>
  <c r="CM308" i="8"/>
  <c r="CK285" i="8"/>
  <c r="CK290" i="8"/>
  <c r="CL309" i="8"/>
  <c r="CK286" i="8"/>
  <c r="CN315" i="8"/>
  <c r="CK302" i="8"/>
  <c r="CN285" i="8"/>
  <c r="CL303" i="8"/>
  <c r="CN291" i="8"/>
  <c r="CL311" i="8"/>
  <c r="CL302" i="8"/>
  <c r="CK310" i="8"/>
  <c r="CL291" i="8"/>
  <c r="CL304" i="8"/>
  <c r="CN317" i="8"/>
  <c r="CN303" i="8"/>
  <c r="CF5" i="8"/>
  <c r="CN277" i="8"/>
  <c r="CN310" i="8"/>
  <c r="CK271" i="8"/>
  <c r="CL289" i="8"/>
  <c r="CM270" i="8"/>
  <c r="CM272" i="8"/>
  <c r="CL290" i="8"/>
  <c r="CM276" i="8"/>
  <c r="CM302" i="8"/>
  <c r="CM311" i="8"/>
  <c r="CM298" i="8"/>
  <c r="CM271" i="8"/>
  <c r="CL299" i="8"/>
  <c r="CL269" i="8"/>
  <c r="CN304" i="8"/>
  <c r="CM290" i="8"/>
  <c r="K5" i="5"/>
  <c r="CL270" i="8"/>
  <c r="CN316" i="8"/>
  <c r="CK309" i="8"/>
  <c r="CL293" i="8"/>
  <c r="CL271" i="8"/>
  <c r="CK296" i="8"/>
  <c r="CM310" i="8"/>
  <c r="CL313" i="8"/>
  <c r="CN270" i="8"/>
  <c r="CL288" i="8"/>
  <c r="CN272" i="8"/>
  <c r="CN296" i="8"/>
  <c r="CK277" i="8"/>
  <c r="CL272" i="8"/>
  <c r="CL298" i="8"/>
  <c r="CM299" i="8"/>
  <c r="CL283" i="8"/>
  <c r="CK304" i="8"/>
  <c r="CK284" i="8"/>
  <c r="CN269" i="8"/>
  <c r="CM303" i="8"/>
  <c r="CN309" i="8"/>
  <c r="CL281" i="8"/>
  <c r="CM317" i="8"/>
  <c r="CL286" i="8"/>
  <c r="CN289" i="8"/>
  <c r="CM301" i="8"/>
  <c r="CN301" i="8"/>
  <c r="CK308" i="8"/>
  <c r="CK293" i="8"/>
  <c r="CN271" i="8"/>
  <c r="CL284" i="8"/>
  <c r="CM282" i="8"/>
  <c r="K7" i="5"/>
  <c r="K14" i="5" s="1"/>
  <c r="CL230" i="8"/>
  <c r="CM220" i="8"/>
  <c r="CK196" i="8"/>
  <c r="CN179" i="8"/>
  <c r="CN178" i="8"/>
  <c r="CM175" i="8"/>
  <c r="CK172" i="8"/>
  <c r="CM168" i="8"/>
  <c r="CL165" i="8"/>
  <c r="CN164" i="8"/>
  <c r="CK147" i="8"/>
  <c r="CL143" i="8"/>
  <c r="CM138" i="8"/>
  <c r="CN137" i="8"/>
  <c r="CK132" i="8"/>
  <c r="CM122" i="8"/>
  <c r="CL121" i="8"/>
  <c r="CM118" i="8"/>
  <c r="CN117" i="8"/>
  <c r="CL116" i="8"/>
  <c r="CL114" i="8"/>
  <c r="CK113" i="8"/>
  <c r="CM112" i="8"/>
  <c r="CL108" i="8"/>
  <c r="CK103" i="8"/>
  <c r="CM98" i="8"/>
  <c r="CK84" i="8"/>
  <c r="CK79" i="8"/>
  <c r="CN77" i="8"/>
  <c r="CL78" i="8"/>
  <c r="CL76" i="8"/>
  <c r="CK71" i="8"/>
  <c r="CK68" i="8"/>
  <c r="CN67" i="8"/>
  <c r="CN61" i="8"/>
  <c r="CK60" i="8"/>
  <c r="CL59" i="8"/>
  <c r="CN58" i="8"/>
  <c r="CL57" i="8"/>
  <c r="CL55" i="8"/>
  <c r="CM52" i="8"/>
  <c r="CK51" i="8"/>
  <c r="CM44" i="8"/>
  <c r="CL42" i="8"/>
  <c r="CL41" i="8"/>
  <c r="CL40" i="8"/>
  <c r="CN39" i="8"/>
  <c r="CM34" i="8"/>
  <c r="CM32" i="8"/>
  <c r="CN27" i="8"/>
  <c r="CL22" i="8"/>
  <c r="CN21" i="8"/>
  <c r="CK20" i="8"/>
  <c r="CM17" i="8"/>
  <c r="CN16" i="8"/>
  <c r="CM8" i="8"/>
  <c r="K42" i="5" l="1"/>
  <c r="K28" i="5"/>
  <c r="K29" i="5" s="1"/>
  <c r="K17" i="5"/>
  <c r="K21" i="5"/>
  <c r="K24" i="5"/>
  <c r="K26" i="5"/>
  <c r="K23" i="5"/>
  <c r="K25" i="5"/>
  <c r="C15" i="21" l="1"/>
  <c r="P625" i="16"/>
  <c r="P617" i="16"/>
  <c r="P609" i="16"/>
  <c r="P601" i="16"/>
  <c r="P593" i="16"/>
  <c r="P585" i="16"/>
  <c r="P577" i="16"/>
  <c r="P569" i="16"/>
  <c r="P561" i="16"/>
  <c r="P553" i="16"/>
  <c r="P545" i="16"/>
  <c r="P537" i="16"/>
  <c r="P529" i="16"/>
  <c r="P521" i="16"/>
  <c r="P513" i="16"/>
  <c r="P505" i="16"/>
  <c r="P497" i="16"/>
  <c r="P624" i="16"/>
  <c r="P616" i="16"/>
  <c r="P608" i="16"/>
  <c r="P600" i="16"/>
  <c r="P592" i="16"/>
  <c r="P584" i="16"/>
  <c r="P576" i="16"/>
  <c r="P568" i="16"/>
  <c r="P560" i="16"/>
  <c r="P552" i="16"/>
  <c r="P544" i="16"/>
  <c r="P536" i="16"/>
  <c r="P528" i="16"/>
  <c r="P520" i="16"/>
  <c r="P512" i="16"/>
  <c r="P504" i="16"/>
  <c r="P496" i="16"/>
  <c r="P488" i="16"/>
  <c r="P480" i="16"/>
  <c r="P472" i="16"/>
  <c r="P464" i="16"/>
  <c r="P456" i="16"/>
  <c r="P448" i="16"/>
  <c r="P440" i="16"/>
  <c r="P432" i="16"/>
  <c r="P424" i="16"/>
  <c r="P416" i="16"/>
  <c r="P408" i="16"/>
  <c r="P400" i="16"/>
  <c r="P392" i="16"/>
  <c r="P384" i="16"/>
  <c r="P376" i="16"/>
  <c r="P368" i="16"/>
  <c r="P360" i="16"/>
  <c r="P352" i="16"/>
  <c r="P344" i="16"/>
  <c r="P336" i="16"/>
  <c r="P328" i="16"/>
  <c r="P320" i="16"/>
  <c r="P312" i="16"/>
  <c r="P304" i="16"/>
  <c r="P296" i="16"/>
  <c r="P288" i="16"/>
  <c r="P280" i="16"/>
  <c r="P272" i="16"/>
  <c r="P264" i="16"/>
  <c r="P256" i="16"/>
  <c r="P248" i="16"/>
  <c r="P240" i="16"/>
  <c r="P232" i="16"/>
  <c r="P224" i="16"/>
  <c r="P216" i="16"/>
  <c r="P208" i="16"/>
  <c r="P200" i="16"/>
  <c r="P192" i="16"/>
  <c r="P184" i="16"/>
  <c r="P176" i="16"/>
  <c r="P168" i="16"/>
  <c r="P160" i="16"/>
  <c r="P152" i="16"/>
  <c r="P144" i="16"/>
  <c r="P136" i="16"/>
  <c r="P128" i="16"/>
  <c r="P120" i="16"/>
  <c r="P112" i="16"/>
  <c r="P104" i="16"/>
  <c r="P96" i="16"/>
  <c r="P88" i="16"/>
  <c r="P80" i="16"/>
  <c r="P72" i="16"/>
  <c r="P64" i="16"/>
  <c r="P56" i="16"/>
  <c r="P48" i="16"/>
  <c r="P40" i="16"/>
  <c r="P32" i="16"/>
  <c r="P20" i="16"/>
  <c r="P623" i="16"/>
  <c r="P615" i="16"/>
  <c r="P607" i="16"/>
  <c r="P599" i="16"/>
  <c r="P591" i="16"/>
  <c r="P583" i="16"/>
  <c r="P575" i="16"/>
  <c r="P567" i="16"/>
  <c r="P559" i="16"/>
  <c r="P551" i="16"/>
  <c r="P543" i="16"/>
  <c r="P535" i="16"/>
  <c r="P527" i="16"/>
  <c r="P519" i="16"/>
  <c r="P511" i="16"/>
  <c r="P503" i="16"/>
  <c r="P495" i="16"/>
  <c r="P487" i="16"/>
  <c r="P479" i="16"/>
  <c r="P471" i="16"/>
  <c r="P463" i="16"/>
  <c r="P455" i="16"/>
  <c r="P447" i="16"/>
  <c r="P439" i="16"/>
  <c r="P431" i="16"/>
  <c r="P423" i="16"/>
  <c r="P415" i="16"/>
  <c r="P407" i="16"/>
  <c r="P399" i="16"/>
  <c r="P391" i="16"/>
  <c r="P383" i="16"/>
  <c r="P375" i="16"/>
  <c r="P367" i="16"/>
  <c r="P359" i="16"/>
  <c r="P351" i="16"/>
  <c r="P343" i="16"/>
  <c r="P335" i="16"/>
  <c r="P327" i="16"/>
  <c r="P319" i="16"/>
  <c r="P311" i="16"/>
  <c r="P303" i="16"/>
  <c r="P295" i="16"/>
  <c r="P287" i="16"/>
  <c r="P279" i="16"/>
  <c r="P271" i="16"/>
  <c r="P263" i="16"/>
  <c r="P255" i="16"/>
  <c r="P247" i="16"/>
  <c r="P239" i="16"/>
  <c r="P231" i="16"/>
  <c r="P223" i="16"/>
  <c r="P215" i="16"/>
  <c r="P207" i="16"/>
  <c r="P199" i="16"/>
  <c r="P191" i="16"/>
  <c r="P183" i="16"/>
  <c r="P175" i="16"/>
  <c r="P167" i="16"/>
  <c r="P159" i="16"/>
  <c r="P151" i="16"/>
  <c r="P143" i="16"/>
  <c r="P135" i="16"/>
  <c r="P127" i="16"/>
  <c r="P119" i="16"/>
  <c r="P111" i="16"/>
  <c r="P103" i="16"/>
  <c r="P95" i="16"/>
  <c r="P87" i="16"/>
  <c r="P79" i="16"/>
  <c r="P71" i="16"/>
  <c r="P63" i="16"/>
  <c r="P55" i="16"/>
  <c r="P47" i="16"/>
  <c r="P39" i="16"/>
  <c r="P31" i="16"/>
  <c r="P19" i="16"/>
  <c r="P622" i="16"/>
  <c r="P614" i="16"/>
  <c r="P606" i="16"/>
  <c r="P598" i="16"/>
  <c r="P590" i="16"/>
  <c r="P582" i="16"/>
  <c r="P574" i="16"/>
  <c r="P566" i="16"/>
  <c r="P558" i="16"/>
  <c r="P550" i="16"/>
  <c r="P542" i="16"/>
  <c r="P534" i="16"/>
  <c r="P526" i="16"/>
  <c r="P518" i="16"/>
  <c r="P510" i="16"/>
  <c r="P502" i="16"/>
  <c r="P494" i="16"/>
  <c r="P486" i="16"/>
  <c r="P478" i="16"/>
  <c r="P470" i="16"/>
  <c r="P462" i="16"/>
  <c r="P454" i="16"/>
  <c r="P446" i="16"/>
  <c r="P438" i="16"/>
  <c r="P430" i="16"/>
  <c r="P422" i="16"/>
  <c r="P414" i="16"/>
  <c r="P406" i="16"/>
  <c r="P398" i="16"/>
  <c r="P390" i="16"/>
  <c r="P382" i="16"/>
  <c r="P374" i="16"/>
  <c r="P366" i="16"/>
  <c r="P358" i="16"/>
  <c r="P350" i="16"/>
  <c r="P342" i="16"/>
  <c r="P334" i="16"/>
  <c r="P326" i="16"/>
  <c r="P318" i="16"/>
  <c r="P310" i="16"/>
  <c r="P302" i="16"/>
  <c r="P294" i="16"/>
  <c r="P286" i="16"/>
  <c r="P278" i="16"/>
  <c r="P270" i="16"/>
  <c r="P262" i="16"/>
  <c r="P254" i="16"/>
  <c r="P246" i="16"/>
  <c r="P238" i="16"/>
  <c r="P230" i="16"/>
  <c r="P222" i="16"/>
  <c r="P214" i="16"/>
  <c r="P206" i="16"/>
  <c r="P198" i="16"/>
  <c r="P190" i="16"/>
  <c r="P182" i="16"/>
  <c r="P174" i="16"/>
  <c r="P166" i="16"/>
  <c r="P158" i="16"/>
  <c r="P150" i="16"/>
  <c r="P142" i="16"/>
  <c r="P134" i="16"/>
  <c r="P126" i="16"/>
  <c r="P118" i="16"/>
  <c r="P110" i="16"/>
  <c r="P102" i="16"/>
  <c r="P94" i="16"/>
  <c r="P86" i="16"/>
  <c r="P78" i="16"/>
  <c r="P70" i="16"/>
  <c r="P62" i="16"/>
  <c r="P54" i="16"/>
  <c r="P46" i="16"/>
  <c r="P38" i="16"/>
  <c r="P30" i="16"/>
  <c r="P18" i="16"/>
  <c r="P629" i="16"/>
  <c r="P621" i="16"/>
  <c r="P613" i="16"/>
  <c r="P605" i="16"/>
  <c r="P597" i="16"/>
  <c r="P589" i="16"/>
  <c r="P581" i="16"/>
  <c r="P573" i="16"/>
  <c r="P565" i="16"/>
  <c r="P557" i="16"/>
  <c r="P549" i="16"/>
  <c r="P541" i="16"/>
  <c r="P533" i="16"/>
  <c r="P525" i="16"/>
  <c r="P517" i="16"/>
  <c r="P509" i="16"/>
  <c r="P501" i="16"/>
  <c r="P493" i="16"/>
  <c r="P485" i="16"/>
  <c r="P477" i="16"/>
  <c r="P469" i="16"/>
  <c r="P461" i="16"/>
  <c r="P453" i="16"/>
  <c r="P445" i="16"/>
  <c r="P437" i="16"/>
  <c r="P429" i="16"/>
  <c r="P421" i="16"/>
  <c r="P413" i="16"/>
  <c r="P405" i="16"/>
  <c r="P397" i="16"/>
  <c r="P389" i="16"/>
  <c r="P381" i="16"/>
  <c r="P373" i="16"/>
  <c r="P365" i="16"/>
  <c r="P357" i="16"/>
  <c r="P349" i="16"/>
  <c r="P341" i="16"/>
  <c r="P333" i="16"/>
  <c r="P325" i="16"/>
  <c r="P317" i="16"/>
  <c r="P309" i="16"/>
  <c r="P301" i="16"/>
  <c r="P293" i="16"/>
  <c r="P285" i="16"/>
  <c r="P277" i="16"/>
  <c r="P269" i="16"/>
  <c r="P261" i="16"/>
  <c r="P253" i="16"/>
  <c r="P245" i="16"/>
  <c r="P237" i="16"/>
  <c r="P229" i="16"/>
  <c r="P221" i="16"/>
  <c r="P213" i="16"/>
  <c r="P205" i="16"/>
  <c r="P197" i="16"/>
  <c r="P189" i="16"/>
  <c r="P181" i="16"/>
  <c r="P173" i="16"/>
  <c r="P165" i="16"/>
  <c r="P157" i="16"/>
  <c r="P149" i="16"/>
  <c r="P141" i="16"/>
  <c r="P133" i="16"/>
  <c r="P125" i="16"/>
  <c r="P117" i="16"/>
  <c r="P109" i="16"/>
  <c r="P101" i="16"/>
  <c r="P93" i="16"/>
  <c r="P85" i="16"/>
  <c r="P77" i="16"/>
  <c r="P69" i="16"/>
  <c r="P61" i="16"/>
  <c r="P53" i="16"/>
  <c r="P45" i="16"/>
  <c r="P37" i="16"/>
  <c r="P29" i="16"/>
  <c r="P16" i="16"/>
  <c r="P628" i="16"/>
  <c r="P620" i="16"/>
  <c r="P612" i="16"/>
  <c r="P604" i="16"/>
  <c r="P596" i="16"/>
  <c r="P588" i="16"/>
  <c r="P580" i="16"/>
  <c r="P572" i="16"/>
  <c r="P564" i="16"/>
  <c r="P556" i="16"/>
  <c r="P548" i="16"/>
  <c r="P540" i="16"/>
  <c r="P532" i="16"/>
  <c r="P524" i="16"/>
  <c r="P516" i="16"/>
  <c r="P508" i="16"/>
  <c r="P500" i="16"/>
  <c r="P492" i="16"/>
  <c r="P484" i="16"/>
  <c r="P476" i="16"/>
  <c r="P468" i="16"/>
  <c r="P460" i="16"/>
  <c r="P452" i="16"/>
  <c r="P444" i="16"/>
  <c r="P436" i="16"/>
  <c r="P428" i="16"/>
  <c r="P420" i="16"/>
  <c r="P412" i="16"/>
  <c r="P404" i="16"/>
  <c r="P396" i="16"/>
  <c r="P388" i="16"/>
  <c r="P380" i="16"/>
  <c r="P372" i="16"/>
  <c r="P364" i="16"/>
  <c r="P356" i="16"/>
  <c r="P348" i="16"/>
  <c r="P340" i="16"/>
  <c r="P332" i="16"/>
  <c r="P324" i="16"/>
  <c r="P316" i="16"/>
  <c r="P308" i="16"/>
  <c r="P300" i="16"/>
  <c r="P292" i="16"/>
  <c r="P284" i="16"/>
  <c r="P276" i="16"/>
  <c r="P268" i="16"/>
  <c r="P260" i="16"/>
  <c r="P252" i="16"/>
  <c r="P244" i="16"/>
  <c r="P236" i="16"/>
  <c r="P228" i="16"/>
  <c r="P220" i="16"/>
  <c r="P212" i="16"/>
  <c r="P204" i="16"/>
  <c r="P196" i="16"/>
  <c r="P188" i="16"/>
  <c r="P180" i="16"/>
  <c r="P172" i="16"/>
  <c r="P164" i="16"/>
  <c r="P156" i="16"/>
  <c r="P148" i="16"/>
  <c r="P140" i="16"/>
  <c r="P132" i="16"/>
  <c r="P124" i="16"/>
  <c r="P116" i="16"/>
  <c r="P108" i="16"/>
  <c r="P100" i="16"/>
  <c r="P92" i="16"/>
  <c r="P84" i="16"/>
  <c r="P76" i="16"/>
  <c r="P68" i="16"/>
  <c r="P60" i="16"/>
  <c r="P52" i="16"/>
  <c r="P44" i="16"/>
  <c r="P36" i="16"/>
  <c r="P24" i="16"/>
  <c r="Q24" i="16" s="1"/>
  <c r="P15" i="16"/>
  <c r="P627" i="16"/>
  <c r="P619" i="16"/>
  <c r="P611" i="16"/>
  <c r="P603" i="16"/>
  <c r="P595" i="16"/>
  <c r="P587" i="16"/>
  <c r="P579" i="16"/>
  <c r="P571" i="16"/>
  <c r="P563" i="16"/>
  <c r="P555" i="16"/>
  <c r="P547" i="16"/>
  <c r="P539" i="16"/>
  <c r="P531" i="16"/>
  <c r="P523" i="16"/>
  <c r="P515" i="16"/>
  <c r="P507" i="16"/>
  <c r="P499" i="16"/>
  <c r="P491" i="16"/>
  <c r="P483" i="16"/>
  <c r="P475" i="16"/>
  <c r="P467" i="16"/>
  <c r="P459" i="16"/>
  <c r="P451" i="16"/>
  <c r="P443" i="16"/>
  <c r="P435" i="16"/>
  <c r="P427" i="16"/>
  <c r="P419" i="16"/>
  <c r="P411" i="16"/>
  <c r="P403" i="16"/>
  <c r="P395" i="16"/>
  <c r="P387" i="16"/>
  <c r="P379" i="16"/>
  <c r="P371" i="16"/>
  <c r="P363" i="16"/>
  <c r="P355" i="16"/>
  <c r="P347" i="16"/>
  <c r="P339" i="16"/>
  <c r="P331" i="16"/>
  <c r="P323" i="16"/>
  <c r="P315" i="16"/>
  <c r="P307" i="16"/>
  <c r="P299" i="16"/>
  <c r="P291" i="16"/>
  <c r="P283" i="16"/>
  <c r="P275" i="16"/>
  <c r="P267" i="16"/>
  <c r="P259" i="16"/>
  <c r="P251" i="16"/>
  <c r="P243" i="16"/>
  <c r="P235" i="16"/>
  <c r="P227" i="16"/>
  <c r="P219" i="16"/>
  <c r="P211" i="16"/>
  <c r="P203" i="16"/>
  <c r="P195" i="16"/>
  <c r="P187" i="16"/>
  <c r="P179" i="16"/>
  <c r="P171" i="16"/>
  <c r="P163" i="16"/>
  <c r="P155" i="16"/>
  <c r="P147" i="16"/>
  <c r="P139" i="16"/>
  <c r="P131" i="16"/>
  <c r="P123" i="16"/>
  <c r="P115" i="16"/>
  <c r="P107" i="16"/>
  <c r="P99" i="16"/>
  <c r="P91" i="16"/>
  <c r="P83" i="16"/>
  <c r="P75" i="16"/>
  <c r="P67" i="16"/>
  <c r="P59" i="16"/>
  <c r="P51" i="16"/>
  <c r="P43" i="16"/>
  <c r="P35" i="16"/>
  <c r="P23" i="16"/>
  <c r="P586" i="16"/>
  <c r="P522" i="16"/>
  <c r="P474" i="16"/>
  <c r="P442" i="16"/>
  <c r="P410" i="16"/>
  <c r="P378" i="16"/>
  <c r="P346" i="16"/>
  <c r="P314" i="16"/>
  <c r="P282" i="16"/>
  <c r="P250" i="16"/>
  <c r="P218" i="16"/>
  <c r="P186" i="16"/>
  <c r="P154" i="16"/>
  <c r="P122" i="16"/>
  <c r="P90" i="16"/>
  <c r="P58" i="16"/>
  <c r="P22" i="16"/>
  <c r="P578" i="16"/>
  <c r="P514" i="16"/>
  <c r="P473" i="16"/>
  <c r="P441" i="16"/>
  <c r="P409" i="16"/>
  <c r="P377" i="16"/>
  <c r="P345" i="16"/>
  <c r="P313" i="16"/>
  <c r="P281" i="16"/>
  <c r="P249" i="16"/>
  <c r="P217" i="16"/>
  <c r="P185" i="16"/>
  <c r="P153" i="16"/>
  <c r="P121" i="16"/>
  <c r="P89" i="16"/>
  <c r="P57" i="16"/>
  <c r="P21" i="16"/>
  <c r="P570" i="16"/>
  <c r="P506" i="16"/>
  <c r="P466" i="16"/>
  <c r="P434" i="16"/>
  <c r="P402" i="16"/>
  <c r="P370" i="16"/>
  <c r="P338" i="16"/>
  <c r="P306" i="16"/>
  <c r="P274" i="16"/>
  <c r="P242" i="16"/>
  <c r="P210" i="16"/>
  <c r="P178" i="16"/>
  <c r="P146" i="16"/>
  <c r="P114" i="16"/>
  <c r="P82" i="16"/>
  <c r="P50" i="16"/>
  <c r="P626" i="16"/>
  <c r="P562" i="16"/>
  <c r="P498" i="16"/>
  <c r="P465" i="16"/>
  <c r="P433" i="16"/>
  <c r="P401" i="16"/>
  <c r="P369" i="16"/>
  <c r="P337" i="16"/>
  <c r="P305" i="16"/>
  <c r="P273" i="16"/>
  <c r="P241" i="16"/>
  <c r="P209" i="16"/>
  <c r="P177" i="16"/>
  <c r="P145" i="16"/>
  <c r="P113" i="16"/>
  <c r="P81" i="16"/>
  <c r="P49" i="16"/>
  <c r="P618" i="16"/>
  <c r="P554" i="16"/>
  <c r="P490" i="16"/>
  <c r="P458" i="16"/>
  <c r="P426" i="16"/>
  <c r="P394" i="16"/>
  <c r="P362" i="16"/>
  <c r="P330" i="16"/>
  <c r="P298" i="16"/>
  <c r="P266" i="16"/>
  <c r="P234" i="16"/>
  <c r="P202" i="16"/>
  <c r="P170" i="16"/>
  <c r="P138" i="16"/>
  <c r="P106" i="16"/>
  <c r="P74" i="16"/>
  <c r="P42" i="16"/>
  <c r="P610" i="16"/>
  <c r="P546" i="16"/>
  <c r="P489" i="16"/>
  <c r="P457" i="16"/>
  <c r="P425" i="16"/>
  <c r="P393" i="16"/>
  <c r="P361" i="16"/>
  <c r="P329" i="16"/>
  <c r="P297" i="16"/>
  <c r="P265" i="16"/>
  <c r="P233" i="16"/>
  <c r="P201" i="16"/>
  <c r="P169" i="16"/>
  <c r="P137" i="16"/>
  <c r="P105" i="16"/>
  <c r="P73" i="16"/>
  <c r="P41" i="16"/>
  <c r="P602" i="16"/>
  <c r="P538" i="16"/>
  <c r="P482" i="16"/>
  <c r="P450" i="16"/>
  <c r="P418" i="16"/>
  <c r="P386" i="16"/>
  <c r="P354" i="16"/>
  <c r="P322" i="16"/>
  <c r="P290" i="16"/>
  <c r="P258" i="16"/>
  <c r="P226" i="16"/>
  <c r="P194" i="16"/>
  <c r="P162" i="16"/>
  <c r="P130" i="16"/>
  <c r="P98" i="16"/>
  <c r="P66" i="16"/>
  <c r="P34" i="16"/>
  <c r="P385" i="16"/>
  <c r="P129" i="16"/>
  <c r="P12" i="16"/>
  <c r="P11" i="16"/>
  <c r="P353" i="16"/>
  <c r="P97" i="16"/>
  <c r="P321" i="16"/>
  <c r="P65" i="16"/>
  <c r="D10" i="16"/>
  <c r="P417" i="16"/>
  <c r="P594" i="16"/>
  <c r="P289" i="16"/>
  <c r="P33" i="16"/>
  <c r="P449" i="16"/>
  <c r="P10" i="16"/>
  <c r="P530" i="16"/>
  <c r="P257" i="16"/>
  <c r="P193" i="16"/>
  <c r="P481" i="16"/>
  <c r="P225" i="16"/>
  <c r="P7" i="16"/>
  <c r="P161" i="16"/>
  <c r="D32" i="16"/>
  <c r="D40" i="16"/>
  <c r="D48" i="16"/>
  <c r="D56" i="16"/>
  <c r="D64" i="16"/>
  <c r="D72" i="16"/>
  <c r="D80" i="16"/>
  <c r="D88" i="16"/>
  <c r="D96" i="16"/>
  <c r="D104" i="16"/>
  <c r="D112" i="16"/>
  <c r="E112" i="16" s="1"/>
  <c r="D120" i="16"/>
  <c r="D128" i="16"/>
  <c r="D136" i="16"/>
  <c r="D144" i="16"/>
  <c r="D152" i="16"/>
  <c r="D160" i="16"/>
  <c r="E160" i="16" s="1"/>
  <c r="D168" i="16"/>
  <c r="D176" i="16"/>
  <c r="D184" i="16"/>
  <c r="D192" i="16"/>
  <c r="D200" i="16"/>
  <c r="D208" i="16"/>
  <c r="E208" i="16" s="1"/>
  <c r="D216" i="16"/>
  <c r="D224" i="16"/>
  <c r="D232" i="16"/>
  <c r="D240" i="16"/>
  <c r="D248" i="16"/>
  <c r="D256" i="16"/>
  <c r="E256" i="16" s="1"/>
  <c r="D264" i="16"/>
  <c r="D272" i="16"/>
  <c r="D280" i="16"/>
  <c r="D288" i="16"/>
  <c r="D296" i="16"/>
  <c r="D304" i="16"/>
  <c r="E304" i="16" s="1"/>
  <c r="D312" i="16"/>
  <c r="D320" i="16"/>
  <c r="D328" i="16"/>
  <c r="D336" i="16"/>
  <c r="D344" i="16"/>
  <c r="D352" i="16"/>
  <c r="E352" i="16" s="1"/>
  <c r="D360" i="16"/>
  <c r="D368" i="16"/>
  <c r="D376" i="16"/>
  <c r="D384" i="16"/>
  <c r="D392" i="16"/>
  <c r="D400" i="16"/>
  <c r="E400" i="16" s="1"/>
  <c r="D408" i="16"/>
  <c r="D416" i="16"/>
  <c r="D424" i="16"/>
  <c r="D432" i="16"/>
  <c r="D440" i="16"/>
  <c r="D448" i="16"/>
  <c r="E448" i="16" s="1"/>
  <c r="D456" i="16"/>
  <c r="D464" i="16"/>
  <c r="D472" i="16"/>
  <c r="D480" i="16"/>
  <c r="D488" i="16"/>
  <c r="D496" i="16"/>
  <c r="E496" i="16" s="1"/>
  <c r="D504" i="16"/>
  <c r="D512" i="16"/>
  <c r="D520" i="16"/>
  <c r="D528" i="16"/>
  <c r="D536" i="16"/>
  <c r="D544" i="16"/>
  <c r="E544" i="16" s="1"/>
  <c r="D552" i="16"/>
  <c r="D560" i="16"/>
  <c r="D568" i="16"/>
  <c r="D576" i="16"/>
  <c r="D584" i="16"/>
  <c r="D592" i="16"/>
  <c r="E592" i="16" s="1"/>
  <c r="D600" i="16"/>
  <c r="D608" i="16"/>
  <c r="D616" i="16"/>
  <c r="D624" i="16"/>
  <c r="D23" i="16"/>
  <c r="D12" i="16"/>
  <c r="D79" i="16"/>
  <c r="D127" i="16"/>
  <c r="D33" i="16"/>
  <c r="D41" i="16"/>
  <c r="D49" i="16"/>
  <c r="D57" i="16"/>
  <c r="E57" i="16" s="1"/>
  <c r="D65" i="16"/>
  <c r="D73" i="16"/>
  <c r="D81" i="16"/>
  <c r="D89" i="16"/>
  <c r="D97" i="16"/>
  <c r="D105" i="16"/>
  <c r="E105" i="16" s="1"/>
  <c r="D113" i="16"/>
  <c r="D121" i="16"/>
  <c r="D129" i="16"/>
  <c r="D137" i="16"/>
  <c r="D145" i="16"/>
  <c r="D153" i="16"/>
  <c r="E153" i="16" s="1"/>
  <c r="D161" i="16"/>
  <c r="D169" i="16"/>
  <c r="D177" i="16"/>
  <c r="D185" i="16"/>
  <c r="D193" i="16"/>
  <c r="D201" i="16"/>
  <c r="E201" i="16" s="1"/>
  <c r="D209" i="16"/>
  <c r="D217" i="16"/>
  <c r="D225" i="16"/>
  <c r="D233" i="16"/>
  <c r="D241" i="16"/>
  <c r="D249" i="16"/>
  <c r="E249" i="16" s="1"/>
  <c r="D257" i="16"/>
  <c r="D265" i="16"/>
  <c r="D273" i="16"/>
  <c r="D281" i="16"/>
  <c r="D289" i="16"/>
  <c r="D297" i="16"/>
  <c r="E297" i="16" s="1"/>
  <c r="D305" i="16"/>
  <c r="D313" i="16"/>
  <c r="D321" i="16"/>
  <c r="D329" i="16"/>
  <c r="D337" i="16"/>
  <c r="D345" i="16"/>
  <c r="E345" i="16" s="1"/>
  <c r="D353" i="16"/>
  <c r="D361" i="16"/>
  <c r="D369" i="16"/>
  <c r="D377" i="16"/>
  <c r="D385" i="16"/>
  <c r="D393" i="16"/>
  <c r="E393" i="16" s="1"/>
  <c r="D401" i="16"/>
  <c r="D409" i="16"/>
  <c r="D417" i="16"/>
  <c r="D425" i="16"/>
  <c r="D433" i="16"/>
  <c r="D441" i="16"/>
  <c r="E441" i="16" s="1"/>
  <c r="D449" i="16"/>
  <c r="D457" i="16"/>
  <c r="D465" i="16"/>
  <c r="D473" i="16"/>
  <c r="D481" i="16"/>
  <c r="D489" i="16"/>
  <c r="E489" i="16" s="1"/>
  <c r="D497" i="16"/>
  <c r="D505" i="16"/>
  <c r="D513" i="16"/>
  <c r="D521" i="16"/>
  <c r="D529" i="16"/>
  <c r="D537" i="16"/>
  <c r="E537" i="16" s="1"/>
  <c r="D545" i="16"/>
  <c r="D553" i="16"/>
  <c r="D561" i="16"/>
  <c r="D569" i="16"/>
  <c r="D577" i="16"/>
  <c r="D585" i="16"/>
  <c r="E585" i="16" s="1"/>
  <c r="D593" i="16"/>
  <c r="D601" i="16"/>
  <c r="D609" i="16"/>
  <c r="D617" i="16"/>
  <c r="D625" i="16"/>
  <c r="D22" i="16"/>
  <c r="D11" i="16"/>
  <c r="D19" i="16"/>
  <c r="D16" i="16"/>
  <c r="D71" i="16"/>
  <c r="D135" i="16"/>
  <c r="D34" i="16"/>
  <c r="E34" i="16" s="1"/>
  <c r="D42" i="16"/>
  <c r="D50" i="16"/>
  <c r="D58" i="16"/>
  <c r="D66" i="16"/>
  <c r="D74" i="16"/>
  <c r="D82" i="16"/>
  <c r="E82" i="16" s="1"/>
  <c r="D90" i="16"/>
  <c r="D98" i="16"/>
  <c r="D106" i="16"/>
  <c r="D114" i="16"/>
  <c r="D122" i="16"/>
  <c r="D130" i="16"/>
  <c r="E130" i="16" s="1"/>
  <c r="D138" i="16"/>
  <c r="D146" i="16"/>
  <c r="D154" i="16"/>
  <c r="D162" i="16"/>
  <c r="D170" i="16"/>
  <c r="D178" i="16"/>
  <c r="E178" i="16" s="1"/>
  <c r="D186" i="16"/>
  <c r="D194" i="16"/>
  <c r="D202" i="16"/>
  <c r="D210" i="16"/>
  <c r="D218" i="16"/>
  <c r="D226" i="16"/>
  <c r="E226" i="16" s="1"/>
  <c r="D234" i="16"/>
  <c r="D242" i="16"/>
  <c r="D250" i="16"/>
  <c r="D258" i="16"/>
  <c r="D266" i="16"/>
  <c r="D274" i="16"/>
  <c r="E274" i="16" s="1"/>
  <c r="D282" i="16"/>
  <c r="D290" i="16"/>
  <c r="D298" i="16"/>
  <c r="D306" i="16"/>
  <c r="D314" i="16"/>
  <c r="D322" i="16"/>
  <c r="E322" i="16" s="1"/>
  <c r="D330" i="16"/>
  <c r="D338" i="16"/>
  <c r="D346" i="16"/>
  <c r="D354" i="16"/>
  <c r="D362" i="16"/>
  <c r="D370" i="16"/>
  <c r="E370" i="16" s="1"/>
  <c r="D378" i="16"/>
  <c r="D386" i="16"/>
  <c r="D394" i="16"/>
  <c r="D402" i="16"/>
  <c r="D410" i="16"/>
  <c r="D418" i="16"/>
  <c r="E418" i="16" s="1"/>
  <c r="D426" i="16"/>
  <c r="D434" i="16"/>
  <c r="D442" i="16"/>
  <c r="D450" i="16"/>
  <c r="D458" i="16"/>
  <c r="D466" i="16"/>
  <c r="E466" i="16" s="1"/>
  <c r="D474" i="16"/>
  <c r="D482" i="16"/>
  <c r="D490" i="16"/>
  <c r="D498" i="16"/>
  <c r="D506" i="16"/>
  <c r="D514" i="16"/>
  <c r="E514" i="16" s="1"/>
  <c r="D522" i="16"/>
  <c r="D530" i="16"/>
  <c r="D538" i="16"/>
  <c r="D546" i="16"/>
  <c r="D554" i="16"/>
  <c r="D562" i="16"/>
  <c r="E562" i="16" s="1"/>
  <c r="D570" i="16"/>
  <c r="D578" i="16"/>
  <c r="D586" i="16"/>
  <c r="D594" i="16"/>
  <c r="D602" i="16"/>
  <c r="D610" i="16"/>
  <c r="E610" i="16" s="1"/>
  <c r="D618" i="16"/>
  <c r="D626" i="16"/>
  <c r="D21" i="16"/>
  <c r="D20" i="16"/>
  <c r="D55" i="16"/>
  <c r="D111" i="16"/>
  <c r="E111" i="16" s="1"/>
  <c r="D35" i="16"/>
  <c r="D43" i="16"/>
  <c r="D51" i="16"/>
  <c r="D59" i="16"/>
  <c r="D67" i="16"/>
  <c r="D75" i="16"/>
  <c r="E75" i="16" s="1"/>
  <c r="D83" i="16"/>
  <c r="D91" i="16"/>
  <c r="D99" i="16"/>
  <c r="D107" i="16"/>
  <c r="D115" i="16"/>
  <c r="D123" i="16"/>
  <c r="E123" i="16" s="1"/>
  <c r="D131" i="16"/>
  <c r="D139" i="16"/>
  <c r="D147" i="16"/>
  <c r="D155" i="16"/>
  <c r="D163" i="16"/>
  <c r="D171" i="16"/>
  <c r="E171" i="16" s="1"/>
  <c r="D179" i="16"/>
  <c r="D187" i="16"/>
  <c r="D195" i="16"/>
  <c r="D203" i="16"/>
  <c r="D211" i="16"/>
  <c r="D219" i="16"/>
  <c r="E219" i="16" s="1"/>
  <c r="D227" i="16"/>
  <c r="D235" i="16"/>
  <c r="D243" i="16"/>
  <c r="D251" i="16"/>
  <c r="D259" i="16"/>
  <c r="D267" i="16"/>
  <c r="E267" i="16" s="1"/>
  <c r="D275" i="16"/>
  <c r="D283" i="16"/>
  <c r="D291" i="16"/>
  <c r="D299" i="16"/>
  <c r="D307" i="16"/>
  <c r="D315" i="16"/>
  <c r="E315" i="16" s="1"/>
  <c r="D323" i="16"/>
  <c r="D331" i="16"/>
  <c r="D339" i="16"/>
  <c r="D347" i="16"/>
  <c r="D355" i="16"/>
  <c r="D363" i="16"/>
  <c r="E363" i="16" s="1"/>
  <c r="D371" i="16"/>
  <c r="D379" i="16"/>
  <c r="D387" i="16"/>
  <c r="D395" i="16"/>
  <c r="D403" i="16"/>
  <c r="D411" i="16"/>
  <c r="E411" i="16" s="1"/>
  <c r="D419" i="16"/>
  <c r="D427" i="16"/>
  <c r="D435" i="16"/>
  <c r="D443" i="16"/>
  <c r="D451" i="16"/>
  <c r="D459" i="16"/>
  <c r="E459" i="16" s="1"/>
  <c r="D467" i="16"/>
  <c r="D475" i="16"/>
  <c r="D483" i="16"/>
  <c r="D491" i="16"/>
  <c r="D499" i="16"/>
  <c r="D507" i="16"/>
  <c r="E507" i="16" s="1"/>
  <c r="D515" i="16"/>
  <c r="D523" i="16"/>
  <c r="D531" i="16"/>
  <c r="D539" i="16"/>
  <c r="D547" i="16"/>
  <c r="D555" i="16"/>
  <c r="E555" i="16" s="1"/>
  <c r="D563" i="16"/>
  <c r="D571" i="16"/>
  <c r="D579" i="16"/>
  <c r="D587" i="16"/>
  <c r="D595" i="16"/>
  <c r="D603" i="16"/>
  <c r="E603" i="16" s="1"/>
  <c r="D611" i="16"/>
  <c r="D619" i="16"/>
  <c r="D627" i="16"/>
  <c r="D39" i="16"/>
  <c r="D103" i="16"/>
  <c r="D159" i="16"/>
  <c r="E159" i="16" s="1"/>
  <c r="D36" i="16"/>
  <c r="D44" i="16"/>
  <c r="D52" i="16"/>
  <c r="D60" i="16"/>
  <c r="D68" i="16"/>
  <c r="D76" i="16"/>
  <c r="E76" i="16" s="1"/>
  <c r="D84" i="16"/>
  <c r="D92" i="16"/>
  <c r="D100" i="16"/>
  <c r="D108" i="16"/>
  <c r="D116" i="16"/>
  <c r="D124" i="16"/>
  <c r="E124" i="16" s="1"/>
  <c r="D132" i="16"/>
  <c r="D140" i="16"/>
  <c r="D148" i="16"/>
  <c r="D156" i="16"/>
  <c r="D164" i="16"/>
  <c r="D172" i="16"/>
  <c r="E172" i="16" s="1"/>
  <c r="D180" i="16"/>
  <c r="D188" i="16"/>
  <c r="D196" i="16"/>
  <c r="D204" i="16"/>
  <c r="D212" i="16"/>
  <c r="D220" i="16"/>
  <c r="E220" i="16" s="1"/>
  <c r="D228" i="16"/>
  <c r="D236" i="16"/>
  <c r="D244" i="16"/>
  <c r="D252" i="16"/>
  <c r="D260" i="16"/>
  <c r="D268" i="16"/>
  <c r="E268" i="16" s="1"/>
  <c r="D276" i="16"/>
  <c r="D284" i="16"/>
  <c r="D292" i="16"/>
  <c r="D300" i="16"/>
  <c r="D308" i="16"/>
  <c r="D316" i="16"/>
  <c r="E316" i="16" s="1"/>
  <c r="D324" i="16"/>
  <c r="D332" i="16"/>
  <c r="D340" i="16"/>
  <c r="D348" i="16"/>
  <c r="D356" i="16"/>
  <c r="D364" i="16"/>
  <c r="E364" i="16" s="1"/>
  <c r="D372" i="16"/>
  <c r="D380" i="16"/>
  <c r="D388" i="16"/>
  <c r="D396" i="16"/>
  <c r="D404" i="16"/>
  <c r="D412" i="16"/>
  <c r="E412" i="16" s="1"/>
  <c r="D420" i="16"/>
  <c r="D428" i="16"/>
  <c r="D436" i="16"/>
  <c r="D444" i="16"/>
  <c r="D452" i="16"/>
  <c r="D460" i="16"/>
  <c r="E460" i="16" s="1"/>
  <c r="D468" i="16"/>
  <c r="D476" i="16"/>
  <c r="D484" i="16"/>
  <c r="D492" i="16"/>
  <c r="D500" i="16"/>
  <c r="D508" i="16"/>
  <c r="E508" i="16" s="1"/>
  <c r="D516" i="16"/>
  <c r="D524" i="16"/>
  <c r="D532" i="16"/>
  <c r="D540" i="16"/>
  <c r="D548" i="16"/>
  <c r="D556" i="16"/>
  <c r="E556" i="16" s="1"/>
  <c r="D564" i="16"/>
  <c r="D572" i="16"/>
  <c r="D580" i="16"/>
  <c r="D588" i="16"/>
  <c r="D596" i="16"/>
  <c r="D604" i="16"/>
  <c r="E604" i="16" s="1"/>
  <c r="D612" i="16"/>
  <c r="D620" i="16"/>
  <c r="D628" i="16"/>
  <c r="D63" i="16"/>
  <c r="D87" i="16"/>
  <c r="D151" i="16"/>
  <c r="E151" i="16" s="1"/>
  <c r="D37" i="16"/>
  <c r="D45" i="16"/>
  <c r="D53" i="16"/>
  <c r="D61" i="16"/>
  <c r="D69" i="16"/>
  <c r="D77" i="16"/>
  <c r="E77" i="16" s="1"/>
  <c r="D85" i="16"/>
  <c r="D93" i="16"/>
  <c r="D101" i="16"/>
  <c r="D109" i="16"/>
  <c r="D117" i="16"/>
  <c r="D125" i="16"/>
  <c r="E125" i="16" s="1"/>
  <c r="D133" i="16"/>
  <c r="D141" i="16"/>
  <c r="D149" i="16"/>
  <c r="D157" i="16"/>
  <c r="D165" i="16"/>
  <c r="D173" i="16"/>
  <c r="E173" i="16" s="1"/>
  <c r="D181" i="16"/>
  <c r="D189" i="16"/>
  <c r="D197" i="16"/>
  <c r="D205" i="16"/>
  <c r="D213" i="16"/>
  <c r="D221" i="16"/>
  <c r="E221" i="16" s="1"/>
  <c r="D229" i="16"/>
  <c r="D237" i="16"/>
  <c r="D245" i="16"/>
  <c r="D253" i="16"/>
  <c r="D261" i="16"/>
  <c r="D269" i="16"/>
  <c r="E269" i="16" s="1"/>
  <c r="D277" i="16"/>
  <c r="D285" i="16"/>
  <c r="D293" i="16"/>
  <c r="D301" i="16"/>
  <c r="D309" i="16"/>
  <c r="D317" i="16"/>
  <c r="E317" i="16" s="1"/>
  <c r="D325" i="16"/>
  <c r="D333" i="16"/>
  <c r="D341" i="16"/>
  <c r="D349" i="16"/>
  <c r="D357" i="16"/>
  <c r="D365" i="16"/>
  <c r="E365" i="16" s="1"/>
  <c r="D373" i="16"/>
  <c r="D381" i="16"/>
  <c r="D389" i="16"/>
  <c r="D397" i="16"/>
  <c r="D405" i="16"/>
  <c r="D413" i="16"/>
  <c r="E413" i="16" s="1"/>
  <c r="D421" i="16"/>
  <c r="D429" i="16"/>
  <c r="D437" i="16"/>
  <c r="D445" i="16"/>
  <c r="D453" i="16"/>
  <c r="D461" i="16"/>
  <c r="E461" i="16" s="1"/>
  <c r="D469" i="16"/>
  <c r="D477" i="16"/>
  <c r="D485" i="16"/>
  <c r="D493" i="16"/>
  <c r="D501" i="16"/>
  <c r="D509" i="16"/>
  <c r="E509" i="16" s="1"/>
  <c r="D517" i="16"/>
  <c r="D525" i="16"/>
  <c r="D533" i="16"/>
  <c r="D541" i="16"/>
  <c r="D549" i="16"/>
  <c r="D557" i="16"/>
  <c r="E557" i="16" s="1"/>
  <c r="D565" i="16"/>
  <c r="D573" i="16"/>
  <c r="D581" i="16"/>
  <c r="D589" i="16"/>
  <c r="D597" i="16"/>
  <c r="D605" i="16"/>
  <c r="E605" i="16" s="1"/>
  <c r="D613" i="16"/>
  <c r="D621" i="16"/>
  <c r="D629" i="16"/>
  <c r="D18" i="16"/>
  <c r="D47" i="16"/>
  <c r="D95" i="16"/>
  <c r="E95" i="16" s="1"/>
  <c r="D143" i="16"/>
  <c r="D30" i="16"/>
  <c r="D38" i="16"/>
  <c r="D46" i="16"/>
  <c r="D54" i="16"/>
  <c r="D62" i="16"/>
  <c r="E62" i="16" s="1"/>
  <c r="D70" i="16"/>
  <c r="D78" i="16"/>
  <c r="D86" i="16"/>
  <c r="D94" i="16"/>
  <c r="D102" i="16"/>
  <c r="D110" i="16"/>
  <c r="E110" i="16" s="1"/>
  <c r="D118" i="16"/>
  <c r="D126" i="16"/>
  <c r="D134" i="16"/>
  <c r="D142" i="16"/>
  <c r="D150" i="16"/>
  <c r="D158" i="16"/>
  <c r="E158" i="16" s="1"/>
  <c r="D166" i="16"/>
  <c r="D174" i="16"/>
  <c r="D182" i="16"/>
  <c r="D190" i="16"/>
  <c r="D198" i="16"/>
  <c r="D206" i="16"/>
  <c r="E206" i="16" s="1"/>
  <c r="D214" i="16"/>
  <c r="D222" i="16"/>
  <c r="D230" i="16"/>
  <c r="D238" i="16"/>
  <c r="D246" i="16"/>
  <c r="D254" i="16"/>
  <c r="E254" i="16" s="1"/>
  <c r="D262" i="16"/>
  <c r="D270" i="16"/>
  <c r="D278" i="16"/>
  <c r="D286" i="16"/>
  <c r="D294" i="16"/>
  <c r="D302" i="16"/>
  <c r="E302" i="16" s="1"/>
  <c r="D310" i="16"/>
  <c r="D318" i="16"/>
  <c r="D326" i="16"/>
  <c r="D334" i="16"/>
  <c r="D342" i="16"/>
  <c r="D350" i="16"/>
  <c r="E350" i="16" s="1"/>
  <c r="D358" i="16"/>
  <c r="D366" i="16"/>
  <c r="D374" i="16"/>
  <c r="D382" i="16"/>
  <c r="D390" i="16"/>
  <c r="D398" i="16"/>
  <c r="E398" i="16" s="1"/>
  <c r="D406" i="16"/>
  <c r="D414" i="16"/>
  <c r="D422" i="16"/>
  <c r="D430" i="16"/>
  <c r="D438" i="16"/>
  <c r="D446" i="16"/>
  <c r="E446" i="16" s="1"/>
  <c r="D454" i="16"/>
  <c r="D462" i="16"/>
  <c r="D470" i="16"/>
  <c r="D478" i="16"/>
  <c r="D486" i="16"/>
  <c r="D494" i="16"/>
  <c r="E494" i="16" s="1"/>
  <c r="D502" i="16"/>
  <c r="D510" i="16"/>
  <c r="D518" i="16"/>
  <c r="D526" i="16"/>
  <c r="D534" i="16"/>
  <c r="D542" i="16"/>
  <c r="E542" i="16" s="1"/>
  <c r="D550" i="16"/>
  <c r="D558" i="16"/>
  <c r="D566" i="16"/>
  <c r="D574" i="16"/>
  <c r="D582" i="16"/>
  <c r="D590" i="16"/>
  <c r="E590" i="16" s="1"/>
  <c r="D598" i="16"/>
  <c r="D606" i="16"/>
  <c r="D614" i="16"/>
  <c r="D622" i="16"/>
  <c r="D29" i="16"/>
  <c r="D31" i="16"/>
  <c r="E31" i="16" s="1"/>
  <c r="D119" i="16"/>
  <c r="D215" i="16"/>
  <c r="D279" i="16"/>
  <c r="D343" i="16"/>
  <c r="D407" i="16"/>
  <c r="D471" i="16"/>
  <c r="E471" i="16" s="1"/>
  <c r="D535" i="16"/>
  <c r="D599" i="16"/>
  <c r="D575" i="16"/>
  <c r="D583" i="16"/>
  <c r="D591" i="16"/>
  <c r="D223" i="16"/>
  <c r="E223" i="16" s="1"/>
  <c r="D287" i="16"/>
  <c r="D351" i="16"/>
  <c r="D415" i="16"/>
  <c r="D479" i="16"/>
  <c r="D543" i="16"/>
  <c r="D607" i="16"/>
  <c r="E607" i="16" s="1"/>
  <c r="D15" i="16"/>
  <c r="D519" i="16"/>
  <c r="D527" i="16"/>
  <c r="D167" i="16"/>
  <c r="D231" i="16"/>
  <c r="D295" i="16"/>
  <c r="E295" i="16" s="1"/>
  <c r="D359" i="16"/>
  <c r="D423" i="16"/>
  <c r="D487" i="16"/>
  <c r="D551" i="16"/>
  <c r="D615" i="16"/>
  <c r="D327" i="16"/>
  <c r="E327" i="16" s="1"/>
  <c r="D207" i="16"/>
  <c r="D175" i="16"/>
  <c r="D239" i="16"/>
  <c r="D303" i="16"/>
  <c r="D367" i="16"/>
  <c r="D431" i="16"/>
  <c r="E431" i="16" s="1"/>
  <c r="D495" i="16"/>
  <c r="D559" i="16"/>
  <c r="D623" i="16"/>
  <c r="D391" i="16"/>
  <c r="D271" i="16"/>
  <c r="D183" i="16"/>
  <c r="E183" i="16" s="1"/>
  <c r="D247" i="16"/>
  <c r="D311" i="16"/>
  <c r="D375" i="16"/>
  <c r="D439" i="16"/>
  <c r="D503" i="16"/>
  <c r="D567" i="16"/>
  <c r="E567" i="16" s="1"/>
  <c r="D24" i="16"/>
  <c r="E24" i="16" s="1"/>
  <c r="D263" i="16"/>
  <c r="D463" i="16"/>
  <c r="D191" i="16"/>
  <c r="D255" i="16"/>
  <c r="D319" i="16"/>
  <c r="E319" i="16" s="1"/>
  <c r="D383" i="16"/>
  <c r="D447" i="16"/>
  <c r="D511" i="16"/>
  <c r="D455" i="16"/>
  <c r="D335" i="16"/>
  <c r="D199" i="16"/>
  <c r="E199" i="16" s="1"/>
  <c r="D399" i="16"/>
  <c r="J7" i="16"/>
  <c r="J626" i="16"/>
  <c r="J618" i="16"/>
  <c r="J610" i="16"/>
  <c r="J602" i="16"/>
  <c r="J594" i="16"/>
  <c r="J586" i="16"/>
  <c r="J578" i="16"/>
  <c r="J625" i="16"/>
  <c r="J617" i="16"/>
  <c r="J609" i="16"/>
  <c r="J624" i="16"/>
  <c r="J616" i="16"/>
  <c r="J608" i="16"/>
  <c r="J600" i="16"/>
  <c r="J592" i="16"/>
  <c r="J584" i="16"/>
  <c r="J576" i="16"/>
  <c r="J568" i="16"/>
  <c r="J623" i="16"/>
  <c r="J615" i="16"/>
  <c r="J607" i="16"/>
  <c r="J599" i="16"/>
  <c r="J591" i="16"/>
  <c r="J583" i="16"/>
  <c r="J575" i="16"/>
  <c r="J567" i="16"/>
  <c r="J622" i="16"/>
  <c r="J614" i="16"/>
  <c r="J606" i="16"/>
  <c r="J598" i="16"/>
  <c r="J590" i="16"/>
  <c r="J582" i="16"/>
  <c r="J574" i="16"/>
  <c r="J566" i="16"/>
  <c r="J629" i="16"/>
  <c r="J621" i="16"/>
  <c r="J613" i="16"/>
  <c r="J605" i="16"/>
  <c r="J597" i="16"/>
  <c r="J589" i="16"/>
  <c r="J581" i="16"/>
  <c r="J573" i="16"/>
  <c r="J565" i="16"/>
  <c r="J604" i="16"/>
  <c r="J585" i="16"/>
  <c r="J564" i="16"/>
  <c r="J556" i="16"/>
  <c r="J548" i="16"/>
  <c r="J540" i="16"/>
  <c r="J532" i="16"/>
  <c r="J524" i="16"/>
  <c r="J516" i="16"/>
  <c r="J508" i="16"/>
  <c r="J500" i="16"/>
  <c r="J492" i="16"/>
  <c r="J484" i="16"/>
  <c r="J476" i="16"/>
  <c r="J468" i="16"/>
  <c r="J460" i="16"/>
  <c r="J452" i="16"/>
  <c r="J444" i="16"/>
  <c r="J436" i="16"/>
  <c r="J428" i="16"/>
  <c r="J420" i="16"/>
  <c r="J412" i="16"/>
  <c r="J404" i="16"/>
  <c r="J396" i="16"/>
  <c r="J388" i="16"/>
  <c r="J380" i="16"/>
  <c r="J372" i="16"/>
  <c r="J364" i="16"/>
  <c r="J356" i="16"/>
  <c r="J348" i="16"/>
  <c r="J340" i="16"/>
  <c r="J332" i="16"/>
  <c r="J324" i="16"/>
  <c r="J316" i="16"/>
  <c r="J308" i="16"/>
  <c r="J300" i="16"/>
  <c r="J292" i="16"/>
  <c r="J284" i="16"/>
  <c r="J276" i="16"/>
  <c r="J268" i="16"/>
  <c r="J260" i="16"/>
  <c r="J252" i="16"/>
  <c r="J244" i="16"/>
  <c r="J236" i="16"/>
  <c r="J228" i="16"/>
  <c r="J220" i="16"/>
  <c r="J212" i="16"/>
  <c r="J204" i="16"/>
  <c r="J196" i="16"/>
  <c r="J188" i="16"/>
  <c r="J180" i="16"/>
  <c r="J172" i="16"/>
  <c r="J164" i="16"/>
  <c r="J156" i="16"/>
  <c r="J148" i="16"/>
  <c r="J140" i="16"/>
  <c r="J132" i="16"/>
  <c r="J124" i="16"/>
  <c r="J116" i="16"/>
  <c r="J108" i="16"/>
  <c r="J100" i="16"/>
  <c r="J92" i="16"/>
  <c r="J603" i="16"/>
  <c r="J580" i="16"/>
  <c r="J563" i="16"/>
  <c r="J555" i="16"/>
  <c r="J547" i="16"/>
  <c r="J539" i="16"/>
  <c r="J531" i="16"/>
  <c r="J523" i="16"/>
  <c r="J515" i="16"/>
  <c r="J507" i="16"/>
  <c r="J499" i="16"/>
  <c r="J491" i="16"/>
  <c r="J483" i="16"/>
  <c r="J475" i="16"/>
  <c r="J467" i="16"/>
  <c r="J459" i="16"/>
  <c r="J451" i="16"/>
  <c r="J443" i="16"/>
  <c r="J435" i="16"/>
  <c r="J427" i="16"/>
  <c r="J419" i="16"/>
  <c r="J411" i="16"/>
  <c r="J403" i="16"/>
  <c r="J395" i="16"/>
  <c r="J387" i="16"/>
  <c r="J379" i="16"/>
  <c r="J371" i="16"/>
  <c r="J363" i="16"/>
  <c r="J355" i="16"/>
  <c r="J347" i="16"/>
  <c r="J339" i="16"/>
  <c r="J331" i="16"/>
  <c r="J323" i="16"/>
  <c r="J315" i="16"/>
  <c r="J307" i="16"/>
  <c r="J299" i="16"/>
  <c r="J291" i="16"/>
  <c r="J283" i="16"/>
  <c r="J275" i="16"/>
  <c r="J267" i="16"/>
  <c r="J259" i="16"/>
  <c r="J251" i="16"/>
  <c r="J243" i="16"/>
  <c r="J235" i="16"/>
  <c r="J227" i="16"/>
  <c r="J219" i="16"/>
  <c r="J211" i="16"/>
  <c r="J203" i="16"/>
  <c r="J195" i="16"/>
  <c r="J187" i="16"/>
  <c r="J179" i="16"/>
  <c r="J171" i="16"/>
  <c r="J163" i="16"/>
  <c r="J155" i="16"/>
  <c r="J147" i="16"/>
  <c r="J139" i="16"/>
  <c r="J131" i="16"/>
  <c r="J123" i="16"/>
  <c r="J115" i="16"/>
  <c r="J107" i="16"/>
  <c r="J99" i="16"/>
  <c r="J91" i="16"/>
  <c r="J83" i="16"/>
  <c r="J75" i="16"/>
  <c r="J67" i="16"/>
  <c r="J59" i="16"/>
  <c r="J51" i="16"/>
  <c r="J43" i="16"/>
  <c r="J628" i="16"/>
  <c r="J601" i="16"/>
  <c r="J579" i="16"/>
  <c r="J562" i="16"/>
  <c r="J554" i="16"/>
  <c r="J546" i="16"/>
  <c r="J538" i="16"/>
  <c r="J530" i="16"/>
  <c r="J522" i="16"/>
  <c r="J514" i="16"/>
  <c r="J506" i="16"/>
  <c r="J498" i="16"/>
  <c r="J490" i="16"/>
  <c r="J482" i="16"/>
  <c r="J474" i="16"/>
  <c r="J466" i="16"/>
  <c r="J458" i="16"/>
  <c r="J450" i="16"/>
  <c r="J442" i="16"/>
  <c r="J434" i="16"/>
  <c r="J426" i="16"/>
  <c r="J418" i="16"/>
  <c r="J410" i="16"/>
  <c r="J402" i="16"/>
  <c r="J394" i="16"/>
  <c r="J386" i="16"/>
  <c r="J378" i="16"/>
  <c r="J370" i="16"/>
  <c r="J362" i="16"/>
  <c r="J354" i="16"/>
  <c r="J346" i="16"/>
  <c r="J338" i="16"/>
  <c r="J330" i="16"/>
  <c r="J322" i="16"/>
  <c r="J314" i="16"/>
  <c r="J306" i="16"/>
  <c r="J298" i="16"/>
  <c r="J290" i="16"/>
  <c r="J282" i="16"/>
  <c r="J274" i="16"/>
  <c r="J266" i="16"/>
  <c r="J258" i="16"/>
  <c r="J250" i="16"/>
  <c r="J242" i="16"/>
  <c r="J234" i="16"/>
  <c r="J226" i="16"/>
  <c r="J218" i="16"/>
  <c r="J210" i="16"/>
  <c r="J202" i="16"/>
  <c r="J194" i="16"/>
  <c r="J186" i="16"/>
  <c r="J178" i="16"/>
  <c r="J170" i="16"/>
  <c r="J162" i="16"/>
  <c r="J154" i="16"/>
  <c r="J146" i="16"/>
  <c r="J138" i="16"/>
  <c r="J130" i="16"/>
  <c r="J122" i="16"/>
  <c r="J114" i="16"/>
  <c r="J106" i="16"/>
  <c r="J98" i="16"/>
  <c r="J90" i="16"/>
  <c r="J82" i="16"/>
  <c r="J74" i="16"/>
  <c r="J66" i="16"/>
  <c r="J58" i="16"/>
  <c r="J50" i="16"/>
  <c r="J42" i="16"/>
  <c r="J627" i="16"/>
  <c r="J596" i="16"/>
  <c r="J577" i="16"/>
  <c r="J561" i="16"/>
  <c r="J553" i="16"/>
  <c r="J545" i="16"/>
  <c r="J537" i="16"/>
  <c r="J529" i="16"/>
  <c r="J521" i="16"/>
  <c r="J513" i="16"/>
  <c r="J505" i="16"/>
  <c r="J497" i="16"/>
  <c r="J489" i="16"/>
  <c r="J481" i="16"/>
  <c r="J473" i="16"/>
  <c r="J465" i="16"/>
  <c r="J457" i="16"/>
  <c r="J449" i="16"/>
  <c r="J441" i="16"/>
  <c r="J433" i="16"/>
  <c r="J425" i="16"/>
  <c r="J417" i="16"/>
  <c r="J409" i="16"/>
  <c r="J401" i="16"/>
  <c r="J393" i="16"/>
  <c r="J385" i="16"/>
  <c r="J377" i="16"/>
  <c r="J369" i="16"/>
  <c r="J361" i="16"/>
  <c r="J353" i="16"/>
  <c r="J345" i="16"/>
  <c r="J337" i="16"/>
  <c r="J329" i="16"/>
  <c r="J321" i="16"/>
  <c r="J313" i="16"/>
  <c r="J305" i="16"/>
  <c r="J297" i="16"/>
  <c r="J289" i="16"/>
  <c r="J281" i="16"/>
  <c r="J273" i="16"/>
  <c r="J265" i="16"/>
  <c r="J257" i="16"/>
  <c r="J249" i="16"/>
  <c r="J241" i="16"/>
  <c r="J233" i="16"/>
  <c r="J225" i="16"/>
  <c r="J217" i="16"/>
  <c r="J209" i="16"/>
  <c r="J201" i="16"/>
  <c r="J193" i="16"/>
  <c r="J185" i="16"/>
  <c r="J177" i="16"/>
  <c r="J169" i="16"/>
  <c r="J161" i="16"/>
  <c r="J153" i="16"/>
  <c r="J145" i="16"/>
  <c r="J137" i="16"/>
  <c r="J129" i="16"/>
  <c r="J121" i="16"/>
  <c r="J113" i="16"/>
  <c r="J105" i="16"/>
  <c r="J97" i="16"/>
  <c r="J89" i="16"/>
  <c r="J81" i="16"/>
  <c r="J73" i="16"/>
  <c r="J65" i="16"/>
  <c r="J57" i="16"/>
  <c r="J49" i="16"/>
  <c r="J620" i="16"/>
  <c r="J595" i="16"/>
  <c r="J572" i="16"/>
  <c r="J560" i="16"/>
  <c r="J552" i="16"/>
  <c r="J544" i="16"/>
  <c r="J536" i="16"/>
  <c r="J528" i="16"/>
  <c r="J520" i="16"/>
  <c r="J512" i="16"/>
  <c r="J504" i="16"/>
  <c r="J496" i="16"/>
  <c r="J488" i="16"/>
  <c r="J480" i="16"/>
  <c r="J472" i="16"/>
  <c r="J464" i="16"/>
  <c r="J456" i="16"/>
  <c r="J448" i="16"/>
  <c r="J440" i="16"/>
  <c r="J432" i="16"/>
  <c r="J424" i="16"/>
  <c r="J416" i="16"/>
  <c r="J408" i="16"/>
  <c r="J400" i="16"/>
  <c r="J392" i="16"/>
  <c r="J384" i="16"/>
  <c r="J376" i="16"/>
  <c r="J368" i="16"/>
  <c r="J360" i="16"/>
  <c r="J352" i="16"/>
  <c r="J344" i="16"/>
  <c r="J336" i="16"/>
  <c r="J328" i="16"/>
  <c r="J320" i="16"/>
  <c r="J312" i="16"/>
  <c r="J304" i="16"/>
  <c r="J296" i="16"/>
  <c r="J288" i="16"/>
  <c r="J280" i="16"/>
  <c r="J272" i="16"/>
  <c r="J264" i="16"/>
  <c r="J256" i="16"/>
  <c r="J248" i="16"/>
  <c r="J240" i="16"/>
  <c r="J232" i="16"/>
  <c r="J224" i="16"/>
  <c r="J216" i="16"/>
  <c r="J208" i="16"/>
  <c r="J200" i="16"/>
  <c r="J192" i="16"/>
  <c r="J184" i="16"/>
  <c r="J176" i="16"/>
  <c r="J168" i="16"/>
  <c r="J160" i="16"/>
  <c r="J152" i="16"/>
  <c r="J144" i="16"/>
  <c r="J136" i="16"/>
  <c r="J128" i="16"/>
  <c r="J120" i="16"/>
  <c r="J112" i="16"/>
  <c r="J104" i="16"/>
  <c r="J96" i="16"/>
  <c r="J619" i="16"/>
  <c r="J593" i="16"/>
  <c r="J571" i="16"/>
  <c r="J559" i="16"/>
  <c r="J551" i="16"/>
  <c r="J543" i="16"/>
  <c r="J535" i="16"/>
  <c r="J527" i="16"/>
  <c r="J519" i="16"/>
  <c r="J511" i="16"/>
  <c r="J503" i="16"/>
  <c r="J495" i="16"/>
  <c r="J487" i="16"/>
  <c r="J479" i="16"/>
  <c r="J471" i="16"/>
  <c r="J463" i="16"/>
  <c r="J455" i="16"/>
  <c r="J447" i="16"/>
  <c r="J439" i="16"/>
  <c r="J431" i="16"/>
  <c r="J423" i="16"/>
  <c r="J415" i="16"/>
  <c r="J407" i="16"/>
  <c r="J399" i="16"/>
  <c r="J391" i="16"/>
  <c r="J383" i="16"/>
  <c r="J375" i="16"/>
  <c r="J367" i="16"/>
  <c r="J359" i="16"/>
  <c r="J351" i="16"/>
  <c r="J343" i="16"/>
  <c r="J335" i="16"/>
  <c r="J327" i="16"/>
  <c r="J319" i="16"/>
  <c r="J311" i="16"/>
  <c r="J303" i="16"/>
  <c r="J295" i="16"/>
  <c r="J287" i="16"/>
  <c r="J279" i="16"/>
  <c r="J271" i="16"/>
  <c r="J263" i="16"/>
  <c r="J255" i="16"/>
  <c r="J247" i="16"/>
  <c r="J239" i="16"/>
  <c r="J231" i="16"/>
  <c r="J223" i="16"/>
  <c r="J215" i="16"/>
  <c r="J207" i="16"/>
  <c r="J199" i="16"/>
  <c r="J191" i="16"/>
  <c r="J183" i="16"/>
  <c r="J175" i="16"/>
  <c r="J167" i="16"/>
  <c r="J159" i="16"/>
  <c r="J151" i="16"/>
  <c r="J143" i="16"/>
  <c r="J135" i="16"/>
  <c r="J612" i="16"/>
  <c r="J588" i="16"/>
  <c r="J570" i="16"/>
  <c r="J558" i="16"/>
  <c r="J550" i="16"/>
  <c r="J542" i="16"/>
  <c r="J534" i="16"/>
  <c r="J526" i="16"/>
  <c r="J518" i="16"/>
  <c r="J510" i="16"/>
  <c r="J502" i="16"/>
  <c r="J494" i="16"/>
  <c r="J486" i="16"/>
  <c r="J478" i="16"/>
  <c r="J470" i="16"/>
  <c r="J462" i="16"/>
  <c r="J454" i="16"/>
  <c r="J446" i="16"/>
  <c r="J438" i="16"/>
  <c r="J430" i="16"/>
  <c r="J422" i="16"/>
  <c r="J549" i="16"/>
  <c r="J485" i="16"/>
  <c r="J421" i="16"/>
  <c r="J389" i="16"/>
  <c r="J357" i="16"/>
  <c r="J325" i="16"/>
  <c r="J293" i="16"/>
  <c r="J261" i="16"/>
  <c r="J229" i="16"/>
  <c r="J197" i="16"/>
  <c r="J165" i="16"/>
  <c r="J133" i="16"/>
  <c r="J110" i="16"/>
  <c r="J88" i="16"/>
  <c r="J77" i="16"/>
  <c r="J63" i="16"/>
  <c r="J52" i="16"/>
  <c r="J39" i="16"/>
  <c r="J31" i="16"/>
  <c r="J19" i="16"/>
  <c r="J294" i="16"/>
  <c r="J111" i="16"/>
  <c r="J32" i="16"/>
  <c r="J541" i="16"/>
  <c r="J477" i="16"/>
  <c r="J414" i="16"/>
  <c r="J382" i="16"/>
  <c r="J350" i="16"/>
  <c r="J318" i="16"/>
  <c r="J286" i="16"/>
  <c r="J254" i="16"/>
  <c r="J222" i="16"/>
  <c r="J190" i="16"/>
  <c r="J158" i="16"/>
  <c r="J127" i="16"/>
  <c r="J109" i="16"/>
  <c r="J87" i="16"/>
  <c r="J76" i="16"/>
  <c r="J62" i="16"/>
  <c r="J48" i="16"/>
  <c r="J38" i="16"/>
  <c r="J30" i="16"/>
  <c r="J18" i="16"/>
  <c r="J12" i="16"/>
  <c r="J69" i="16"/>
  <c r="J22" i="16"/>
  <c r="J569" i="16"/>
  <c r="J437" i="16"/>
  <c r="J301" i="16"/>
  <c r="J173" i="16"/>
  <c r="J79" i="16"/>
  <c r="J21" i="16"/>
  <c r="J429" i="16"/>
  <c r="J326" i="16"/>
  <c r="J134" i="16"/>
  <c r="J53" i="16"/>
  <c r="J533" i="16"/>
  <c r="J469" i="16"/>
  <c r="J413" i="16"/>
  <c r="J381" i="16"/>
  <c r="J349" i="16"/>
  <c r="J317" i="16"/>
  <c r="J285" i="16"/>
  <c r="J253" i="16"/>
  <c r="J221" i="16"/>
  <c r="J189" i="16"/>
  <c r="J157" i="16"/>
  <c r="J126" i="16"/>
  <c r="J103" i="16"/>
  <c r="J86" i="16"/>
  <c r="J72" i="16"/>
  <c r="J61" i="16"/>
  <c r="J47" i="16"/>
  <c r="J37" i="16"/>
  <c r="J29" i="16"/>
  <c r="J16" i="16"/>
  <c r="J501" i="16"/>
  <c r="J397" i="16"/>
  <c r="J269" i="16"/>
  <c r="J141" i="16"/>
  <c r="J54" i="16"/>
  <c r="J166" i="16"/>
  <c r="J40" i="16"/>
  <c r="J525" i="16"/>
  <c r="J461" i="16"/>
  <c r="J406" i="16"/>
  <c r="J374" i="16"/>
  <c r="J342" i="16"/>
  <c r="J310" i="16"/>
  <c r="J278" i="16"/>
  <c r="J246" i="16"/>
  <c r="J214" i="16"/>
  <c r="J182" i="16"/>
  <c r="J150" i="16"/>
  <c r="J125" i="16"/>
  <c r="J102" i="16"/>
  <c r="J85" i="16"/>
  <c r="J71" i="16"/>
  <c r="J60" i="16"/>
  <c r="J46" i="16"/>
  <c r="J36" i="16"/>
  <c r="J24" i="16"/>
  <c r="K24" i="16" s="1"/>
  <c r="J15" i="16"/>
  <c r="J55" i="16"/>
  <c r="J10" i="16"/>
  <c r="J365" i="16"/>
  <c r="J237" i="16"/>
  <c r="J117" i="16"/>
  <c r="J41" i="16"/>
  <c r="J493" i="16"/>
  <c r="J358" i="16"/>
  <c r="J230" i="16"/>
  <c r="J78" i="16"/>
  <c r="J611" i="16"/>
  <c r="J517" i="16"/>
  <c r="J453" i="16"/>
  <c r="J405" i="16"/>
  <c r="J373" i="16"/>
  <c r="J341" i="16"/>
  <c r="J309" i="16"/>
  <c r="J277" i="16"/>
  <c r="J245" i="16"/>
  <c r="J213" i="16"/>
  <c r="J181" i="16"/>
  <c r="J149" i="16"/>
  <c r="J119" i="16"/>
  <c r="J101" i="16"/>
  <c r="J84" i="16"/>
  <c r="J70" i="16"/>
  <c r="K70" i="16" s="1"/>
  <c r="J56" i="16"/>
  <c r="J45" i="16"/>
  <c r="J35" i="16"/>
  <c r="J23" i="16"/>
  <c r="J11" i="16"/>
  <c r="J80" i="16"/>
  <c r="J34" i="16"/>
  <c r="J333" i="16"/>
  <c r="J205" i="16"/>
  <c r="J94" i="16"/>
  <c r="J33" i="16"/>
  <c r="J557" i="16"/>
  <c r="J390" i="16"/>
  <c r="J262" i="16"/>
  <c r="J93" i="16"/>
  <c r="J20" i="16"/>
  <c r="J587" i="16"/>
  <c r="J509" i="16"/>
  <c r="J445" i="16"/>
  <c r="J398" i="16"/>
  <c r="J366" i="16"/>
  <c r="J334" i="16"/>
  <c r="J302" i="16"/>
  <c r="J270" i="16"/>
  <c r="J238" i="16"/>
  <c r="J206" i="16"/>
  <c r="J174" i="16"/>
  <c r="J142" i="16"/>
  <c r="J118" i="16"/>
  <c r="J95" i="16"/>
  <c r="J44" i="16"/>
  <c r="J68" i="16"/>
  <c r="J198" i="16"/>
  <c r="J64" i="16"/>
  <c r="E15" i="21"/>
  <c r="D15" i="21"/>
  <c r="V15" i="21"/>
  <c r="X12" i="21"/>
  <c r="X25" i="21" s="1"/>
  <c r="V7" i="21"/>
  <c r="X10" i="21"/>
  <c r="X23" i="21" s="1"/>
  <c r="V14" i="21"/>
  <c r="X9" i="21"/>
  <c r="X22" i="21" s="1"/>
  <c r="X14" i="21"/>
  <c r="X27" i="21" s="1"/>
  <c r="V12" i="21"/>
  <c r="X13" i="21"/>
  <c r="X26" i="21" s="1"/>
  <c r="X3" i="21"/>
  <c r="V4" i="21"/>
  <c r="X4" i="21"/>
  <c r="X7" i="21"/>
  <c r="X20" i="21" s="1"/>
  <c r="V13" i="21"/>
  <c r="X6" i="21"/>
  <c r="X19" i="21" s="1"/>
  <c r="X5" i="21"/>
  <c r="X18" i="21" s="1"/>
  <c r="V11" i="21"/>
  <c r="X11" i="21"/>
  <c r="X24" i="21" s="1"/>
  <c r="V6" i="21"/>
  <c r="V9" i="21"/>
  <c r="X8" i="21"/>
  <c r="X21" i="21" s="1"/>
  <c r="V8" i="21"/>
  <c r="X15" i="21"/>
  <c r="X28" i="21" s="1"/>
  <c r="V3" i="21"/>
  <c r="V5" i="21"/>
  <c r="V10" i="21"/>
  <c r="K277" i="16" l="1"/>
  <c r="K68" i="16"/>
  <c r="K333" i="16"/>
  <c r="E511" i="16"/>
  <c r="E399" i="16"/>
  <c r="E383" i="16"/>
  <c r="E247" i="16"/>
  <c r="E495" i="16"/>
  <c r="E207" i="16"/>
  <c r="E359" i="16"/>
  <c r="E287" i="16"/>
  <c r="E535" i="16"/>
  <c r="E335" i="16"/>
  <c r="E455" i="16"/>
  <c r="E191" i="16"/>
  <c r="E463" i="16"/>
  <c r="E375" i="16"/>
  <c r="E623" i="16"/>
  <c r="E239" i="16"/>
  <c r="E487" i="16"/>
  <c r="E527" i="16"/>
  <c r="E415" i="16"/>
  <c r="E575" i="16"/>
  <c r="E279" i="16"/>
  <c r="E614" i="16"/>
  <c r="E566" i="16"/>
  <c r="E518" i="16"/>
  <c r="E470" i="16"/>
  <c r="E422" i="16"/>
  <c r="E374" i="16"/>
  <c r="E326" i="16"/>
  <c r="E278" i="16"/>
  <c r="E230" i="16"/>
  <c r="E182" i="16"/>
  <c r="E134" i="16"/>
  <c r="E86" i="16"/>
  <c r="E38" i="16"/>
  <c r="E629" i="16"/>
  <c r="E581" i="16"/>
  <c r="E533" i="16"/>
  <c r="E485" i="16"/>
  <c r="E437" i="16"/>
  <c r="E389" i="16"/>
  <c r="E341" i="16"/>
  <c r="E293" i="16"/>
  <c r="E245" i="16"/>
  <c r="E197" i="16"/>
  <c r="E149" i="16"/>
  <c r="E101" i="16"/>
  <c r="E53" i="16"/>
  <c r="E628" i="16"/>
  <c r="E580" i="16"/>
  <c r="E532" i="16"/>
  <c r="E484" i="16"/>
  <c r="E436" i="16"/>
  <c r="E388" i="16"/>
  <c r="E340" i="16"/>
  <c r="E292" i="16"/>
  <c r="E244" i="16"/>
  <c r="E196" i="16"/>
  <c r="E148" i="16"/>
  <c r="E100" i="16"/>
  <c r="E52" i="16"/>
  <c r="E627" i="16"/>
  <c r="E579" i="16"/>
  <c r="E531" i="16"/>
  <c r="E483" i="16"/>
  <c r="E435" i="16"/>
  <c r="E387" i="16"/>
  <c r="E339" i="16"/>
  <c r="E291" i="16"/>
  <c r="E243" i="16"/>
  <c r="E195" i="16"/>
  <c r="E147" i="16"/>
  <c r="E99" i="16"/>
  <c r="E51" i="16"/>
  <c r="E586" i="16"/>
  <c r="E538" i="16"/>
  <c r="E490" i="16"/>
  <c r="E442" i="16"/>
  <c r="E394" i="16"/>
  <c r="E346" i="16"/>
  <c r="E298" i="16"/>
  <c r="E250" i="16"/>
  <c r="E202" i="16"/>
  <c r="E154" i="16"/>
  <c r="E106" i="16"/>
  <c r="E58" i="16"/>
  <c r="E609" i="16"/>
  <c r="E561" i="16"/>
  <c r="E513" i="16"/>
  <c r="E465" i="16"/>
  <c r="E417" i="16"/>
  <c r="E369" i="16"/>
  <c r="E321" i="16"/>
  <c r="E273" i="16"/>
  <c r="E225" i="16"/>
  <c r="E177" i="16"/>
  <c r="E129" i="16"/>
  <c r="E81" i="16"/>
  <c r="E447" i="16"/>
  <c r="E263" i="16"/>
  <c r="E311" i="16"/>
  <c r="E559" i="16"/>
  <c r="E175" i="16"/>
  <c r="E423" i="16"/>
  <c r="E519" i="16"/>
  <c r="E351" i="16"/>
  <c r="E599" i="16"/>
  <c r="E215" i="16"/>
  <c r="E621" i="16"/>
  <c r="E573" i="16"/>
  <c r="E525" i="16"/>
  <c r="E477" i="16"/>
  <c r="E429" i="16"/>
  <c r="E381" i="16"/>
  <c r="E333" i="16"/>
  <c r="E285" i="16"/>
  <c r="E237" i="16"/>
  <c r="E189" i="16"/>
  <c r="E141" i="16"/>
  <c r="E93" i="16"/>
  <c r="E45" i="16"/>
  <c r="E620" i="16"/>
  <c r="E572" i="16"/>
  <c r="E524" i="16"/>
  <c r="E476" i="16"/>
  <c r="E428" i="16"/>
  <c r="E380" i="16"/>
  <c r="E332" i="16"/>
  <c r="E284" i="16"/>
  <c r="E236" i="16"/>
  <c r="E188" i="16"/>
  <c r="E140" i="16"/>
  <c r="E92" i="16"/>
  <c r="E44" i="16"/>
  <c r="E619" i="16"/>
  <c r="E571" i="16"/>
  <c r="E523" i="16"/>
  <c r="E475" i="16"/>
  <c r="E427" i="16"/>
  <c r="E379" i="16"/>
  <c r="E331" i="16"/>
  <c r="E283" i="16"/>
  <c r="E235" i="16"/>
  <c r="E187" i="16"/>
  <c r="E139" i="16"/>
  <c r="E91" i="16"/>
  <c r="E43" i="16"/>
  <c r="E626" i="16"/>
  <c r="E578" i="16"/>
  <c r="E530" i="16"/>
  <c r="E482" i="16"/>
  <c r="E434" i="16"/>
  <c r="E386" i="16"/>
  <c r="E338" i="16"/>
  <c r="E290" i="16"/>
  <c r="E242" i="16"/>
  <c r="E194" i="16"/>
  <c r="E146" i="16"/>
  <c r="E98" i="16"/>
  <c r="E50" i="16"/>
  <c r="E601" i="16"/>
  <c r="E553" i="16"/>
  <c r="E505" i="16"/>
  <c r="E457" i="16"/>
  <c r="E409" i="16"/>
  <c r="E361" i="16"/>
  <c r="E119" i="16"/>
  <c r="E598" i="16"/>
  <c r="E550" i="16"/>
  <c r="E502" i="16"/>
  <c r="E454" i="16"/>
  <c r="E406" i="16"/>
  <c r="E358" i="16"/>
  <c r="E310" i="16"/>
  <c r="E262" i="16"/>
  <c r="E214" i="16"/>
  <c r="E166" i="16"/>
  <c r="E118" i="16"/>
  <c r="E70" i="16"/>
  <c r="E143" i="16"/>
  <c r="E613" i="16"/>
  <c r="E565" i="16"/>
  <c r="E517" i="16"/>
  <c r="E469" i="16"/>
  <c r="E421" i="16"/>
  <c r="E373" i="16"/>
  <c r="E325" i="16"/>
  <c r="E277" i="16"/>
  <c r="E229" i="16"/>
  <c r="E181" i="16"/>
  <c r="E133" i="16"/>
  <c r="E85" i="16"/>
  <c r="E37" i="16"/>
  <c r="E612" i="16"/>
  <c r="E564" i="16"/>
  <c r="E516" i="16"/>
  <c r="E468" i="16"/>
  <c r="E420" i="16"/>
  <c r="E372" i="16"/>
  <c r="E324" i="16"/>
  <c r="E276" i="16"/>
  <c r="E228" i="16"/>
  <c r="E180" i="16"/>
  <c r="E132" i="16"/>
  <c r="E84" i="16"/>
  <c r="E36" i="16"/>
  <c r="E611" i="16"/>
  <c r="E563" i="16"/>
  <c r="E515" i="16"/>
  <c r="E467" i="16"/>
  <c r="E419" i="16"/>
  <c r="E371" i="16"/>
  <c r="E323" i="16"/>
  <c r="E275" i="16"/>
  <c r="E227" i="16"/>
  <c r="E179" i="16"/>
  <c r="E131" i="16"/>
  <c r="E83" i="16"/>
  <c r="E35" i="16"/>
  <c r="E593" i="16"/>
  <c r="E545" i="16"/>
  <c r="E497" i="16"/>
  <c r="E449" i="16"/>
  <c r="E401" i="16"/>
  <c r="E353" i="16"/>
  <c r="E305" i="16"/>
  <c r="E257" i="16"/>
  <c r="E209" i="16"/>
  <c r="E161" i="16"/>
  <c r="E113" i="16"/>
  <c r="E65" i="16"/>
  <c r="E79" i="16"/>
  <c r="E600" i="16"/>
  <c r="E552" i="16"/>
  <c r="E504" i="16"/>
  <c r="E456" i="16"/>
  <c r="E408" i="16"/>
  <c r="E360" i="16"/>
  <c r="E312" i="16"/>
  <c r="E264" i="16"/>
  <c r="E216" i="16"/>
  <c r="E168" i="16"/>
  <c r="E120" i="16"/>
  <c r="E72" i="16"/>
  <c r="E255" i="16"/>
  <c r="E503" i="16"/>
  <c r="E271" i="16"/>
  <c r="E367" i="16"/>
  <c r="E615" i="16"/>
  <c r="E231" i="16"/>
  <c r="E543" i="16"/>
  <c r="E591" i="16"/>
  <c r="E407" i="16"/>
  <c r="E47" i="16"/>
  <c r="E597" i="16"/>
  <c r="E549" i="16"/>
  <c r="E501" i="16"/>
  <c r="E453" i="16"/>
  <c r="E405" i="16"/>
  <c r="E357" i="16"/>
  <c r="E309" i="16"/>
  <c r="E261" i="16"/>
  <c r="E213" i="16"/>
  <c r="E165" i="16"/>
  <c r="E117" i="16"/>
  <c r="E69" i="16"/>
  <c r="E87" i="16"/>
  <c r="E596" i="16"/>
  <c r="E548" i="16"/>
  <c r="E500" i="16"/>
  <c r="E452" i="16"/>
  <c r="E404" i="16"/>
  <c r="E356" i="16"/>
  <c r="E308" i="16"/>
  <c r="E260" i="16"/>
  <c r="E212" i="16"/>
  <c r="E164" i="16"/>
  <c r="E116" i="16"/>
  <c r="E68" i="16"/>
  <c r="E103" i="16"/>
  <c r="E595" i="16"/>
  <c r="E547" i="16"/>
  <c r="E499" i="16"/>
  <c r="E451" i="16"/>
  <c r="E403" i="16"/>
  <c r="E355" i="16"/>
  <c r="E307" i="16"/>
  <c r="E259" i="16"/>
  <c r="E211" i="16"/>
  <c r="E163" i="16"/>
  <c r="E115" i="16"/>
  <c r="E67" i="16"/>
  <c r="E55" i="16"/>
  <c r="E602" i="16"/>
  <c r="E554" i="16"/>
  <c r="E506" i="16"/>
  <c r="E458" i="16"/>
  <c r="E410" i="16"/>
  <c r="E362" i="16"/>
  <c r="E314" i="16"/>
  <c r="E266" i="16"/>
  <c r="E218" i="16"/>
  <c r="E170" i="16"/>
  <c r="E439" i="16"/>
  <c r="E391" i="16"/>
  <c r="E303" i="16"/>
  <c r="E551" i="16"/>
  <c r="E167" i="16"/>
  <c r="E479" i="16"/>
  <c r="E583" i="16"/>
  <c r="E343" i="16"/>
  <c r="E622" i="16"/>
  <c r="E574" i="16"/>
  <c r="E526" i="16"/>
  <c r="E478" i="16"/>
  <c r="E430" i="16"/>
  <c r="E382" i="16"/>
  <c r="E334" i="16"/>
  <c r="E286" i="16"/>
  <c r="E238" i="16"/>
  <c r="E190" i="16"/>
  <c r="E142" i="16"/>
  <c r="E94" i="16"/>
  <c r="E46" i="16"/>
  <c r="E589" i="16"/>
  <c r="E541" i="16"/>
  <c r="E493" i="16"/>
  <c r="E445" i="16"/>
  <c r="E397" i="16"/>
  <c r="E349" i="16"/>
  <c r="E301" i="16"/>
  <c r="E253" i="16"/>
  <c r="E205" i="16"/>
  <c r="E157" i="16"/>
  <c r="E109" i="16"/>
  <c r="E61" i="16"/>
  <c r="E63" i="16"/>
  <c r="E588" i="16"/>
  <c r="E540" i="16"/>
  <c r="E492" i="16"/>
  <c r="E444" i="16"/>
  <c r="E396" i="16"/>
  <c r="E348" i="16"/>
  <c r="E300" i="16"/>
  <c r="E252" i="16"/>
  <c r="E204" i="16"/>
  <c r="E156" i="16"/>
  <c r="E108" i="16"/>
  <c r="E60" i="16"/>
  <c r="E39" i="16"/>
  <c r="E587" i="16"/>
  <c r="E539" i="16"/>
  <c r="E491" i="16"/>
  <c r="E443" i="16"/>
  <c r="E395" i="16"/>
  <c r="E347" i="16"/>
  <c r="E299" i="16"/>
  <c r="E251" i="16"/>
  <c r="E203" i="16"/>
  <c r="E155" i="16"/>
  <c r="E107" i="16"/>
  <c r="E59" i="16"/>
  <c r="E71" i="16"/>
  <c r="E617" i="16"/>
  <c r="E569" i="16"/>
  <c r="E521" i="16"/>
  <c r="E473" i="16"/>
  <c r="E425" i="16"/>
  <c r="E377" i="16"/>
  <c r="E329" i="16"/>
  <c r="E281" i="16"/>
  <c r="E233" i="16"/>
  <c r="E185" i="16"/>
  <c r="E137" i="16"/>
  <c r="E89" i="16"/>
  <c r="E33" i="16"/>
  <c r="P17" i="16"/>
  <c r="E41" i="16"/>
  <c r="J17" i="16"/>
  <c r="E616" i="16"/>
  <c r="E568" i="16"/>
  <c r="E520" i="16"/>
  <c r="E472" i="16"/>
  <c r="E424" i="16"/>
  <c r="E376" i="16"/>
  <c r="E328" i="16"/>
  <c r="E280" i="16"/>
  <c r="E232" i="16"/>
  <c r="E184" i="16"/>
  <c r="E136" i="16"/>
  <c r="E88" i="16"/>
  <c r="E40" i="16"/>
  <c r="E624" i="16"/>
  <c r="E576" i="16"/>
  <c r="E528" i="16"/>
  <c r="E480" i="16"/>
  <c r="E432" i="16"/>
  <c r="E384" i="16"/>
  <c r="E336" i="16"/>
  <c r="E288" i="16"/>
  <c r="E240" i="16"/>
  <c r="E192" i="16"/>
  <c r="E144" i="16"/>
  <c r="E96" i="16"/>
  <c r="E48" i="16"/>
  <c r="E313" i="16"/>
  <c r="E265" i="16"/>
  <c r="E217" i="16"/>
  <c r="E169" i="16"/>
  <c r="E121" i="16"/>
  <c r="E73" i="16"/>
  <c r="E127" i="16"/>
  <c r="E608" i="16"/>
  <c r="E560" i="16"/>
  <c r="E512" i="16"/>
  <c r="E464" i="16"/>
  <c r="E416" i="16"/>
  <c r="E368" i="16"/>
  <c r="E320" i="16"/>
  <c r="E272" i="16"/>
  <c r="E224" i="16"/>
  <c r="E176" i="16"/>
  <c r="E128" i="16"/>
  <c r="E80" i="16"/>
  <c r="E32" i="16"/>
  <c r="E122" i="16"/>
  <c r="E74" i="16"/>
  <c r="E135" i="16"/>
  <c r="E625" i="16"/>
  <c r="E577" i="16"/>
  <c r="E529" i="16"/>
  <c r="E481" i="16"/>
  <c r="E433" i="16"/>
  <c r="E385" i="16"/>
  <c r="E337" i="16"/>
  <c r="E289" i="16"/>
  <c r="E241" i="16"/>
  <c r="E193" i="16"/>
  <c r="E145" i="16"/>
  <c r="E97" i="16"/>
  <c r="E49" i="16"/>
  <c r="E584" i="16"/>
  <c r="E536" i="16"/>
  <c r="E488" i="16"/>
  <c r="E440" i="16"/>
  <c r="E392" i="16"/>
  <c r="E344" i="16"/>
  <c r="E296" i="16"/>
  <c r="E248" i="16"/>
  <c r="E200" i="16"/>
  <c r="E152" i="16"/>
  <c r="E104" i="16"/>
  <c r="E56" i="16"/>
  <c r="K93" i="16"/>
  <c r="K230" i="16"/>
  <c r="K95" i="16"/>
  <c r="K101" i="16"/>
  <c r="K374" i="16"/>
  <c r="K72" i="16"/>
  <c r="K134" i="16"/>
  <c r="K569" i="16"/>
  <c r="K254" i="16"/>
  <c r="K77" i="16"/>
  <c r="K430" i="16"/>
  <c r="K231" i="16"/>
  <c r="K359" i="16"/>
  <c r="K487" i="16"/>
  <c r="K120" i="16"/>
  <c r="K248" i="16"/>
  <c r="Q21" i="16"/>
  <c r="K84" i="16"/>
  <c r="K262" i="16"/>
  <c r="K358" i="16"/>
  <c r="K125" i="16"/>
  <c r="K269" i="16"/>
  <c r="K285" i="16"/>
  <c r="K62" i="16"/>
  <c r="K32" i="16"/>
  <c r="K293" i="16"/>
  <c r="K494" i="16"/>
  <c r="K167" i="16"/>
  <c r="K295" i="16"/>
  <c r="K423" i="16"/>
  <c r="K551" i="16"/>
  <c r="K184" i="16"/>
  <c r="K118" i="16"/>
  <c r="K119" i="16"/>
  <c r="K373" i="16"/>
  <c r="K493" i="16"/>
  <c r="K406" i="16"/>
  <c r="K397" i="16"/>
  <c r="K86" i="16"/>
  <c r="K317" i="16"/>
  <c r="K326" i="16"/>
  <c r="K76" i="16"/>
  <c r="K286" i="16"/>
  <c r="K111" i="16"/>
  <c r="K88" i="16"/>
  <c r="K325" i="16"/>
  <c r="K502" i="16"/>
  <c r="K175" i="16"/>
  <c r="K239" i="16"/>
  <c r="K303" i="16"/>
  <c r="K367" i="16"/>
  <c r="K431" i="16"/>
  <c r="K495" i="16"/>
  <c r="K559" i="16"/>
  <c r="K128" i="16"/>
  <c r="K192" i="16"/>
  <c r="K256" i="16"/>
  <c r="K320" i="16"/>
  <c r="K384" i="16"/>
  <c r="K448" i="16"/>
  <c r="K512" i="16"/>
  <c r="K595" i="16"/>
  <c r="E64" i="16"/>
  <c r="Q22" i="16"/>
  <c r="K34" i="16"/>
  <c r="K80" i="16"/>
  <c r="K142" i="16"/>
  <c r="K398" i="16"/>
  <c r="K557" i="16"/>
  <c r="K149" i="16"/>
  <c r="K405" i="16"/>
  <c r="K41" i="16"/>
  <c r="Q23" i="16"/>
  <c r="K309" i="16"/>
  <c r="K334" i="16"/>
  <c r="K445" i="16"/>
  <c r="K33" i="16"/>
  <c r="K35" i="16"/>
  <c r="K181" i="16"/>
  <c r="K453" i="16"/>
  <c r="K117" i="16"/>
  <c r="K46" i="16"/>
  <c r="K214" i="16"/>
  <c r="K525" i="16"/>
  <c r="K381" i="16"/>
  <c r="K109" i="16"/>
  <c r="K350" i="16"/>
  <c r="K133" i="16"/>
  <c r="K389" i="16"/>
  <c r="K454" i="16"/>
  <c r="K518" i="16"/>
  <c r="K612" i="16"/>
  <c r="K191" i="16"/>
  <c r="K255" i="16"/>
  <c r="K319" i="16"/>
  <c r="K383" i="16"/>
  <c r="K447" i="16"/>
  <c r="K511" i="16"/>
  <c r="K593" i="16"/>
  <c r="K302" i="16"/>
  <c r="K341" i="16"/>
  <c r="K64" i="16"/>
  <c r="K206" i="16"/>
  <c r="K509" i="16"/>
  <c r="K94" i="16"/>
  <c r="K45" i="16"/>
  <c r="K213" i="16"/>
  <c r="K517" i="16"/>
  <c r="K237" i="16"/>
  <c r="K60" i="16"/>
  <c r="D17" i="16"/>
  <c r="K44" i="16"/>
  <c r="K55" i="16"/>
  <c r="K238" i="16"/>
  <c r="K587" i="16"/>
  <c r="K205" i="16"/>
  <c r="K56" i="16"/>
  <c r="K245" i="16"/>
  <c r="K611" i="16"/>
  <c r="K365" i="16"/>
  <c r="K71" i="16"/>
  <c r="K278" i="16"/>
  <c r="K166" i="16"/>
  <c r="K37" i="16"/>
  <c r="K189" i="16"/>
  <c r="K469" i="16"/>
  <c r="K173" i="16"/>
  <c r="K158" i="16"/>
  <c r="K39" i="16"/>
  <c r="K197" i="16"/>
  <c r="K485" i="16"/>
  <c r="K470" i="16"/>
  <c r="K143" i="16"/>
  <c r="K207" i="16"/>
  <c r="K271" i="16"/>
  <c r="K335" i="16"/>
  <c r="K399" i="16"/>
  <c r="K463" i="16"/>
  <c r="K527" i="16"/>
  <c r="K96" i="16"/>
  <c r="K160" i="16"/>
  <c r="K224" i="16"/>
  <c r="K288" i="16"/>
  <c r="K352" i="16"/>
  <c r="K416" i="16"/>
  <c r="K480" i="16"/>
  <c r="K544" i="16"/>
  <c r="K65" i="16"/>
  <c r="K129" i="16"/>
  <c r="K193" i="16"/>
  <c r="K257" i="16"/>
  <c r="K321" i="16"/>
  <c r="K385" i="16"/>
  <c r="K449" i="16"/>
  <c r="K513" i="16"/>
  <c r="K596" i="16"/>
  <c r="K154" i="16"/>
  <c r="K218" i="16"/>
  <c r="K346" i="16"/>
  <c r="K410" i="16"/>
  <c r="K538" i="16"/>
  <c r="K51" i="16"/>
  <c r="K115" i="16"/>
  <c r="K179" i="16"/>
  <c r="K243" i="16"/>
  <c r="K307" i="16"/>
  <c r="K371" i="16"/>
  <c r="K435" i="16"/>
  <c r="K499" i="16"/>
  <c r="K563" i="16"/>
  <c r="K132" i="16"/>
  <c r="K196" i="16"/>
  <c r="K260" i="16"/>
  <c r="K324" i="16"/>
  <c r="K388" i="16"/>
  <c r="K452" i="16"/>
  <c r="K516" i="16"/>
  <c r="K604" i="16"/>
  <c r="K621" i="16"/>
  <c r="K614" i="16"/>
  <c r="K615" i="16"/>
  <c r="K616" i="16"/>
  <c r="K602" i="16"/>
  <c r="Q485" i="16"/>
  <c r="Q549" i="16"/>
  <c r="K198" i="16"/>
  <c r="N44" i="16"/>
  <c r="O44" i="16" s="1"/>
  <c r="K30" i="16"/>
  <c r="N30" i="16"/>
  <c r="O30" i="16" s="1"/>
  <c r="K474" i="16"/>
  <c r="N67" i="16"/>
  <c r="O67" i="16" s="1"/>
  <c r="H34" i="16"/>
  <c r="I34" i="16" s="1"/>
  <c r="E78" i="16"/>
  <c r="H57" i="16"/>
  <c r="I57" i="16" s="1"/>
  <c r="E354" i="16"/>
  <c r="Q297" i="16"/>
  <c r="Q185" i="16"/>
  <c r="Q115" i="16"/>
  <c r="Q435" i="16"/>
  <c r="Q627" i="16"/>
  <c r="Q332" i="16"/>
  <c r="Q293" i="16"/>
  <c r="H66" i="16"/>
  <c r="I66" i="16" s="1"/>
  <c r="E462" i="16"/>
  <c r="E270" i="16"/>
  <c r="H50" i="16"/>
  <c r="I50" i="16" s="1"/>
  <c r="E546" i="16"/>
  <c r="H73" i="16"/>
  <c r="I73" i="16" s="1"/>
  <c r="Q321" i="16"/>
  <c r="Q266" i="16"/>
  <c r="Q498" i="16"/>
  <c r="T69" i="16"/>
  <c r="U69" i="16" s="1"/>
  <c r="Q441" i="16"/>
  <c r="Q179" i="16"/>
  <c r="Q499" i="16"/>
  <c r="Q268" i="16"/>
  <c r="Q524" i="16"/>
  <c r="Q37" i="16"/>
  <c r="Q165" i="16"/>
  <c r="K366" i="16"/>
  <c r="N58" i="16"/>
  <c r="O58" i="16" s="1"/>
  <c r="K534" i="16"/>
  <c r="N72" i="16"/>
  <c r="O72" i="16" s="1"/>
  <c r="Q322" i="16"/>
  <c r="Q241" i="16"/>
  <c r="Q154" i="16"/>
  <c r="Q307" i="16"/>
  <c r="Q76" i="16"/>
  <c r="Q396" i="16"/>
  <c r="Q421" i="16"/>
  <c r="J13" i="16"/>
  <c r="J14" i="16"/>
  <c r="C9" i="21" s="1"/>
  <c r="C10" i="21" s="1"/>
  <c r="K150" i="16"/>
  <c r="N40" i="16"/>
  <c r="O40" i="16" s="1"/>
  <c r="K414" i="16"/>
  <c r="N62" i="16"/>
  <c r="O62" i="16" s="1"/>
  <c r="K90" i="16"/>
  <c r="N35" i="16"/>
  <c r="O35" i="16" s="1"/>
  <c r="E162" i="16"/>
  <c r="H41" i="16"/>
  <c r="I41" i="16" s="1"/>
  <c r="Q66" i="16"/>
  <c r="T33" i="16"/>
  <c r="U33" i="16" s="1"/>
  <c r="Q610" i="16"/>
  <c r="Q210" i="16"/>
  <c r="T45" i="16"/>
  <c r="U45" i="16" s="1"/>
  <c r="Q410" i="16"/>
  <c r="Q243" i="16"/>
  <c r="Q563" i="16"/>
  <c r="Q204" i="16"/>
  <c r="Q588" i="16"/>
  <c r="Q101" i="16"/>
  <c r="Q229" i="16"/>
  <c r="K282" i="16"/>
  <c r="N51" i="16"/>
  <c r="O51" i="16" s="1"/>
  <c r="Q41" i="16"/>
  <c r="Q554" i="16"/>
  <c r="Q466" i="16"/>
  <c r="Q51" i="16"/>
  <c r="Q371" i="16"/>
  <c r="Q140" i="16"/>
  <c r="Q460" i="16"/>
  <c r="Q357" i="16"/>
  <c r="K390" i="16"/>
  <c r="N60" i="16"/>
  <c r="O60" i="16" s="1"/>
  <c r="Q613" i="16"/>
  <c r="Q62" i="16"/>
  <c r="Q126" i="16"/>
  <c r="T38" i="16"/>
  <c r="U38" i="16" s="1"/>
  <c r="Q190" i="16"/>
  <c r="Q254" i="16"/>
  <c r="Q318" i="16"/>
  <c r="T54" i="16"/>
  <c r="U54" i="16" s="1"/>
  <c r="Q382" i="16"/>
  <c r="Q446" i="16"/>
  <c r="Q510" i="16"/>
  <c r="T70" i="16"/>
  <c r="U70" i="16" s="1"/>
  <c r="Q574" i="16"/>
  <c r="Q31" i="16"/>
  <c r="Q95" i="16"/>
  <c r="Q159" i="16"/>
  <c r="Q223" i="16"/>
  <c r="Q287" i="16"/>
  <c r="Q351" i="16"/>
  <c r="Q415" i="16"/>
  <c r="Q479" i="16"/>
  <c r="Q543" i="16"/>
  <c r="Q607" i="16"/>
  <c r="Q64" i="16"/>
  <c r="Q128" i="16"/>
  <c r="Q192" i="16"/>
  <c r="Q256" i="16"/>
  <c r="Q320" i="16"/>
  <c r="Q384" i="16"/>
  <c r="Q448" i="16"/>
  <c r="Q512" i="16"/>
  <c r="Q576" i="16"/>
  <c r="Q505" i="16"/>
  <c r="Q569" i="16"/>
  <c r="K270" i="16"/>
  <c r="N50" i="16"/>
  <c r="O50" i="16" s="1"/>
  <c r="K20" i="16"/>
  <c r="K78" i="16"/>
  <c r="N34" i="16"/>
  <c r="O34" i="16" s="1"/>
  <c r="K85" i="16"/>
  <c r="K310" i="16"/>
  <c r="K54" i="16"/>
  <c r="N32" i="16"/>
  <c r="O32" i="16" s="1"/>
  <c r="K47" i="16"/>
  <c r="K221" i="16"/>
  <c r="K533" i="16"/>
  <c r="K301" i="16"/>
  <c r="K38" i="16"/>
  <c r="K190" i="16"/>
  <c r="K477" i="16"/>
  <c r="K52" i="16"/>
  <c r="K229" i="16"/>
  <c r="K549" i="16"/>
  <c r="K478" i="16"/>
  <c r="K542" i="16"/>
  <c r="K151" i="16"/>
  <c r="K215" i="16"/>
  <c r="K279" i="16"/>
  <c r="K343" i="16"/>
  <c r="K407" i="16"/>
  <c r="K471" i="16"/>
  <c r="K535" i="16"/>
  <c r="K104" i="16"/>
  <c r="K168" i="16"/>
  <c r="K232" i="16"/>
  <c r="K296" i="16"/>
  <c r="K360" i="16"/>
  <c r="K424" i="16"/>
  <c r="K488" i="16"/>
  <c r="K552" i="16"/>
  <c r="K73" i="16"/>
  <c r="K137" i="16"/>
  <c r="K201" i="16"/>
  <c r="K265" i="16"/>
  <c r="K329" i="16"/>
  <c r="K393" i="16"/>
  <c r="K457" i="16"/>
  <c r="K521" i="16"/>
  <c r="K627" i="16"/>
  <c r="K98" i="16"/>
  <c r="K162" i="16"/>
  <c r="N41" i="16"/>
  <c r="O41" i="16" s="1"/>
  <c r="K226" i="16"/>
  <c r="K290" i="16"/>
  <c r="K354" i="16"/>
  <c r="N57" i="16"/>
  <c r="O57" i="16" s="1"/>
  <c r="K418" i="16"/>
  <c r="K482" i="16"/>
  <c r="K546" i="16"/>
  <c r="N73" i="16"/>
  <c r="O73" i="16" s="1"/>
  <c r="K59" i="16"/>
  <c r="K123" i="16"/>
  <c r="K187" i="16"/>
  <c r="K251" i="16"/>
  <c r="K315" i="16"/>
  <c r="K379" i="16"/>
  <c r="K443" i="16"/>
  <c r="K507" i="16"/>
  <c r="K580" i="16"/>
  <c r="K140" i="16"/>
  <c r="K204" i="16"/>
  <c r="K268" i="16"/>
  <c r="K332" i="16"/>
  <c r="K396" i="16"/>
  <c r="K460" i="16"/>
  <c r="K524" i="16"/>
  <c r="K565" i="16"/>
  <c r="K629" i="16"/>
  <c r="K622" i="16"/>
  <c r="K623" i="16"/>
  <c r="K624" i="16"/>
  <c r="K610" i="16"/>
  <c r="H76" i="16"/>
  <c r="I76" i="16" s="1"/>
  <c r="E582" i="16"/>
  <c r="H60" i="16"/>
  <c r="I60" i="16" s="1"/>
  <c r="E390" i="16"/>
  <c r="H44" i="16"/>
  <c r="I44" i="16" s="1"/>
  <c r="E198" i="16"/>
  <c r="H67" i="16"/>
  <c r="I67" i="16" s="1"/>
  <c r="E474" i="16"/>
  <c r="E282" i="16"/>
  <c r="H51" i="16"/>
  <c r="I51" i="16" s="1"/>
  <c r="E90" i="16"/>
  <c r="H35" i="16"/>
  <c r="I35" i="16" s="1"/>
  <c r="Q161" i="16"/>
  <c r="Q449" i="16"/>
  <c r="Q97" i="16"/>
  <c r="Q98" i="16"/>
  <c r="Q354" i="16"/>
  <c r="T57" i="16"/>
  <c r="U57" i="16" s="1"/>
  <c r="Q73" i="16"/>
  <c r="Q329" i="16"/>
  <c r="Q42" i="16"/>
  <c r="T31" i="16"/>
  <c r="U31" i="16" s="1"/>
  <c r="Q298" i="16"/>
  <c r="Q618" i="16"/>
  <c r="T79" i="16"/>
  <c r="U79" i="16" s="1"/>
  <c r="Q273" i="16"/>
  <c r="Q562" i="16"/>
  <c r="Q242" i="16"/>
  <c r="Q506" i="16"/>
  <c r="Q217" i="16"/>
  <c r="Q473" i="16"/>
  <c r="Q186" i="16"/>
  <c r="T43" i="16"/>
  <c r="U43" i="16" s="1"/>
  <c r="Q442" i="16"/>
  <c r="Q59" i="16"/>
  <c r="Q123" i="16"/>
  <c r="Q187" i="16"/>
  <c r="Q251" i="16"/>
  <c r="Q315" i="16"/>
  <c r="Q379" i="16"/>
  <c r="Q443" i="16"/>
  <c r="Q507" i="16"/>
  <c r="Q571" i="16"/>
  <c r="Q84" i="16"/>
  <c r="Q148" i="16"/>
  <c r="Q212" i="16"/>
  <c r="Q276" i="16"/>
  <c r="Q340" i="16"/>
  <c r="Q404" i="16"/>
  <c r="Q468" i="16"/>
  <c r="Q532" i="16"/>
  <c r="Q596" i="16"/>
  <c r="Q45" i="16"/>
  <c r="Q109" i="16"/>
  <c r="Q173" i="16"/>
  <c r="Q237" i="16"/>
  <c r="Q301" i="16"/>
  <c r="Q365" i="16"/>
  <c r="Q429" i="16"/>
  <c r="Q493" i="16"/>
  <c r="Q557" i="16"/>
  <c r="Q621" i="16"/>
  <c r="Q70" i="16"/>
  <c r="Q134" i="16"/>
  <c r="Q198" i="16"/>
  <c r="T44" i="16"/>
  <c r="U44" i="16" s="1"/>
  <c r="Q262" i="16"/>
  <c r="Q326" i="16"/>
  <c r="Q390" i="16"/>
  <c r="T60" i="16"/>
  <c r="U60" i="16" s="1"/>
  <c r="Q454" i="16"/>
  <c r="Q518" i="16"/>
  <c r="Q582" i="16"/>
  <c r="T76" i="16"/>
  <c r="U76" i="16" s="1"/>
  <c r="Q39" i="16"/>
  <c r="Q103" i="16"/>
  <c r="Q167" i="16"/>
  <c r="Q231" i="16"/>
  <c r="Q295" i="16"/>
  <c r="Q359" i="16"/>
  <c r="Q423" i="16"/>
  <c r="Q487" i="16"/>
  <c r="Q551" i="16"/>
  <c r="Q615" i="16"/>
  <c r="Q72" i="16"/>
  <c r="Q136" i="16"/>
  <c r="Q200" i="16"/>
  <c r="Q264" i="16"/>
  <c r="Q328" i="16"/>
  <c r="Q392" i="16"/>
  <c r="Q456" i="16"/>
  <c r="Q520" i="16"/>
  <c r="Q584" i="16"/>
  <c r="Q513" i="16"/>
  <c r="Q577" i="16"/>
  <c r="K102" i="16"/>
  <c r="N36" i="16"/>
  <c r="O36" i="16" s="1"/>
  <c r="K342" i="16"/>
  <c r="N56" i="16"/>
  <c r="O56" i="16" s="1"/>
  <c r="K141" i="16"/>
  <c r="K61" i="16"/>
  <c r="K253" i="16"/>
  <c r="K53" i="16"/>
  <c r="K437" i="16"/>
  <c r="K48" i="16"/>
  <c r="K222" i="16"/>
  <c r="N46" i="16"/>
  <c r="O46" i="16" s="1"/>
  <c r="K541" i="16"/>
  <c r="K63" i="16"/>
  <c r="K261" i="16"/>
  <c r="K422" i="16"/>
  <c r="K486" i="16"/>
  <c r="N68" i="16"/>
  <c r="O68" i="16" s="1"/>
  <c r="K550" i="16"/>
  <c r="K159" i="16"/>
  <c r="K223" i="16"/>
  <c r="K287" i="16"/>
  <c r="K351" i="16"/>
  <c r="K415" i="16"/>
  <c r="K479" i="16"/>
  <c r="K543" i="16"/>
  <c r="K112" i="16"/>
  <c r="K176" i="16"/>
  <c r="K240" i="16"/>
  <c r="K304" i="16"/>
  <c r="K368" i="16"/>
  <c r="K432" i="16"/>
  <c r="K496" i="16"/>
  <c r="K560" i="16"/>
  <c r="K81" i="16"/>
  <c r="K145" i="16"/>
  <c r="K209" i="16"/>
  <c r="K273" i="16"/>
  <c r="K337" i="16"/>
  <c r="K401" i="16"/>
  <c r="K465" i="16"/>
  <c r="K529" i="16"/>
  <c r="K42" i="16"/>
  <c r="N31" i="16"/>
  <c r="O31" i="16" s="1"/>
  <c r="K106" i="16"/>
  <c r="K170" i="16"/>
  <c r="K234" i="16"/>
  <c r="N47" i="16"/>
  <c r="O47" i="16" s="1"/>
  <c r="K298" i="16"/>
  <c r="K362" i="16"/>
  <c r="K426" i="16"/>
  <c r="N63" i="16"/>
  <c r="O63" i="16" s="1"/>
  <c r="K490" i="16"/>
  <c r="K554" i="16"/>
  <c r="K67" i="16"/>
  <c r="K131" i="16"/>
  <c r="K195" i="16"/>
  <c r="K259" i="16"/>
  <c r="K323" i="16"/>
  <c r="K387" i="16"/>
  <c r="K451" i="16"/>
  <c r="K515" i="16"/>
  <c r="K603" i="16"/>
  <c r="K148" i="16"/>
  <c r="K212" i="16"/>
  <c r="K276" i="16"/>
  <c r="K340" i="16"/>
  <c r="K404" i="16"/>
  <c r="K468" i="16"/>
  <c r="K532" i="16"/>
  <c r="K573" i="16"/>
  <c r="K566" i="16"/>
  <c r="K567" i="16"/>
  <c r="K568" i="16"/>
  <c r="K609" i="16"/>
  <c r="K618" i="16"/>
  <c r="N79" i="16"/>
  <c r="O79" i="16" s="1"/>
  <c r="H70" i="16"/>
  <c r="I70" i="16" s="1"/>
  <c r="E510" i="16"/>
  <c r="H54" i="16"/>
  <c r="I54" i="16" s="1"/>
  <c r="E318" i="16"/>
  <c r="H38" i="16"/>
  <c r="I38" i="16" s="1"/>
  <c r="E126" i="16"/>
  <c r="E18" i="16"/>
  <c r="H77" i="16"/>
  <c r="I77" i="16" s="1"/>
  <c r="E594" i="16"/>
  <c r="E402" i="16"/>
  <c r="H61" i="16"/>
  <c r="I61" i="16" s="1"/>
  <c r="E210" i="16"/>
  <c r="H45" i="16"/>
  <c r="I45" i="16" s="1"/>
  <c r="Q33" i="16"/>
  <c r="Q353" i="16"/>
  <c r="Q130" i="16"/>
  <c r="Q386" i="16"/>
  <c r="Q105" i="16"/>
  <c r="Q361" i="16"/>
  <c r="Q74" i="16"/>
  <c r="Q330" i="16"/>
  <c r="T55" i="16"/>
  <c r="U55" i="16" s="1"/>
  <c r="Q49" i="16"/>
  <c r="Q305" i="16"/>
  <c r="Q626" i="16"/>
  <c r="Q274" i="16"/>
  <c r="Q570" i="16"/>
  <c r="T75" i="16"/>
  <c r="U75" i="16" s="1"/>
  <c r="Q249" i="16"/>
  <c r="Q514" i="16"/>
  <c r="Q218" i="16"/>
  <c r="Q474" i="16"/>
  <c r="T67" i="16"/>
  <c r="U67" i="16" s="1"/>
  <c r="Q67" i="16"/>
  <c r="Q131" i="16"/>
  <c r="Q195" i="16"/>
  <c r="Q259" i="16"/>
  <c r="Q323" i="16"/>
  <c r="Q387" i="16"/>
  <c r="Q451" i="16"/>
  <c r="Q515" i="16"/>
  <c r="Q579" i="16"/>
  <c r="Q92" i="16"/>
  <c r="Q156" i="16"/>
  <c r="Q220" i="16"/>
  <c r="Q284" i="16"/>
  <c r="Q348" i="16"/>
  <c r="Q412" i="16"/>
  <c r="Q476" i="16"/>
  <c r="Q540" i="16"/>
  <c r="Q604" i="16"/>
  <c r="Q53" i="16"/>
  <c r="Q117" i="16"/>
  <c r="Q181" i="16"/>
  <c r="Q245" i="16"/>
  <c r="Q309" i="16"/>
  <c r="Q373" i="16"/>
  <c r="Q437" i="16"/>
  <c r="Q501" i="16"/>
  <c r="Q565" i="16"/>
  <c r="Q629" i="16"/>
  <c r="Q78" i="16"/>
  <c r="T34" i="16"/>
  <c r="U34" i="16" s="1"/>
  <c r="Q142" i="16"/>
  <c r="Q206" i="16"/>
  <c r="Q270" i="16"/>
  <c r="T50" i="16"/>
  <c r="U50" i="16" s="1"/>
  <c r="Q334" i="16"/>
  <c r="Q398" i="16"/>
  <c r="Q462" i="16"/>
  <c r="T66" i="16"/>
  <c r="U66" i="16" s="1"/>
  <c r="Q526" i="16"/>
  <c r="Q590" i="16"/>
  <c r="Q47" i="16"/>
  <c r="Q111" i="16"/>
  <c r="Q175" i="16"/>
  <c r="Q239" i="16"/>
  <c r="Q303" i="16"/>
  <c r="Q367" i="16"/>
  <c r="Q431" i="16"/>
  <c r="Q495" i="16"/>
  <c r="Q559" i="16"/>
  <c r="Q623" i="16"/>
  <c r="Q80" i="16"/>
  <c r="Q144" i="16"/>
  <c r="Q208" i="16"/>
  <c r="Q272" i="16"/>
  <c r="Q336" i="16"/>
  <c r="Q400" i="16"/>
  <c r="Q464" i="16"/>
  <c r="Q528" i="16"/>
  <c r="Q592" i="16"/>
  <c r="Q521" i="16"/>
  <c r="Q585" i="16"/>
  <c r="K558" i="16"/>
  <c r="N74" i="16"/>
  <c r="O74" i="16" s="1"/>
  <c r="K312" i="16"/>
  <c r="K376" i="16"/>
  <c r="K440" i="16"/>
  <c r="K504" i="16"/>
  <c r="K572" i="16"/>
  <c r="K89" i="16"/>
  <c r="K153" i="16"/>
  <c r="K217" i="16"/>
  <c r="K281" i="16"/>
  <c r="K345" i="16"/>
  <c r="K409" i="16"/>
  <c r="K473" i="16"/>
  <c r="K537" i="16"/>
  <c r="K50" i="16"/>
  <c r="K114" i="16"/>
  <c r="N37" i="16"/>
  <c r="O37" i="16" s="1"/>
  <c r="K178" i="16"/>
  <c r="K242" i="16"/>
  <c r="K306" i="16"/>
  <c r="N53" i="16"/>
  <c r="O53" i="16" s="1"/>
  <c r="K370" i="16"/>
  <c r="K434" i="16"/>
  <c r="K498" i="16"/>
  <c r="N69" i="16"/>
  <c r="O69" i="16" s="1"/>
  <c r="K562" i="16"/>
  <c r="K75" i="16"/>
  <c r="K139" i="16"/>
  <c r="K203" i="16"/>
  <c r="K267" i="16"/>
  <c r="K331" i="16"/>
  <c r="K395" i="16"/>
  <c r="K459" i="16"/>
  <c r="K523" i="16"/>
  <c r="K92" i="16"/>
  <c r="K156" i="16"/>
  <c r="K220" i="16"/>
  <c r="K284" i="16"/>
  <c r="K348" i="16"/>
  <c r="K412" i="16"/>
  <c r="K476" i="16"/>
  <c r="K540" i="16"/>
  <c r="K581" i="16"/>
  <c r="K574" i="16"/>
  <c r="K575" i="16"/>
  <c r="K576" i="16"/>
  <c r="K617" i="16"/>
  <c r="K626" i="16"/>
  <c r="E29" i="16"/>
  <c r="H13" i="16"/>
  <c r="H10" i="16"/>
  <c r="H29" i="16"/>
  <c r="I29" i="16" s="1"/>
  <c r="E438" i="16"/>
  <c r="H64" i="16"/>
  <c r="I64" i="16" s="1"/>
  <c r="E246" i="16"/>
  <c r="H48" i="16"/>
  <c r="I48" i="16" s="1"/>
  <c r="H32" i="16"/>
  <c r="I32" i="16" s="1"/>
  <c r="E54" i="16"/>
  <c r="H71" i="16"/>
  <c r="I71" i="16" s="1"/>
  <c r="E522" i="16"/>
  <c r="H55" i="16"/>
  <c r="I55" i="16" s="1"/>
  <c r="E330" i="16"/>
  <c r="H39" i="16"/>
  <c r="I39" i="16" s="1"/>
  <c r="E138" i="16"/>
  <c r="Q225" i="16"/>
  <c r="Q289" i="16"/>
  <c r="P14" i="16"/>
  <c r="D9" i="21" s="1"/>
  <c r="D10" i="21" s="1"/>
  <c r="P13" i="16"/>
  <c r="Q162" i="16"/>
  <c r="T41" i="16"/>
  <c r="U41" i="16" s="1"/>
  <c r="Q418" i="16"/>
  <c r="Q137" i="16"/>
  <c r="Q393" i="16"/>
  <c r="Q106" i="16"/>
  <c r="Q362" i="16"/>
  <c r="Q81" i="16"/>
  <c r="Q337" i="16"/>
  <c r="Q50" i="16"/>
  <c r="Q306" i="16"/>
  <c r="T53" i="16"/>
  <c r="U53" i="16" s="1"/>
  <c r="Q281" i="16"/>
  <c r="Q578" i="16"/>
  <c r="Q250" i="16"/>
  <c r="Q522" i="16"/>
  <c r="T71" i="16"/>
  <c r="U71" i="16" s="1"/>
  <c r="Q75" i="16"/>
  <c r="Q139" i="16"/>
  <c r="Q203" i="16"/>
  <c r="Q267" i="16"/>
  <c r="Q331" i="16"/>
  <c r="Q395" i="16"/>
  <c r="Q459" i="16"/>
  <c r="Q523" i="16"/>
  <c r="Q587" i="16"/>
  <c r="Q36" i="16"/>
  <c r="Q100" i="16"/>
  <c r="Q164" i="16"/>
  <c r="Q228" i="16"/>
  <c r="Q292" i="16"/>
  <c r="Q356" i="16"/>
  <c r="Q420" i="16"/>
  <c r="Q484" i="16"/>
  <c r="Q548" i="16"/>
  <c r="Q612" i="16"/>
  <c r="Q61" i="16"/>
  <c r="Q125" i="16"/>
  <c r="Q189" i="16"/>
  <c r="Q253" i="16"/>
  <c r="Q317" i="16"/>
  <c r="Q381" i="16"/>
  <c r="Q445" i="16"/>
  <c r="Q509" i="16"/>
  <c r="Q573" i="16"/>
  <c r="Q18" i="16"/>
  <c r="Q86" i="16"/>
  <c r="Q150" i="16"/>
  <c r="T40" i="16"/>
  <c r="U40" i="16" s="1"/>
  <c r="Q214" i="16"/>
  <c r="Q278" i="16"/>
  <c r="Q342" i="16"/>
  <c r="T56" i="16"/>
  <c r="U56" i="16" s="1"/>
  <c r="Q406" i="16"/>
  <c r="Q470" i="16"/>
  <c r="Q534" i="16"/>
  <c r="T72" i="16"/>
  <c r="U72" i="16" s="1"/>
  <c r="Q598" i="16"/>
  <c r="Q55" i="16"/>
  <c r="Q119" i="16"/>
  <c r="Q183" i="16"/>
  <c r="Q247" i="16"/>
  <c r="Q311" i="16"/>
  <c r="Q375" i="16"/>
  <c r="Q439" i="16"/>
  <c r="Q503" i="16"/>
  <c r="Q567" i="16"/>
  <c r="Q20" i="16"/>
  <c r="Q88" i="16"/>
  <c r="Q152" i="16"/>
  <c r="Q216" i="16"/>
  <c r="Q280" i="16"/>
  <c r="Q344" i="16"/>
  <c r="Q408" i="16"/>
  <c r="Q472" i="16"/>
  <c r="Q536" i="16"/>
  <c r="Q600" i="16"/>
  <c r="Q529" i="16"/>
  <c r="Q593" i="16"/>
  <c r="K97" i="16"/>
  <c r="K161" i="16"/>
  <c r="K225" i="16"/>
  <c r="K289" i="16"/>
  <c r="K353" i="16"/>
  <c r="K417" i="16"/>
  <c r="K481" i="16"/>
  <c r="K545" i="16"/>
  <c r="K58" i="16"/>
  <c r="K122" i="16"/>
  <c r="K186" i="16"/>
  <c r="N43" i="16"/>
  <c r="O43" i="16" s="1"/>
  <c r="K250" i="16"/>
  <c r="K314" i="16"/>
  <c r="K378" i="16"/>
  <c r="N59" i="16"/>
  <c r="O59" i="16" s="1"/>
  <c r="K442" i="16"/>
  <c r="K506" i="16"/>
  <c r="K579" i="16"/>
  <c r="K83" i="16"/>
  <c r="K147" i="16"/>
  <c r="K211" i="16"/>
  <c r="K275" i="16"/>
  <c r="K339" i="16"/>
  <c r="K403" i="16"/>
  <c r="K467" i="16"/>
  <c r="K531" i="16"/>
  <c r="K100" i="16"/>
  <c r="K164" i="16"/>
  <c r="K228" i="16"/>
  <c r="K292" i="16"/>
  <c r="K356" i="16"/>
  <c r="K420" i="16"/>
  <c r="K484" i="16"/>
  <c r="K548" i="16"/>
  <c r="K589" i="16"/>
  <c r="K582" i="16"/>
  <c r="N76" i="16"/>
  <c r="O76" i="16" s="1"/>
  <c r="K583" i="16"/>
  <c r="K584" i="16"/>
  <c r="K625" i="16"/>
  <c r="H74" i="16"/>
  <c r="I74" i="16" s="1"/>
  <c r="E558" i="16"/>
  <c r="H58" i="16"/>
  <c r="I58" i="16" s="1"/>
  <c r="E366" i="16"/>
  <c r="E174" i="16"/>
  <c r="H42" i="16"/>
  <c r="I42" i="16" s="1"/>
  <c r="E20" i="16"/>
  <c r="C22" i="21" s="1"/>
  <c r="H65" i="16"/>
  <c r="I65" i="16" s="1"/>
  <c r="E450" i="16"/>
  <c r="H49" i="16"/>
  <c r="I49" i="16" s="1"/>
  <c r="E258" i="16"/>
  <c r="E66" i="16"/>
  <c r="H33" i="16"/>
  <c r="I33" i="16" s="1"/>
  <c r="E19" i="16"/>
  <c r="Q481" i="16"/>
  <c r="Q594" i="16"/>
  <c r="T77" i="16"/>
  <c r="U77" i="16" s="1"/>
  <c r="Q194" i="16"/>
  <c r="Q450" i="16"/>
  <c r="T65" i="16"/>
  <c r="U65" i="16" s="1"/>
  <c r="Q169" i="16"/>
  <c r="Q425" i="16"/>
  <c r="Q138" i="16"/>
  <c r="T39" i="16"/>
  <c r="U39" i="16" s="1"/>
  <c r="Q394" i="16"/>
  <c r="Q113" i="16"/>
  <c r="Q369" i="16"/>
  <c r="Q82" i="16"/>
  <c r="Q338" i="16"/>
  <c r="Q57" i="16"/>
  <c r="Q313" i="16"/>
  <c r="Q282" i="16"/>
  <c r="T51" i="16"/>
  <c r="U51" i="16" s="1"/>
  <c r="Q586" i="16"/>
  <c r="Q83" i="16"/>
  <c r="Q147" i="16"/>
  <c r="Q211" i="16"/>
  <c r="Q275" i="16"/>
  <c r="Q339" i="16"/>
  <c r="Q403" i="16"/>
  <c r="Q467" i="16"/>
  <c r="Q531" i="16"/>
  <c r="Q595" i="16"/>
  <c r="Q44" i="16"/>
  <c r="Q108" i="16"/>
  <c r="Q172" i="16"/>
  <c r="Q236" i="16"/>
  <c r="Q300" i="16"/>
  <c r="Q364" i="16"/>
  <c r="Q428" i="16"/>
  <c r="Q492" i="16"/>
  <c r="Q556" i="16"/>
  <c r="Q620" i="16"/>
  <c r="Q69" i="16"/>
  <c r="Q133" i="16"/>
  <c r="Q197" i="16"/>
  <c r="Q261" i="16"/>
  <c r="Q325" i="16"/>
  <c r="Q389" i="16"/>
  <c r="Q453" i="16"/>
  <c r="Q517" i="16"/>
  <c r="Q581" i="16"/>
  <c r="Q30" i="16"/>
  <c r="T30" i="16"/>
  <c r="U30" i="16" s="1"/>
  <c r="Q94" i="16"/>
  <c r="Q158" i="16"/>
  <c r="Q222" i="16"/>
  <c r="T46" i="16"/>
  <c r="U46" i="16" s="1"/>
  <c r="Q286" i="16"/>
  <c r="Q350" i="16"/>
  <c r="Q414" i="16"/>
  <c r="T62" i="16"/>
  <c r="U62" i="16" s="1"/>
  <c r="Q478" i="16"/>
  <c r="Q542" i="16"/>
  <c r="Q606" i="16"/>
  <c r="T78" i="16"/>
  <c r="U78" i="16" s="1"/>
  <c r="Q63" i="16"/>
  <c r="Q127" i="16"/>
  <c r="Q191" i="16"/>
  <c r="Q255" i="16"/>
  <c r="Q319" i="16"/>
  <c r="Q383" i="16"/>
  <c r="Q447" i="16"/>
  <c r="Q511" i="16"/>
  <c r="Q575" i="16"/>
  <c r="Q32" i="16"/>
  <c r="Q96" i="16"/>
  <c r="Q160" i="16"/>
  <c r="Q224" i="16"/>
  <c r="Q288" i="16"/>
  <c r="Q352" i="16"/>
  <c r="Q416" i="16"/>
  <c r="Q480" i="16"/>
  <c r="Q544" i="16"/>
  <c r="Q608" i="16"/>
  <c r="Q537" i="16"/>
  <c r="Q601" i="16"/>
  <c r="K22" i="16"/>
  <c r="K438" i="16"/>
  <c r="N64" i="16"/>
  <c r="O64" i="16" s="1"/>
  <c r="K570" i="16"/>
  <c r="N75" i="16"/>
  <c r="O75" i="16" s="1"/>
  <c r="Y7" i="21"/>
  <c r="Y20" i="21" s="1"/>
  <c r="Y5" i="21"/>
  <c r="W5" i="21"/>
  <c r="W7" i="21"/>
  <c r="W10" i="21"/>
  <c r="W15" i="21"/>
  <c r="W4" i="21"/>
  <c r="W11" i="21"/>
  <c r="Y3" i="21"/>
  <c r="W6" i="21"/>
  <c r="W9" i="21"/>
  <c r="Y8" i="21"/>
  <c r="Y21" i="21" s="1"/>
  <c r="W3" i="21"/>
  <c r="W14" i="21"/>
  <c r="W8" i="21"/>
  <c r="W13" i="21"/>
  <c r="W12" i="21"/>
  <c r="Y6" i="21"/>
  <c r="Y19" i="21" s="1"/>
  <c r="Y4" i="21"/>
  <c r="Y9" i="21"/>
  <c r="Y22" i="21" s="1"/>
  <c r="Y10" i="21"/>
  <c r="Y23" i="21" s="1"/>
  <c r="Y11" i="21"/>
  <c r="Y24" i="21" s="1"/>
  <c r="Y12" i="21"/>
  <c r="Y25" i="21" s="1"/>
  <c r="Y13" i="21"/>
  <c r="Y26" i="21" s="1"/>
  <c r="Y14" i="21"/>
  <c r="Y27" i="21" s="1"/>
  <c r="Y15" i="21"/>
  <c r="Y28" i="21" s="1"/>
  <c r="K23" i="16"/>
  <c r="K36" i="16"/>
  <c r="K182" i="16"/>
  <c r="K461" i="16"/>
  <c r="K501" i="16"/>
  <c r="K103" i="16"/>
  <c r="K349" i="16"/>
  <c r="K429" i="16"/>
  <c r="K69" i="16"/>
  <c r="K87" i="16"/>
  <c r="K318" i="16"/>
  <c r="N54" i="16"/>
  <c r="O54" i="16" s="1"/>
  <c r="K294" i="16"/>
  <c r="N52" i="16"/>
  <c r="O52" i="16" s="1"/>
  <c r="K110" i="16"/>
  <c r="K357" i="16"/>
  <c r="K446" i="16"/>
  <c r="K510" i="16"/>
  <c r="N70" i="16"/>
  <c r="O70" i="16" s="1"/>
  <c r="K588" i="16"/>
  <c r="K183" i="16"/>
  <c r="K247" i="16"/>
  <c r="K311" i="16"/>
  <c r="K375" i="16"/>
  <c r="K439" i="16"/>
  <c r="K503" i="16"/>
  <c r="K571" i="16"/>
  <c r="K136" i="16"/>
  <c r="K200" i="16"/>
  <c r="K264" i="16"/>
  <c r="K328" i="16"/>
  <c r="K392" i="16"/>
  <c r="K456" i="16"/>
  <c r="K520" i="16"/>
  <c r="K620" i="16"/>
  <c r="K105" i="16"/>
  <c r="K169" i="16"/>
  <c r="K233" i="16"/>
  <c r="K297" i="16"/>
  <c r="K361" i="16"/>
  <c r="K425" i="16"/>
  <c r="K489" i="16"/>
  <c r="K553" i="16"/>
  <c r="K66" i="16"/>
  <c r="N33" i="16"/>
  <c r="O33" i="16" s="1"/>
  <c r="K130" i="16"/>
  <c r="K194" i="16"/>
  <c r="K258" i="16"/>
  <c r="N49" i="16"/>
  <c r="O49" i="16" s="1"/>
  <c r="K322" i="16"/>
  <c r="K386" i="16"/>
  <c r="K450" i="16"/>
  <c r="N65" i="16"/>
  <c r="O65" i="16" s="1"/>
  <c r="K514" i="16"/>
  <c r="K601" i="16"/>
  <c r="K91" i="16"/>
  <c r="K155" i="16"/>
  <c r="K219" i="16"/>
  <c r="K283" i="16"/>
  <c r="K347" i="16"/>
  <c r="K411" i="16"/>
  <c r="K475" i="16"/>
  <c r="K539" i="16"/>
  <c r="K108" i="16"/>
  <c r="K172" i="16"/>
  <c r="K236" i="16"/>
  <c r="K300" i="16"/>
  <c r="K364" i="16"/>
  <c r="K428" i="16"/>
  <c r="K492" i="16"/>
  <c r="K556" i="16"/>
  <c r="K597" i="16"/>
  <c r="K590" i="16"/>
  <c r="K591" i="16"/>
  <c r="K592" i="16"/>
  <c r="K578" i="16"/>
  <c r="H68" i="16"/>
  <c r="I68" i="16" s="1"/>
  <c r="E486" i="16"/>
  <c r="E294" i="16"/>
  <c r="H52" i="16"/>
  <c r="I52" i="16" s="1"/>
  <c r="E102" i="16"/>
  <c r="H36" i="16"/>
  <c r="I36" i="16" s="1"/>
  <c r="E21" i="16"/>
  <c r="C23" i="21" s="1"/>
  <c r="H75" i="16"/>
  <c r="I75" i="16" s="1"/>
  <c r="E570" i="16"/>
  <c r="E378" i="16"/>
  <c r="H59" i="16"/>
  <c r="I59" i="16" s="1"/>
  <c r="E186" i="16"/>
  <c r="H43" i="16"/>
  <c r="I43" i="16" s="1"/>
  <c r="D14" i="16"/>
  <c r="Q3" i="19" s="1"/>
  <c r="D13" i="16"/>
  <c r="E23" i="16"/>
  <c r="Q193" i="16"/>
  <c r="Q417" i="16"/>
  <c r="Q129" i="16"/>
  <c r="Q226" i="16"/>
  <c r="Q482" i="16"/>
  <c r="Q201" i="16"/>
  <c r="Q457" i="16"/>
  <c r="Q170" i="16"/>
  <c r="Q426" i="16"/>
  <c r="T63" i="16"/>
  <c r="U63" i="16" s="1"/>
  <c r="Q145" i="16"/>
  <c r="Q401" i="16"/>
  <c r="Q114" i="16"/>
  <c r="T37" i="16"/>
  <c r="U37" i="16" s="1"/>
  <c r="Q370" i="16"/>
  <c r="Q89" i="16"/>
  <c r="Q345" i="16"/>
  <c r="Q58" i="16"/>
  <c r="Q314" i="16"/>
  <c r="Q91" i="16"/>
  <c r="Q155" i="16"/>
  <c r="Q219" i="16"/>
  <c r="Q283" i="16"/>
  <c r="Q347" i="16"/>
  <c r="Q411" i="16"/>
  <c r="Q475" i="16"/>
  <c r="Q539" i="16"/>
  <c r="Q603" i="16"/>
  <c r="Q52" i="16"/>
  <c r="Q116" i="16"/>
  <c r="Q180" i="16"/>
  <c r="Q244" i="16"/>
  <c r="Q308" i="16"/>
  <c r="Q372" i="16"/>
  <c r="Q436" i="16"/>
  <c r="Q500" i="16"/>
  <c r="Q564" i="16"/>
  <c r="Q628" i="16"/>
  <c r="Q77" i="16"/>
  <c r="Q141" i="16"/>
  <c r="Q205" i="16"/>
  <c r="Q269" i="16"/>
  <c r="Q333" i="16"/>
  <c r="Q397" i="16"/>
  <c r="Q461" i="16"/>
  <c r="Q525" i="16"/>
  <c r="Q589" i="16"/>
  <c r="Q38" i="16"/>
  <c r="Q102" i="16"/>
  <c r="T36" i="16"/>
  <c r="U36" i="16" s="1"/>
  <c r="Q166" i="16"/>
  <c r="Q230" i="16"/>
  <c r="Q294" i="16"/>
  <c r="T52" i="16"/>
  <c r="U52" i="16" s="1"/>
  <c r="Q358" i="16"/>
  <c r="Q422" i="16"/>
  <c r="Q486" i="16"/>
  <c r="T68" i="16"/>
  <c r="U68" i="16" s="1"/>
  <c r="Q550" i="16"/>
  <c r="Q614" i="16"/>
  <c r="Q71" i="16"/>
  <c r="Q135" i="16"/>
  <c r="Q199" i="16"/>
  <c r="Q263" i="16"/>
  <c r="Q327" i="16"/>
  <c r="Q391" i="16"/>
  <c r="Q455" i="16"/>
  <c r="Q519" i="16"/>
  <c r="Q583" i="16"/>
  <c r="Q40" i="16"/>
  <c r="Q104" i="16"/>
  <c r="Q168" i="16"/>
  <c r="Q232" i="16"/>
  <c r="Q296" i="16"/>
  <c r="Q360" i="16"/>
  <c r="Q424" i="16"/>
  <c r="Q488" i="16"/>
  <c r="Q552" i="16"/>
  <c r="Q616" i="16"/>
  <c r="Q545" i="16"/>
  <c r="Q609" i="16"/>
  <c r="K144" i="16"/>
  <c r="K208" i="16"/>
  <c r="K272" i="16"/>
  <c r="K336" i="16"/>
  <c r="K400" i="16"/>
  <c r="K464" i="16"/>
  <c r="K528" i="16"/>
  <c r="K49" i="16"/>
  <c r="K113" i="16"/>
  <c r="K177" i="16"/>
  <c r="K241" i="16"/>
  <c r="K305" i="16"/>
  <c r="K369" i="16"/>
  <c r="K433" i="16"/>
  <c r="K497" i="16"/>
  <c r="K561" i="16"/>
  <c r="K74" i="16"/>
  <c r="K138" i="16"/>
  <c r="N39" i="16"/>
  <c r="O39" i="16" s="1"/>
  <c r="K202" i="16"/>
  <c r="K266" i="16"/>
  <c r="K330" i="16"/>
  <c r="N55" i="16"/>
  <c r="O55" i="16" s="1"/>
  <c r="K394" i="16"/>
  <c r="K458" i="16"/>
  <c r="K522" i="16"/>
  <c r="N71" i="16"/>
  <c r="O71" i="16" s="1"/>
  <c r="K628" i="16"/>
  <c r="K99" i="16"/>
  <c r="K163" i="16"/>
  <c r="K227" i="16"/>
  <c r="K291" i="16"/>
  <c r="K355" i="16"/>
  <c r="K419" i="16"/>
  <c r="K483" i="16"/>
  <c r="K547" i="16"/>
  <c r="K116" i="16"/>
  <c r="K180" i="16"/>
  <c r="K244" i="16"/>
  <c r="K308" i="16"/>
  <c r="K372" i="16"/>
  <c r="K436" i="16"/>
  <c r="K500" i="16"/>
  <c r="K564" i="16"/>
  <c r="K605" i="16"/>
  <c r="K598" i="16"/>
  <c r="K599" i="16"/>
  <c r="K600" i="16"/>
  <c r="K586" i="16"/>
  <c r="E606" i="16"/>
  <c r="H78" i="16"/>
  <c r="I78" i="16" s="1"/>
  <c r="H62" i="16"/>
  <c r="I62" i="16" s="1"/>
  <c r="E414" i="16"/>
  <c r="H46" i="16"/>
  <c r="I46" i="16" s="1"/>
  <c r="E222" i="16"/>
  <c r="H30" i="16"/>
  <c r="I30" i="16" s="1"/>
  <c r="E30" i="16"/>
  <c r="H69" i="16"/>
  <c r="I69" i="16" s="1"/>
  <c r="E498" i="16"/>
  <c r="H53" i="16"/>
  <c r="I53" i="16" s="1"/>
  <c r="E306" i="16"/>
  <c r="H37" i="16"/>
  <c r="I37" i="16" s="1"/>
  <c r="E114" i="16"/>
  <c r="E22" i="16"/>
  <c r="C24" i="21" s="1"/>
  <c r="Q257" i="16"/>
  <c r="Q385" i="16"/>
  <c r="Q258" i="16"/>
  <c r="T49" i="16"/>
  <c r="U49" i="16" s="1"/>
  <c r="Q538" i="16"/>
  <c r="Q233" i="16"/>
  <c r="Q489" i="16"/>
  <c r="Q202" i="16"/>
  <c r="Q458" i="16"/>
  <c r="Q177" i="16"/>
  <c r="Q433" i="16"/>
  <c r="Q146" i="16"/>
  <c r="Q402" i="16"/>
  <c r="T61" i="16"/>
  <c r="U61" i="16" s="1"/>
  <c r="Q121" i="16"/>
  <c r="Q377" i="16"/>
  <c r="Q90" i="16"/>
  <c r="T35" i="16"/>
  <c r="U35" i="16" s="1"/>
  <c r="Q346" i="16"/>
  <c r="Q35" i="16"/>
  <c r="Q99" i="16"/>
  <c r="Q163" i="16"/>
  <c r="Q227" i="16"/>
  <c r="Q291" i="16"/>
  <c r="Q355" i="16"/>
  <c r="Q419" i="16"/>
  <c r="Q483" i="16"/>
  <c r="Q547" i="16"/>
  <c r="Q611" i="16"/>
  <c r="Q60" i="16"/>
  <c r="Q124" i="16"/>
  <c r="Q188" i="16"/>
  <c r="Q252" i="16"/>
  <c r="Q316" i="16"/>
  <c r="Q380" i="16"/>
  <c r="Q444" i="16"/>
  <c r="Q508" i="16"/>
  <c r="Q572" i="16"/>
  <c r="Q85" i="16"/>
  <c r="Q149" i="16"/>
  <c r="Q213" i="16"/>
  <c r="Q277" i="16"/>
  <c r="Q341" i="16"/>
  <c r="Q405" i="16"/>
  <c r="Q469" i="16"/>
  <c r="Q533" i="16"/>
  <c r="Q597" i="16"/>
  <c r="Q46" i="16"/>
  <c r="Q110" i="16"/>
  <c r="Q174" i="16"/>
  <c r="T42" i="16"/>
  <c r="U42" i="16" s="1"/>
  <c r="Q238" i="16"/>
  <c r="Q302" i="16"/>
  <c r="Q366" i="16"/>
  <c r="T58" i="16"/>
  <c r="U58" i="16" s="1"/>
  <c r="Q430" i="16"/>
  <c r="Q494" i="16"/>
  <c r="Q558" i="16"/>
  <c r="T74" i="16"/>
  <c r="U74" i="16" s="1"/>
  <c r="Q622" i="16"/>
  <c r="Q79" i="16"/>
  <c r="Q143" i="16"/>
  <c r="Q207" i="16"/>
  <c r="Q271" i="16"/>
  <c r="Q335" i="16"/>
  <c r="Q399" i="16"/>
  <c r="Q463" i="16"/>
  <c r="Q527" i="16"/>
  <c r="Q591" i="16"/>
  <c r="Q48" i="16"/>
  <c r="Q112" i="16"/>
  <c r="Q176" i="16"/>
  <c r="Q240" i="16"/>
  <c r="Q304" i="16"/>
  <c r="Q368" i="16"/>
  <c r="Q432" i="16"/>
  <c r="Q496" i="16"/>
  <c r="Q560" i="16"/>
  <c r="Q624" i="16"/>
  <c r="Q553" i="16"/>
  <c r="Q617" i="16"/>
  <c r="K174" i="16"/>
  <c r="N42" i="16"/>
  <c r="O42" i="16" s="1"/>
  <c r="K126" i="16"/>
  <c r="N38" i="16"/>
  <c r="O38" i="16" s="1"/>
  <c r="K21" i="16"/>
  <c r="K19" i="16"/>
  <c r="K246" i="16"/>
  <c r="N48" i="16"/>
  <c r="O48" i="16" s="1"/>
  <c r="K40" i="16"/>
  <c r="N13" i="16"/>
  <c r="K29" i="16"/>
  <c r="N10" i="16"/>
  <c r="N29" i="16"/>
  <c r="O29" i="16" s="1"/>
  <c r="K157" i="16"/>
  <c r="K413" i="16"/>
  <c r="K79" i="16"/>
  <c r="K18" i="16"/>
  <c r="K127" i="16"/>
  <c r="K382" i="16"/>
  <c r="K31" i="16"/>
  <c r="K165" i="16"/>
  <c r="K421" i="16"/>
  <c r="K462" i="16"/>
  <c r="N66" i="16"/>
  <c r="O66" i="16" s="1"/>
  <c r="K526" i="16"/>
  <c r="K135" i="16"/>
  <c r="K199" i="16"/>
  <c r="K263" i="16"/>
  <c r="K327" i="16"/>
  <c r="K391" i="16"/>
  <c r="K455" i="16"/>
  <c r="K519" i="16"/>
  <c r="K619" i="16"/>
  <c r="K152" i="16"/>
  <c r="K216" i="16"/>
  <c r="K280" i="16"/>
  <c r="K344" i="16"/>
  <c r="K408" i="16"/>
  <c r="K472" i="16"/>
  <c r="K536" i="16"/>
  <c r="K57" i="16"/>
  <c r="K121" i="16"/>
  <c r="K185" i="16"/>
  <c r="K249" i="16"/>
  <c r="K313" i="16"/>
  <c r="K377" i="16"/>
  <c r="K441" i="16"/>
  <c r="K505" i="16"/>
  <c r="K577" i="16"/>
  <c r="K82" i="16"/>
  <c r="K146" i="16"/>
  <c r="K210" i="16"/>
  <c r="N45" i="16"/>
  <c r="O45" i="16" s="1"/>
  <c r="K274" i="16"/>
  <c r="K338" i="16"/>
  <c r="K402" i="16"/>
  <c r="N61" i="16"/>
  <c r="O61" i="16" s="1"/>
  <c r="K466" i="16"/>
  <c r="K530" i="16"/>
  <c r="K43" i="16"/>
  <c r="K107" i="16"/>
  <c r="K171" i="16"/>
  <c r="K235" i="16"/>
  <c r="K299" i="16"/>
  <c r="K363" i="16"/>
  <c r="K427" i="16"/>
  <c r="K491" i="16"/>
  <c r="K555" i="16"/>
  <c r="K124" i="16"/>
  <c r="K188" i="16"/>
  <c r="K252" i="16"/>
  <c r="K316" i="16"/>
  <c r="K380" i="16"/>
  <c r="K444" i="16"/>
  <c r="K508" i="16"/>
  <c r="K585" i="16"/>
  <c r="K613" i="16"/>
  <c r="K606" i="16"/>
  <c r="N78" i="16"/>
  <c r="O78" i="16" s="1"/>
  <c r="K607" i="16"/>
  <c r="K608" i="16"/>
  <c r="K594" i="16"/>
  <c r="N77" i="16"/>
  <c r="O77" i="16" s="1"/>
  <c r="H72" i="16"/>
  <c r="I72" i="16" s="1"/>
  <c r="E534" i="16"/>
  <c r="E342" i="16"/>
  <c r="H56" i="16"/>
  <c r="I56" i="16" s="1"/>
  <c r="H40" i="16"/>
  <c r="I40" i="16" s="1"/>
  <c r="E150" i="16"/>
  <c r="H79" i="16"/>
  <c r="I79" i="16" s="1"/>
  <c r="E618" i="16"/>
  <c r="H63" i="16"/>
  <c r="I63" i="16" s="1"/>
  <c r="E426" i="16"/>
  <c r="H47" i="16"/>
  <c r="I47" i="16" s="1"/>
  <c r="E234" i="16"/>
  <c r="H31" i="16"/>
  <c r="I31" i="16" s="1"/>
  <c r="E42" i="16"/>
  <c r="Q530" i="16"/>
  <c r="Q65" i="16"/>
  <c r="Q34" i="16"/>
  <c r="Q290" i="16"/>
  <c r="Q602" i="16"/>
  <c r="Q265" i="16"/>
  <c r="Q546" i="16"/>
  <c r="T73" i="16"/>
  <c r="U73" i="16" s="1"/>
  <c r="Q234" i="16"/>
  <c r="T47" i="16"/>
  <c r="U47" i="16" s="1"/>
  <c r="Q490" i="16"/>
  <c r="Q209" i="16"/>
  <c r="Q465" i="16"/>
  <c r="Q178" i="16"/>
  <c r="Q434" i="16"/>
  <c r="Q153" i="16"/>
  <c r="Q409" i="16"/>
  <c r="Q122" i="16"/>
  <c r="Q378" i="16"/>
  <c r="T59" i="16"/>
  <c r="U59" i="16" s="1"/>
  <c r="Q43" i="16"/>
  <c r="Q107" i="16"/>
  <c r="Q171" i="16"/>
  <c r="Q235" i="16"/>
  <c r="Q299" i="16"/>
  <c r="Q363" i="16"/>
  <c r="Q427" i="16"/>
  <c r="Q491" i="16"/>
  <c r="Q555" i="16"/>
  <c r="Q619" i="16"/>
  <c r="Q68" i="16"/>
  <c r="Q132" i="16"/>
  <c r="Q196" i="16"/>
  <c r="Q260" i="16"/>
  <c r="Q324" i="16"/>
  <c r="Q388" i="16"/>
  <c r="Q452" i="16"/>
  <c r="Q516" i="16"/>
  <c r="Q580" i="16"/>
  <c r="T10" i="16"/>
  <c r="Q29" i="16"/>
  <c r="T13" i="16"/>
  <c r="T29" i="16"/>
  <c r="U29" i="16" s="1"/>
  <c r="Q93" i="16"/>
  <c r="Q157" i="16"/>
  <c r="Q221" i="16"/>
  <c r="Q285" i="16"/>
  <c r="Q349" i="16"/>
  <c r="Q413" i="16"/>
  <c r="Q477" i="16"/>
  <c r="Q541" i="16"/>
  <c r="Q605" i="16"/>
  <c r="Q54" i="16"/>
  <c r="T32" i="16"/>
  <c r="U32" i="16" s="1"/>
  <c r="Q118" i="16"/>
  <c r="Q182" i="16"/>
  <c r="Q246" i="16"/>
  <c r="T48" i="16"/>
  <c r="U48" i="16" s="1"/>
  <c r="Q310" i="16"/>
  <c r="Q374" i="16"/>
  <c r="Q438" i="16"/>
  <c r="T64" i="16"/>
  <c r="U64" i="16" s="1"/>
  <c r="Q502" i="16"/>
  <c r="Q566" i="16"/>
  <c r="Q19" i="16"/>
  <c r="Q87" i="16"/>
  <c r="Q151" i="16"/>
  <c r="Q215" i="16"/>
  <c r="Q279" i="16"/>
  <c r="Q343" i="16"/>
  <c r="Q407" i="16"/>
  <c r="Q471" i="16"/>
  <c r="Q535" i="16"/>
  <c r="Q599" i="16"/>
  <c r="Q56" i="16"/>
  <c r="Q120" i="16"/>
  <c r="Q184" i="16"/>
  <c r="Q248" i="16"/>
  <c r="Q312" i="16"/>
  <c r="Q376" i="16"/>
  <c r="Q440" i="16"/>
  <c r="Q504" i="16"/>
  <c r="Q568" i="16"/>
  <c r="Q497" i="16"/>
  <c r="Q561" i="16"/>
  <c r="Q625" i="16"/>
  <c r="P3" i="19" l="1"/>
  <c r="D30" i="21"/>
  <c r="Y18" i="21"/>
  <c r="D23" i="21"/>
  <c r="Z8" i="21"/>
  <c r="AB8" i="21" s="1"/>
  <c r="AB21" i="21" s="1"/>
  <c r="Z5" i="21"/>
  <c r="AB5" i="21" s="1"/>
  <c r="AB18" i="21" s="1"/>
  <c r="Z9" i="21"/>
  <c r="AB9" i="21" s="1"/>
  <c r="AB22" i="21" s="1"/>
  <c r="Z13" i="21"/>
  <c r="AB13" i="21" s="1"/>
  <c r="AB26" i="21" s="1"/>
  <c r="Z4" i="21"/>
  <c r="AB4" i="21" s="1"/>
  <c r="Z6" i="21"/>
  <c r="AB6" i="21" s="1"/>
  <c r="AB19" i="21" s="1"/>
  <c r="Z10" i="21"/>
  <c r="AB10" i="21" s="1"/>
  <c r="AB23" i="21" s="1"/>
  <c r="Z14" i="21"/>
  <c r="AB14" i="21" s="1"/>
  <c r="AB27" i="21" s="1"/>
  <c r="Z7" i="21"/>
  <c r="AB7" i="21" s="1"/>
  <c r="AB20" i="21" s="1"/>
  <c r="Z11" i="21"/>
  <c r="AB11" i="21" s="1"/>
  <c r="AB24" i="21" s="1"/>
  <c r="Z3" i="21"/>
  <c r="AB3" i="21" s="1"/>
  <c r="Z12" i="21"/>
  <c r="AB12" i="21" s="1"/>
  <c r="AB25" i="21" s="1"/>
  <c r="Z15" i="21"/>
  <c r="AB15" i="21" s="1"/>
  <c r="AB28" i="21" s="1"/>
  <c r="D22" i="21"/>
  <c r="AA11" i="21"/>
  <c r="AC11" i="21" s="1"/>
  <c r="AC24" i="21" s="1"/>
  <c r="AA3" i="21"/>
  <c r="AC3" i="21" s="1"/>
  <c r="AA8" i="21"/>
  <c r="AC8" i="21" s="1"/>
  <c r="AC21" i="21" s="1"/>
  <c r="AA6" i="21"/>
  <c r="AC6" i="21" s="1"/>
  <c r="AC19" i="21" s="1"/>
  <c r="AA13" i="21"/>
  <c r="AC13" i="21" s="1"/>
  <c r="AC26" i="21" s="1"/>
  <c r="AA14" i="21"/>
  <c r="AC14" i="21" s="1"/>
  <c r="AC27" i="21" s="1"/>
  <c r="AA9" i="21"/>
  <c r="AC9" i="21" s="1"/>
  <c r="AA15" i="21"/>
  <c r="AC15" i="21" s="1"/>
  <c r="AA10" i="21"/>
  <c r="AC10" i="21" s="1"/>
  <c r="AC23" i="21" s="1"/>
  <c r="AA12" i="21"/>
  <c r="AC12" i="21" s="1"/>
  <c r="AC25" i="21" s="1"/>
  <c r="AA7" i="21"/>
  <c r="AC7" i="21" s="1"/>
  <c r="AC20" i="21" s="1"/>
  <c r="AA5" i="21"/>
  <c r="AC5" i="21" s="1"/>
  <c r="AC18" i="21" s="1"/>
  <c r="AA4" i="21"/>
  <c r="AC4" i="21" s="1"/>
  <c r="D24" i="21"/>
  <c r="AD3" i="21" l="1"/>
  <c r="F23" i="21"/>
  <c r="AD9" i="21"/>
  <c r="AD22" i="21" s="1"/>
  <c r="AC22" i="21"/>
  <c r="AD15" i="21"/>
  <c r="AD28" i="21" s="1"/>
  <c r="AC28" i="21"/>
  <c r="AD13" i="21"/>
  <c r="AD26" i="21" s="1"/>
  <c r="AD6" i="21"/>
  <c r="AD19" i="21" s="1"/>
  <c r="AD4" i="21"/>
  <c r="AD10" i="21"/>
  <c r="AD23" i="21" s="1"/>
  <c r="AD14" i="21"/>
  <c r="AD27" i="21" s="1"/>
  <c r="AD11" i="21"/>
  <c r="AD24" i="21" s="1"/>
  <c r="AD5" i="21"/>
  <c r="AD18" i="21" s="1"/>
  <c r="AD12" i="21"/>
  <c r="AD25" i="21" s="1"/>
  <c r="AD8" i="21"/>
  <c r="AD21" i="21" s="1"/>
  <c r="AD7" i="21"/>
  <c r="AD20" i="21" s="1"/>
  <c r="D25" i="21"/>
  <c r="R3" i="19" l="1"/>
  <c r="E30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Jackson Leung</author>
  </authors>
  <commentList>
    <comment ref="B7" authorId="0" shapeId="0" xr:uid="{143D541B-99A5-425E-BB82-5A88265B2BCB}">
      <text>
        <r>
          <rPr>
            <b/>
            <sz val="9"/>
            <color indexed="81"/>
            <rFont val="Tahoma"/>
            <family val="2"/>
          </rPr>
          <t>Jackson Leung:</t>
        </r>
        <r>
          <rPr>
            <sz val="9"/>
            <color indexed="81"/>
            <rFont val="Tahoma"/>
            <family val="2"/>
          </rPr>
          <t xml:space="preserve">
Adjusted downto equal age 1
Most death is at birth for original rates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Jackson Leung</author>
  </authors>
  <commentList>
    <comment ref="B6" authorId="0" shapeId="0" xr:uid="{6A818DE4-DD3C-48FA-B943-48478FB89165}">
      <text>
        <r>
          <rPr>
            <b/>
            <sz val="9"/>
            <color indexed="81"/>
            <rFont val="Tahoma"/>
            <family val="2"/>
          </rPr>
          <t>Jackson Leung:</t>
        </r>
        <r>
          <rPr>
            <sz val="9"/>
            <color indexed="81"/>
            <rFont val="Tahoma"/>
            <family val="2"/>
          </rPr>
          <t xml:space="preserve">
Cumulative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Jackson Leung</author>
  </authors>
  <commentList>
    <comment ref="B6" authorId="0" shapeId="0" xr:uid="{CD32FC9B-7B84-4D5B-A959-E6544E7A4304}">
      <text>
        <r>
          <rPr>
            <b/>
            <sz val="9"/>
            <color indexed="81"/>
            <rFont val="Tahoma"/>
            <family val="2"/>
          </rPr>
          <t>Jackson Leung:</t>
        </r>
        <r>
          <rPr>
            <sz val="9"/>
            <color indexed="81"/>
            <rFont val="Tahoma"/>
            <family val="2"/>
          </rPr>
          <t xml:space="preserve">
Cumulative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Jackson Leung</author>
  </authors>
  <commentList>
    <comment ref="S8" authorId="0" shapeId="0" xr:uid="{411AD93E-00C3-48CB-A67F-132AFD39270E}">
      <text>
        <r>
          <rPr>
            <b/>
            <sz val="9"/>
            <color rgb="FF000000"/>
            <rFont val="Tahoma"/>
            <family val="2"/>
          </rPr>
          <t>Jackson Leung: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50% of normal due to simplied product and digitized operations</t>
        </r>
      </text>
    </comment>
    <comment ref="S9" authorId="0" shapeId="0" xr:uid="{F043650A-9422-4CFE-8C66-35610D9467AF}">
      <text>
        <r>
          <rPr>
            <b/>
            <sz val="9"/>
            <color rgb="FF000000"/>
            <rFont val="Tahoma"/>
            <family val="2"/>
          </rPr>
          <t>Jackson Leung: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50% of original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Jackson Leung</author>
  </authors>
  <commentList>
    <comment ref="C30" authorId="0" shapeId="0" xr:uid="{6DE740C3-544B-4E7A-9355-95659A570241}">
      <text>
        <r>
          <rPr>
            <b/>
            <sz val="9"/>
            <color rgb="FF000000"/>
            <rFont val="Tahoma"/>
            <family val="2"/>
          </rPr>
          <t>Jackson Leung: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Ann: Annual
</t>
        </r>
        <r>
          <rPr>
            <sz val="9"/>
            <color rgb="FF000000"/>
            <rFont val="Tahoma"/>
            <family val="2"/>
          </rPr>
          <t xml:space="preserve">Mth: Monthly
</t>
        </r>
      </text>
    </comment>
    <comment ref="C31" authorId="0" shapeId="0" xr:uid="{9B799F2F-F037-4F91-865D-96213F9F51A8}">
      <text>
        <r>
          <rPr>
            <b/>
            <sz val="9"/>
            <color rgb="FF000000"/>
            <rFont val="Tahoma"/>
            <family val="2"/>
          </rPr>
          <t>Jackson Leung: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number: Number of payment years
</t>
        </r>
        <r>
          <rPr>
            <sz val="9"/>
            <color rgb="FF000000"/>
            <rFont val="Tahoma"/>
            <family val="2"/>
          </rPr>
          <t>mat: Until maturity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<sst xmlns="http://schemas.openxmlformats.org/spreadsheetml/2006/main" count="1009" uniqueCount="351">
  <si>
    <t>Mortality Assumptions</t>
  </si>
  <si>
    <t>Rate per 1000</t>
  </si>
  <si>
    <t>Age</t>
  </si>
  <si>
    <t>M</t>
  </si>
  <si>
    <t>F</t>
  </si>
  <si>
    <t>Myopia Assumptions</t>
  </si>
  <si>
    <t>Economic Assumptions</t>
  </si>
  <si>
    <t>PAD</t>
  </si>
  <si>
    <t>Lapse assumption</t>
  </si>
  <si>
    <t>Expense Assumption</t>
  </si>
  <si>
    <t>Profit Assumption</t>
  </si>
  <si>
    <t>Parameters</t>
  </si>
  <si>
    <t>Fixed</t>
  </si>
  <si>
    <t>Per 1000 SA</t>
  </si>
  <si>
    <t>% of Prem</t>
  </si>
  <si>
    <t>Short term rate</t>
  </si>
  <si>
    <t>Initial expense</t>
  </si>
  <si>
    <t>Hurdle Rate</t>
  </si>
  <si>
    <t>Long term rate</t>
  </si>
  <si>
    <t>PAD down</t>
  </si>
  <si>
    <t>Commission (1st year)</t>
  </si>
  <si>
    <t>Mixed year</t>
  </si>
  <si>
    <t>Commission (Renewal)</t>
  </si>
  <si>
    <t>Maintenance expense</t>
  </si>
  <si>
    <t>Claims expense</t>
  </si>
  <si>
    <t>Year</t>
  </si>
  <si>
    <t>Forward Rate</t>
  </si>
  <si>
    <t>Spot Rate</t>
  </si>
  <si>
    <t>Laspe Rate</t>
  </si>
  <si>
    <t>Pricing</t>
  </si>
  <si>
    <t>Reserving</t>
  </si>
  <si>
    <t>Maintenance inflation</t>
  </si>
  <si>
    <t>Pricing PAD</t>
  </si>
  <si>
    <t>Reserving PAD</t>
  </si>
  <si>
    <t>Laspe</t>
  </si>
  <si>
    <t>Tax</t>
  </si>
  <si>
    <t>Rate</t>
  </si>
  <si>
    <t>Corporate Tax</t>
  </si>
  <si>
    <t>Mortality</t>
  </si>
  <si>
    <t>Myopia</t>
  </si>
  <si>
    <t>Sex</t>
  </si>
  <si>
    <t>Product Parameters</t>
  </si>
  <si>
    <t>Input</t>
  </si>
  <si>
    <t>Variable Name</t>
  </si>
  <si>
    <t>Checking</t>
  </si>
  <si>
    <t>Premium Rate</t>
  </si>
  <si>
    <t>Prem Lookup Ind</t>
  </si>
  <si>
    <t>Prem_Lookup_Ind</t>
  </si>
  <si>
    <t>Prem Manual Input</t>
  </si>
  <si>
    <t>VBA_Prem_Input</t>
  </si>
  <si>
    <t>Prem Table</t>
  </si>
  <si>
    <t>Prem Lookup rate</t>
  </si>
  <si>
    <t>Product</t>
  </si>
  <si>
    <t>Maturity Year</t>
  </si>
  <si>
    <t>Mat_Year</t>
  </si>
  <si>
    <t>Prem Rate</t>
  </si>
  <si>
    <t>Prem_Rate</t>
  </si>
  <si>
    <t>Sum Assured</t>
  </si>
  <si>
    <t>Sum_Assured</t>
  </si>
  <si>
    <t>Ann_Prem</t>
  </si>
  <si>
    <t>Premium Mode</t>
  </si>
  <si>
    <t>Prem_Mode</t>
  </si>
  <si>
    <t>Premium Term</t>
  </si>
  <si>
    <t>Prem_Term</t>
  </si>
  <si>
    <t>Expense</t>
  </si>
  <si>
    <t>Initial</t>
  </si>
  <si>
    <t>Exp_Init</t>
  </si>
  <si>
    <t>Exp_Comm</t>
  </si>
  <si>
    <t>Exp_Comm_Renew</t>
  </si>
  <si>
    <t>Maintenance</t>
  </si>
  <si>
    <t>Exp_Main</t>
  </si>
  <si>
    <t>Claims</t>
  </si>
  <si>
    <t>Exp_Claim</t>
  </si>
  <si>
    <t>Main Inflation Pricing</t>
  </si>
  <si>
    <t>Exp_Main_Infl</t>
  </si>
  <si>
    <t>Main Inflation Reserve</t>
  </si>
  <si>
    <t>Exp_Main_Infl_Reserve</t>
  </si>
  <si>
    <t>PAD_Laspe</t>
  </si>
  <si>
    <t>PAD_Exp_Main</t>
  </si>
  <si>
    <t>PAD_Exp_Claim</t>
  </si>
  <si>
    <t>PAD_Res_Laspe</t>
  </si>
  <si>
    <t>PAD_Res_Exp_Main</t>
  </si>
  <si>
    <t>PAD_Res_Exp_Claim</t>
  </si>
  <si>
    <t>Profitability</t>
  </si>
  <si>
    <t>IRR</t>
  </si>
  <si>
    <t>NPV @3%</t>
  </si>
  <si>
    <t>NPV @5%</t>
  </si>
  <si>
    <t>NPV @10%</t>
  </si>
  <si>
    <t>NPV @Hurdle</t>
  </si>
  <si>
    <t>PV(Prem) @Hurdle</t>
  </si>
  <si>
    <t>PM @3%</t>
  </si>
  <si>
    <t>PM @5%</t>
  </si>
  <si>
    <t>PM @10%</t>
  </si>
  <si>
    <t>PM @Hurdle</t>
  </si>
  <si>
    <t>1st Year Loss</t>
  </si>
  <si>
    <t>1st Year IF Prem</t>
  </si>
  <si>
    <t>Surplus Stain</t>
  </si>
  <si>
    <t>DPP @3%</t>
  </si>
  <si>
    <t>DPP @5%</t>
  </si>
  <si>
    <t>DPP @10%</t>
  </si>
  <si>
    <t>DPP @Hurdle</t>
  </si>
  <si>
    <t>NBV @Hurdle</t>
  </si>
  <si>
    <t>NB Margin / NBV per AP</t>
  </si>
  <si>
    <t>Premium breakdown @ Earn rate</t>
  </si>
  <si>
    <t>ROP Benefit</t>
  </si>
  <si>
    <t>Commission</t>
  </si>
  <si>
    <t>Overhead</t>
  </si>
  <si>
    <t>Premium</t>
  </si>
  <si>
    <t>Lost Ratio</t>
  </si>
  <si>
    <t>Expense Ratio</t>
  </si>
  <si>
    <t>Marketing</t>
  </si>
  <si>
    <t>Accum. Amount / Prem</t>
  </si>
  <si>
    <t>Customer Maturity Yield</t>
  </si>
  <si>
    <t>single</t>
  </si>
  <si>
    <t>Trend Factor Pricing</t>
  </si>
  <si>
    <t>Trend Factor Reserve</t>
  </si>
  <si>
    <t>Trend_Factor_Reserve</t>
  </si>
  <si>
    <t>Trend_Factor</t>
  </si>
  <si>
    <t>PAD_Incid</t>
  </si>
  <si>
    <t>PAD_Mort</t>
  </si>
  <si>
    <t>PAD_Res_Incid</t>
  </si>
  <si>
    <t>PAD_Res_Mort</t>
  </si>
  <si>
    <t>Policyholder</t>
  </si>
  <si>
    <t>Entry Age</t>
  </si>
  <si>
    <t>Pol_Entry_Age</t>
  </si>
  <si>
    <t>Pol_Sex</t>
  </si>
  <si>
    <t>Incident Table</t>
  </si>
  <si>
    <t>Pol_Inc_Tbl</t>
  </si>
  <si>
    <t>Pricing CF Model</t>
  </si>
  <si>
    <t>Time</t>
  </si>
  <si>
    <t>t</t>
  </si>
  <si>
    <t>Month</t>
  </si>
  <si>
    <t>Age_round</t>
  </si>
  <si>
    <t>PP (Per Policy)</t>
  </si>
  <si>
    <t>IF (Inforce)</t>
  </si>
  <si>
    <t>Interest</t>
  </si>
  <si>
    <t>Ann Fwd</t>
  </si>
  <si>
    <t>v_t</t>
  </si>
  <si>
    <t>Mth Fwd</t>
  </si>
  <si>
    <t>Decrement (Annual)</t>
  </si>
  <si>
    <t>Mort</t>
  </si>
  <si>
    <t>Mort_pad</t>
  </si>
  <si>
    <t>Myopia_pad</t>
  </si>
  <si>
    <t>Lapse</t>
  </si>
  <si>
    <t>Decrement (Monthly)</t>
  </si>
  <si>
    <t>EOP</t>
  </si>
  <si>
    <t>Lapse_pad</t>
  </si>
  <si>
    <t>Inforce (Population)</t>
  </si>
  <si>
    <t>BOP_IF</t>
  </si>
  <si>
    <t>EOP_IF</t>
  </si>
  <si>
    <t>BOP</t>
  </si>
  <si>
    <t>Annual_Prem</t>
  </si>
  <si>
    <t>Prem_PP</t>
  </si>
  <si>
    <t>Prem_IF</t>
  </si>
  <si>
    <t>Prem_PV_PP</t>
  </si>
  <si>
    <t>Prem_PV_IF</t>
  </si>
  <si>
    <t>Benefit</t>
  </si>
  <si>
    <t>SA</t>
  </si>
  <si>
    <t>ROP</t>
  </si>
  <si>
    <t>Death_Outgo</t>
  </si>
  <si>
    <t>Myopia_Outgo</t>
  </si>
  <si>
    <t>Benefit_PP</t>
  </si>
  <si>
    <t>Benefit_IF</t>
  </si>
  <si>
    <t>Benefit_PV_PP</t>
  </si>
  <si>
    <t>Benefit_PV_IF</t>
  </si>
  <si>
    <t>Initial_Exp</t>
  </si>
  <si>
    <t>Commission_IF</t>
  </si>
  <si>
    <t>Main_exp</t>
  </si>
  <si>
    <t>Claims_exp</t>
  </si>
  <si>
    <t>Main_exp_IF</t>
  </si>
  <si>
    <t>Claims_exp_IF</t>
  </si>
  <si>
    <t>Expense_BOP_PP</t>
  </si>
  <si>
    <t>Expense_EOP_PP</t>
  </si>
  <si>
    <t>Expense_BOP_IF</t>
  </si>
  <si>
    <t>Expense_EOP_IF</t>
  </si>
  <si>
    <t>Expense_PV_PP</t>
  </si>
  <si>
    <t>Expense_PV_IF</t>
  </si>
  <si>
    <t>Cash Flow</t>
  </si>
  <si>
    <t>BOP Cash Flow</t>
  </si>
  <si>
    <t>EOP Cash Flow</t>
  </si>
  <si>
    <t>Cash Flow PV PP</t>
  </si>
  <si>
    <t>Cash Flow PV IF</t>
  </si>
  <si>
    <t>Reserves</t>
  </si>
  <si>
    <t>Profit</t>
  </si>
  <si>
    <t>Interest_PP</t>
  </si>
  <si>
    <t>Interest_PV</t>
  </si>
  <si>
    <t>Gross_Profit</t>
  </si>
  <si>
    <t>Profit_after_tax</t>
  </si>
  <si>
    <t>Dist_Profit</t>
  </si>
  <si>
    <t>EOP_Reserve_IF</t>
  </si>
  <si>
    <t>Change_in_Res_IF</t>
  </si>
  <si>
    <t>Gross_Profit_PV</t>
  </si>
  <si>
    <t>Profit_a_tax_PV</t>
  </si>
  <si>
    <t>Dist_Profit_PV</t>
  </si>
  <si>
    <t>Others</t>
  </si>
  <si>
    <t>Death_NAAR</t>
  </si>
  <si>
    <t>EOP_Reserve_PP</t>
  </si>
  <si>
    <t>Partial NPV</t>
  </si>
  <si>
    <t>Myopia Benefit</t>
  </si>
  <si>
    <t>Hurdle</t>
  </si>
  <si>
    <t>check</t>
  </si>
  <si>
    <t>Trend</t>
  </si>
  <si>
    <t>Baseline Odds</t>
  </si>
  <si>
    <t>Country Factor</t>
  </si>
  <si>
    <t>Adjusted Odds</t>
  </si>
  <si>
    <t>Country Factors</t>
  </si>
  <si>
    <t>Income / GDP</t>
  </si>
  <si>
    <t>High</t>
  </si>
  <si>
    <t>Low</t>
  </si>
  <si>
    <t>OR</t>
  </si>
  <si>
    <t>Exercise</t>
  </si>
  <si>
    <t>No</t>
  </si>
  <si>
    <t>Yes</t>
  </si>
  <si>
    <t>Palȍmϊnϊa</t>
  </si>
  <si>
    <t>Ambernϊa</t>
  </si>
  <si>
    <t>Factor</t>
  </si>
  <si>
    <t>Total Adjustment</t>
  </si>
  <si>
    <t>Exposure</t>
  </si>
  <si>
    <t>Num of Myopic Parents</t>
  </si>
  <si>
    <t>Underwriting Factor</t>
  </si>
  <si>
    <t>Adjustment</t>
  </si>
  <si>
    <t>Cumulative Prob</t>
  </si>
  <si>
    <t>Country</t>
  </si>
  <si>
    <t>Annual Prem Eqv</t>
  </si>
  <si>
    <t>Single Premium</t>
  </si>
  <si>
    <t>Myopia_NAAR</t>
  </si>
  <si>
    <t>Num of High Educated Parents</t>
  </si>
  <si>
    <t>Single_Prem</t>
  </si>
  <si>
    <t>Baseline Adjustment before Individual Risk Factors</t>
  </si>
  <si>
    <t xml:space="preserve">  </t>
  </si>
  <si>
    <t xml:space="preserve"> </t>
  </si>
  <si>
    <t>-5.0 D</t>
  </si>
  <si>
    <t>Discount Cash Flow Reserves</t>
  </si>
  <si>
    <t>Profit Signature</t>
  </si>
  <si>
    <t>Profit Signature per AP</t>
  </si>
  <si>
    <t>Interest Down</t>
  </si>
  <si>
    <t>Mth Spot</t>
  </si>
  <si>
    <t>Interest Risk</t>
  </si>
  <si>
    <t>Down_Reserve_IF</t>
  </si>
  <si>
    <t>Down_Risk_Charge_IF</t>
  </si>
  <si>
    <t>Risk_Charge_PP</t>
  </si>
  <si>
    <t>Reserve</t>
  </si>
  <si>
    <t>Total_Reserve_PP</t>
  </si>
  <si>
    <t>Pricing Target</t>
  </si>
  <si>
    <t>VBA</t>
  </si>
  <si>
    <t>Key</t>
  </si>
  <si>
    <t>profit_mar_hurdle</t>
  </si>
  <si>
    <t>Pol_Myopic</t>
  </si>
  <si>
    <t>Pol_Educated</t>
  </si>
  <si>
    <t>A</t>
  </si>
  <si>
    <t>Pol_Country</t>
  </si>
  <si>
    <t>P</t>
  </si>
  <si>
    <t>AM</t>
  </si>
  <si>
    <t>AF</t>
  </si>
  <si>
    <t>PM</t>
  </si>
  <si>
    <t>PF</t>
  </si>
  <si>
    <t>Business Mix</t>
  </si>
  <si>
    <t>Annual Prem</t>
  </si>
  <si>
    <t>NB Margin</t>
  </si>
  <si>
    <t>Distributable Profit</t>
  </si>
  <si>
    <t>M00A</t>
  </si>
  <si>
    <t>M01A</t>
  </si>
  <si>
    <t>M02A</t>
  </si>
  <si>
    <t>M10A</t>
  </si>
  <si>
    <t>M11A</t>
  </si>
  <si>
    <t>M12A</t>
  </si>
  <si>
    <t>M20A</t>
  </si>
  <si>
    <t>M21A</t>
  </si>
  <si>
    <t>M22A</t>
  </si>
  <si>
    <t>F00A</t>
  </si>
  <si>
    <t>F01A</t>
  </si>
  <si>
    <t>F02A</t>
  </si>
  <si>
    <t>F10A</t>
  </si>
  <si>
    <t>F11A</t>
  </si>
  <si>
    <t>F12A</t>
  </si>
  <si>
    <t>F20A</t>
  </si>
  <si>
    <t>F21A</t>
  </si>
  <si>
    <t>F22A</t>
  </si>
  <si>
    <t>M00P</t>
  </si>
  <si>
    <t>M01P</t>
  </si>
  <si>
    <t>M02P</t>
  </si>
  <si>
    <t>M10P</t>
  </si>
  <si>
    <t>M11P</t>
  </si>
  <si>
    <t>M12P</t>
  </si>
  <si>
    <t>M20P</t>
  </si>
  <si>
    <t>M21P</t>
  </si>
  <si>
    <t>M22P</t>
  </si>
  <si>
    <t>F00P</t>
  </si>
  <si>
    <t>F01P</t>
  </si>
  <si>
    <t>F02P</t>
  </si>
  <si>
    <t>F10P</t>
  </si>
  <si>
    <t>F11P</t>
  </si>
  <si>
    <t>F12P</t>
  </si>
  <si>
    <t>F20P</t>
  </si>
  <si>
    <t>F21P</t>
  </si>
  <si>
    <t>F22P</t>
  </si>
  <si>
    <t>All</t>
  </si>
  <si>
    <t>DPP</t>
  </si>
  <si>
    <t>Partial NPV of DPP</t>
  </si>
  <si>
    <t>Total</t>
  </si>
  <si>
    <t>Cumulative odds</t>
  </si>
  <si>
    <t>Risk Factors</t>
  </si>
  <si>
    <t>Base Exposure</t>
  </si>
  <si>
    <t>Base Adj Factor</t>
  </si>
  <si>
    <t>Male</t>
  </si>
  <si>
    <t>Female</t>
  </si>
  <si>
    <t>Baseline</t>
  </si>
  <si>
    <t>Number of myopic parents</t>
  </si>
  <si>
    <t>Income (Low)</t>
  </si>
  <si>
    <t>Exercise (Yes)</t>
  </si>
  <si>
    <t>1 myopic parents</t>
  </si>
  <si>
    <t>2 myopic parents</t>
  </si>
  <si>
    <t>SD</t>
  </si>
  <si>
    <t>High Educated</t>
  </si>
  <si>
    <t>Myopia Trend</t>
  </si>
  <si>
    <t>Reserve Fwd Rate</t>
  </si>
  <si>
    <t>Reserve Fwd Rate Down</t>
  </si>
  <si>
    <t>P Short Term</t>
  </si>
  <si>
    <t>P Long Term</t>
  </si>
  <si>
    <t>A Short Term</t>
  </si>
  <si>
    <t>A Long Term</t>
  </si>
  <si>
    <t>Scenario</t>
  </si>
  <si>
    <t>95% Up</t>
  </si>
  <si>
    <t>95% Down</t>
  </si>
  <si>
    <t>Formula</t>
  </si>
  <si>
    <t>Input / Ouput</t>
  </si>
  <si>
    <t>NBV</t>
  </si>
  <si>
    <t>Population</t>
  </si>
  <si>
    <t>Birth Rate</t>
  </si>
  <si>
    <t>Population Growth</t>
  </si>
  <si>
    <t>Avarage Rates</t>
  </si>
  <si>
    <t>market penetration</t>
  </si>
  <si>
    <t>Birth</t>
  </si>
  <si>
    <t>Average SA</t>
  </si>
  <si>
    <t>Total SA</t>
  </si>
  <si>
    <t>Total Exposure</t>
  </si>
  <si>
    <t>Total Gross Premium</t>
  </si>
  <si>
    <t>NBV per AP</t>
  </si>
  <si>
    <t>NBV per gross prem</t>
  </si>
  <si>
    <t>Market peneteration</t>
  </si>
  <si>
    <t>Birth @ 2022</t>
  </si>
  <si>
    <t>Assumptions</t>
  </si>
  <si>
    <t>From Rate Table</t>
  </si>
  <si>
    <t>Mean</t>
  </si>
  <si>
    <t>VaR 95%</t>
  </si>
  <si>
    <t>VaR 99.5%</t>
  </si>
  <si>
    <t>Total Lives</t>
  </si>
  <si>
    <t>Market Size</t>
  </si>
  <si>
    <t>Total Exposure (million)</t>
  </si>
  <si>
    <t>Total Gross Premium (million)</t>
  </si>
  <si>
    <t>NBV (million)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</si>
</sst>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(* #,##0.00_);_(* \(#,##0.00\);_(* &quot;-&quot;??_);_(@_)"/>
    <numFmt numFmtId="164" formatCode="_(* #,##0.0000_);_(* \(#,##0.0000\);_(* &quot;-&quot;??_);_(@_)"/>
    <numFmt numFmtId="165" formatCode="0.000%"/>
    <numFmt numFmtId="166" formatCode="0.0%"/>
    <numFmt numFmtId="167" formatCode="_(* #,##0_);_(* \(#,##0\);_(* &quot;-&quot;??_);_(@_)"/>
    <numFmt numFmtId="168" formatCode="0.0000%"/>
    <numFmt numFmtId="169" formatCode="_(* #,##0.000000_);_(* \(#,##0.000000\);_(* &quot;-&quot;??_);_(@_)"/>
    <numFmt numFmtId="170" formatCode="0.000"/>
    <numFmt numFmtId="171" formatCode="_(* #,##0.000_);_(* \(#,##0.000\);_(* &quot;-&quot;??_);_(@_)"/>
    <numFmt numFmtId="172" formatCode="_(* #,##0.0000000_);_(* \(#,##0.0000000\);_(* &quot;-&quot;??_);_(@_)"/>
    <numFmt numFmtId="173" formatCode="_(* #,##0.00000_);_(* \(#,##0.00000\);_(* &quot;-&quot;??_);_(@_)"/>
    <numFmt numFmtId="174" formatCode="0.0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EF2CB"/>
        <bgColor rgb="FFFEF2CB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24">
    <xf numFmtId="0" fontId="0" fillId="0" borderId="0" xfId="0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2" borderId="0" xfId="0" applyFill="1" applyAlignment="1">
      <alignment horizontal="center"/>
    </xf>
    <xf numFmtId="164" fontId="0" fillId="3" borderId="1" xfId="1" applyNumberFormat="1" applyFont="1" applyFill="1" applyBorder="1"/>
    <xf numFmtId="164" fontId="0" fillId="3" borderId="0" xfId="1" applyNumberFormat="1" applyFont="1" applyFill="1" applyBorder="1"/>
    <xf numFmtId="0" fontId="0" fillId="2" borderId="2" xfId="0" applyFill="1" applyBorder="1" applyAlignment="1">
      <alignment horizontal="center"/>
    </xf>
    <xf numFmtId="164" fontId="0" fillId="3" borderId="3" xfId="1" applyNumberFormat="1" applyFont="1" applyFill="1" applyBorder="1"/>
    <xf numFmtId="165" fontId="0" fillId="0" borderId="0" xfId="0" applyNumberFormat="1"/>
    <xf numFmtId="9" fontId="0" fillId="0" borderId="0" xfId="2" applyFont="1"/>
    <xf numFmtId="10" fontId="0" fillId="0" borderId="1" xfId="2" applyNumberFormat="1" applyFont="1" applyBorder="1"/>
    <xf numFmtId="9" fontId="0" fillId="0" borderId="1" xfId="2" applyFont="1" applyBorder="1"/>
    <xf numFmtId="166" fontId="0" fillId="0" borderId="0" xfId="2" applyNumberFormat="1" applyFont="1"/>
    <xf numFmtId="167" fontId="0" fillId="0" borderId="1" xfId="1" applyNumberFormat="1" applyFont="1" applyBorder="1"/>
    <xf numFmtId="168" fontId="0" fillId="0" borderId="0" xfId="2" applyNumberFormat="1" applyFont="1"/>
    <xf numFmtId="10" fontId="0" fillId="0" borderId="0" xfId="0" applyNumberFormat="1"/>
    <xf numFmtId="0" fontId="2" fillId="6" borderId="2" xfId="0" applyFont="1" applyFill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0" fillId="6" borderId="0" xfId="0" applyFill="1" applyAlignment="1">
      <alignment horizontal="center"/>
    </xf>
    <xf numFmtId="168" fontId="0" fillId="0" borderId="1" xfId="2" applyNumberFormat="1" applyFont="1" applyBorder="1"/>
    <xf numFmtId="43" fontId="0" fillId="0" borderId="1" xfId="1" applyFont="1" applyBorder="1"/>
    <xf numFmtId="9" fontId="0" fillId="0" borderId="0" xfId="2" applyFont="1" applyBorder="1"/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/>
    <xf numFmtId="0" fontId="0" fillId="0" borderId="0" xfId="0" applyAlignment="1">
      <alignment horizontal="left"/>
    </xf>
    <xf numFmtId="166" fontId="0" fillId="0" borderId="1" xfId="2" applyNumberFormat="1" applyFont="1" applyBorder="1"/>
    <xf numFmtId="0" fontId="2" fillId="0" borderId="8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3" borderId="0" xfId="0" applyFill="1"/>
    <xf numFmtId="0" fontId="0" fillId="4" borderId="0" xfId="0" applyFill="1"/>
    <xf numFmtId="0" fontId="0" fillId="3" borderId="0" xfId="0" applyFill="1" applyAlignment="1">
      <alignment horizontal="center"/>
    </xf>
    <xf numFmtId="0" fontId="2" fillId="0" borderId="2" xfId="0" applyFont="1" applyBorder="1" applyAlignment="1">
      <alignment horizontal="center"/>
    </xf>
    <xf numFmtId="0" fontId="0" fillId="3" borderId="2" xfId="0" applyFill="1" applyBorder="1"/>
    <xf numFmtId="0" fontId="3" fillId="0" borderId="0" xfId="0" applyFont="1"/>
    <xf numFmtId="0" fontId="0" fillId="0" borderId="8" xfId="0" applyBorder="1"/>
    <xf numFmtId="164" fontId="0" fillId="3" borderId="1" xfId="1" applyNumberFormat="1" applyFont="1" applyFill="1" applyBorder="1" applyAlignment="1">
      <alignment horizontal="center"/>
    </xf>
    <xf numFmtId="0" fontId="0" fillId="0" borderId="10" xfId="0" applyBorder="1"/>
    <xf numFmtId="43" fontId="0" fillId="0" borderId="0" xfId="1" applyFont="1" applyFill="1" applyAlignment="1">
      <alignment horizontal="center"/>
    </xf>
    <xf numFmtId="167" fontId="0" fillId="3" borderId="0" xfId="1" applyNumberFormat="1" applyFont="1" applyFill="1" applyAlignment="1">
      <alignment horizontal="center"/>
    </xf>
    <xf numFmtId="167" fontId="0" fillId="0" borderId="0" xfId="1" applyNumberFormat="1" applyFont="1" applyAlignment="1">
      <alignment horizontal="center"/>
    </xf>
    <xf numFmtId="169" fontId="0" fillId="0" borderId="0" xfId="1" applyNumberFormat="1" applyFont="1" applyFill="1" applyAlignment="1">
      <alignment horizontal="center"/>
    </xf>
    <xf numFmtId="167" fontId="0" fillId="0" borderId="0" xfId="1" applyNumberFormat="1" applyFont="1"/>
    <xf numFmtId="9" fontId="0" fillId="0" borderId="0" xfId="0" applyNumberFormat="1"/>
    <xf numFmtId="9" fontId="0" fillId="0" borderId="7" xfId="0" applyNumberFormat="1" applyBorder="1"/>
    <xf numFmtId="167" fontId="0" fillId="0" borderId="0" xfId="1" applyNumberFormat="1" applyFont="1" applyBorder="1"/>
    <xf numFmtId="167" fontId="0" fillId="0" borderId="0" xfId="0" applyNumberFormat="1"/>
    <xf numFmtId="170" fontId="0" fillId="0" borderId="0" xfId="0" applyNumberFormat="1"/>
    <xf numFmtId="170" fontId="0" fillId="0" borderId="1" xfId="0" applyNumberFormat="1" applyBorder="1"/>
    <xf numFmtId="10" fontId="0" fillId="0" borderId="3" xfId="2" applyNumberFormat="1" applyFont="1" applyBorder="1"/>
    <xf numFmtId="166" fontId="0" fillId="0" borderId="9" xfId="2" applyNumberFormat="1" applyFont="1" applyBorder="1"/>
    <xf numFmtId="0" fontId="2" fillId="0" borderId="0" xfId="0" applyFont="1" applyAlignment="1">
      <alignment horizontal="center"/>
    </xf>
    <xf numFmtId="0" fontId="0" fillId="3" borderId="3" xfId="0" applyFill="1" applyBorder="1"/>
    <xf numFmtId="0" fontId="0" fillId="3" borderId="3" xfId="0" applyFill="1" applyBorder="1" applyAlignment="1">
      <alignment horizontal="center"/>
    </xf>
    <xf numFmtId="0" fontId="2" fillId="0" borderId="0" xfId="0" applyFont="1" applyAlignment="1">
      <alignment horizontal="left"/>
    </xf>
    <xf numFmtId="0" fontId="0" fillId="6" borderId="2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171" fontId="0" fillId="0" borderId="0" xfId="1" applyNumberFormat="1" applyFont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43" fontId="0" fillId="0" borderId="0" xfId="0" applyNumberFormat="1"/>
    <xf numFmtId="0" fontId="0" fillId="7" borderId="0" xfId="0" applyFill="1"/>
    <xf numFmtId="0" fontId="2" fillId="3" borderId="0" xfId="0" applyFont="1" applyFill="1"/>
    <xf numFmtId="169" fontId="0" fillId="6" borderId="0" xfId="1" applyNumberFormat="1" applyFont="1" applyFill="1" applyBorder="1"/>
    <xf numFmtId="168" fontId="0" fillId="0" borderId="0" xfId="2" applyNumberFormat="1" applyFont="1" applyBorder="1"/>
    <xf numFmtId="169" fontId="0" fillId="0" borderId="0" xfId="1" applyNumberFormat="1" applyFont="1" applyBorder="1"/>
    <xf numFmtId="0" fontId="2" fillId="7" borderId="0" xfId="0" applyFont="1" applyFill="1"/>
    <xf numFmtId="0" fontId="0" fillId="7" borderId="2" xfId="0" applyFill="1" applyBorder="1"/>
    <xf numFmtId="0" fontId="0" fillId="7" borderId="3" xfId="0" applyFill="1" applyBorder="1"/>
    <xf numFmtId="0" fontId="0" fillId="0" borderId="0" xfId="0" applyBorder="1"/>
    <xf numFmtId="0" fontId="2" fillId="8" borderId="0" xfId="0" applyFont="1" applyFill="1"/>
    <xf numFmtId="0" fontId="0" fillId="8" borderId="0" xfId="0" applyFill="1"/>
    <xf numFmtId="164" fontId="0" fillId="0" borderId="1" xfId="1" applyNumberFormat="1" applyFont="1" applyBorder="1"/>
    <xf numFmtId="169" fontId="0" fillId="0" borderId="1" xfId="1" applyNumberFormat="1" applyFont="1" applyBorder="1"/>
    <xf numFmtId="172" fontId="0" fillId="0" borderId="1" xfId="1" applyNumberFormat="1" applyFont="1" applyBorder="1"/>
    <xf numFmtId="43" fontId="0" fillId="0" borderId="0" xfId="1" applyFont="1"/>
    <xf numFmtId="164" fontId="0" fillId="0" borderId="0" xfId="1" applyNumberFormat="1" applyFont="1"/>
    <xf numFmtId="172" fontId="0" fillId="0" borderId="0" xfId="1" applyNumberFormat="1" applyFont="1" applyBorder="1"/>
    <xf numFmtId="169" fontId="0" fillId="0" borderId="0" xfId="1" applyNumberFormat="1" applyFont="1"/>
    <xf numFmtId="167" fontId="2" fillId="4" borderId="0" xfId="1" applyNumberFormat="1" applyFont="1" applyFill="1"/>
    <xf numFmtId="167" fontId="0" fillId="4" borderId="0" xfId="1" applyNumberFormat="1" applyFont="1" applyFill="1"/>
    <xf numFmtId="167" fontId="0" fillId="7" borderId="2" xfId="1" applyNumberFormat="1" applyFont="1" applyFill="1" applyBorder="1"/>
    <xf numFmtId="167" fontId="0" fillId="7" borderId="3" xfId="1" applyNumberFormat="1" applyFont="1" applyFill="1" applyBorder="1"/>
    <xf numFmtId="167" fontId="0" fillId="3" borderId="2" xfId="1" applyNumberFormat="1" applyFont="1" applyFill="1" applyBorder="1"/>
    <xf numFmtId="0" fontId="2" fillId="2" borderId="0" xfId="0" applyFont="1" applyFill="1"/>
    <xf numFmtId="164" fontId="2" fillId="2" borderId="0" xfId="1" applyNumberFormat="1" applyFont="1" applyFill="1"/>
    <xf numFmtId="167" fontId="0" fillId="2" borderId="0" xfId="1" applyNumberFormat="1" applyFont="1" applyFill="1"/>
    <xf numFmtId="0" fontId="0" fillId="2" borderId="0" xfId="0" applyFill="1"/>
    <xf numFmtId="0" fontId="2" fillId="4" borderId="0" xfId="0" applyFont="1" applyFill="1"/>
    <xf numFmtId="167" fontId="0" fillId="6" borderId="0" xfId="1" applyNumberFormat="1" applyFont="1" applyFill="1"/>
    <xf numFmtId="43" fontId="0" fillId="6" borderId="0" xfId="0" applyNumberFormat="1" applyFill="1"/>
    <xf numFmtId="43" fontId="0" fillId="0" borderId="1" xfId="1" applyNumberFormat="1" applyFont="1" applyBorder="1"/>
    <xf numFmtId="43" fontId="0" fillId="0" borderId="0" xfId="1" applyNumberFormat="1" applyFont="1"/>
    <xf numFmtId="167" fontId="2" fillId="9" borderId="0" xfId="1" applyNumberFormat="1" applyFont="1" applyFill="1"/>
    <xf numFmtId="167" fontId="0" fillId="9" borderId="0" xfId="1" applyNumberFormat="1" applyFont="1" applyFill="1"/>
    <xf numFmtId="167" fontId="0" fillId="0" borderId="2" xfId="1" applyNumberFormat="1" applyFont="1" applyBorder="1"/>
    <xf numFmtId="167" fontId="2" fillId="3" borderId="0" xfId="1" applyNumberFormat="1" applyFont="1" applyFill="1"/>
    <xf numFmtId="167" fontId="0" fillId="3" borderId="0" xfId="1" applyNumberFormat="1" applyFont="1" applyFill="1"/>
    <xf numFmtId="0" fontId="0" fillId="9" borderId="0" xfId="0" applyFill="1"/>
    <xf numFmtId="167" fontId="0" fillId="3" borderId="3" xfId="1" applyNumberFormat="1" applyFont="1" applyFill="1" applyBorder="1"/>
    <xf numFmtId="167" fontId="0" fillId="6" borderId="1" xfId="1" applyNumberFormat="1" applyFont="1" applyFill="1" applyBorder="1"/>
    <xf numFmtId="9" fontId="0" fillId="0" borderId="9" xfId="2" applyFont="1" applyBorder="1"/>
    <xf numFmtId="167" fontId="3" fillId="0" borderId="0" xfId="1" applyNumberFormat="1" applyFont="1"/>
    <xf numFmtId="43" fontId="3" fillId="0" borderId="0" xfId="1" applyFont="1"/>
    <xf numFmtId="10" fontId="0" fillId="0" borderId="0" xfId="2" applyNumberFormat="1" applyFont="1" applyBorder="1"/>
    <xf numFmtId="0" fontId="2" fillId="0" borderId="2" xfId="0" applyFont="1" applyFill="1" applyBorder="1"/>
    <xf numFmtId="164" fontId="0" fillId="0" borderId="3" xfId="1" applyNumberFormat="1" applyFont="1" applyBorder="1"/>
    <xf numFmtId="164" fontId="0" fillId="0" borderId="2" xfId="1" applyNumberFormat="1" applyFont="1" applyBorder="1"/>
    <xf numFmtId="0" fontId="0" fillId="0" borderId="9" xfId="0" applyBorder="1"/>
    <xf numFmtId="0" fontId="0" fillId="0" borderId="0" xfId="0" applyFont="1"/>
    <xf numFmtId="10" fontId="0" fillId="0" borderId="2" xfId="2" applyNumberFormat="1" applyFont="1" applyBorder="1"/>
    <xf numFmtId="10" fontId="0" fillId="0" borderId="0" xfId="2" applyNumberFormat="1" applyFont="1"/>
    <xf numFmtId="0" fontId="0" fillId="6" borderId="9" xfId="0" applyFill="1" applyBorder="1"/>
    <xf numFmtId="0" fontId="0" fillId="6" borderId="1" xfId="0" applyFill="1" applyBorder="1"/>
    <xf numFmtId="43" fontId="0" fillId="0" borderId="1" xfId="0" applyNumberFormat="1" applyBorder="1"/>
    <xf numFmtId="0" fontId="0" fillId="4" borderId="1" xfId="0" applyFill="1" applyBorder="1" applyAlignment="1">
      <alignment horizontal="center"/>
    </xf>
    <xf numFmtId="0" fontId="2" fillId="0" borderId="3" xfId="0" applyFont="1" applyFill="1" applyBorder="1"/>
    <xf numFmtId="0" fontId="0" fillId="4" borderId="1" xfId="0" applyFill="1" applyBorder="1"/>
    <xf numFmtId="171" fontId="0" fillId="0" borderId="0" xfId="1" applyNumberFormat="1" applyFont="1"/>
    <xf numFmtId="171" fontId="0" fillId="2" borderId="0" xfId="1" applyNumberFormat="1" applyFont="1" applyFill="1"/>
    <xf numFmtId="171" fontId="0" fillId="0" borderId="2" xfId="1" applyNumberFormat="1" applyFont="1" applyBorder="1"/>
    <xf numFmtId="0" fontId="0" fillId="0" borderId="1" xfId="0" quotePrefix="1" applyBorder="1" applyAlignment="1">
      <alignment horizontal="center"/>
    </xf>
    <xf numFmtId="0" fontId="0" fillId="0" borderId="2" xfId="0" applyBorder="1" applyAlignment="1">
      <alignment horizontal="center"/>
    </xf>
    <xf numFmtId="0" fontId="8" fillId="0" borderId="11" xfId="0" applyFont="1" applyBorder="1"/>
    <xf numFmtId="0" fontId="9" fillId="10" borderId="12" xfId="0" applyFont="1" applyFill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10" borderId="0" xfId="0" applyFont="1" applyFill="1" applyAlignment="1">
      <alignment horizontal="center"/>
    </xf>
    <xf numFmtId="167" fontId="8" fillId="0" borderId="11" xfId="0" applyNumberFormat="1" applyFont="1" applyBorder="1"/>
    <xf numFmtId="9" fontId="8" fillId="0" borderId="0" xfId="0" applyNumberFormat="1" applyFont="1" applyAlignment="1">
      <alignment horizontal="center"/>
    </xf>
    <xf numFmtId="166" fontId="0" fillId="0" borderId="0" xfId="2" applyNumberFormat="1" applyFont="1" applyBorder="1"/>
    <xf numFmtId="0" fontId="0" fillId="11" borderId="0" xfId="0" applyFill="1"/>
    <xf numFmtId="43" fontId="0" fillId="0" borderId="0" xfId="1" applyFont="1" applyBorder="1"/>
    <xf numFmtId="0" fontId="0" fillId="3" borderId="1" xfId="0" applyFill="1" applyBorder="1"/>
    <xf numFmtId="0" fontId="0" fillId="4" borderId="2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0" fillId="7" borderId="14" xfId="0" applyFill="1" applyBorder="1" applyAlignment="1">
      <alignment horizontal="center"/>
    </xf>
    <xf numFmtId="0" fontId="0" fillId="0" borderId="1" xfId="0" applyBorder="1" applyAlignment="1">
      <alignment horizontal="center"/>
    </xf>
    <xf numFmtId="43" fontId="0" fillId="3" borderId="1" xfId="1" applyFont="1" applyFill="1" applyBorder="1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168" fontId="0" fillId="6" borderId="0" xfId="2" applyNumberFormat="1" applyFont="1" applyFill="1"/>
    <xf numFmtId="168" fontId="0" fillId="6" borderId="1" xfId="2" applyNumberFormat="1" applyFont="1" applyFill="1" applyBorder="1"/>
    <xf numFmtId="1" fontId="0" fillId="0" borderId="0" xfId="1" applyNumberFormat="1" applyFont="1"/>
    <xf numFmtId="2" fontId="0" fillId="0" borderId="0" xfId="1" applyNumberFormat="1" applyFont="1"/>
    <xf numFmtId="2" fontId="0" fillId="0" borderId="0" xfId="0" applyNumberFormat="1"/>
    <xf numFmtId="0" fontId="0" fillId="0" borderId="0" xfId="0" applyFill="1" applyBorder="1"/>
    <xf numFmtId="166" fontId="0" fillId="0" borderId="0" xfId="0" applyNumberFormat="1"/>
    <xf numFmtId="10" fontId="0" fillId="3" borderId="1" xfId="2" applyNumberFormat="1" applyFont="1" applyFill="1" applyBorder="1"/>
    <xf numFmtId="10" fontId="0" fillId="3" borderId="3" xfId="2" applyNumberFormat="1" applyFont="1" applyFill="1" applyBorder="1"/>
    <xf numFmtId="1" fontId="0" fillId="0" borderId="0" xfId="2" applyNumberFormat="1" applyFont="1" applyBorder="1"/>
    <xf numFmtId="1" fontId="0" fillId="0" borderId="0" xfId="0" applyNumberFormat="1"/>
    <xf numFmtId="43" fontId="0" fillId="0" borderId="2" xfId="1" applyFont="1" applyBorder="1"/>
    <xf numFmtId="0" fontId="0" fillId="0" borderId="2" xfId="0" applyBorder="1" applyAlignment="1">
      <alignment horizontal="center"/>
    </xf>
    <xf numFmtId="166" fontId="0" fillId="0" borderId="2" xfId="2" applyNumberFormat="1" applyFont="1" applyBorder="1"/>
    <xf numFmtId="0" fontId="0" fillId="0" borderId="2" xfId="0" quotePrefix="1" applyBorder="1" applyAlignment="1">
      <alignment horizontal="center"/>
    </xf>
    <xf numFmtId="166" fontId="0" fillId="3" borderId="0" xfId="2" applyNumberFormat="1" applyFont="1" applyFill="1"/>
    <xf numFmtId="171" fontId="0" fillId="3" borderId="0" xfId="1" applyNumberFormat="1" applyFont="1" applyFill="1"/>
    <xf numFmtId="168" fontId="0" fillId="0" borderId="9" xfId="2" applyNumberFormat="1" applyFont="1" applyBorder="1"/>
    <xf numFmtId="173" fontId="0" fillId="0" borderId="0" xfId="1" applyNumberFormat="1" applyFont="1"/>
    <xf numFmtId="173" fontId="0" fillId="0" borderId="2" xfId="1" applyNumberFormat="1" applyFont="1" applyBorder="1"/>
    <xf numFmtId="173" fontId="0" fillId="0" borderId="0" xfId="1" applyNumberFormat="1" applyFont="1" applyFill="1" applyAlignment="1">
      <alignment horizontal="center"/>
    </xf>
    <xf numFmtId="174" fontId="0" fillId="4" borderId="1" xfId="0" applyNumberFormat="1" applyFill="1" applyBorder="1"/>
    <xf numFmtId="174" fontId="0" fillId="4" borderId="0" xfId="0" applyNumberFormat="1" applyFill="1"/>
    <xf numFmtId="171" fontId="0" fillId="0" borderId="1" xfId="1" applyNumberFormat="1" applyFont="1" applyBorder="1"/>
    <xf numFmtId="43" fontId="0" fillId="0" borderId="3" xfId="0" applyNumberFormat="1" applyBorder="1"/>
    <xf numFmtId="171" fontId="0" fillId="0" borderId="3" xfId="1" applyNumberFormat="1" applyFont="1" applyBorder="1"/>
    <xf numFmtId="171" fontId="0" fillId="3" borderId="1" xfId="1" applyNumberFormat="1" applyFont="1" applyFill="1" applyBorder="1"/>
    <xf numFmtId="173" fontId="0" fillId="3" borderId="0" xfId="1" applyNumberFormat="1" applyFont="1" applyFill="1"/>
    <xf numFmtId="10" fontId="0" fillId="3" borderId="0" xfId="2" applyNumberFormat="1" applyFont="1" applyFill="1"/>
    <xf numFmtId="0" fontId="0" fillId="12" borderId="0" xfId="0" applyFill="1"/>
    <xf numFmtId="0" fontId="0" fillId="12" borderId="2" xfId="0" applyFill="1" applyBorder="1"/>
    <xf numFmtId="43" fontId="0" fillId="0" borderId="3" xfId="1" applyFont="1" applyBorder="1"/>
    <xf numFmtId="167" fontId="0" fillId="0" borderId="3" xfId="1" applyNumberFormat="1" applyFont="1" applyBorder="1"/>
    <xf numFmtId="10" fontId="0" fillId="0" borderId="1" xfId="0" applyNumberFormat="1" applyBorder="1"/>
    <xf numFmtId="10" fontId="0" fillId="0" borderId="3" xfId="0" applyNumberFormat="1" applyBorder="1"/>
    <xf numFmtId="167" fontId="0" fillId="0" borderId="1" xfId="2" applyNumberFormat="1" applyFont="1" applyBorder="1"/>
    <xf numFmtId="167" fontId="0" fillId="0" borderId="3" xfId="2" applyNumberFormat="1" applyFont="1" applyBorder="1"/>
    <xf numFmtId="167" fontId="2" fillId="2" borderId="0" xfId="1" applyNumberFormat="1" applyFont="1" applyFill="1"/>
    <xf numFmtId="43" fontId="0" fillId="0" borderId="9" xfId="1" applyFont="1" applyBorder="1"/>
    <xf numFmtId="167" fontId="0" fillId="0" borderId="0" xfId="0" applyNumberFormat="1" applyBorder="1"/>
    <xf numFmtId="9" fontId="0" fillId="0" borderId="1" xfId="2" applyFont="1" applyBorder="1" applyAlignment="1">
      <alignment horizontal="center"/>
    </xf>
    <xf numFmtId="167" fontId="0" fillId="0" borderId="9" xfId="1" applyNumberFormat="1" applyFont="1" applyBorder="1"/>
    <xf numFmtId="167" fontId="0" fillId="4" borderId="1" xfId="1" applyNumberFormat="1" applyFont="1" applyFill="1" applyBorder="1"/>
    <xf numFmtId="10" fontId="0" fillId="0" borderId="0" xfId="0" applyNumberFormat="1" applyBorder="1"/>
    <xf numFmtId="169" fontId="0" fillId="0" borderId="0" xfId="0" applyNumberFormat="1"/>
    <xf numFmtId="0" fontId="0" fillId="0" borderId="0" xfId="0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9" fontId="0" fillId="0" borderId="0" xfId="0" applyNumberFormat="1" applyBorder="1" applyAlignment="1">
      <alignment horizontal="center" vertical="center" wrapText="1"/>
    </xf>
    <xf numFmtId="167" fontId="0" fillId="0" borderId="0" xfId="1" applyNumberFormat="1" applyFont="1" applyBorder="1" applyAlignment="1">
      <alignment horizontal="justify" vertical="center" wrapText="1"/>
    </xf>
    <xf numFmtId="43" fontId="0" fillId="0" borderId="0" xfId="0" applyNumberFormat="1" applyBorder="1"/>
    <xf numFmtId="0" fontId="0" fillId="2" borderId="0" xfId="0" applyFill="1" applyBorder="1" applyAlignment="1">
      <alignment horizontal="center"/>
    </xf>
    <xf numFmtId="174" fontId="0" fillId="4" borderId="0" xfId="0" applyNumberFormat="1" applyFill="1" applyBorder="1"/>
    <xf numFmtId="9" fontId="0" fillId="0" borderId="3" xfId="2" applyFont="1" applyBorder="1"/>
    <xf numFmtId="9" fontId="0" fillId="0" borderId="2" xfId="2" applyFont="1" applyBorder="1"/>
    <xf numFmtId="167" fontId="0" fillId="0" borderId="9" xfId="0" applyNumberFormat="1" applyBorder="1"/>
    <xf numFmtId="9" fontId="0" fillId="0" borderId="1" xfId="2" applyNumberFormat="1" applyFont="1" applyBorder="1"/>
    <xf numFmtId="9" fontId="0" fillId="0" borderId="0" xfId="2" applyNumberFormat="1" applyFont="1"/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2" fillId="6" borderId="4" xfId="0" applyFont="1" applyFill="1" applyBorder="1" applyAlignment="1">
      <alignment horizontal="center"/>
    </xf>
    <xf numFmtId="0" fontId="2" fillId="6" borderId="6" xfId="0" applyFont="1" applyFill="1" applyBorder="1" applyAlignment="1">
      <alignment horizontal="center"/>
    </xf>
    <xf numFmtId="0" fontId="2" fillId="6" borderId="5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6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11" fillId="4" borderId="4" xfId="0" applyFont="1" applyFill="1" applyBorder="1" applyAlignment="1">
      <alignment horizontal="center"/>
    </xf>
    <xf numFmtId="0" fontId="11" fillId="4" borderId="6" xfId="0" applyFont="1" applyFill="1" applyBorder="1" applyAlignment="1">
      <alignment horizontal="center"/>
    </xf>
    <xf numFmtId="0" fontId="11" fillId="4" borderId="5" xfId="0" applyFont="1" applyFill="1" applyBorder="1" applyAlignment="1">
      <alignment horizontal="center"/>
    </xf>
    <xf numFmtId="0" fontId="11" fillId="3" borderId="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0" fontId="11" fillId="3" borderId="5" xfId="0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</a:t>
            </a:r>
            <a:r>
              <a:rPr lang="en-US" baseline="0"/>
              <a:t> Asset at Risk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Pricing!$CI$4</c:f>
              <c:strCache>
                <c:ptCount val="1"/>
                <c:pt idx="0">
                  <c:v>Death_NAAR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Pricing!$A$5:$A$317</c:f>
              <c:numCache>
                <c:formatCode>_(* #,##0.000_);_(* \(#,##0.000\);_(* "-"??_);_(@_)</c:formatCode>
                <c:ptCount val="3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</c:numCache>
            </c:numRef>
          </c:xVal>
          <c:yVal>
            <c:numRef>
              <c:f>Pricing!$CI$5:$CI$317</c:f>
              <c:numCache>
                <c:formatCode>_(* #,##0_);_(* \(#,##0\);_(* "-"??_);_(@_)</c:formatCode>
                <c:ptCount val="3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0.90453727743079071</c:v>
                </c:pt>
                <c:pt idx="92">
                  <c:v>25.727676415384849</c:v>
                </c:pt>
                <c:pt idx="93">
                  <c:v>50.659651694923014</c:v>
                </c:pt>
                <c:pt idx="94">
                  <c:v>75.700929239637844</c:v>
                </c:pt>
                <c:pt idx="95">
                  <c:v>100.85197714888818</c:v>
                </c:pt>
                <c:pt idx="96">
                  <c:v>126.11326550614467</c:v>
                </c:pt>
                <c:pt idx="97">
                  <c:v>149.87491321775997</c:v>
                </c:pt>
                <c:pt idx="98">
                  <c:v>173.74515048849571</c:v>
                </c:pt>
                <c:pt idx="99">
                  <c:v>197.72446154623867</c:v>
                </c:pt>
                <c:pt idx="100">
                  <c:v>221.81333275586439</c:v>
                </c:pt>
                <c:pt idx="101">
                  <c:v>246.01225262861772</c:v>
                </c:pt>
                <c:pt idx="102">
                  <c:v>269.73346769179625</c:v>
                </c:pt>
                <c:pt idx="103">
                  <c:v>293.56277676859099</c:v>
                </c:pt>
                <c:pt idx="104">
                  <c:v>317.50066035189047</c:v>
                </c:pt>
                <c:pt idx="105">
                  <c:v>341.5476010480379</c:v>
                </c:pt>
                <c:pt idx="106">
                  <c:v>365.70408358609166</c:v>
                </c:pt>
                <c:pt idx="107">
                  <c:v>389.97059482711848</c:v>
                </c:pt>
                <c:pt idx="108">
                  <c:v>414.34762377352308</c:v>
                </c:pt>
                <c:pt idx="109">
                  <c:v>437.27784760822396</c:v>
                </c:pt>
                <c:pt idx="110">
                  <c:v>460.31679688403347</c:v>
                </c:pt>
                <c:pt idx="111">
                  <c:v>483.46497402557179</c:v>
                </c:pt>
                <c:pt idx="112">
                  <c:v>506.72288375489552</c:v>
                </c:pt>
                <c:pt idx="113">
                  <c:v>530.09103310193495</c:v>
                </c:pt>
                <c:pt idx="114">
                  <c:v>619.25829004256593</c:v>
                </c:pt>
                <c:pt idx="115">
                  <c:v>708.98874078164954</c:v>
                </c:pt>
                <c:pt idx="116">
                  <c:v>799.28592143770948</c:v>
                </c:pt>
                <c:pt idx="117">
                  <c:v>890.15339029094139</c:v>
                </c:pt>
                <c:pt idx="118">
                  <c:v>981.59472792200177</c:v>
                </c:pt>
                <c:pt idx="119">
                  <c:v>1073.6135373517118</c:v>
                </c:pt>
                <c:pt idx="120">
                  <c:v>1166.213444181597</c:v>
                </c:pt>
                <c:pt idx="121">
                  <c:v>1257.9713739039316</c:v>
                </c:pt>
                <c:pt idx="122">
                  <c:v>1350.3248749646991</c:v>
                </c:pt>
                <c:pt idx="123">
                  <c:v>1443.2777907845766</c:v>
                </c:pt>
                <c:pt idx="124">
                  <c:v>1536.8339895443769</c:v>
                </c:pt>
                <c:pt idx="125">
                  <c:v>1630.9973643444719</c:v>
                </c:pt>
                <c:pt idx="126">
                  <c:v>1722.579158227878</c:v>
                </c:pt>
                <c:pt idx="127">
                  <c:v>1814.748014901792</c:v>
                </c:pt>
                <c:pt idx="128">
                  <c:v>1907.507675548828</c:v>
                </c:pt>
                <c:pt idx="129">
                  <c:v>2000.8619051507403</c:v>
                </c:pt>
                <c:pt idx="130">
                  <c:v>2094.814492639729</c:v>
                </c:pt>
                <c:pt idx="131">
                  <c:v>2189.3692510507262</c:v>
                </c:pt>
                <c:pt idx="132">
                  <c:v>2284.5300176746277</c:v>
                </c:pt>
                <c:pt idx="133">
                  <c:v>2386.4815449008465</c:v>
                </c:pt>
                <c:pt idx="134">
                  <c:v>2488.9963345693423</c:v>
                </c:pt>
                <c:pt idx="135">
                  <c:v>2592.0774806928684</c:v>
                </c:pt>
                <c:pt idx="136">
                  <c:v>2695.7280942452799</c:v>
                </c:pt>
                <c:pt idx="137">
                  <c:v>2799.9513032544373</c:v>
                </c:pt>
                <c:pt idx="138">
                  <c:v>2901.63536197538</c:v>
                </c:pt>
                <c:pt idx="139">
                  <c:v>3003.8734693114075</c:v>
                </c:pt>
                <c:pt idx="140">
                  <c:v>3106.6686264441887</c:v>
                </c:pt>
                <c:pt idx="141">
                  <c:v>3210.0238507783124</c:v>
                </c:pt>
                <c:pt idx="142">
                  <c:v>3313.9421760289179</c:v>
                </c:pt>
                <c:pt idx="143">
                  <c:v>3418.426652309794</c:v>
                </c:pt>
                <c:pt idx="144">
                  <c:v>3523.4803462219561</c:v>
                </c:pt>
                <c:pt idx="145">
                  <c:v>3629.1063409426961</c:v>
                </c:pt>
                <c:pt idx="146">
                  <c:v>3735.3077363151306</c:v>
                </c:pt>
                <c:pt idx="147">
                  <c:v>3842.0876489382035</c:v>
                </c:pt>
                <c:pt idx="148">
                  <c:v>3949.4492122572074</c:v>
                </c:pt>
                <c:pt idx="149">
                  <c:v>4057.3955766547651</c:v>
                </c:pt>
                <c:pt idx="150">
                  <c:v>4150.252234856348</c:v>
                </c:pt>
                <c:pt idx="151">
                  <c:v>4243.5804841082945</c:v>
                </c:pt>
                <c:pt idx="152">
                  <c:v>4337.3827033662956</c:v>
                </c:pt>
                <c:pt idx="153">
                  <c:v>4431.6612835558726</c:v>
                </c:pt>
                <c:pt idx="154">
                  <c:v>4526.4186276325545</c:v>
                </c:pt>
                <c:pt idx="155">
                  <c:v>4621.6571506423361</c:v>
                </c:pt>
                <c:pt idx="156">
                  <c:v>4717.3792797824608</c:v>
                </c:pt>
                <c:pt idx="157">
                  <c:v>4813.5874544624958</c:v>
                </c:pt>
                <c:pt idx="158">
                  <c:v>4910.2841263657165</c:v>
                </c:pt>
                <c:pt idx="159">
                  <c:v>5007.4717595107995</c:v>
                </c:pt>
                <c:pt idx="160">
                  <c:v>5105.152830313833</c:v>
                </c:pt>
                <c:pt idx="161">
                  <c:v>5203.3298276506275</c:v>
                </c:pt>
                <c:pt idx="162">
                  <c:v>5299.6389399704221</c:v>
                </c:pt>
                <c:pt idx="163">
                  <c:v>5396.4318292424132</c:v>
                </c:pt>
                <c:pt idx="164">
                  <c:v>5493.7109093700992</c:v>
                </c:pt>
                <c:pt idx="165">
                  <c:v>5591.4786062706135</c:v>
                </c:pt>
                <c:pt idx="166">
                  <c:v>5689.7373579344548</c:v>
                </c:pt>
                <c:pt idx="167">
                  <c:v>5788.4896144855111</c:v>
                </c:pt>
                <c:pt idx="168">
                  <c:v>5887.7378382413881</c:v>
                </c:pt>
                <c:pt idx="169">
                  <c:v>5987.4845037740333</c:v>
                </c:pt>
                <c:pt idx="170">
                  <c:v>6087.7320979706619</c:v>
                </c:pt>
                <c:pt idx="171">
                  <c:v>6188.4831200949848</c:v>
                </c:pt>
                <c:pt idx="172">
                  <c:v>6289.7400818487476</c:v>
                </c:pt>
                <c:pt idx="173">
                  <c:v>6391.5055074335633</c:v>
                </c:pt>
                <c:pt idx="174">
                  <c:v>6491.458080531138</c:v>
                </c:pt>
                <c:pt idx="175">
                  <c:v>6591.9074405561933</c:v>
                </c:pt>
                <c:pt idx="176">
                  <c:v>6692.8560403764423</c:v>
                </c:pt>
                <c:pt idx="177">
                  <c:v>6794.3063449393521</c:v>
                </c:pt>
                <c:pt idx="178">
                  <c:v>6896.2608313315686</c:v>
                </c:pt>
                <c:pt idx="179">
                  <c:v>6998.7219888386426</c:v>
                </c:pt>
                <c:pt idx="180">
                  <c:v>7101.6923190050456</c:v>
                </c:pt>
                <c:pt idx="181">
                  <c:v>7205.1743356944762</c:v>
                </c:pt>
                <c:pt idx="182">
                  <c:v>7309.1705651504699</c:v>
                </c:pt>
                <c:pt idx="183">
                  <c:v>7413.6835460573066</c:v>
                </c:pt>
                <c:pt idx="184">
                  <c:v>7518.7158296012112</c:v>
                </c:pt>
                <c:pt idx="185">
                  <c:v>7624.2699795318613</c:v>
                </c:pt>
                <c:pt idx="186">
                  <c:v>7649.8946880379281</c:v>
                </c:pt>
                <c:pt idx="187">
                  <c:v>7675.6051945175168</c:v>
                </c:pt>
                <c:pt idx="188">
                  <c:v>7701.4017786609202</c:v>
                </c:pt>
                <c:pt idx="189">
                  <c:v>7727.2847210564105</c:v>
                </c:pt>
                <c:pt idx="190">
                  <c:v>7753.2543031931045</c:v>
                </c:pt>
                <c:pt idx="191">
                  <c:v>7779.3108074638212</c:v>
                </c:pt>
                <c:pt idx="192">
                  <c:v>7805.4545171679629</c:v>
                </c:pt>
                <c:pt idx="193">
                  <c:v>7831.6857165143992</c:v>
                </c:pt>
                <c:pt idx="194">
                  <c:v>7858.0046906243579</c:v>
                </c:pt>
                <c:pt idx="195">
                  <c:v>7884.4117255343299</c:v>
                </c:pt>
                <c:pt idx="196">
                  <c:v>7910.9071081989841</c:v>
                </c:pt>
                <c:pt idx="197">
                  <c:v>7937.4911264940811</c:v>
                </c:pt>
                <c:pt idx="198">
                  <c:v>7964.0245148550075</c:v>
                </c:pt>
                <c:pt idx="199">
                  <c:v>7990.6466168751049</c:v>
                </c:pt>
                <c:pt idx="200">
                  <c:v>8017.3577214314664</c:v>
                </c:pt>
                <c:pt idx="201">
                  <c:v>8044.1581183277995</c:v>
                </c:pt>
                <c:pt idx="202">
                  <c:v>8071.0480982973659</c:v>
                </c:pt>
                <c:pt idx="203">
                  <c:v>8098.027953005937</c:v>
                </c:pt>
                <c:pt idx="204">
                  <c:v>8125.0979750547613</c:v>
                </c:pt>
                <c:pt idx="205">
                  <c:v>8152.2584579835375</c:v>
                </c:pt>
                <c:pt idx="206">
                  <c:v>8179.509696273396</c:v>
                </c:pt>
                <c:pt idx="207">
                  <c:v>8206.8519853498947</c:v>
                </c:pt>
                <c:pt idx="208">
                  <c:v>8234.2856215860174</c:v>
                </c:pt>
                <c:pt idx="209">
                  <c:v>8261.8109023051911</c:v>
                </c:pt>
                <c:pt idx="210">
                  <c:v>8289.2901956766782</c:v>
                </c:pt>
                <c:pt idx="211">
                  <c:v>8316.8612373433316</c:v>
                </c:pt>
                <c:pt idx="212">
                  <c:v>8344.5243257458733</c:v>
                </c:pt>
                <c:pt idx="213">
                  <c:v>8372.279760281448</c:v>
                </c:pt>
                <c:pt idx="214">
                  <c:v>8400.1278413066648</c:v>
                </c:pt>
                <c:pt idx="215">
                  <c:v>8428.0688701406398</c:v>
                </c:pt>
                <c:pt idx="216">
                  <c:v>8456.1031490680652</c:v>
                </c:pt>
                <c:pt idx="217">
                  <c:v>8484.2309813422653</c:v>
                </c:pt>
                <c:pt idx="218">
                  <c:v>8512.4526711882754</c:v>
                </c:pt>
                <c:pt idx="219">
                  <c:v>8540.7685238059348</c:v>
                </c:pt>
                <c:pt idx="220">
                  <c:v>8569.178845372975</c:v>
                </c:pt>
                <c:pt idx="221">
                  <c:v>8597.6839430481305</c:v>
                </c:pt>
                <c:pt idx="222">
                  <c:v>8626.1478541970446</c:v>
                </c:pt>
                <c:pt idx="223">
                  <c:v>8654.7066720640578</c:v>
                </c:pt>
                <c:pt idx="224">
                  <c:v>8683.3607050459668</c:v>
                </c:pt>
                <c:pt idx="225">
                  <c:v>8712.1102625270378</c:v>
                </c:pt>
                <c:pt idx="226">
                  <c:v>8740.9556548821602</c:v>
                </c:pt>
                <c:pt idx="227">
                  <c:v>8769.8971934799756</c:v>
                </c:pt>
                <c:pt idx="228">
                  <c:v>8798.9351906860375</c:v>
                </c:pt>
                <c:pt idx="229">
                  <c:v>8828.0699598659776</c:v>
                </c:pt>
                <c:pt idx="230">
                  <c:v>8857.3018153886751</c:v>
                </c:pt>
                <c:pt idx="231">
                  <c:v>8886.6310726294487</c:v>
                </c:pt>
                <c:pt idx="232">
                  <c:v>8916.0580479732416</c:v>
                </c:pt>
                <c:pt idx="233">
                  <c:v>8945.5830588178342</c:v>
                </c:pt>
                <c:pt idx="234">
                  <c:v>8975.0718507915353</c:v>
                </c:pt>
                <c:pt idx="235">
                  <c:v>9004.6588367432269</c:v>
                </c:pt>
                <c:pt idx="236">
                  <c:v>9034.3443354345764</c:v>
                </c:pt>
                <c:pt idx="237">
                  <c:v>9064.1286666470696</c:v>
                </c:pt>
                <c:pt idx="238">
                  <c:v>9094.0121511852576</c:v>
                </c:pt>
                <c:pt idx="239">
                  <c:v>9123.9951108799887</c:v>
                </c:pt>
                <c:pt idx="240">
                  <c:v>9154.0778685916703</c:v>
                </c:pt>
                <c:pt idx="241">
                  <c:v>9184.2607482135336</c:v>
                </c:pt>
                <c:pt idx="242">
                  <c:v>9214.54407467491</c:v>
                </c:pt>
                <c:pt idx="243">
                  <c:v>9244.9281739445178</c:v>
                </c:pt>
                <c:pt idx="244">
                  <c:v>9275.4133730337508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A7-45BC-9759-7249AD879363}"/>
            </c:ext>
          </c:extLst>
        </c:ser>
        <c:ser>
          <c:idx val="1"/>
          <c:order val="1"/>
          <c:tx>
            <c:strRef>
              <c:f>Pricing!$CH$4</c:f>
              <c:strCache>
                <c:ptCount val="1"/>
                <c:pt idx="0">
                  <c:v>Myopia_NAAR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Pricing!$A$5:$A$317</c:f>
              <c:numCache>
                <c:formatCode>_(* #,##0.000_);_(* \(#,##0.000\);_(* "-"??_);_(@_)</c:formatCode>
                <c:ptCount val="3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</c:numCache>
            </c:numRef>
          </c:xVal>
          <c:yVal>
            <c:numRef>
              <c:f>Pricing!$CH$5:$CH$317</c:f>
              <c:numCache>
                <c:formatCode>_(* #,##0_);_(* \(#,##0\);_(* "-"??_);_(@_)</c:formatCode>
                <c:ptCount val="313"/>
                <c:pt idx="1">
                  <c:v>37558.381142611426</c:v>
                </c:pt>
                <c:pt idx="2">
                  <c:v>37544.927511390808</c:v>
                </c:pt>
                <c:pt idx="3">
                  <c:v>37531.455278146139</c:v>
                </c:pt>
                <c:pt idx="4">
                  <c:v>37517.96441922852</c:v>
                </c:pt>
                <c:pt idx="5">
                  <c:v>37504.45491096381</c:v>
                </c:pt>
                <c:pt idx="6">
                  <c:v>37490.926729652594</c:v>
                </c:pt>
                <c:pt idx="7">
                  <c:v>37477.379851570186</c:v>
                </c:pt>
                <c:pt idx="8">
                  <c:v>37463.814252966622</c:v>
                </c:pt>
                <c:pt idx="9">
                  <c:v>37450.229910066621</c:v>
                </c:pt>
                <c:pt idx="10">
                  <c:v>37436.626799069592</c:v>
                </c:pt>
                <c:pt idx="11">
                  <c:v>37423.0048961496</c:v>
                </c:pt>
                <c:pt idx="12">
                  <c:v>37409.364177455369</c:v>
                </c:pt>
                <c:pt idx="13">
                  <c:v>37394.009679620212</c:v>
                </c:pt>
                <c:pt idx="14">
                  <c:v>37378.630790842857</c:v>
                </c:pt>
                <c:pt idx="15">
                  <c:v>37363.227473709201</c:v>
                </c:pt>
                <c:pt idx="16">
                  <c:v>37347.799690750733</c:v>
                </c:pt>
                <c:pt idx="17">
                  <c:v>37332.347404444459</c:v>
                </c:pt>
                <c:pt idx="18">
                  <c:v>37316.870509286993</c:v>
                </c:pt>
                <c:pt idx="19">
                  <c:v>37301.369032484487</c:v>
                </c:pt>
                <c:pt idx="20">
                  <c:v>37285.842936339701</c:v>
                </c:pt>
                <c:pt idx="21">
                  <c:v>37270.292183100602</c:v>
                </c:pt>
                <c:pt idx="22">
                  <c:v>37254.71673496029</c:v>
                </c:pt>
                <c:pt idx="23">
                  <c:v>37239.116554056927</c:v>
                </c:pt>
                <c:pt idx="24">
                  <c:v>37223.491602473659</c:v>
                </c:pt>
                <c:pt idx="25">
                  <c:v>37206.116197343283</c:v>
                </c:pt>
                <c:pt idx="26">
                  <c:v>37188.709708400769</c:v>
                </c:pt>
                <c:pt idx="27">
                  <c:v>37171.272080618859</c:v>
                </c:pt>
                <c:pt idx="28">
                  <c:v>37153.803258874133</c:v>
                </c:pt>
                <c:pt idx="29">
                  <c:v>37136.303187946876</c:v>
                </c:pt>
                <c:pt idx="30">
                  <c:v>37143.614136762015</c:v>
                </c:pt>
                <c:pt idx="31">
                  <c:v>37150.948684462186</c:v>
                </c:pt>
                <c:pt idx="32">
                  <c:v>37158.306902091768</c:v>
                </c:pt>
                <c:pt idx="33">
                  <c:v>37165.688860900773</c:v>
                </c:pt>
                <c:pt idx="34">
                  <c:v>37173.094632345383</c:v>
                </c:pt>
                <c:pt idx="35">
                  <c:v>37180.524288088556</c:v>
                </c:pt>
                <c:pt idx="36">
                  <c:v>37187.977900000638</c:v>
                </c:pt>
                <c:pt idx="37">
                  <c:v>37193.724623634276</c:v>
                </c:pt>
                <c:pt idx="38">
                  <c:v>37199.491816577778</c:v>
                </c:pt>
                <c:pt idx="39">
                  <c:v>37205.279545193654</c:v>
                </c:pt>
                <c:pt idx="40">
                  <c:v>37211.087876049402</c:v>
                </c:pt>
                <c:pt idx="41">
                  <c:v>37216.916875918083</c:v>
                </c:pt>
                <c:pt idx="42">
                  <c:v>37222.6137633506</c:v>
                </c:pt>
                <c:pt idx="43">
                  <c:v>37228.330994203141</c:v>
                </c:pt>
                <c:pt idx="44">
                  <c:v>37234.068634473952</c:v>
                </c:pt>
                <c:pt idx="45">
                  <c:v>37239.826750365042</c:v>
                </c:pt>
                <c:pt idx="46">
                  <c:v>37245.605408282892</c:v>
                </c:pt>
                <c:pt idx="47">
                  <c:v>37251.404674838981</c:v>
                </c:pt>
                <c:pt idx="48">
                  <c:v>37257.224616850443</c:v>
                </c:pt>
                <c:pt idx="49">
                  <c:v>37261.34874844116</c:v>
                </c:pt>
                <c:pt idx="50">
                  <c:v>37265.489513736407</c:v>
                </c:pt>
                <c:pt idx="51">
                  <c:v>37269.646971177484</c:v>
                </c:pt>
                <c:pt idx="52">
                  <c:v>37273.821179398423</c:v>
                </c:pt>
                <c:pt idx="53">
                  <c:v>37278.012197226613</c:v>
                </c:pt>
                <c:pt idx="54">
                  <c:v>37282.068866253838</c:v>
                </c:pt>
                <c:pt idx="55">
                  <c:v>37286.141988607</c:v>
                </c:pt>
                <c:pt idx="56">
                  <c:v>37290.23162219402</c:v>
                </c:pt>
                <c:pt idx="57">
                  <c:v>37294.337825113849</c:v>
                </c:pt>
                <c:pt idx="58">
                  <c:v>37298.460655657094</c:v>
                </c:pt>
                <c:pt idx="59">
                  <c:v>37302.600172306637</c:v>
                </c:pt>
                <c:pt idx="60">
                  <c:v>37306.756433738192</c:v>
                </c:pt>
                <c:pt idx="61">
                  <c:v>37309.223806137859</c:v>
                </c:pt>
                <c:pt idx="62">
                  <c:v>37311.703309800287</c:v>
                </c:pt>
                <c:pt idx="63">
                  <c:v>37314.194991788783</c:v>
                </c:pt>
                <c:pt idx="64">
                  <c:v>37316.698899333351</c:v>
                </c:pt>
                <c:pt idx="65">
                  <c:v>37319.21507983125</c:v>
                </c:pt>
                <c:pt idx="66">
                  <c:v>37321.594007858126</c:v>
                </c:pt>
                <c:pt idx="67">
                  <c:v>37323.984815701144</c:v>
                </c:pt>
                <c:pt idx="68">
                  <c:v>37326.38754965266</c:v>
                </c:pt>
                <c:pt idx="69">
                  <c:v>37328.802256169263</c:v>
                </c:pt>
                <c:pt idx="70">
                  <c:v>37331.228981872278</c:v>
                </c:pt>
                <c:pt idx="71">
                  <c:v>37333.667773548354</c:v>
                </c:pt>
                <c:pt idx="72">
                  <c:v>37336.118678150015</c:v>
                </c:pt>
                <c:pt idx="73">
                  <c:v>37336.883339836408</c:v>
                </c:pt>
                <c:pt idx="74">
                  <c:v>37337.654907042524</c:v>
                </c:pt>
                <c:pt idx="75">
                  <c:v>37338.433411464946</c:v>
                </c:pt>
                <c:pt idx="76">
                  <c:v>37339.218884923517</c:v>
                </c:pt>
                <c:pt idx="77">
                  <c:v>37340.011359361801</c:v>
                </c:pt>
                <c:pt idx="78">
                  <c:v>37365.570700886863</c:v>
                </c:pt>
                <c:pt idx="79">
                  <c:v>37391.237758362673</c:v>
                </c:pt>
                <c:pt idx="80">
                  <c:v>37417.012975721533</c:v>
                </c:pt>
                <c:pt idx="81">
                  <c:v>37442.896798706701</c:v>
                </c:pt>
                <c:pt idx="82">
                  <c:v>37468.889674879771</c:v>
                </c:pt>
                <c:pt idx="83">
                  <c:v>37494.992053628033</c:v>
                </c:pt>
                <c:pt idx="84">
                  <c:v>37521.204386171885</c:v>
                </c:pt>
                <c:pt idx="85">
                  <c:v>37545.862227649231</c:v>
                </c:pt>
                <c:pt idx="86">
                  <c:v>37570.628533921714</c:v>
                </c:pt>
                <c:pt idx="87">
                  <c:v>37595.503771122181</c:v>
                </c:pt>
                <c:pt idx="88">
                  <c:v>37620.488407366298</c:v>
                </c:pt>
                <c:pt idx="89">
                  <c:v>37645.582912760969</c:v>
                </c:pt>
                <c:pt idx="90">
                  <c:v>37670.189770124933</c:v>
                </c:pt>
                <c:pt idx="91">
                  <c:v>37694.904537277427</c:v>
                </c:pt>
                <c:pt idx="92">
                  <c:v>37719.727676415387</c:v>
                </c:pt>
                <c:pt idx="93">
                  <c:v>37744.659651694921</c:v>
                </c:pt>
                <c:pt idx="94">
                  <c:v>37769.70092923964</c:v>
                </c:pt>
                <c:pt idx="95">
                  <c:v>37794.851977148886</c:v>
                </c:pt>
                <c:pt idx="96">
                  <c:v>37820.113265506145</c:v>
                </c:pt>
                <c:pt idx="97">
                  <c:v>37843.874913217762</c:v>
                </c:pt>
                <c:pt idx="98">
                  <c:v>37867.745150488496</c:v>
                </c:pt>
                <c:pt idx="99">
                  <c:v>37891.72446154624</c:v>
                </c:pt>
                <c:pt idx="100">
                  <c:v>37915.813332755861</c:v>
                </c:pt>
                <c:pt idx="101">
                  <c:v>37940.012252628614</c:v>
                </c:pt>
                <c:pt idx="102">
                  <c:v>37963.733467691796</c:v>
                </c:pt>
                <c:pt idx="103">
                  <c:v>37987.562776768595</c:v>
                </c:pt>
                <c:pt idx="104">
                  <c:v>38011.500660351892</c:v>
                </c:pt>
                <c:pt idx="105">
                  <c:v>38035.547601048034</c:v>
                </c:pt>
                <c:pt idx="106">
                  <c:v>38059.70408358609</c:v>
                </c:pt>
                <c:pt idx="107">
                  <c:v>38083.970594827115</c:v>
                </c:pt>
                <c:pt idx="108">
                  <c:v>38108.347623773523</c:v>
                </c:pt>
                <c:pt idx="109">
                  <c:v>38131.277847608224</c:v>
                </c:pt>
                <c:pt idx="110">
                  <c:v>38154.316796884035</c:v>
                </c:pt>
                <c:pt idx="111">
                  <c:v>38177.46497402557</c:v>
                </c:pt>
                <c:pt idx="112">
                  <c:v>38200.722883754897</c:v>
                </c:pt>
                <c:pt idx="113">
                  <c:v>38224.091033101933</c:v>
                </c:pt>
                <c:pt idx="114">
                  <c:v>38313.258290042562</c:v>
                </c:pt>
                <c:pt idx="115">
                  <c:v>38402.98874078165</c:v>
                </c:pt>
                <c:pt idx="116">
                  <c:v>38493.285921437709</c:v>
                </c:pt>
                <c:pt idx="117">
                  <c:v>38584.153390290943</c:v>
                </c:pt>
                <c:pt idx="118">
                  <c:v>38675.594727921998</c:v>
                </c:pt>
                <c:pt idx="119">
                  <c:v>38767.61353735171</c:v>
                </c:pt>
                <c:pt idx="120">
                  <c:v>38860.213444181594</c:v>
                </c:pt>
                <c:pt idx="121">
                  <c:v>38951.971373903929</c:v>
                </c:pt>
                <c:pt idx="122">
                  <c:v>39044.324874964703</c:v>
                </c:pt>
                <c:pt idx="123">
                  <c:v>39137.277790784574</c:v>
                </c:pt>
                <c:pt idx="124">
                  <c:v>39230.833989544379</c:v>
                </c:pt>
                <c:pt idx="125">
                  <c:v>39324.997364344468</c:v>
                </c:pt>
                <c:pt idx="126">
                  <c:v>39416.579158227876</c:v>
                </c:pt>
                <c:pt idx="127">
                  <c:v>39508.748014901794</c:v>
                </c:pt>
                <c:pt idx="128">
                  <c:v>39601.507675548826</c:v>
                </c:pt>
                <c:pt idx="129">
                  <c:v>39694.861905150741</c:v>
                </c:pt>
                <c:pt idx="130">
                  <c:v>39788.814492639729</c:v>
                </c:pt>
                <c:pt idx="131">
                  <c:v>39883.369251050724</c:v>
                </c:pt>
                <c:pt idx="132">
                  <c:v>39978.530017674624</c:v>
                </c:pt>
                <c:pt idx="133">
                  <c:v>40080.481544900846</c:v>
                </c:pt>
                <c:pt idx="134">
                  <c:v>40182.99633456934</c:v>
                </c:pt>
                <c:pt idx="135">
                  <c:v>40286.077480692868</c:v>
                </c:pt>
                <c:pt idx="136">
                  <c:v>40389.728094245278</c:v>
                </c:pt>
                <c:pt idx="137">
                  <c:v>40493.951303254435</c:v>
                </c:pt>
                <c:pt idx="138">
                  <c:v>40595.635361975379</c:v>
                </c:pt>
                <c:pt idx="139">
                  <c:v>40697.873469311409</c:v>
                </c:pt>
                <c:pt idx="140">
                  <c:v>40800.668626444189</c:v>
                </c:pt>
                <c:pt idx="141">
                  <c:v>40904.023850778314</c:v>
                </c:pt>
                <c:pt idx="142">
                  <c:v>41007.942176028919</c:v>
                </c:pt>
                <c:pt idx="143">
                  <c:v>41112.42665230979</c:v>
                </c:pt>
                <c:pt idx="144">
                  <c:v>41217.480346221957</c:v>
                </c:pt>
                <c:pt idx="145">
                  <c:v>41323.106340942693</c:v>
                </c:pt>
                <c:pt idx="146">
                  <c:v>41429.307736315131</c:v>
                </c:pt>
                <c:pt idx="147">
                  <c:v>41536.087648938206</c:v>
                </c:pt>
                <c:pt idx="148">
                  <c:v>41643.449212257205</c:v>
                </c:pt>
                <c:pt idx="149">
                  <c:v>41751.395576654766</c:v>
                </c:pt>
                <c:pt idx="150">
                  <c:v>41844.252234856351</c:v>
                </c:pt>
                <c:pt idx="151">
                  <c:v>41937.580484108294</c:v>
                </c:pt>
                <c:pt idx="152">
                  <c:v>42031.382703366296</c:v>
                </c:pt>
                <c:pt idx="153">
                  <c:v>42125.66128355587</c:v>
                </c:pt>
                <c:pt idx="154">
                  <c:v>42220.418627632556</c:v>
                </c:pt>
                <c:pt idx="155">
                  <c:v>42315.657150642335</c:v>
                </c:pt>
                <c:pt idx="156">
                  <c:v>42411.379279782457</c:v>
                </c:pt>
                <c:pt idx="157">
                  <c:v>42507.587454462497</c:v>
                </c:pt>
                <c:pt idx="158">
                  <c:v>42604.284126365717</c:v>
                </c:pt>
                <c:pt idx="159">
                  <c:v>42701.471759510801</c:v>
                </c:pt>
                <c:pt idx="160">
                  <c:v>42799.152830313833</c:v>
                </c:pt>
                <c:pt idx="161">
                  <c:v>42897.329827650625</c:v>
                </c:pt>
                <c:pt idx="162">
                  <c:v>42993.63893997042</c:v>
                </c:pt>
                <c:pt idx="163">
                  <c:v>43090.431829242414</c:v>
                </c:pt>
                <c:pt idx="164">
                  <c:v>43187.7109093701</c:v>
                </c:pt>
                <c:pt idx="165">
                  <c:v>43285.478606270612</c:v>
                </c:pt>
                <c:pt idx="166">
                  <c:v>43383.737357934457</c:v>
                </c:pt>
                <c:pt idx="167">
                  <c:v>43482.489614485508</c:v>
                </c:pt>
                <c:pt idx="168">
                  <c:v>43581.737838241388</c:v>
                </c:pt>
                <c:pt idx="169">
                  <c:v>43681.484503774031</c:v>
                </c:pt>
                <c:pt idx="170">
                  <c:v>43781.732097970664</c:v>
                </c:pt>
                <c:pt idx="171">
                  <c:v>43882.483120094985</c:v>
                </c:pt>
                <c:pt idx="172">
                  <c:v>43983.740081848751</c:v>
                </c:pt>
                <c:pt idx="173">
                  <c:v>44085.505507433561</c:v>
                </c:pt>
                <c:pt idx="174">
                  <c:v>44185.458080531142</c:v>
                </c:pt>
                <c:pt idx="175">
                  <c:v>44285.907440556191</c:v>
                </c:pt>
                <c:pt idx="176">
                  <c:v>44386.856040376442</c:v>
                </c:pt>
                <c:pt idx="177">
                  <c:v>44488.306344939352</c:v>
                </c:pt>
                <c:pt idx="178">
                  <c:v>44590.260831331572</c:v>
                </c:pt>
                <c:pt idx="179">
                  <c:v>44692.721988838646</c:v>
                </c:pt>
                <c:pt idx="180">
                  <c:v>44795.692319005044</c:v>
                </c:pt>
                <c:pt idx="181">
                  <c:v>44899.174335694479</c:v>
                </c:pt>
                <c:pt idx="182">
                  <c:v>45003.170565150467</c:v>
                </c:pt>
                <c:pt idx="183">
                  <c:v>45107.683546057306</c:v>
                </c:pt>
                <c:pt idx="184">
                  <c:v>45212.715829601213</c:v>
                </c:pt>
                <c:pt idx="185">
                  <c:v>45318.269979531862</c:v>
                </c:pt>
                <c:pt idx="186">
                  <c:v>45343.89468803793</c:v>
                </c:pt>
                <c:pt idx="187">
                  <c:v>45369.60519451752</c:v>
                </c:pt>
                <c:pt idx="188">
                  <c:v>45395.401778660918</c:v>
                </c:pt>
                <c:pt idx="189">
                  <c:v>45421.284721056407</c:v>
                </c:pt>
                <c:pt idx="190">
                  <c:v>45447.254303193105</c:v>
                </c:pt>
                <c:pt idx="191">
                  <c:v>45473.310807463822</c:v>
                </c:pt>
                <c:pt idx="192">
                  <c:v>45499.454517167964</c:v>
                </c:pt>
                <c:pt idx="193">
                  <c:v>45525.685716514403</c:v>
                </c:pt>
                <c:pt idx="194">
                  <c:v>45552.004690624359</c:v>
                </c:pt>
                <c:pt idx="195">
                  <c:v>45578.41172553433</c:v>
                </c:pt>
                <c:pt idx="196">
                  <c:v>45604.907108198982</c:v>
                </c:pt>
                <c:pt idx="197">
                  <c:v>45631.491126494082</c:v>
                </c:pt>
                <c:pt idx="198">
                  <c:v>45658.024514855009</c:v>
                </c:pt>
                <c:pt idx="199">
                  <c:v>45684.646616875107</c:v>
                </c:pt>
                <c:pt idx="200">
                  <c:v>45711.357721431465</c:v>
                </c:pt>
                <c:pt idx="201">
                  <c:v>45738.158118327803</c:v>
                </c:pt>
                <c:pt idx="202">
                  <c:v>45765.048098297368</c:v>
                </c:pt>
                <c:pt idx="203">
                  <c:v>45792.027953005934</c:v>
                </c:pt>
                <c:pt idx="204">
                  <c:v>45819.097975054763</c:v>
                </c:pt>
                <c:pt idx="205">
                  <c:v>45846.258457983538</c:v>
                </c:pt>
                <c:pt idx="206">
                  <c:v>45873.509696273395</c:v>
                </c:pt>
                <c:pt idx="207">
                  <c:v>45900.851985349895</c:v>
                </c:pt>
                <c:pt idx="208">
                  <c:v>45928.285621586016</c:v>
                </c:pt>
                <c:pt idx="209">
                  <c:v>45955.810902305195</c:v>
                </c:pt>
                <c:pt idx="210">
                  <c:v>45983.29019567668</c:v>
                </c:pt>
                <c:pt idx="211">
                  <c:v>46010.861237343335</c:v>
                </c:pt>
                <c:pt idx="212">
                  <c:v>46038.524325745871</c:v>
                </c:pt>
                <c:pt idx="213">
                  <c:v>46066.279760281446</c:v>
                </c:pt>
                <c:pt idx="214">
                  <c:v>46094.127841306661</c:v>
                </c:pt>
                <c:pt idx="215">
                  <c:v>46122.06887014064</c:v>
                </c:pt>
                <c:pt idx="216">
                  <c:v>46150.103149068069</c:v>
                </c:pt>
                <c:pt idx="217">
                  <c:v>46178.230981342269</c:v>
                </c:pt>
                <c:pt idx="218">
                  <c:v>46206.452671188279</c:v>
                </c:pt>
                <c:pt idx="219">
                  <c:v>46234.768523805935</c:v>
                </c:pt>
                <c:pt idx="220">
                  <c:v>46263.178845372975</c:v>
                </c:pt>
                <c:pt idx="221">
                  <c:v>46291.683943048127</c:v>
                </c:pt>
                <c:pt idx="222">
                  <c:v>46320.147854197043</c:v>
                </c:pt>
                <c:pt idx="223">
                  <c:v>46348.706672064058</c:v>
                </c:pt>
                <c:pt idx="224">
                  <c:v>46377.360705045969</c:v>
                </c:pt>
                <c:pt idx="225">
                  <c:v>46406.110262527036</c:v>
                </c:pt>
                <c:pt idx="226">
                  <c:v>46434.955654882164</c:v>
                </c:pt>
                <c:pt idx="227">
                  <c:v>46463.897193479977</c:v>
                </c:pt>
                <c:pt idx="228">
                  <c:v>46492.935190686039</c:v>
                </c:pt>
                <c:pt idx="229">
                  <c:v>46522.069959865978</c:v>
                </c:pt>
                <c:pt idx="230">
                  <c:v>46551.301815388673</c:v>
                </c:pt>
                <c:pt idx="231">
                  <c:v>46580.631072629447</c:v>
                </c:pt>
                <c:pt idx="232">
                  <c:v>46610.058047973245</c:v>
                </c:pt>
                <c:pt idx="233">
                  <c:v>46639.583058817836</c:v>
                </c:pt>
                <c:pt idx="234">
                  <c:v>46669.071850791537</c:v>
                </c:pt>
                <c:pt idx="235">
                  <c:v>46698.658836743227</c:v>
                </c:pt>
                <c:pt idx="236">
                  <c:v>46728.344335434573</c:v>
                </c:pt>
                <c:pt idx="237">
                  <c:v>46758.12866664707</c:v>
                </c:pt>
                <c:pt idx="238">
                  <c:v>46788.012151185256</c:v>
                </c:pt>
                <c:pt idx="239">
                  <c:v>46817.995110879987</c:v>
                </c:pt>
                <c:pt idx="240">
                  <c:v>46848.077868591667</c:v>
                </c:pt>
                <c:pt idx="241">
                  <c:v>46878.260748213535</c:v>
                </c:pt>
                <c:pt idx="242">
                  <c:v>46908.544074674908</c:v>
                </c:pt>
                <c:pt idx="243">
                  <c:v>46938.928173944514</c:v>
                </c:pt>
                <c:pt idx="244">
                  <c:v>46969.413373033749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A7-45BC-9759-7249AD879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8955535"/>
        <c:axId val="1206333039"/>
      </c:scatterChart>
      <c:valAx>
        <c:axId val="1208955535"/>
        <c:scaling>
          <c:orientation val="minMax"/>
          <c:max val="25"/>
        </c:scaling>
        <c:delete val="0"/>
        <c:axPos val="b"/>
        <c:numFmt formatCode="_(* #,##0.000_);_(* \(#,##0.0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6333039"/>
        <c:crosses val="autoZero"/>
        <c:crossBetween val="midCat"/>
      </c:valAx>
      <c:valAx>
        <c:axId val="120633303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895553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Reserves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Insurance_Risk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Pricing!$A$5:$A$317</c:f>
              <c:numCache>
                <c:formatCode>_(* #,##0.000_);_(* \(#,##0.000\);_(* "-"??_);_(@_)</c:formatCode>
                <c:ptCount val="3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</c:numCache>
            </c:numRef>
          </c:xVal>
          <c:yVal>
            <c:numRef>
              <c:f>Reserve!$BM$5:$BM$317</c:f>
              <c:numCache>
                <c:formatCode>_(* #,##0_);_(* \(#,##0\);_(* "-"??_);_(@_)</c:formatCode>
                <c:ptCount val="313"/>
                <c:pt idx="0">
                  <c:v>0</c:v>
                </c:pt>
                <c:pt idx="1">
                  <c:v>8551.2504051379274</c:v>
                </c:pt>
                <c:pt idx="2">
                  <c:v>8567.812094000712</c:v>
                </c:pt>
                <c:pt idx="3">
                  <c:v>8584.4064272964479</c:v>
                </c:pt>
                <c:pt idx="4">
                  <c:v>8601.0334694952126</c:v>
                </c:pt>
                <c:pt idx="5">
                  <c:v>8617.6932851946785</c:v>
                </c:pt>
                <c:pt idx="6">
                  <c:v>8634.3859391203659</c:v>
                </c:pt>
                <c:pt idx="7">
                  <c:v>8651.1114961258954</c:v>
                </c:pt>
                <c:pt idx="8">
                  <c:v>8667.8700211932373</c:v>
                </c:pt>
                <c:pt idx="9">
                  <c:v>8684.6615794329809</c:v>
                </c:pt>
                <c:pt idx="10">
                  <c:v>8701.4862360845727</c:v>
                </c:pt>
                <c:pt idx="11">
                  <c:v>8718.3440565165765</c:v>
                </c:pt>
                <c:pt idx="12">
                  <c:v>8735.2351062269372</c:v>
                </c:pt>
                <c:pt idx="13">
                  <c:v>8754.205032696158</c:v>
                </c:pt>
                <c:pt idx="14">
                  <c:v>8773.2172556400583</c:v>
                </c:pt>
                <c:pt idx="15">
                  <c:v>8792.2718704803156</c:v>
                </c:pt>
                <c:pt idx="16">
                  <c:v>8811.3689728562294</c:v>
                </c:pt>
                <c:pt idx="17">
                  <c:v>8830.5086586252364</c:v>
                </c:pt>
                <c:pt idx="18">
                  <c:v>8849.6909320418054</c:v>
                </c:pt>
                <c:pt idx="19">
                  <c:v>8868.9159846759958</c:v>
                </c:pt>
                <c:pt idx="20">
                  <c:v>8888.1839130592434</c:v>
                </c:pt>
                <c:pt idx="21">
                  <c:v>8907.4948139431926</c:v>
                </c:pt>
                <c:pt idx="22">
                  <c:v>8926.8487843001967</c:v>
                </c:pt>
                <c:pt idx="23">
                  <c:v>8946.2459213238308</c:v>
                </c:pt>
                <c:pt idx="24">
                  <c:v>8965.6863224294011</c:v>
                </c:pt>
                <c:pt idx="25">
                  <c:v>8987.2657145443154</c:v>
                </c:pt>
                <c:pt idx="26">
                  <c:v>9008.8987050005126</c:v>
                </c:pt>
                <c:pt idx="27">
                  <c:v>9030.5854290585448</c:v>
                </c:pt>
                <c:pt idx="28">
                  <c:v>9052.3260223247526</c:v>
                </c:pt>
                <c:pt idx="29">
                  <c:v>9074.1206207521427</c:v>
                </c:pt>
                <c:pt idx="30">
                  <c:v>9070.6016746043788</c:v>
                </c:pt>
                <c:pt idx="31">
                  <c:v>9067.0670121115381</c:v>
                </c:pt>
                <c:pt idx="32">
                  <c:v>9063.5165731409743</c:v>
                </c:pt>
                <c:pt idx="33">
                  <c:v>9059.9502973445215</c:v>
                </c:pt>
                <c:pt idx="34">
                  <c:v>9056.3681241577506</c:v>
                </c:pt>
                <c:pt idx="35">
                  <c:v>9052.7699927992198</c:v>
                </c:pt>
                <c:pt idx="36">
                  <c:v>9049.1558422697144</c:v>
                </c:pt>
                <c:pt idx="37">
                  <c:v>9047.6382131884548</c:v>
                </c:pt>
                <c:pt idx="38">
                  <c:v>9046.1111338947503</c:v>
                </c:pt>
                <c:pt idx="39">
                  <c:v>9044.5745628439727</c:v>
                </c:pt>
                <c:pt idx="40">
                  <c:v>9043.0284583280645</c:v>
                </c:pt>
                <c:pt idx="41">
                  <c:v>9041.4727784749393</c:v>
                </c:pt>
                <c:pt idx="42">
                  <c:v>9040.0632123128489</c:v>
                </c:pt>
                <c:pt idx="43">
                  <c:v>9038.6445481330811</c:v>
                </c:pt>
                <c:pt idx="44">
                  <c:v>9037.216745608117</c:v>
                </c:pt>
                <c:pt idx="45">
                  <c:v>9035.7797642513797</c:v>
                </c:pt>
                <c:pt idx="46">
                  <c:v>9034.3335634166233</c:v>
                </c:pt>
                <c:pt idx="47">
                  <c:v>9032.8781022973417</c:v>
                </c:pt>
                <c:pt idx="48">
                  <c:v>9031.4133399261591</c:v>
                </c:pt>
                <c:pt idx="49">
                  <c:v>9032.0437497515122</c:v>
                </c:pt>
                <c:pt idx="50">
                  <c:v>9032.6724250106454</c:v>
                </c:pt>
                <c:pt idx="51">
                  <c:v>9033.2993511148252</c:v>
                </c:pt>
                <c:pt idx="52">
                  <c:v>9033.9245134043995</c:v>
                </c:pt>
                <c:pt idx="53">
                  <c:v>9034.5478971485081</c:v>
                </c:pt>
                <c:pt idx="54">
                  <c:v>9035.3233395608677</c:v>
                </c:pt>
                <c:pt idx="55">
                  <c:v>9036.0975553257067</c:v>
                </c:pt>
                <c:pt idx="56">
                  <c:v>9036.8705317108579</c:v>
                </c:pt>
                <c:pt idx="57">
                  <c:v>9037.6422559202001</c:v>
                </c:pt>
                <c:pt idx="58">
                  <c:v>9038.4127150933673</c:v>
                </c:pt>
                <c:pt idx="59">
                  <c:v>9039.1818963054939</c:v>
                </c:pt>
                <c:pt idx="60">
                  <c:v>9039.94978656692</c:v>
                </c:pt>
                <c:pt idx="61">
                  <c:v>9042.8189425230958</c:v>
                </c:pt>
                <c:pt idx="62">
                  <c:v>9045.6954259698923</c:v>
                </c:pt>
                <c:pt idx="63">
                  <c:v>9048.5792582260256</c:v>
                </c:pt>
                <c:pt idx="64">
                  <c:v>9051.4704606801934</c:v>
                </c:pt>
                <c:pt idx="65">
                  <c:v>9054.3690547913338</c:v>
                </c:pt>
                <c:pt idx="66">
                  <c:v>9057.4269418013519</c:v>
                </c:pt>
                <c:pt idx="67">
                  <c:v>9060.4928640227408</c:v>
                </c:pt>
                <c:pt idx="68">
                  <c:v>9063.5668455150371</c:v>
                </c:pt>
                <c:pt idx="69">
                  <c:v>9066.648910418553</c:v>
                </c:pt>
                <c:pt idx="70">
                  <c:v>9069.7390829546766</c:v>
                </c:pt>
                <c:pt idx="71">
                  <c:v>9072.8373874261633</c:v>
                </c:pt>
                <c:pt idx="72">
                  <c:v>9075.9438482174319</c:v>
                </c:pt>
                <c:pt idx="73">
                  <c:v>9081.1654966445949</c:v>
                </c:pt>
                <c:pt idx="74">
                  <c:v>9086.4050391877881</c:v>
                </c:pt>
                <c:pt idx="75">
                  <c:v>9091.6625436129725</c:v>
                </c:pt>
                <c:pt idx="76">
                  <c:v>9096.938077958248</c:v>
                </c:pt>
                <c:pt idx="77">
                  <c:v>9102.2317105349812</c:v>
                </c:pt>
                <c:pt idx="78">
                  <c:v>9082.4179883462839</c:v>
                </c:pt>
                <c:pt idx="79">
                  <c:v>9062.50235212386</c:v>
                </c:pt>
                <c:pt idx="80">
                  <c:v>9042.4842917838068</c:v>
                </c:pt>
                <c:pt idx="81">
                  <c:v>9022.3632947154019</c:v>
                </c:pt>
                <c:pt idx="82">
                  <c:v>9002.1388457686498</c:v>
                </c:pt>
                <c:pt idx="83">
                  <c:v>8981.8104272417422</c:v>
                </c:pt>
                <c:pt idx="84">
                  <c:v>8961.3775188684813</c:v>
                </c:pt>
                <c:pt idx="85">
                  <c:v>8942.9175115309299</c:v>
                </c:pt>
                <c:pt idx="86">
                  <c:v>8924.3579096086578</c:v>
                </c:pt>
                <c:pt idx="87">
                  <c:v>8905.6981912148094</c:v>
                </c:pt>
                <c:pt idx="88">
                  <c:v>8886.9378317563642</c:v>
                </c:pt>
                <c:pt idx="89">
                  <c:v>8868.0763039201556</c:v>
                </c:pt>
                <c:pt idx="90">
                  <c:v>8849.7184985202348</c:v>
                </c:pt>
                <c:pt idx="91">
                  <c:v>8831.2618682567172</c:v>
                </c:pt>
                <c:pt idx="92">
                  <c:v>8812.7058966644236</c:v>
                </c:pt>
                <c:pt idx="93">
                  <c:v>8794.0500646078162</c:v>
                </c:pt>
                <c:pt idx="94">
                  <c:v>8775.2938502672532</c:v>
                </c:pt>
                <c:pt idx="95">
                  <c:v>8756.4367291251656</c:v>
                </c:pt>
                <c:pt idx="96">
                  <c:v>8737.4781739521532</c:v>
                </c:pt>
                <c:pt idx="97">
                  <c:v>8720.439847740985</c:v>
                </c:pt>
                <c:pt idx="98">
                  <c:v>8703.3054688010106</c:v>
                </c:pt>
                <c:pt idx="99">
                  <c:v>8686.0745125519661</c:v>
                </c:pt>
                <c:pt idx="100">
                  <c:v>8668.7464515798674</c:v>
                </c:pt>
                <c:pt idx="101">
                  <c:v>8651.3207556217531</c:v>
                </c:pt>
                <c:pt idx="102">
                  <c:v>8634.3912435001039</c:v>
                </c:pt>
                <c:pt idx="103">
                  <c:v>8617.3664779715436</c:v>
                </c:pt>
                <c:pt idx="104">
                  <c:v>8600.2459401184733</c:v>
                </c:pt>
                <c:pt idx="105">
                  <c:v>8583.0291082277417</c:v>
                </c:pt>
                <c:pt idx="106">
                  <c:v>8565.715457775641</c:v>
                </c:pt>
                <c:pt idx="107">
                  <c:v>8548.3044614128285</c:v>
                </c:pt>
                <c:pt idx="108">
                  <c:v>8530.7955889491695</c:v>
                </c:pt>
                <c:pt idx="109">
                  <c:v>8515.1589643605748</c:v>
                </c:pt>
                <c:pt idx="110">
                  <c:v>8499.4303311937911</c:v>
                </c:pt>
                <c:pt idx="111">
                  <c:v>8483.6091665193162</c:v>
                </c:pt>
                <c:pt idx="112">
                  <c:v>8467.6949444695401</c:v>
                </c:pt>
                <c:pt idx="113">
                  <c:v>8451.6871362223064</c:v>
                </c:pt>
                <c:pt idx="114">
                  <c:v>8369.3529641945734</c:v>
                </c:pt>
                <c:pt idx="115">
                  <c:v>8286.4120136884485</c:v>
                </c:pt>
                <c:pt idx="116">
                  <c:v>8202.8598391271971</c:v>
                </c:pt>
                <c:pt idx="117">
                  <c:v>8118.6919624138209</c:v>
                </c:pt>
                <c:pt idx="118">
                  <c:v>8033.9038726932677</c:v>
                </c:pt>
                <c:pt idx="119">
                  <c:v>7948.491026112898</c:v>
                </c:pt>
                <c:pt idx="120">
                  <c:v>7862.4488455812025</c:v>
                </c:pt>
                <c:pt idx="121">
                  <c:v>7777.5886932228595</c:v>
                </c:pt>
                <c:pt idx="122">
                  <c:v>7692.0836217507476</c:v>
                </c:pt>
                <c:pt idx="123">
                  <c:v>7605.9287576062643</c:v>
                </c:pt>
                <c:pt idx="124">
                  <c:v>7519.1191904552852</c:v>
                </c:pt>
                <c:pt idx="125">
                  <c:v>7431.6499729107663</c:v>
                </c:pt>
                <c:pt idx="126">
                  <c:v>7346.7278446266291</c:v>
                </c:pt>
                <c:pt idx="127">
                  <c:v>7261.167172597864</c:v>
                </c:pt>
                <c:pt idx="128">
                  <c:v>7174.9631830409426</c:v>
                </c:pt>
                <c:pt idx="129">
                  <c:v>7088.1110665362376</c:v>
                </c:pt>
                <c:pt idx="130">
                  <c:v>7000.6059777621076</c:v>
                </c:pt>
                <c:pt idx="131">
                  <c:v>6912.4430352269883</c:v>
                </c:pt>
                <c:pt idx="132">
                  <c:v>6823.617320999495</c:v>
                </c:pt>
                <c:pt idx="133">
                  <c:v>6726.1989624533799</c:v>
                </c:pt>
                <c:pt idx="134">
                  <c:v>6628.1619454199472</c:v>
                </c:pt>
                <c:pt idx="135">
                  <c:v>6529.5023631297481</c:v>
                </c:pt>
                <c:pt idx="136">
                  <c:v>6430.216284184814</c:v>
                </c:pt>
                <c:pt idx="137">
                  <c:v>6330.299752403489</c:v>
                </c:pt>
                <c:pt idx="138">
                  <c:v>6232.8767499336054</c:v>
                </c:pt>
                <c:pt idx="139">
                  <c:v>6134.8424884384385</c:v>
                </c:pt>
                <c:pt idx="140">
                  <c:v>6036.1931545601283</c:v>
                </c:pt>
                <c:pt idx="141">
                  <c:v>5936.9249111930603</c:v>
                </c:pt>
                <c:pt idx="142">
                  <c:v>5837.0338973360494</c:v>
                </c:pt>
                <c:pt idx="143">
                  <c:v>5736.5162279436145</c:v>
                </c:pt>
                <c:pt idx="144">
                  <c:v>5635.3679937763263</c:v>
                </c:pt>
                <c:pt idx="145">
                  <c:v>5533.5852612502213</c:v>
                </c:pt>
                <c:pt idx="146">
                  <c:v>5431.1640722852771</c:v>
                </c:pt>
                <c:pt idx="147">
                  <c:v>5328.1004441529503</c:v>
                </c:pt>
                <c:pt idx="148">
                  <c:v>5224.3903693227649</c:v>
                </c:pt>
                <c:pt idx="149">
                  <c:v>5120.0298153079339</c:v>
                </c:pt>
                <c:pt idx="150">
                  <c:v>5030.7391374501622</c:v>
                </c:pt>
                <c:pt idx="151">
                  <c:v>4940.9212884168219</c:v>
                </c:pt>
                <c:pt idx="152">
                  <c:v>4850.5731761583638</c:v>
                </c:pt>
                <c:pt idx="153">
                  <c:v>4759.6916905283251</c:v>
                </c:pt>
                <c:pt idx="154">
                  <c:v>4668.2737031774795</c:v>
                </c:pt>
                <c:pt idx="155">
                  <c:v>4576.3160674473875</c:v>
                </c:pt>
                <c:pt idx="156">
                  <c:v>4483.8156182633047</c:v>
                </c:pt>
                <c:pt idx="157">
                  <c:v>4390.7691720264793</c:v>
                </c:pt>
                <c:pt idx="158">
                  <c:v>4297.1735265058114</c:v>
                </c:pt>
                <c:pt idx="159">
                  <c:v>4203.0254607288853</c:v>
                </c:pt>
                <c:pt idx="160">
                  <c:v>4108.3217348723547</c:v>
                </c:pt>
                <c:pt idx="161">
                  <c:v>4013.0590901516966</c:v>
                </c:pt>
                <c:pt idx="162">
                  <c:v>3919.605289409993</c:v>
                </c:pt>
                <c:pt idx="163">
                  <c:v>3825.6049828941382</c:v>
                </c:pt>
                <c:pt idx="164">
                  <c:v>3731.0549952422311</c:v>
                </c:pt>
                <c:pt idx="165">
                  <c:v>3635.9521326819686</c:v>
                </c:pt>
                <c:pt idx="166">
                  <c:v>3540.293182923986</c:v>
                </c:pt>
                <c:pt idx="167">
                  <c:v>3444.0749150545676</c:v>
                </c:pt>
                <c:pt idx="168">
                  <c:v>3347.2940794277465</c:v>
                </c:pt>
                <c:pt idx="169">
                  <c:v>3249.9474075567723</c:v>
                </c:pt>
                <c:pt idx="170">
                  <c:v>3152.0316120049547</c:v>
                </c:pt>
                <c:pt idx="171">
                  <c:v>3053.5433862758709</c:v>
                </c:pt>
                <c:pt idx="172">
                  <c:v>2954.4794047029418</c:v>
                </c:pt>
                <c:pt idx="173">
                  <c:v>2854.8363223383631</c:v>
                </c:pt>
                <c:pt idx="174">
                  <c:v>2756.9376176645833</c:v>
                </c:pt>
                <c:pt idx="175">
                  <c:v>2658.4716539565552</c:v>
                </c:pt>
                <c:pt idx="176">
                  <c:v>2559.4351650340245</c:v>
                </c:pt>
                <c:pt idx="177">
                  <c:v>2459.8248659503879</c:v>
                </c:pt>
                <c:pt idx="178">
                  <c:v>2359.6374528849433</c:v>
                </c:pt>
                <c:pt idx="179">
                  <c:v>2258.8696030345263</c:v>
                </c:pt>
                <c:pt idx="180">
                  <c:v>2157.5179745045189</c:v>
                </c:pt>
                <c:pt idx="181">
                  <c:v>2055.5792061992356</c:v>
                </c:pt>
                <c:pt idx="182">
                  <c:v>1953.0499177116822</c:v>
                </c:pt>
                <c:pt idx="183">
                  <c:v>1849.9267092126747</c:v>
                </c:pt>
                <c:pt idx="184">
                  <c:v>1746.2061613393314</c:v>
                </c:pt>
                <c:pt idx="185">
                  <c:v>1641.8848350829171</c:v>
                </c:pt>
                <c:pt idx="186">
                  <c:v>1617.4816158950136</c:v>
                </c:pt>
                <c:pt idx="187">
                  <c:v>1592.976380888914</c:v>
                </c:pt>
                <c:pt idx="188">
                  <c:v>1568.3687156610702</c:v>
                </c:pt>
                <c:pt idx="189">
                  <c:v>1543.6582041467091</c:v>
                </c:pt>
                <c:pt idx="190">
                  <c:v>1518.8444286132162</c:v>
                </c:pt>
                <c:pt idx="191">
                  <c:v>1493.9269696534932</c:v>
                </c:pt>
                <c:pt idx="192">
                  <c:v>1468.9054061792851</c:v>
                </c:pt>
                <c:pt idx="193">
                  <c:v>1443.7793154144847</c:v>
                </c:pt>
                <c:pt idx="194">
                  <c:v>1418.5482728884103</c:v>
                </c:pt>
                <c:pt idx="195">
                  <c:v>1393.211852429054</c:v>
                </c:pt>
                <c:pt idx="196">
                  <c:v>1367.7696261563055</c:v>
                </c:pt>
                <c:pt idx="197">
                  <c:v>1342.2211644751494</c:v>
                </c:pt>
                <c:pt idx="198">
                  <c:v>1316.7056496282298</c:v>
                </c:pt>
                <c:pt idx="199">
                  <c:v>1291.0836480433459</c:v>
                </c:pt>
                <c:pt idx="200">
                  <c:v>1265.3547276180082</c:v>
                </c:pt>
                <c:pt idx="201">
                  <c:v>1239.5184545189577</c:v>
                </c:pt>
                <c:pt idx="202">
                  <c:v>1213.5743931752766</c:v>
                </c:pt>
                <c:pt idx="203">
                  <c:v>1187.5221062714709</c:v>
                </c:pt>
                <c:pt idx="204">
                  <c:v>1161.3611547405264</c:v>
                </c:pt>
                <c:pt idx="205">
                  <c:v>1135.0910977569363</c:v>
                </c:pt>
                <c:pt idx="206">
                  <c:v>1108.7114927297007</c:v>
                </c:pt>
                <c:pt idx="207">
                  <c:v>1082.2218952953003</c:v>
                </c:pt>
                <c:pt idx="208">
                  <c:v>1055.6218593106396</c:v>
                </c:pt>
                <c:pt idx="209">
                  <c:v>1028.9109368459649</c:v>
                </c:pt>
                <c:pt idx="210">
                  <c:v>1002.2266403234995</c:v>
                </c:pt>
                <c:pt idx="211">
                  <c:v>975.4311614908662</c:v>
                </c:pt>
                <c:pt idx="212">
                  <c:v>948.5240496587835</c:v>
                </c:pt>
                <c:pt idx="213">
                  <c:v>921.50485233415736</c:v>
                </c:pt>
                <c:pt idx="214">
                  <c:v>894.37311521290496</c:v>
                </c:pt>
                <c:pt idx="215">
                  <c:v>867.12838217275043</c:v>
                </c:pt>
                <c:pt idx="216">
                  <c:v>839.77019526599258</c:v>
                </c:pt>
                <c:pt idx="217">
                  <c:v>812.2980947122428</c:v>
                </c:pt>
                <c:pt idx="218">
                  <c:v>784.71161889113478</c:v>
                </c:pt>
                <c:pt idx="219">
                  <c:v>757.01030433500557</c:v>
                </c:pt>
                <c:pt idx="220">
                  <c:v>729.19368572154713</c:v>
                </c:pt>
                <c:pt idx="221">
                  <c:v>701.26129586642855</c:v>
                </c:pt>
                <c:pt idx="222">
                  <c:v>673.34895003424288</c:v>
                </c:pt>
                <c:pt idx="223">
                  <c:v>645.32049053331764</c:v>
                </c:pt>
                <c:pt idx="224">
                  <c:v>617.17544715529527</c:v>
                </c:pt>
                <c:pt idx="225">
                  <c:v>588.91334781128603</c:v>
                </c:pt>
                <c:pt idx="226">
                  <c:v>560.53371852439147</c:v>
                </c:pt>
                <c:pt idx="227">
                  <c:v>532.036083422199</c:v>
                </c:pt>
                <c:pt idx="228">
                  <c:v>503.41996472924518</c:v>
                </c:pt>
                <c:pt idx="229">
                  <c:v>474.68488275945145</c:v>
                </c:pt>
                <c:pt idx="230">
                  <c:v>445.83035590852762</c:v>
                </c:pt>
                <c:pt idx="231">
                  <c:v>416.85590064634692</c:v>
                </c:pt>
                <c:pt idx="232">
                  <c:v>387.76103150928952</c:v>
                </c:pt>
                <c:pt idx="233">
                  <c:v>358.54526109255687</c:v>
                </c:pt>
                <c:pt idx="234">
                  <c:v>329.34267592425385</c:v>
                </c:pt>
                <c:pt idx="235">
                  <c:v>300.01879823038553</c:v>
                </c:pt>
                <c:pt idx="236">
                  <c:v>270.57313730443269</c:v>
                </c:pt>
                <c:pt idx="237">
                  <c:v>241.00520047876188</c:v>
                </c:pt>
                <c:pt idx="238">
                  <c:v>211.31449311683357</c:v>
                </c:pt>
                <c:pt idx="239">
                  <c:v>181.50051860537926</c:v>
                </c:pt>
                <c:pt idx="240">
                  <c:v>151.56277834654765</c:v>
                </c:pt>
                <c:pt idx="241">
                  <c:v>121.50077175001958</c:v>
                </c:pt>
                <c:pt idx="242">
                  <c:v>91.313996225091884</c:v>
                </c:pt>
                <c:pt idx="243">
                  <c:v>61.001947172729871</c:v>
                </c:pt>
                <c:pt idx="244">
                  <c:v>30.564117977588143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A37-4F2F-9BDC-11027F9D827E}"/>
            </c:ext>
          </c:extLst>
        </c:ser>
        <c:ser>
          <c:idx val="1"/>
          <c:order val="1"/>
          <c:tx>
            <c:v>Interest_Risk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Reserve!$A$5:$A$317</c:f>
              <c:numCache>
                <c:formatCode>_(* #,##0.000_);_(* \(#,##0.000\);_(* "-"??_);_(@_)</c:formatCode>
                <c:ptCount val="3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</c:numCache>
            </c:numRef>
          </c:xVal>
          <c:yVal>
            <c:numRef>
              <c:f>Reserve!$BX$5:$BX$317</c:f>
              <c:numCache>
                <c:formatCode>_(* #,##0_);_(* \(#,##0\);_(* "-"??_);_(@_)</c:formatCode>
                <c:ptCount val="313"/>
                <c:pt idx="0">
                  <c:v>122.18380456832165</c:v>
                </c:pt>
                <c:pt idx="1">
                  <c:v>9441.6188573885702</c:v>
                </c:pt>
                <c:pt idx="2">
                  <c:v>9455.0724886091903</c:v>
                </c:pt>
                <c:pt idx="3">
                  <c:v>9468.5447218538611</c:v>
                </c:pt>
                <c:pt idx="4">
                  <c:v>9482.0355807714786</c:v>
                </c:pt>
                <c:pt idx="5">
                  <c:v>9495.5450890361917</c:v>
                </c:pt>
                <c:pt idx="6">
                  <c:v>9509.0732703474096</c:v>
                </c:pt>
                <c:pt idx="7">
                  <c:v>9522.6201484298163</c:v>
                </c:pt>
                <c:pt idx="8">
                  <c:v>9536.1857470333798</c:v>
                </c:pt>
                <c:pt idx="9">
                  <c:v>9549.7700899333795</c:v>
                </c:pt>
                <c:pt idx="10">
                  <c:v>9563.3732009304113</c:v>
                </c:pt>
                <c:pt idx="11">
                  <c:v>9576.9951038504023</c:v>
                </c:pt>
                <c:pt idx="12">
                  <c:v>9590.6358225446311</c:v>
                </c:pt>
                <c:pt idx="13">
                  <c:v>9605.990320379784</c:v>
                </c:pt>
                <c:pt idx="14">
                  <c:v>9621.3692091571393</c:v>
                </c:pt>
                <c:pt idx="15">
                  <c:v>9636.7725262907989</c:v>
                </c:pt>
                <c:pt idx="16">
                  <c:v>9652.2003092492705</c:v>
                </c:pt>
                <c:pt idx="17">
                  <c:v>9667.6525955555426</c:v>
                </c:pt>
                <c:pt idx="18">
                  <c:v>9683.129490713005</c:v>
                </c:pt>
                <c:pt idx="19">
                  <c:v>9698.6309675155135</c:v>
                </c:pt>
                <c:pt idx="20">
                  <c:v>9714.1570636602992</c:v>
                </c:pt>
                <c:pt idx="21">
                  <c:v>9729.7078168993994</c:v>
                </c:pt>
                <c:pt idx="22">
                  <c:v>9745.2832650397104</c:v>
                </c:pt>
                <c:pt idx="23">
                  <c:v>9760.8834459430727</c:v>
                </c:pt>
                <c:pt idx="24">
                  <c:v>9776.5083975263387</c:v>
                </c:pt>
                <c:pt idx="25">
                  <c:v>9793.8838026567191</c:v>
                </c:pt>
                <c:pt idx="26">
                  <c:v>9811.2902915992345</c:v>
                </c:pt>
                <c:pt idx="27">
                  <c:v>9828.7279193811446</c:v>
                </c:pt>
                <c:pt idx="28">
                  <c:v>9846.1967411258684</c:v>
                </c:pt>
                <c:pt idx="29">
                  <c:v>9863.6968120531274</c:v>
                </c:pt>
                <c:pt idx="30">
                  <c:v>9856.3858632379888</c:v>
                </c:pt>
                <c:pt idx="31">
                  <c:v>9849.0513155378176</c:v>
                </c:pt>
                <c:pt idx="32">
                  <c:v>9841.6930979082299</c:v>
                </c:pt>
                <c:pt idx="33">
                  <c:v>9834.3111390992271</c:v>
                </c:pt>
                <c:pt idx="34">
                  <c:v>9826.9053676546209</c:v>
                </c:pt>
                <c:pt idx="35">
                  <c:v>9819.4757119114438</c:v>
                </c:pt>
                <c:pt idx="36">
                  <c:v>9812.0220999993653</c:v>
                </c:pt>
                <c:pt idx="37">
                  <c:v>9806.2753763657201</c:v>
                </c:pt>
                <c:pt idx="38">
                  <c:v>9800.5081834222201</c:v>
                </c:pt>
                <c:pt idx="39">
                  <c:v>9794.7204548063419</c:v>
                </c:pt>
                <c:pt idx="40">
                  <c:v>9788.9121239505967</c:v>
                </c:pt>
                <c:pt idx="41">
                  <c:v>9783.083124081917</c:v>
                </c:pt>
                <c:pt idx="42">
                  <c:v>9777.3862366494031</c:v>
                </c:pt>
                <c:pt idx="43">
                  <c:v>9771.6690057968608</c:v>
                </c:pt>
                <c:pt idx="44">
                  <c:v>9765.9313655260521</c:v>
                </c:pt>
                <c:pt idx="45">
                  <c:v>9760.1732496349541</c:v>
                </c:pt>
                <c:pt idx="46">
                  <c:v>9754.3945917171059</c:v>
                </c:pt>
                <c:pt idx="47">
                  <c:v>9748.595325161019</c:v>
                </c:pt>
                <c:pt idx="48">
                  <c:v>9742.7753831495593</c:v>
                </c:pt>
                <c:pt idx="49">
                  <c:v>9738.6512515588365</c:v>
                </c:pt>
                <c:pt idx="50">
                  <c:v>9734.5104862635908</c:v>
                </c:pt>
                <c:pt idx="51">
                  <c:v>9730.3530288225174</c:v>
                </c:pt>
                <c:pt idx="52">
                  <c:v>9726.178820601579</c:v>
                </c:pt>
                <c:pt idx="53">
                  <c:v>9721.9878027733848</c:v>
                </c:pt>
                <c:pt idx="54">
                  <c:v>9717.9311337461604</c:v>
                </c:pt>
                <c:pt idx="55">
                  <c:v>9713.8580113930002</c:v>
                </c:pt>
                <c:pt idx="56">
                  <c:v>9709.7683778059818</c:v>
                </c:pt>
                <c:pt idx="57">
                  <c:v>9705.6621748861526</c:v>
                </c:pt>
                <c:pt idx="58">
                  <c:v>9701.539344342902</c:v>
                </c:pt>
                <c:pt idx="59">
                  <c:v>9697.3998276933653</c:v>
                </c:pt>
                <c:pt idx="60">
                  <c:v>9693.24356626181</c:v>
                </c:pt>
                <c:pt idx="61">
                  <c:v>9690.776193862137</c:v>
                </c:pt>
                <c:pt idx="62">
                  <c:v>9688.2966901997133</c:v>
                </c:pt>
                <c:pt idx="63">
                  <c:v>9685.8050082112204</c:v>
                </c:pt>
                <c:pt idx="64">
                  <c:v>9683.3011006666529</c:v>
                </c:pt>
                <c:pt idx="65">
                  <c:v>9680.7849201687532</c:v>
                </c:pt>
                <c:pt idx="66">
                  <c:v>9678.405992141872</c:v>
                </c:pt>
                <c:pt idx="67">
                  <c:v>9676.015184298858</c:v>
                </c:pt>
                <c:pt idx="68">
                  <c:v>9673.6124503473402</c:v>
                </c:pt>
                <c:pt idx="69">
                  <c:v>9671.1977438307404</c:v>
                </c:pt>
                <c:pt idx="70">
                  <c:v>9668.7710181277253</c:v>
                </c:pt>
                <c:pt idx="71">
                  <c:v>9666.3322264516501</c:v>
                </c:pt>
                <c:pt idx="72">
                  <c:v>9663.8813218499854</c:v>
                </c:pt>
                <c:pt idx="73">
                  <c:v>9663.1166601635905</c:v>
                </c:pt>
                <c:pt idx="74">
                  <c:v>9662.3450929574738</c:v>
                </c:pt>
                <c:pt idx="75">
                  <c:v>9661.5665885350518</c:v>
                </c:pt>
                <c:pt idx="76">
                  <c:v>9660.7811150764828</c:v>
                </c:pt>
                <c:pt idx="77">
                  <c:v>9659.9886406381993</c:v>
                </c:pt>
                <c:pt idx="78">
                  <c:v>9634.4292991131388</c:v>
                </c:pt>
                <c:pt idx="79">
                  <c:v>9608.762241637327</c:v>
                </c:pt>
                <c:pt idx="80">
                  <c:v>9582.9870242784691</c:v>
                </c:pt>
                <c:pt idx="81">
                  <c:v>9557.1032012932974</c:v>
                </c:pt>
                <c:pt idx="82">
                  <c:v>9531.1103251202258</c:v>
                </c:pt>
                <c:pt idx="83">
                  <c:v>9505.0079463719667</c:v>
                </c:pt>
                <c:pt idx="84">
                  <c:v>9478.795613828117</c:v>
                </c:pt>
                <c:pt idx="85">
                  <c:v>9454.1377723507685</c:v>
                </c:pt>
                <c:pt idx="86">
                  <c:v>9429.3714660782844</c:v>
                </c:pt>
                <c:pt idx="87">
                  <c:v>9404.4962288778206</c:v>
                </c:pt>
                <c:pt idx="88">
                  <c:v>9379.5115926337003</c:v>
                </c:pt>
                <c:pt idx="89">
                  <c:v>9354.4170872390332</c:v>
                </c:pt>
                <c:pt idx="90">
                  <c:v>9329.8102298750673</c:v>
                </c:pt>
                <c:pt idx="91">
                  <c:v>9305.0954627225692</c:v>
                </c:pt>
                <c:pt idx="92">
                  <c:v>9280.2723235846152</c:v>
                </c:pt>
                <c:pt idx="93">
                  <c:v>9255.340348305077</c:v>
                </c:pt>
                <c:pt idx="94">
                  <c:v>9230.2990707603622</c:v>
                </c:pt>
                <c:pt idx="95">
                  <c:v>9205.1480228511118</c:v>
                </c:pt>
                <c:pt idx="96">
                  <c:v>9179.8867344938553</c:v>
                </c:pt>
                <c:pt idx="97">
                  <c:v>9156.12508678224</c:v>
                </c:pt>
                <c:pt idx="98">
                  <c:v>9132.2548495115043</c:v>
                </c:pt>
                <c:pt idx="99">
                  <c:v>9108.2755384537613</c:v>
                </c:pt>
                <c:pt idx="100">
                  <c:v>9084.1866672441356</c:v>
                </c:pt>
                <c:pt idx="101">
                  <c:v>9059.9877473713823</c:v>
                </c:pt>
                <c:pt idx="102">
                  <c:v>9036.2665323082038</c:v>
                </c:pt>
                <c:pt idx="103">
                  <c:v>9012.437223231409</c:v>
                </c:pt>
                <c:pt idx="104">
                  <c:v>8988.4993396481095</c:v>
                </c:pt>
                <c:pt idx="105">
                  <c:v>8964.4523989519621</c:v>
                </c:pt>
                <c:pt idx="106">
                  <c:v>8940.2959164139083</c:v>
                </c:pt>
                <c:pt idx="107">
                  <c:v>8916.0294051728815</c:v>
                </c:pt>
                <c:pt idx="108">
                  <c:v>8891.6523762264769</c:v>
                </c:pt>
                <c:pt idx="109">
                  <c:v>8868.722152391776</c:v>
                </c:pt>
                <c:pt idx="110">
                  <c:v>8845.6832031159665</c:v>
                </c:pt>
                <c:pt idx="111">
                  <c:v>8822.5350259744282</c:v>
                </c:pt>
                <c:pt idx="112">
                  <c:v>8799.2771162451045</c:v>
                </c:pt>
                <c:pt idx="113">
                  <c:v>8775.908966898065</c:v>
                </c:pt>
                <c:pt idx="114">
                  <c:v>8686.7417099574341</c:v>
                </c:pt>
                <c:pt idx="115">
                  <c:v>8597.0112592183505</c:v>
                </c:pt>
                <c:pt idx="116">
                  <c:v>8506.7140785622905</c:v>
                </c:pt>
                <c:pt idx="117">
                  <c:v>8415.8466097090586</c:v>
                </c:pt>
                <c:pt idx="118">
                  <c:v>8324.4052720779982</c:v>
                </c:pt>
                <c:pt idx="119">
                  <c:v>8232.3864626482882</c:v>
                </c:pt>
                <c:pt idx="120">
                  <c:v>8139.786555818403</c:v>
                </c:pt>
                <c:pt idx="121">
                  <c:v>8048.0286260960684</c:v>
                </c:pt>
                <c:pt idx="122">
                  <c:v>7955.6751250353009</c:v>
                </c:pt>
                <c:pt idx="123">
                  <c:v>7862.7222092154234</c:v>
                </c:pt>
                <c:pt idx="124">
                  <c:v>7769.1660104556231</c:v>
                </c:pt>
                <c:pt idx="125">
                  <c:v>7675.0026356555281</c:v>
                </c:pt>
                <c:pt idx="126">
                  <c:v>7583.420841772122</c:v>
                </c:pt>
                <c:pt idx="127">
                  <c:v>7491.251985098208</c:v>
                </c:pt>
                <c:pt idx="128">
                  <c:v>7398.492324451172</c:v>
                </c:pt>
                <c:pt idx="129">
                  <c:v>7305.1380948492597</c:v>
                </c:pt>
                <c:pt idx="130">
                  <c:v>7211.185507360271</c:v>
                </c:pt>
                <c:pt idx="131">
                  <c:v>7116.6307489492738</c:v>
                </c:pt>
                <c:pt idx="132">
                  <c:v>7021.4699823253723</c:v>
                </c:pt>
                <c:pt idx="133">
                  <c:v>6919.5184550991535</c:v>
                </c:pt>
                <c:pt idx="134">
                  <c:v>6817.0036654306577</c:v>
                </c:pt>
                <c:pt idx="135">
                  <c:v>6713.9225193071316</c:v>
                </c:pt>
                <c:pt idx="136">
                  <c:v>6610.2719057547201</c:v>
                </c:pt>
                <c:pt idx="137">
                  <c:v>6506.0486967455627</c:v>
                </c:pt>
                <c:pt idx="138">
                  <c:v>6404.36463802462</c:v>
                </c:pt>
                <c:pt idx="139">
                  <c:v>6302.1265306885925</c:v>
                </c:pt>
                <c:pt idx="140">
                  <c:v>6199.3313735558113</c:v>
                </c:pt>
                <c:pt idx="141">
                  <c:v>6095.9761492216876</c:v>
                </c:pt>
                <c:pt idx="142">
                  <c:v>5992.0578239710821</c:v>
                </c:pt>
                <c:pt idx="143">
                  <c:v>5887.573347690206</c:v>
                </c:pt>
                <c:pt idx="144">
                  <c:v>5782.5196537780439</c:v>
                </c:pt>
                <c:pt idx="145">
                  <c:v>5676.8936590573039</c:v>
                </c:pt>
                <c:pt idx="146">
                  <c:v>5570.6922636848694</c:v>
                </c:pt>
                <c:pt idx="147">
                  <c:v>5463.9123510617965</c:v>
                </c:pt>
                <c:pt idx="148">
                  <c:v>5356.5507877427926</c:v>
                </c:pt>
                <c:pt idx="149">
                  <c:v>5248.6044233452349</c:v>
                </c:pt>
                <c:pt idx="150">
                  <c:v>5155.747765143652</c:v>
                </c:pt>
                <c:pt idx="151">
                  <c:v>5062.4195158917055</c:v>
                </c:pt>
                <c:pt idx="152">
                  <c:v>4968.6172966337044</c:v>
                </c:pt>
                <c:pt idx="153">
                  <c:v>4874.3387164441274</c:v>
                </c:pt>
                <c:pt idx="154">
                  <c:v>4779.5813723674455</c:v>
                </c:pt>
                <c:pt idx="155">
                  <c:v>4684.3428493576639</c:v>
                </c:pt>
                <c:pt idx="156">
                  <c:v>4588.6207202175392</c:v>
                </c:pt>
                <c:pt idx="157">
                  <c:v>4492.4125455375042</c:v>
                </c:pt>
                <c:pt idx="158">
                  <c:v>4395.7158736342835</c:v>
                </c:pt>
                <c:pt idx="159">
                  <c:v>4298.5282404892005</c:v>
                </c:pt>
                <c:pt idx="160">
                  <c:v>4200.847169686167</c:v>
                </c:pt>
                <c:pt idx="161">
                  <c:v>4102.6701723493725</c:v>
                </c:pt>
                <c:pt idx="162">
                  <c:v>4006.3610600295774</c:v>
                </c:pt>
                <c:pt idx="163">
                  <c:v>3909.5681707575868</c:v>
                </c:pt>
                <c:pt idx="164">
                  <c:v>3812.2890906299008</c:v>
                </c:pt>
                <c:pt idx="165">
                  <c:v>3714.5213937293861</c:v>
                </c:pt>
                <c:pt idx="166">
                  <c:v>3616.2626420655456</c:v>
                </c:pt>
                <c:pt idx="167">
                  <c:v>3517.5103855144889</c:v>
                </c:pt>
                <c:pt idx="168">
                  <c:v>3418.2621617586119</c:v>
                </c:pt>
                <c:pt idx="169">
                  <c:v>3318.5154962259667</c:v>
                </c:pt>
                <c:pt idx="170">
                  <c:v>3218.2679020293385</c:v>
                </c:pt>
                <c:pt idx="171">
                  <c:v>3117.5168799050152</c:v>
                </c:pt>
                <c:pt idx="172">
                  <c:v>3016.2599181512524</c:v>
                </c:pt>
                <c:pt idx="173">
                  <c:v>2914.4944925664363</c:v>
                </c:pt>
                <c:pt idx="174">
                  <c:v>2814.541919468862</c:v>
                </c:pt>
                <c:pt idx="175">
                  <c:v>2714.0925594438067</c:v>
                </c:pt>
                <c:pt idx="176">
                  <c:v>2613.1439596235573</c:v>
                </c:pt>
                <c:pt idx="177">
                  <c:v>2511.6936550606483</c:v>
                </c:pt>
                <c:pt idx="178">
                  <c:v>2409.7391686684314</c:v>
                </c:pt>
                <c:pt idx="179">
                  <c:v>2307.278011161357</c:v>
                </c:pt>
                <c:pt idx="180">
                  <c:v>2204.3076809949539</c:v>
                </c:pt>
                <c:pt idx="181">
                  <c:v>2100.8256643055238</c:v>
                </c:pt>
                <c:pt idx="182">
                  <c:v>1996.8294348495299</c:v>
                </c:pt>
                <c:pt idx="183">
                  <c:v>1892.3164539426932</c:v>
                </c:pt>
                <c:pt idx="184">
                  <c:v>1787.284170398789</c:v>
                </c:pt>
                <c:pt idx="185">
                  <c:v>1681.7300204681387</c:v>
                </c:pt>
                <c:pt idx="186">
                  <c:v>1656.1053119620715</c:v>
                </c:pt>
                <c:pt idx="187">
                  <c:v>1630.3948054824828</c:v>
                </c:pt>
                <c:pt idx="188">
                  <c:v>1604.5982213390803</c:v>
                </c:pt>
                <c:pt idx="189">
                  <c:v>1578.7152789435895</c:v>
                </c:pt>
                <c:pt idx="190">
                  <c:v>1552.7456968068955</c:v>
                </c:pt>
                <c:pt idx="191">
                  <c:v>1526.6891925361788</c:v>
                </c:pt>
                <c:pt idx="192">
                  <c:v>1500.5454828320369</c:v>
                </c:pt>
                <c:pt idx="193">
                  <c:v>1474.3142834856005</c:v>
                </c:pt>
                <c:pt idx="194">
                  <c:v>1447.9953093756421</c:v>
                </c:pt>
                <c:pt idx="195">
                  <c:v>1421.5882744656697</c:v>
                </c:pt>
                <c:pt idx="196">
                  <c:v>1395.0928918010161</c:v>
                </c:pt>
                <c:pt idx="197">
                  <c:v>1368.5088735059187</c:v>
                </c:pt>
                <c:pt idx="198">
                  <c:v>1341.9754851449923</c:v>
                </c:pt>
                <c:pt idx="199">
                  <c:v>1315.3533831248956</c:v>
                </c:pt>
                <c:pt idx="200">
                  <c:v>1288.6422785685334</c:v>
                </c:pt>
                <c:pt idx="201">
                  <c:v>1261.8418816722001</c:v>
                </c:pt>
                <c:pt idx="202">
                  <c:v>1234.9519017026341</c:v>
                </c:pt>
                <c:pt idx="203">
                  <c:v>1207.972046994063</c:v>
                </c:pt>
                <c:pt idx="204">
                  <c:v>1180.9020249452383</c:v>
                </c:pt>
                <c:pt idx="205">
                  <c:v>1153.7415420164623</c:v>
                </c:pt>
                <c:pt idx="206">
                  <c:v>1126.4903037266038</c:v>
                </c:pt>
                <c:pt idx="207">
                  <c:v>1099.1480146501058</c:v>
                </c:pt>
                <c:pt idx="208">
                  <c:v>1071.7143784139823</c:v>
                </c:pt>
                <c:pt idx="209">
                  <c:v>1044.1890976948087</c:v>
                </c:pt>
                <c:pt idx="210">
                  <c:v>1016.7098043233223</c:v>
                </c:pt>
                <c:pt idx="211">
                  <c:v>989.13876265666829</c:v>
                </c:pt>
                <c:pt idx="212">
                  <c:v>961.47567425412637</c:v>
                </c:pt>
                <c:pt idx="213">
                  <c:v>933.72023971855174</c:v>
                </c:pt>
                <c:pt idx="214">
                  <c:v>905.87215869333602</c:v>
                </c:pt>
                <c:pt idx="215">
                  <c:v>877.93112985935954</c:v>
                </c:pt>
                <c:pt idx="216">
                  <c:v>849.89685093193395</c:v>
                </c:pt>
                <c:pt idx="217">
                  <c:v>821.76901865773459</c:v>
                </c:pt>
                <c:pt idx="218">
                  <c:v>793.54732881172401</c:v>
                </c:pt>
                <c:pt idx="219">
                  <c:v>765.23147619406518</c:v>
                </c:pt>
                <c:pt idx="220">
                  <c:v>736.82115462702563</c:v>
                </c:pt>
                <c:pt idx="221">
                  <c:v>708.31605695187</c:v>
                </c:pt>
                <c:pt idx="222">
                  <c:v>679.85214580295542</c:v>
                </c:pt>
                <c:pt idx="223">
                  <c:v>651.29332793594131</c:v>
                </c:pt>
                <c:pt idx="224">
                  <c:v>622.63929495403397</c:v>
                </c:pt>
                <c:pt idx="225">
                  <c:v>593.88973747296177</c:v>
                </c:pt>
                <c:pt idx="226">
                  <c:v>565.04434511783938</c:v>
                </c:pt>
                <c:pt idx="227">
                  <c:v>536.10280652002461</c:v>
                </c:pt>
                <c:pt idx="228">
                  <c:v>507.06480931396254</c:v>
                </c:pt>
                <c:pt idx="229">
                  <c:v>477.93004013402282</c:v>
                </c:pt>
                <c:pt idx="230">
                  <c:v>448.69818461132428</c:v>
                </c:pt>
                <c:pt idx="231">
                  <c:v>419.36892737055109</c:v>
                </c:pt>
                <c:pt idx="232">
                  <c:v>389.94195202675803</c:v>
                </c:pt>
                <c:pt idx="233">
                  <c:v>360.41694118216657</c:v>
                </c:pt>
                <c:pt idx="234">
                  <c:v>330.92814920846473</c:v>
                </c:pt>
                <c:pt idx="235">
                  <c:v>301.3411632567728</c:v>
                </c:pt>
                <c:pt idx="236">
                  <c:v>271.65566456542433</c:v>
                </c:pt>
                <c:pt idx="237">
                  <c:v>241.87133335292978</c:v>
                </c:pt>
                <c:pt idx="238">
                  <c:v>211.98784881474211</c:v>
                </c:pt>
                <c:pt idx="239">
                  <c:v>182.00488912001146</c:v>
                </c:pt>
                <c:pt idx="240">
                  <c:v>151.92213140832993</c:v>
                </c:pt>
                <c:pt idx="241">
                  <c:v>121.73925178646614</c:v>
                </c:pt>
                <c:pt idx="242">
                  <c:v>91.455925325089325</c:v>
                </c:pt>
                <c:pt idx="243">
                  <c:v>61.071826055483136</c:v>
                </c:pt>
                <c:pt idx="244">
                  <c:v>30.586626966249156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A37-4F2F-9BDC-11027F9D8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8955535"/>
        <c:axId val="1206333039"/>
      </c:scatterChart>
      <c:valAx>
        <c:axId val="1208955535"/>
        <c:scaling>
          <c:orientation val="minMax"/>
          <c:max val="25"/>
        </c:scaling>
        <c:delete val="0"/>
        <c:axPos val="b"/>
        <c:numFmt formatCode="_(* #,##0.000_);_(* \(#,##0.0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6333039"/>
        <c:crosses val="autoZero"/>
        <c:crossBetween val="midCat"/>
      </c:valAx>
      <c:valAx>
        <c:axId val="120633303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895553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Premium breakdown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310-4C77-9EC4-034E99F3970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310-4C77-9EC4-034E99F3970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310-4C77-9EC4-034E99F3970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4310-4C77-9EC4-034E99F3970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4310-4C77-9EC4-034E99F3970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4310-4C77-9EC4-034E99F3970F}"/>
              </c:ext>
            </c:extLst>
          </c:dPt>
          <c:dLbls>
            <c:dLbl>
              <c:idx val="0"/>
              <c:layout>
                <c:manualLayout>
                  <c:x val="-9.3125683233258802E-3"/>
                  <c:y val="-1.790182849990460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310-4C77-9EC4-034E99F3970F}"/>
                </c:ext>
              </c:extLst>
            </c:dLbl>
            <c:dLbl>
              <c:idx val="1"/>
              <c:layout>
                <c:manualLayout>
                  <c:x val="-3.7541363667569723E-2"/>
                  <c:y val="7.678498851588523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310-4C77-9EC4-034E99F3970F}"/>
                </c:ext>
              </c:extLst>
            </c:dLbl>
            <c:dLbl>
              <c:idx val="2"/>
              <c:layout>
                <c:manualLayout>
                  <c:x val="-3.7650258506419093E-2"/>
                  <c:y val="-1.436810964901389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802156772656937"/>
                      <c:h val="7.26747850205777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4310-4C77-9EC4-034E99F3970F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4310-4C77-9EC4-034E99F3970F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4310-4C77-9EC4-034E99F3970F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4310-4C77-9EC4-034E99F3970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Parameters!$J$34:$J$39</c:f>
              <c:strCache>
                <c:ptCount val="6"/>
                <c:pt idx="0">
                  <c:v>Myopia Benefit</c:v>
                </c:pt>
                <c:pt idx="1">
                  <c:v>ROP Benefit</c:v>
                </c:pt>
                <c:pt idx="2">
                  <c:v>Expense</c:v>
                </c:pt>
                <c:pt idx="3">
                  <c:v>Tax</c:v>
                </c:pt>
                <c:pt idx="4">
                  <c:v>Commission</c:v>
                </c:pt>
                <c:pt idx="5">
                  <c:v>Overhead</c:v>
                </c:pt>
              </c:strCache>
            </c:strRef>
          </c:cat>
          <c:val>
            <c:numRef>
              <c:f>Parameters!$K$34:$K$39</c:f>
              <c:numCache>
                <c:formatCode>0.00%</c:formatCode>
                <c:ptCount val="6"/>
                <c:pt idx="0">
                  <c:v>0.69222509834464085</c:v>
                </c:pt>
                <c:pt idx="1">
                  <c:v>4.6573328955227221E-3</c:v>
                </c:pt>
                <c:pt idx="2">
                  <c:v>3.3433455309156868E-2</c:v>
                </c:pt>
                <c:pt idx="3">
                  <c:v>4.5999133043373858E-2</c:v>
                </c:pt>
                <c:pt idx="4">
                  <c:v>0.09</c:v>
                </c:pt>
                <c:pt idx="5">
                  <c:v>0.1336849804073057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310-4C77-9EC4-034E99F3970F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0121133327042511E-2"/>
          <c:y val="0.14718253968253969"/>
          <c:w val="0.92212476103602892"/>
          <c:h val="0.7183923884514436"/>
        </c:manualLayout>
      </c:layout>
      <c:barChart>
        <c:barDir val="col"/>
        <c:grouping val="clustered"/>
        <c:varyColors val="0"/>
        <c:ser>
          <c:idx val="0"/>
          <c:order val="0"/>
          <c:tx>
            <c:v>Profit Signature per AP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1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</c:numLit>
          </c:cat>
          <c:val>
            <c:numRef>
              <c:f>Parameters!$R$10:$R$60</c:f>
              <c:numCache>
                <c:formatCode>0%</c:formatCode>
                <c:ptCount val="51"/>
                <c:pt idx="0">
                  <c:v>-1.5345680434103401</c:v>
                </c:pt>
                <c:pt idx="1">
                  <c:v>0.10130114461462589</c:v>
                </c:pt>
                <c:pt idx="2">
                  <c:v>0.1141165418426227</c:v>
                </c:pt>
                <c:pt idx="3">
                  <c:v>0.19098357428962093</c:v>
                </c:pt>
                <c:pt idx="4">
                  <c:v>0.2456929642700284</c:v>
                </c:pt>
                <c:pt idx="5">
                  <c:v>0.253723264579437</c:v>
                </c:pt>
                <c:pt idx="6">
                  <c:v>0.26175187411137152</c:v>
                </c:pt>
                <c:pt idx="7">
                  <c:v>0.33161956163156642</c:v>
                </c:pt>
                <c:pt idx="8">
                  <c:v>0.37756936197704427</c:v>
                </c:pt>
                <c:pt idx="9">
                  <c:v>0.37680062415935794</c:v>
                </c:pt>
                <c:pt idx="10">
                  <c:v>0.53383927144217691</c:v>
                </c:pt>
                <c:pt idx="11">
                  <c:v>0.62519329133615298</c:v>
                </c:pt>
                <c:pt idx="12">
                  <c:v>0.55739365988646883</c:v>
                </c:pt>
                <c:pt idx="13">
                  <c:v>0.50027836392151326</c:v>
                </c:pt>
                <c:pt idx="14">
                  <c:v>0.45504086340158628</c:v>
                </c:pt>
                <c:pt idx="15">
                  <c:v>0.43198739001340036</c:v>
                </c:pt>
                <c:pt idx="16">
                  <c:v>0.24804509374298975</c:v>
                </c:pt>
                <c:pt idx="17">
                  <c:v>0.12325499924619918</c:v>
                </c:pt>
                <c:pt idx="18">
                  <c:v>0.11922428177130483</c:v>
                </c:pt>
                <c:pt idx="19">
                  <c:v>0.11513736394885528</c:v>
                </c:pt>
                <c:pt idx="20">
                  <c:v>0.11099076447572445</c:v>
                </c:pt>
                <c:pt idx="21">
                  <c:v>4.5065737467383564E-2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6E-4000-84BB-40A4017AD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80650863"/>
        <c:axId val="212499871"/>
      </c:barChart>
      <c:dateAx>
        <c:axId val="1580650863"/>
        <c:scaling>
          <c:orientation val="minMax"/>
          <c:max val="25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499871"/>
        <c:crosses val="autoZero"/>
        <c:auto val="0"/>
        <c:lblOffset val="100"/>
        <c:baseTimeUnit val="days"/>
      </c:dateAx>
      <c:valAx>
        <c:axId val="212499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06508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cap="none" baseline="0"/>
              <a:t>Portfolio Average Premium Breakdown </a:t>
            </a:r>
          </a:p>
          <a:p>
            <a:pPr>
              <a:defRPr/>
            </a:pPr>
            <a:r>
              <a:rPr lang="en-US" cap="none" baseline="0"/>
              <a:t>@ Earn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5F0-4893-8AC5-952E7896898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5F0-4893-8AC5-952E7896898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5F0-4893-8AC5-952E7896898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5F0-4893-8AC5-952E7896898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35F0-4893-8AC5-952E7896898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35F0-4893-8AC5-952E78968986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35F0-4893-8AC5-952E78968986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35F0-4893-8AC5-952E78968986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35F0-4893-8AC5-952E78968986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35F0-4893-8AC5-952E78968986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35F0-4893-8AC5-952E78968986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35F0-4893-8AC5-952E78968986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Business_Portfolio_Result!$C$18:$C$23</c:f>
              <c:strCache>
                <c:ptCount val="6"/>
                <c:pt idx="0">
                  <c:v>Myopia Benefit</c:v>
                </c:pt>
                <c:pt idx="1">
                  <c:v>ROP Benefit</c:v>
                </c:pt>
                <c:pt idx="2">
                  <c:v>Expense</c:v>
                </c:pt>
                <c:pt idx="3">
                  <c:v>Tax</c:v>
                </c:pt>
                <c:pt idx="4">
                  <c:v>Commission</c:v>
                </c:pt>
                <c:pt idx="5">
                  <c:v>Overhead</c:v>
                </c:pt>
              </c:strCache>
            </c:strRef>
          </c:cat>
          <c:val>
            <c:numRef>
              <c:f>Business_Portfolio_Result!$E$18:$E$23</c:f>
              <c:numCache>
                <c:formatCode>0.0%</c:formatCode>
                <c:ptCount val="6"/>
                <c:pt idx="0">
                  <c:v>0.67821900741202812</c:v>
                </c:pt>
                <c:pt idx="1">
                  <c:v>5.5519912643040908E-3</c:v>
                </c:pt>
                <c:pt idx="2">
                  <c:v>3.6252679353230101E-2</c:v>
                </c:pt>
                <c:pt idx="3">
                  <c:v>4.8633938424432047E-2</c:v>
                </c:pt>
                <c:pt idx="4">
                  <c:v>9.0000000000000011E-2</c:v>
                </c:pt>
                <c:pt idx="5">
                  <c:v>0.14134238354600559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5F0-4893-8AC5-952E78968986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180975</xdr:colOff>
          <xdr:row>8</xdr:row>
          <xdr:rowOff>104775</xdr:rowOff>
        </xdr:from>
        <xdr:to>
          <xdr:col>22</xdr:col>
          <xdr:colOff>257175</xdr:colOff>
          <xdr:row>11</xdr:row>
          <xdr:rowOff>66675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Quick 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590550</xdr:colOff>
      <xdr:row>2</xdr:row>
      <xdr:rowOff>104774</xdr:rowOff>
    </xdr:from>
    <xdr:to>
      <xdr:col>13</xdr:col>
      <xdr:colOff>47625</xdr:colOff>
      <xdr:row>22</xdr:row>
      <xdr:rowOff>114299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381000</xdr:colOff>
      <xdr:row>2</xdr:row>
      <xdr:rowOff>114301</xdr:rowOff>
    </xdr:from>
    <xdr:to>
      <xdr:col>26</xdr:col>
      <xdr:colOff>95250</xdr:colOff>
      <xdr:row>22</xdr:row>
      <xdr:rowOff>104775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323850</xdr:colOff>
      <xdr:row>25</xdr:row>
      <xdr:rowOff>19049</xdr:rowOff>
    </xdr:from>
    <xdr:to>
      <xdr:col>23</xdr:col>
      <xdr:colOff>333375</xdr:colOff>
      <xdr:row>41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85724</xdr:colOff>
      <xdr:row>25</xdr:row>
      <xdr:rowOff>19050</xdr:rowOff>
    </xdr:from>
    <xdr:to>
      <xdr:col>13</xdr:col>
      <xdr:colOff>152399</xdr:colOff>
      <xdr:row>41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104775</xdr:rowOff>
        </xdr:from>
        <xdr:to>
          <xdr:col>1</xdr:col>
          <xdr:colOff>1819275</xdr:colOff>
          <xdr:row>6</xdr:row>
          <xdr:rowOff>38100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E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238125</xdr:colOff>
      <xdr:row>34</xdr:row>
      <xdr:rowOff>9525</xdr:rowOff>
    </xdr:from>
    <xdr:to>
      <xdr:col>5</xdr:col>
      <xdr:colOff>38100</xdr:colOff>
      <xdr:row>49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.shortcut-targets-by-id/1HRcV0rowBbpUHQlJCkZ0bQ3gtImqQPDT/STAT3953%20Group%20Project/03_Pricing/Pricing%20Spreadsheet%20v1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 -&gt;"/>
      <sheetName val="Mortality"/>
      <sheetName val="Divorce"/>
      <sheetName val="Divorce Progress"/>
      <sheetName val="Others"/>
      <sheetName val="Model -&gt;"/>
      <sheetName val="Parameters"/>
      <sheetName val="Pricing"/>
      <sheetName val="Reserve"/>
      <sheetName val="Plots"/>
      <sheetName val="Working -&gt;"/>
      <sheetName val="Rate_Table"/>
      <sheetName val="Business_Portfolio"/>
      <sheetName val="Business_Portfolio_Result"/>
      <sheetName val="Rates -&gt;"/>
      <sheetName val="P_MN_B_FN_30"/>
      <sheetName val="P_MN_B_FN_25"/>
      <sheetName val="P_MN_B_FN_20"/>
      <sheetName val="P_MN_B_FN_15"/>
      <sheetName val="P_FN_B_MN_30"/>
      <sheetName val="P_FN_B_MN_25"/>
      <sheetName val="P_FN_B_MN_20"/>
      <sheetName val="P_FN_B_MN_15"/>
      <sheetName val="P_MS_B_FS_30"/>
      <sheetName val="P_MS_B_FS_25"/>
      <sheetName val="P_MS_B_FS_20"/>
      <sheetName val="P_MS_B_FS_15"/>
      <sheetName val="P_FS_B_MS_30"/>
      <sheetName val="P_FS_B_MS_25"/>
      <sheetName val="P_FS_B_MS_20"/>
      <sheetName val="P_FS_B_MS_15"/>
      <sheetName val="P_MN_B_FS_30"/>
      <sheetName val="P_MN_B_FS_25"/>
      <sheetName val="P_MN_B_FS_20"/>
      <sheetName val="P_MN_B_FS_15"/>
      <sheetName val="P_FN_B_MS_30"/>
      <sheetName val="P_FN_B_MS_25"/>
      <sheetName val="P_FN_B_MS_20"/>
      <sheetName val="P_FN_B_MS_15"/>
      <sheetName val="P_MS_B_FN_30"/>
      <sheetName val="P_MS_B_FN_25"/>
      <sheetName val="P_MS_B_FN_20"/>
      <sheetName val="P_MS_B_FN_15"/>
      <sheetName val="P_FS_B_MN_30"/>
      <sheetName val="P_FS_B_MN_25"/>
      <sheetName val="P_FS_B_MN_20"/>
      <sheetName val="P_FS_B_MN_15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K2">
            <v>0.1</v>
          </cell>
        </row>
        <row r="5">
          <cell r="C5">
            <v>30</v>
          </cell>
        </row>
        <row r="6">
          <cell r="C6" t="str">
            <v>M</v>
          </cell>
        </row>
        <row r="8">
          <cell r="C8" t="str">
            <v>P_MN</v>
          </cell>
        </row>
        <row r="11">
          <cell r="C11">
            <v>30</v>
          </cell>
        </row>
        <row r="12">
          <cell r="C12" t="str">
            <v>F</v>
          </cell>
        </row>
        <row r="14">
          <cell r="C14" t="str">
            <v>B_FN</v>
          </cell>
        </row>
        <row r="18">
          <cell r="C18">
            <v>0</v>
          </cell>
        </row>
        <row r="24">
          <cell r="C24">
            <v>25</v>
          </cell>
        </row>
        <row r="26">
          <cell r="C26">
            <v>1000000</v>
          </cell>
        </row>
        <row r="27">
          <cell r="C27">
            <v>39600</v>
          </cell>
        </row>
        <row r="29">
          <cell r="C29" t="str">
            <v>ann</v>
          </cell>
        </row>
        <row r="30">
          <cell r="C30">
            <v>20</v>
          </cell>
        </row>
        <row r="32">
          <cell r="C32">
            <v>20</v>
          </cell>
        </row>
        <row r="36">
          <cell r="C36">
            <v>1</v>
          </cell>
        </row>
        <row r="37">
          <cell r="C37">
            <v>1</v>
          </cell>
        </row>
        <row r="40">
          <cell r="C40">
            <v>3168</v>
          </cell>
        </row>
        <row r="41">
          <cell r="C41">
            <v>11880</v>
          </cell>
        </row>
        <row r="42">
          <cell r="C42">
            <v>1980</v>
          </cell>
        </row>
        <row r="43">
          <cell r="C43">
            <v>1980</v>
          </cell>
        </row>
        <row r="44">
          <cell r="C44">
            <v>2000</v>
          </cell>
        </row>
        <row r="46">
          <cell r="C46">
            <v>0.03</v>
          </cell>
        </row>
        <row r="47">
          <cell r="C47">
            <v>0.04</v>
          </cell>
        </row>
        <row r="50">
          <cell r="C50">
            <v>0</v>
          </cell>
        </row>
        <row r="51">
          <cell r="C51">
            <v>0</v>
          </cell>
        </row>
        <row r="52">
          <cell r="C52">
            <v>0.1</v>
          </cell>
        </row>
        <row r="53">
          <cell r="C53">
            <v>0</v>
          </cell>
        </row>
        <row r="55">
          <cell r="C55">
            <v>0</v>
          </cell>
        </row>
        <row r="56">
          <cell r="C56">
            <v>0</v>
          </cell>
        </row>
        <row r="61">
          <cell r="C61">
            <v>0.15</v>
          </cell>
        </row>
        <row r="62">
          <cell r="C62">
            <v>-0.25</v>
          </cell>
        </row>
        <row r="63">
          <cell r="C63">
            <v>0.43000000000000016</v>
          </cell>
        </row>
        <row r="64">
          <cell r="C64">
            <v>-0.4</v>
          </cell>
        </row>
        <row r="66">
          <cell r="C66">
            <v>0.1</v>
          </cell>
        </row>
        <row r="67">
          <cell r="C67">
            <v>0.1</v>
          </cell>
        </row>
      </sheetData>
      <sheetData sheetId="7"/>
      <sheetData sheetId="8"/>
      <sheetData sheetId="9"/>
      <sheetData sheetId="10"/>
      <sheetData sheetId="11">
        <row r="3">
          <cell r="C3" t="str">
            <v>F</v>
          </cell>
        </row>
        <row r="4">
          <cell r="C4" t="str">
            <v>S</v>
          </cell>
        </row>
        <row r="7">
          <cell r="C7" t="str">
            <v>M</v>
          </cell>
          <cell r="F7">
            <v>15</v>
          </cell>
        </row>
        <row r="8">
          <cell r="C8" t="str">
            <v>S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5.xml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5" tint="-0.499984740745262"/>
  </sheetPr>
  <dimension ref="A1"/>
  <sheetViews>
    <sheetView topLeftCell="XFD1" workbookViewId="0">
      <selection sqref="A1:XFD1048576"/>
    </sheetView>
  </sheetViews>
  <sheetFormatPr defaultColWidth="0" defaultRowHeight="15" x14ac:dyDescent="0.25"/>
  <cols>
    <col min="1" max="16384" width="9.140625" hidden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E27A6-B590-461B-B1C8-21786224A7F5}">
  <sheetPr codeName="Sheet2">
    <tabColor theme="5" tint="0.79998168889431442"/>
  </sheetPr>
  <dimension ref="A1:E32"/>
  <sheetViews>
    <sheetView workbookViewId="0">
      <selection activeCell="H40" sqref="H40"/>
    </sheetView>
  </sheetViews>
  <sheetFormatPr defaultColWidth="8.85546875" defaultRowHeight="15" x14ac:dyDescent="0.25"/>
  <sheetData>
    <row r="1" spans="1:5" x14ac:dyDescent="0.25">
      <c r="A1" s="1" t="s">
        <v>0</v>
      </c>
    </row>
    <row r="2" spans="1:5" x14ac:dyDescent="0.25">
      <c r="A2" t="s">
        <v>1</v>
      </c>
    </row>
    <row r="4" spans="1:5" x14ac:dyDescent="0.25">
      <c r="A4" s="144" t="s">
        <v>2</v>
      </c>
    </row>
    <row r="5" spans="1:5" x14ac:dyDescent="0.25">
      <c r="B5" s="2"/>
    </row>
    <row r="6" spans="1:5" x14ac:dyDescent="0.25">
      <c r="A6" s="31"/>
      <c r="B6" s="19" t="s">
        <v>252</v>
      </c>
      <c r="C6" s="36" t="s">
        <v>253</v>
      </c>
      <c r="D6" s="19" t="s">
        <v>254</v>
      </c>
      <c r="E6" s="36" t="s">
        <v>255</v>
      </c>
    </row>
    <row r="7" spans="1:5" x14ac:dyDescent="0.25">
      <c r="A7" s="5">
        <v>0</v>
      </c>
      <c r="B7" s="6">
        <v>0.42268639663234353</v>
      </c>
      <c r="C7" s="7">
        <v>0.33906285534612834</v>
      </c>
      <c r="D7" s="166">
        <v>0.6</v>
      </c>
      <c r="E7" s="167">
        <v>0.33</v>
      </c>
    </row>
    <row r="8" spans="1:5" x14ac:dyDescent="0.25">
      <c r="A8" s="5">
        <v>1</v>
      </c>
      <c r="B8" s="6">
        <v>0.42268639663234353</v>
      </c>
      <c r="C8" s="7">
        <v>0.33906285534612834</v>
      </c>
      <c r="D8" s="166">
        <v>0.6</v>
      </c>
      <c r="E8" s="167">
        <v>0.33</v>
      </c>
    </row>
    <row r="9" spans="1:5" x14ac:dyDescent="0.25">
      <c r="A9" s="5">
        <v>2</v>
      </c>
      <c r="B9" s="6">
        <v>0.28743533766828477</v>
      </c>
      <c r="C9" s="7">
        <v>0.20753819262608886</v>
      </c>
      <c r="D9" s="166">
        <v>0.54</v>
      </c>
      <c r="E9" s="167">
        <v>0.33200000000000002</v>
      </c>
    </row>
    <row r="10" spans="1:5" x14ac:dyDescent="0.25">
      <c r="A10" s="5">
        <v>3</v>
      </c>
      <c r="B10" s="6">
        <v>0.22494496079161763</v>
      </c>
      <c r="C10" s="7">
        <v>0.1592152111697942</v>
      </c>
      <c r="D10" s="166">
        <v>0.49</v>
      </c>
      <c r="E10" s="167">
        <v>0.33399999999999996</v>
      </c>
    </row>
    <row r="11" spans="1:5" x14ac:dyDescent="0.25">
      <c r="A11" s="5">
        <v>4</v>
      </c>
      <c r="B11" s="6">
        <v>0.15816476661711931</v>
      </c>
      <c r="C11" s="7">
        <v>0.13885405496694148</v>
      </c>
      <c r="D11" s="166">
        <v>0.46</v>
      </c>
      <c r="E11" s="167">
        <v>0.33599999999999997</v>
      </c>
    </row>
    <row r="12" spans="1:5" x14ac:dyDescent="0.25">
      <c r="A12" s="5">
        <v>5</v>
      </c>
      <c r="B12" s="6">
        <v>0.15554059064015746</v>
      </c>
      <c r="C12" s="7">
        <v>0.12557220179587603</v>
      </c>
      <c r="D12" s="166">
        <v>0.43</v>
      </c>
      <c r="E12" s="167">
        <v>0.33799999999999997</v>
      </c>
    </row>
    <row r="13" spans="1:5" x14ac:dyDescent="0.25">
      <c r="A13" s="5">
        <v>6</v>
      </c>
      <c r="B13" s="6">
        <v>0.13845614739693701</v>
      </c>
      <c r="C13" s="7">
        <v>0.11295814329059795</v>
      </c>
      <c r="D13" s="166">
        <v>0.41</v>
      </c>
      <c r="E13" s="167">
        <v>0.34099999999999997</v>
      </c>
    </row>
    <row r="14" spans="1:5" x14ac:dyDescent="0.25">
      <c r="A14" s="5">
        <v>7</v>
      </c>
      <c r="B14" s="6">
        <v>0.12436427641659975</v>
      </c>
      <c r="C14" s="7">
        <v>0.10362247849116102</v>
      </c>
      <c r="D14" s="166">
        <v>0.4</v>
      </c>
      <c r="E14" s="167">
        <v>0.34400000000000003</v>
      </c>
    </row>
    <row r="15" spans="1:5" x14ac:dyDescent="0.25">
      <c r="A15" s="5">
        <v>8</v>
      </c>
      <c r="B15" s="6">
        <v>0.11041062680305913</v>
      </c>
      <c r="C15" s="7">
        <v>9.6691532235126942E-2</v>
      </c>
      <c r="D15" s="166">
        <v>0.39</v>
      </c>
      <c r="E15" s="167">
        <v>0.34799999999999998</v>
      </c>
    </row>
    <row r="16" spans="1:5" x14ac:dyDescent="0.25">
      <c r="A16" s="5">
        <v>9</v>
      </c>
      <c r="B16" s="6">
        <v>9.8203672678209841E-2</v>
      </c>
      <c r="C16" s="7">
        <v>9.2378773842938244E-2</v>
      </c>
      <c r="D16" s="166">
        <v>0.38</v>
      </c>
      <c r="E16" s="167">
        <v>0.35100000000000003</v>
      </c>
    </row>
    <row r="17" spans="1:5" x14ac:dyDescent="0.25">
      <c r="A17" s="5">
        <v>10</v>
      </c>
      <c r="B17" s="6">
        <v>9.3976806965656579E-2</v>
      </c>
      <c r="C17" s="7">
        <v>9.2018555733375251E-2</v>
      </c>
      <c r="D17" s="166">
        <v>0.37</v>
      </c>
      <c r="E17" s="167">
        <v>0.35499999999999998</v>
      </c>
    </row>
    <row r="18" spans="1:5" x14ac:dyDescent="0.25">
      <c r="A18" s="5">
        <v>11</v>
      </c>
      <c r="B18" s="6">
        <v>0.10786124767037109</v>
      </c>
      <c r="C18" s="7">
        <v>9.789587784325704E-2</v>
      </c>
      <c r="D18" s="166">
        <v>0.37</v>
      </c>
      <c r="E18" s="167">
        <v>0.36000000000000004</v>
      </c>
    </row>
    <row r="19" spans="1:5" x14ac:dyDescent="0.25">
      <c r="A19" s="5">
        <v>12</v>
      </c>
      <c r="B19" s="6">
        <v>0.15155704750213772</v>
      </c>
      <c r="C19" s="7">
        <v>0.11269428068771958</v>
      </c>
      <c r="D19" s="166">
        <v>0.35</v>
      </c>
      <c r="E19" s="167">
        <v>0.36499999999999999</v>
      </c>
    </row>
    <row r="20" spans="1:5" x14ac:dyDescent="0.25">
      <c r="A20" s="5">
        <v>13</v>
      </c>
      <c r="B20" s="6">
        <v>0.23189505736809224</v>
      </c>
      <c r="C20" s="7">
        <v>0.13793694961350411</v>
      </c>
      <c r="D20" s="166">
        <v>0.42599999999999999</v>
      </c>
      <c r="E20" s="167">
        <v>0.371</v>
      </c>
    </row>
    <row r="21" spans="1:5" x14ac:dyDescent="0.25">
      <c r="A21" s="5">
        <v>14</v>
      </c>
      <c r="B21" s="6">
        <v>0.34138996852561831</v>
      </c>
      <c r="C21" s="7">
        <v>0.17166299221571535</v>
      </c>
      <c r="D21" s="166">
        <v>0.51800000000000002</v>
      </c>
      <c r="E21" s="167">
        <v>0.377</v>
      </c>
    </row>
    <row r="22" spans="1:5" x14ac:dyDescent="0.25">
      <c r="A22" s="5">
        <v>15</v>
      </c>
      <c r="B22" s="6">
        <v>0.461328134406358</v>
      </c>
      <c r="C22" s="7">
        <v>0.20998850231990218</v>
      </c>
      <c r="D22" s="166">
        <v>0.59799999999999998</v>
      </c>
      <c r="E22" s="167">
        <v>0.38499999999999995</v>
      </c>
    </row>
    <row r="23" spans="1:5" x14ac:dyDescent="0.25">
      <c r="A23" s="5">
        <v>16</v>
      </c>
      <c r="B23" s="6">
        <v>0.58416114188730717</v>
      </c>
      <c r="C23" s="7">
        <v>0.25020970497280359</v>
      </c>
      <c r="D23" s="166">
        <v>0.66799999999999993</v>
      </c>
      <c r="E23" s="167">
        <v>0.39200000000000002</v>
      </c>
    </row>
    <row r="24" spans="1:5" x14ac:dyDescent="0.25">
      <c r="A24" s="5">
        <v>17</v>
      </c>
      <c r="B24" s="6">
        <v>0.71757868863642216</v>
      </c>
      <c r="C24" s="7">
        <v>0.29255016124807298</v>
      </c>
      <c r="D24" s="166">
        <v>0.73</v>
      </c>
      <c r="E24" s="167">
        <v>0.40099999999999997</v>
      </c>
    </row>
    <row r="25" spans="1:5" x14ac:dyDescent="0.25">
      <c r="A25" s="195">
        <v>18</v>
      </c>
      <c r="B25" s="6">
        <v>0.85859786486253142</v>
      </c>
      <c r="C25" s="7">
        <v>0.33566230558790267</v>
      </c>
      <c r="D25" s="166">
        <v>0.754</v>
      </c>
      <c r="E25" s="196">
        <v>0.41100000000000003</v>
      </c>
    </row>
    <row r="26" spans="1:5" x14ac:dyDescent="0.25">
      <c r="A26" s="5">
        <v>19</v>
      </c>
      <c r="B26" s="6">
        <v>1.0014867875725031</v>
      </c>
      <c r="C26" s="7">
        <v>0.37903472548350692</v>
      </c>
      <c r="D26" s="166">
        <v>0.75700000000000001</v>
      </c>
      <c r="E26" s="167">
        <v>0.42199999999999999</v>
      </c>
    </row>
    <row r="27" spans="1:5" x14ac:dyDescent="0.25">
      <c r="A27" s="5">
        <v>20</v>
      </c>
      <c r="B27" s="6">
        <v>1.1470711324363947</v>
      </c>
      <c r="C27" s="7">
        <v>0.4244505544193089</v>
      </c>
      <c r="D27" s="166">
        <v>0.75700000000000001</v>
      </c>
      <c r="E27" s="167">
        <v>0.434</v>
      </c>
    </row>
    <row r="28" spans="1:5" x14ac:dyDescent="0.25">
      <c r="A28" s="5">
        <v>21</v>
      </c>
      <c r="B28" s="6">
        <v>1.2859423877671361</v>
      </c>
      <c r="C28" s="7">
        <v>0.47057535266503692</v>
      </c>
      <c r="D28" s="166">
        <v>0.77200000000000002</v>
      </c>
      <c r="E28" s="167">
        <v>0.44800000000000001</v>
      </c>
    </row>
    <row r="29" spans="1:5" x14ac:dyDescent="0.25">
      <c r="A29" s="5">
        <v>22</v>
      </c>
      <c r="B29" s="6">
        <v>1.4028329169377685</v>
      </c>
      <c r="C29" s="7">
        <v>0.51309901755303144</v>
      </c>
      <c r="D29" s="166">
        <v>0.82</v>
      </c>
      <c r="E29" s="167">
        <v>0.46299999999999997</v>
      </c>
    </row>
    <row r="30" spans="1:5" x14ac:dyDescent="0.25">
      <c r="A30" s="5"/>
      <c r="B30" s="6"/>
      <c r="C30" s="7"/>
      <c r="D30" s="166"/>
      <c r="E30" s="167"/>
    </row>
    <row r="31" spans="1:5" x14ac:dyDescent="0.25">
      <c r="A31" s="5"/>
      <c r="B31" s="6"/>
      <c r="C31" s="7"/>
      <c r="D31" s="121"/>
      <c r="E31" s="34"/>
    </row>
    <row r="32" spans="1:5" x14ac:dyDescent="0.25">
      <c r="A32" s="5"/>
      <c r="B32" s="6"/>
      <c r="C32" s="7"/>
      <c r="D32" s="121"/>
      <c r="E32" s="34"/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9443A-F896-4FB9-82D8-B859A71FC593}">
  <sheetPr codeName="Sheet16">
    <tabColor theme="5" tint="0.79998168889431442"/>
  </sheetPr>
  <dimension ref="A1:S84"/>
  <sheetViews>
    <sheetView workbookViewId="0">
      <selection activeCell="I27" sqref="I27"/>
    </sheetView>
  </sheetViews>
  <sheetFormatPr defaultColWidth="8.85546875" defaultRowHeight="15" x14ac:dyDescent="0.25"/>
  <cols>
    <col min="1" max="1" width="16" bestFit="1" customWidth="1"/>
    <col min="10" max="10" width="25" bestFit="1" customWidth="1"/>
    <col min="11" max="11" width="11.42578125" customWidth="1"/>
    <col min="12" max="12" width="13.85546875" bestFit="1" customWidth="1"/>
    <col min="13" max="13" width="14.42578125" bestFit="1" customWidth="1"/>
    <col min="15" max="15" width="11.28515625" customWidth="1"/>
    <col min="16" max="16" width="9.7109375" bestFit="1" customWidth="1"/>
    <col min="18" max="18" width="15.42578125" bestFit="1" customWidth="1"/>
    <col min="19" max="19" width="11.140625" bestFit="1" customWidth="1"/>
  </cols>
  <sheetData>
    <row r="1" spans="1:19" x14ac:dyDescent="0.25">
      <c r="A1" t="s">
        <v>300</v>
      </c>
      <c r="B1">
        <v>-3</v>
      </c>
      <c r="C1">
        <v>-4</v>
      </c>
      <c r="D1">
        <v>-5</v>
      </c>
      <c r="E1">
        <v>-6</v>
      </c>
      <c r="J1" t="s">
        <v>301</v>
      </c>
      <c r="L1" s="14"/>
      <c r="O1" s="115"/>
      <c r="P1" s="115"/>
      <c r="R1" s="80"/>
      <c r="S1" s="80"/>
    </row>
    <row r="2" spans="1:19" x14ac:dyDescent="0.25">
      <c r="A2">
        <v>6</v>
      </c>
      <c r="B2" s="11">
        <v>3.0490803580210484E-2</v>
      </c>
      <c r="C2" s="151">
        <v>1.6592276343877353E-2</v>
      </c>
      <c r="D2" s="151">
        <v>9.928667823404666E-3</v>
      </c>
      <c r="E2" s="151">
        <v>6.0495486844632232E-3</v>
      </c>
      <c r="L2" s="14"/>
      <c r="O2" s="115" t="s">
        <v>217</v>
      </c>
      <c r="P2" s="115"/>
      <c r="R2" s="80" t="s">
        <v>203</v>
      </c>
      <c r="S2" s="80"/>
    </row>
    <row r="3" spans="1:19" x14ac:dyDescent="0.25">
      <c r="A3">
        <v>9</v>
      </c>
      <c r="B3" s="11">
        <v>0.10431014470324226</v>
      </c>
      <c r="C3" s="151">
        <v>5.2588877415548019E-2</v>
      </c>
      <c r="D3" s="151">
        <v>2.5068237322223821E-2</v>
      </c>
      <c r="E3" s="151">
        <v>1.2343051713130453E-2</v>
      </c>
      <c r="J3" s="3" t="s">
        <v>40</v>
      </c>
      <c r="K3" s="3" t="s">
        <v>209</v>
      </c>
      <c r="L3" s="158" t="s">
        <v>302</v>
      </c>
      <c r="M3" s="3" t="s">
        <v>303</v>
      </c>
      <c r="N3" s="3"/>
      <c r="O3" s="114" t="s">
        <v>213</v>
      </c>
      <c r="P3" s="114" t="s">
        <v>214</v>
      </c>
      <c r="Q3" s="3"/>
      <c r="R3" s="111" t="s">
        <v>213</v>
      </c>
      <c r="S3" s="111" t="s">
        <v>214</v>
      </c>
    </row>
    <row r="4" spans="1:19" x14ac:dyDescent="0.25">
      <c r="A4">
        <v>12</v>
      </c>
      <c r="B4" s="11">
        <v>0.24269367558373281</v>
      </c>
      <c r="C4" s="151">
        <v>0.12241620111731844</v>
      </c>
      <c r="D4" s="151">
        <v>6.1344426835710508E-2</v>
      </c>
      <c r="E4" s="151">
        <v>2.9198949862329515E-2</v>
      </c>
      <c r="J4" t="s">
        <v>304</v>
      </c>
      <c r="K4">
        <f>Myopia!U17</f>
        <v>1</v>
      </c>
      <c r="L4" s="14">
        <v>0.53900000000000003</v>
      </c>
      <c r="O4" s="115"/>
      <c r="P4" s="115"/>
      <c r="R4" s="80"/>
      <c r="S4" s="80"/>
    </row>
    <row r="5" spans="1:19" x14ac:dyDescent="0.25">
      <c r="A5">
        <v>15</v>
      </c>
      <c r="B5" s="11">
        <v>0.3253077339939614</v>
      </c>
      <c r="C5" s="151">
        <v>0.17390111773983402</v>
      </c>
      <c r="D5" s="151">
        <v>9.3586303820109865E-2</v>
      </c>
      <c r="E5" s="151">
        <v>5.0309834959199946E-2</v>
      </c>
      <c r="J5" t="s">
        <v>305</v>
      </c>
      <c r="K5">
        <f>Myopia!U18</f>
        <v>1</v>
      </c>
      <c r="L5" s="14">
        <v>0.46100000000000002</v>
      </c>
      <c r="O5" s="115"/>
      <c r="P5" s="115"/>
      <c r="R5" s="80"/>
      <c r="S5" s="80"/>
    </row>
    <row r="6" spans="1:19" x14ac:dyDescent="0.25">
      <c r="A6">
        <v>18</v>
      </c>
      <c r="B6" s="11">
        <v>0.34513692162417375</v>
      </c>
      <c r="C6" s="151">
        <v>0.18166735794276234</v>
      </c>
      <c r="D6" s="151">
        <v>0.10170146945088941</v>
      </c>
      <c r="E6" s="151">
        <v>5.2067946824224512E-2</v>
      </c>
      <c r="J6" s="3"/>
      <c r="K6" s="3"/>
      <c r="L6" s="158"/>
      <c r="M6" s="3">
        <f>SUMPRODUCT(K4:K5,L4:L5)</f>
        <v>1</v>
      </c>
      <c r="N6" s="3"/>
      <c r="O6" s="114"/>
      <c r="P6" s="114"/>
      <c r="Q6" s="3"/>
      <c r="R6" s="111"/>
      <c r="S6" s="111"/>
    </row>
    <row r="7" spans="1:19" x14ac:dyDescent="0.25">
      <c r="J7" t="s">
        <v>206</v>
      </c>
      <c r="K7" t="s">
        <v>209</v>
      </c>
      <c r="L7" s="14" t="s">
        <v>302</v>
      </c>
      <c r="O7" s="115"/>
      <c r="P7" s="115"/>
      <c r="R7" s="80"/>
      <c r="S7" s="80"/>
    </row>
    <row r="8" spans="1:19" x14ac:dyDescent="0.25">
      <c r="J8" t="s">
        <v>207</v>
      </c>
      <c r="K8">
        <f>Myopia!L17</f>
        <v>1</v>
      </c>
      <c r="L8" s="14">
        <v>0.11890000000000001</v>
      </c>
      <c r="O8" s="11">
        <v>0</v>
      </c>
      <c r="P8" s="11">
        <v>1</v>
      </c>
      <c r="R8" s="80"/>
      <c r="S8" s="80"/>
    </row>
    <row r="9" spans="1:19" x14ac:dyDescent="0.25">
      <c r="J9" t="s">
        <v>208</v>
      </c>
      <c r="K9">
        <f>Myopia!L18</f>
        <v>0.9</v>
      </c>
      <c r="L9" s="14">
        <v>0.88200000000000001</v>
      </c>
      <c r="M9" s="14"/>
      <c r="O9" s="11">
        <v>1</v>
      </c>
      <c r="P9" s="11">
        <v>0</v>
      </c>
      <c r="R9" s="80"/>
      <c r="S9" s="80"/>
    </row>
    <row r="10" spans="1:19" x14ac:dyDescent="0.25">
      <c r="J10" s="3"/>
      <c r="K10" s="3"/>
      <c r="L10" s="158"/>
      <c r="M10" s="3">
        <f>SUMPRODUCT(K8:K9,L8:L9)</f>
        <v>0.91270000000000007</v>
      </c>
      <c r="N10" s="3"/>
      <c r="O10" s="114"/>
      <c r="P10" s="114"/>
      <c r="Q10" s="3"/>
      <c r="R10" s="111">
        <f>SUMPRODUCT($K8:$K9,O8:O9)</f>
        <v>0.9</v>
      </c>
      <c r="S10" s="111">
        <f>SUMPRODUCT($K8:$K9,P8:P9)</f>
        <v>1</v>
      </c>
    </row>
    <row r="11" spans="1:19" x14ac:dyDescent="0.25">
      <c r="A11" s="159" t="s">
        <v>231</v>
      </c>
      <c r="B11" s="3" t="s">
        <v>300</v>
      </c>
      <c r="C11" s="3"/>
      <c r="D11" s="3"/>
      <c r="E11" s="3" t="s">
        <v>306</v>
      </c>
      <c r="F11" s="3"/>
      <c r="G11" s="3"/>
      <c r="J11" t="s">
        <v>210</v>
      </c>
      <c r="K11" t="s">
        <v>209</v>
      </c>
      <c r="L11" s="14" t="s">
        <v>302</v>
      </c>
      <c r="O11" s="115"/>
      <c r="P11" s="115"/>
      <c r="R11" s="80"/>
      <c r="S11" s="80"/>
    </row>
    <row r="12" spans="1:19" x14ac:dyDescent="0.25">
      <c r="A12" s="28">
        <v>2</v>
      </c>
      <c r="B12" s="14">
        <v>0</v>
      </c>
      <c r="E12" s="14">
        <f>B12/$M$24</f>
        <v>0</v>
      </c>
      <c r="J12" t="s">
        <v>211</v>
      </c>
      <c r="K12">
        <f>Myopia!L21</f>
        <v>1</v>
      </c>
      <c r="L12" s="14">
        <v>0.61799999999999999</v>
      </c>
      <c r="O12" s="115">
        <f>1-O13</f>
        <v>0.66799999999999993</v>
      </c>
      <c r="P12" s="115">
        <f>1-P13</f>
        <v>0.16679999999999995</v>
      </c>
      <c r="R12" s="80"/>
      <c r="S12" s="80"/>
    </row>
    <row r="13" spans="1:19" x14ac:dyDescent="0.25">
      <c r="A13" s="28">
        <v>3</v>
      </c>
      <c r="B13" s="14">
        <f>B14-C16</f>
        <v>2.4821669558511665E-3</v>
      </c>
      <c r="E13" s="14">
        <f t="shared" ref="E13:E16" si="0">B13/$M$24</f>
        <v>1.2444661242676919E-3</v>
      </c>
      <c r="J13" t="s">
        <v>212</v>
      </c>
      <c r="K13">
        <f>Myopia!L22</f>
        <v>0.9</v>
      </c>
      <c r="L13" s="14">
        <v>0.38200000000000001</v>
      </c>
      <c r="O13" s="115">
        <v>0.33200000000000002</v>
      </c>
      <c r="P13" s="115">
        <v>0.83320000000000005</v>
      </c>
      <c r="R13" s="80"/>
      <c r="S13" s="80"/>
    </row>
    <row r="14" spans="1:19" x14ac:dyDescent="0.25">
      <c r="A14" s="28">
        <v>4</v>
      </c>
      <c r="B14" s="14">
        <f>B15-C16</f>
        <v>4.964333911702333E-3</v>
      </c>
      <c r="E14" s="14">
        <f t="shared" si="0"/>
        <v>2.4889322485353838E-3</v>
      </c>
      <c r="J14" s="3"/>
      <c r="K14" s="3"/>
      <c r="L14" s="158"/>
      <c r="M14" s="3">
        <f>SUMPRODUCT(K12:K13,L12:L13)</f>
        <v>0.96179999999999999</v>
      </c>
      <c r="N14" s="3"/>
      <c r="O14" s="114"/>
      <c r="P14" s="114"/>
      <c r="Q14" s="3"/>
      <c r="R14" s="111">
        <f>SUMPRODUCT($K12:$K13,O12:O13)</f>
        <v>0.96679999999999988</v>
      </c>
      <c r="S14" s="111">
        <f>SUMPRODUCT($K12:$K13,P12:P13)</f>
        <v>0.91668000000000005</v>
      </c>
    </row>
    <row r="15" spans="1:19" x14ac:dyDescent="0.25">
      <c r="A15" s="28">
        <v>5</v>
      </c>
      <c r="B15" s="14">
        <f>B16-C16</f>
        <v>7.4465008675534995E-3</v>
      </c>
      <c r="E15" s="14">
        <f>B15/$M$24</f>
        <v>3.7333983728030759E-3</v>
      </c>
      <c r="J15" t="s">
        <v>307</v>
      </c>
      <c r="K15" t="s">
        <v>209</v>
      </c>
      <c r="L15" s="14" t="s">
        <v>302</v>
      </c>
      <c r="O15" s="115"/>
      <c r="P15" s="115"/>
      <c r="R15" s="80"/>
      <c r="S15" s="80"/>
    </row>
    <row r="16" spans="1:19" x14ac:dyDescent="0.25">
      <c r="A16" s="28">
        <v>6</v>
      </c>
      <c r="B16" s="160">
        <f>D2</f>
        <v>9.928667823404666E-3</v>
      </c>
      <c r="C16" s="115">
        <f>(B16-B12)/4</f>
        <v>2.4821669558511665E-3</v>
      </c>
      <c r="E16" s="14">
        <f t="shared" si="0"/>
        <v>4.9778644970707676E-3</v>
      </c>
      <c r="J16">
        <v>0</v>
      </c>
      <c r="K16">
        <f>Myopia!U21</f>
        <v>1</v>
      </c>
      <c r="L16" s="14">
        <v>0.26700000000000002</v>
      </c>
      <c r="O16" s="115"/>
      <c r="P16" s="115"/>
      <c r="R16" s="80"/>
      <c r="S16" s="80"/>
    </row>
    <row r="17" spans="1:19" x14ac:dyDescent="0.25">
      <c r="A17" s="28">
        <v>7</v>
      </c>
      <c r="B17" s="14">
        <f>B16+C19</f>
        <v>1.4975190989677718E-2</v>
      </c>
      <c r="E17" s="14">
        <f>B17/$M$24</f>
        <v>7.5080033787260411E-3</v>
      </c>
      <c r="J17">
        <v>1</v>
      </c>
      <c r="K17">
        <f>Myopia!U22</f>
        <v>2.08</v>
      </c>
      <c r="L17" s="14">
        <v>0.48299999999999998</v>
      </c>
      <c r="O17" s="115"/>
      <c r="P17" s="115"/>
      <c r="R17" s="80"/>
      <c r="S17" s="80"/>
    </row>
    <row r="18" spans="1:19" x14ac:dyDescent="0.25">
      <c r="A18" s="28">
        <v>8</v>
      </c>
      <c r="B18" s="14">
        <f>B17+C19</f>
        <v>2.0021714155950769E-2</v>
      </c>
      <c r="E18" s="14">
        <f t="shared" ref="E18:E20" si="1">B18/$M$24</f>
        <v>1.0038142260381315E-2</v>
      </c>
      <c r="J18">
        <v>2</v>
      </c>
      <c r="K18">
        <f>Myopia!U23</f>
        <v>5.07</v>
      </c>
      <c r="L18" s="14">
        <v>0.25</v>
      </c>
      <c r="O18" s="115"/>
      <c r="P18" s="115"/>
      <c r="R18" s="80"/>
      <c r="S18" s="80"/>
    </row>
    <row r="19" spans="1:19" x14ac:dyDescent="0.25">
      <c r="A19" s="28">
        <v>9</v>
      </c>
      <c r="B19" s="160">
        <f>D3</f>
        <v>2.5068237322223821E-2</v>
      </c>
      <c r="C19" s="115">
        <f>(B19-B16)/3</f>
        <v>5.0465231662730516E-3</v>
      </c>
      <c r="E19" s="14">
        <f t="shared" si="1"/>
        <v>1.256828114203659E-2</v>
      </c>
      <c r="J19" s="3"/>
      <c r="K19" s="3"/>
      <c r="L19" s="158"/>
      <c r="M19" s="3">
        <f>SUMPRODUCT(K17:K18,L17:L18)</f>
        <v>2.2721400000000003</v>
      </c>
      <c r="N19" s="3"/>
      <c r="O19" s="114"/>
      <c r="P19" s="114"/>
      <c r="Q19" s="3"/>
      <c r="R19" s="111"/>
      <c r="S19" s="111"/>
    </row>
    <row r="20" spans="1:19" x14ac:dyDescent="0.25">
      <c r="A20" s="28">
        <v>10</v>
      </c>
      <c r="B20" s="14">
        <f>B19+C22</f>
        <v>3.7160300493386048E-2</v>
      </c>
      <c r="E20" s="14">
        <f t="shared" si="1"/>
        <v>1.8630791543902826E-2</v>
      </c>
      <c r="L20" s="14"/>
      <c r="O20" s="115"/>
      <c r="P20" s="115"/>
      <c r="R20" s="80"/>
      <c r="S20" s="80"/>
    </row>
    <row r="21" spans="1:19" x14ac:dyDescent="0.25">
      <c r="A21" s="28">
        <v>11</v>
      </c>
      <c r="B21" s="14">
        <f>B20+C22</f>
        <v>4.9252363664548278E-2</v>
      </c>
      <c r="E21" s="14">
        <f>B21/$M$24</f>
        <v>2.4693301945769068E-2</v>
      </c>
      <c r="L21" s="14"/>
      <c r="O21" s="115"/>
      <c r="P21" s="115"/>
      <c r="R21" s="80"/>
      <c r="S21" s="80"/>
    </row>
    <row r="22" spans="1:19" x14ac:dyDescent="0.25">
      <c r="A22" s="28">
        <v>12</v>
      </c>
      <c r="B22" s="160">
        <f>D4</f>
        <v>6.1344426835710508E-2</v>
      </c>
      <c r="C22" s="115">
        <f>(B22-B19)/3</f>
        <v>1.2092063171162229E-2</v>
      </c>
      <c r="E22" s="14">
        <f t="shared" ref="E22:E30" si="2">B22/$M$24</f>
        <v>3.0755812347635306E-2</v>
      </c>
      <c r="L22" s="14"/>
      <c r="O22" s="115"/>
      <c r="P22" s="115"/>
      <c r="R22" s="80"/>
      <c r="S22" s="80"/>
    </row>
    <row r="23" spans="1:19" x14ac:dyDescent="0.25">
      <c r="A23" s="28">
        <v>13</v>
      </c>
      <c r="B23" s="14">
        <f>B22+C25</f>
        <v>7.2091719163843632E-2</v>
      </c>
      <c r="E23" s="14">
        <f t="shared" si="2"/>
        <v>3.6144104701796229E-2</v>
      </c>
      <c r="L23" s="14"/>
      <c r="O23" s="115"/>
      <c r="P23" s="115"/>
      <c r="R23" s="80"/>
      <c r="S23" s="80"/>
    </row>
    <row r="24" spans="1:19" x14ac:dyDescent="0.25">
      <c r="A24" s="28">
        <v>14</v>
      </c>
      <c r="B24" s="14">
        <f>B23+C25</f>
        <v>8.2839011491976755E-2</v>
      </c>
      <c r="E24" s="14">
        <f t="shared" si="2"/>
        <v>4.1532397055957147E-2</v>
      </c>
      <c r="L24" t="s">
        <v>299</v>
      </c>
      <c r="M24" s="161">
        <f>M6*M10*M14*M19</f>
        <v>1.9945636988004005</v>
      </c>
      <c r="O24" s="115"/>
      <c r="P24" s="115"/>
      <c r="R24" s="80"/>
      <c r="S24" s="80"/>
    </row>
    <row r="25" spans="1:19" x14ac:dyDescent="0.25">
      <c r="A25" s="28">
        <v>15</v>
      </c>
      <c r="B25" s="160">
        <f>D5</f>
        <v>9.3586303820109865E-2</v>
      </c>
      <c r="C25" s="115">
        <f>(B25-B22)/3</f>
        <v>1.0747292328133118E-2</v>
      </c>
      <c r="E25" s="14">
        <f t="shared" si="2"/>
        <v>4.6920689410118059E-2</v>
      </c>
      <c r="J25" t="s">
        <v>230</v>
      </c>
      <c r="L25" s="14"/>
      <c r="O25" s="115"/>
      <c r="P25" s="115"/>
      <c r="R25" s="80"/>
      <c r="S25" s="80"/>
    </row>
    <row r="26" spans="1:19" x14ac:dyDescent="0.25">
      <c r="A26" s="28">
        <v>16</v>
      </c>
      <c r="B26" s="14">
        <f>B25+C28</f>
        <v>9.6291359030369714E-2</v>
      </c>
      <c r="E26" s="14">
        <f t="shared" si="2"/>
        <v>4.8276903409142896E-2</v>
      </c>
      <c r="L26" s="14"/>
      <c r="O26" s="115"/>
      <c r="P26" s="115"/>
      <c r="R26" s="80"/>
      <c r="S26" s="80"/>
    </row>
    <row r="27" spans="1:19" x14ac:dyDescent="0.25">
      <c r="A27" s="28">
        <v>17</v>
      </c>
      <c r="B27" s="14">
        <f>B26+C28</f>
        <v>9.8996414240629563E-2</v>
      </c>
      <c r="E27" s="14">
        <f t="shared" si="2"/>
        <v>4.9633117408167726E-2</v>
      </c>
      <c r="L27" s="14"/>
      <c r="O27" s="115"/>
      <c r="P27" s="115"/>
      <c r="R27" s="80"/>
      <c r="S27" s="80"/>
    </row>
    <row r="28" spans="1:19" x14ac:dyDescent="0.25">
      <c r="A28" s="28">
        <v>18</v>
      </c>
      <c r="B28" s="160">
        <f>D6</f>
        <v>0.10170146945088941</v>
      </c>
      <c r="C28" s="115">
        <f>(B28-B25)/3</f>
        <v>2.7050552102598491E-3</v>
      </c>
      <c r="E28" s="14">
        <f t="shared" si="2"/>
        <v>5.0989331407192556E-2</v>
      </c>
      <c r="L28" s="14"/>
      <c r="O28" s="115"/>
      <c r="P28" s="115"/>
      <c r="R28" s="80"/>
      <c r="S28" s="80"/>
    </row>
    <row r="29" spans="1:19" x14ac:dyDescent="0.25">
      <c r="A29" s="28">
        <v>19</v>
      </c>
      <c r="B29" s="14">
        <f>B28+C28</f>
        <v>0.10440652466114926</v>
      </c>
      <c r="E29" s="14">
        <f t="shared" si="2"/>
        <v>5.2345545406217386E-2</v>
      </c>
      <c r="L29" s="14"/>
      <c r="O29" s="115"/>
      <c r="P29" s="115"/>
      <c r="R29" s="80"/>
      <c r="S29" s="80"/>
    </row>
    <row r="30" spans="1:19" x14ac:dyDescent="0.25">
      <c r="A30" s="28">
        <v>20</v>
      </c>
      <c r="B30" s="14">
        <f>B29+C28</f>
        <v>0.10711157987140911</v>
      </c>
      <c r="E30" s="14">
        <f t="shared" si="2"/>
        <v>5.3701759405242216E-2</v>
      </c>
      <c r="L30" s="14"/>
      <c r="O30" s="115"/>
      <c r="P30" s="115"/>
      <c r="R30" s="80"/>
      <c r="S30" s="80"/>
    </row>
    <row r="31" spans="1:19" x14ac:dyDescent="0.25">
      <c r="A31" s="28"/>
      <c r="L31" s="14"/>
      <c r="O31" s="115"/>
      <c r="P31" s="115"/>
      <c r="R31" s="80"/>
      <c r="S31" s="80"/>
    </row>
    <row r="32" spans="1:19" x14ac:dyDescent="0.25">
      <c r="A32" s="28"/>
      <c r="L32" s="14"/>
      <c r="O32" s="115"/>
      <c r="P32" s="115"/>
      <c r="R32" s="80"/>
      <c r="S32" s="80"/>
    </row>
    <row r="33" spans="1:19" x14ac:dyDescent="0.25">
      <c r="A33" s="28"/>
      <c r="L33" s="14"/>
      <c r="O33" s="115"/>
      <c r="P33" s="115"/>
      <c r="R33" s="80"/>
      <c r="S33" s="80"/>
    </row>
    <row r="34" spans="1:19" x14ac:dyDescent="0.25">
      <c r="L34" s="14"/>
      <c r="O34" s="115"/>
      <c r="P34" s="115"/>
      <c r="R34" s="80"/>
      <c r="S34" s="80"/>
    </row>
    <row r="35" spans="1:19" x14ac:dyDescent="0.25">
      <c r="L35" s="14"/>
      <c r="O35" s="115"/>
      <c r="P35" s="115"/>
      <c r="R35" s="80"/>
      <c r="S35" s="80"/>
    </row>
    <row r="36" spans="1:19" x14ac:dyDescent="0.25">
      <c r="L36" s="14"/>
      <c r="O36" s="115"/>
      <c r="P36" s="115"/>
      <c r="R36" s="80"/>
      <c r="S36" s="80"/>
    </row>
    <row r="37" spans="1:19" x14ac:dyDescent="0.25">
      <c r="L37" s="14"/>
      <c r="O37" s="115"/>
      <c r="P37" s="115"/>
      <c r="R37" s="80"/>
      <c r="S37" s="80"/>
    </row>
    <row r="38" spans="1:19" x14ac:dyDescent="0.25">
      <c r="L38" s="14"/>
      <c r="O38" s="115"/>
      <c r="P38" s="115"/>
      <c r="R38" s="80"/>
      <c r="S38" s="80"/>
    </row>
    <row r="39" spans="1:19" x14ac:dyDescent="0.25">
      <c r="L39" s="14"/>
      <c r="O39" s="115"/>
      <c r="P39" s="115"/>
      <c r="R39" s="80"/>
      <c r="S39" s="80"/>
    </row>
    <row r="40" spans="1:19" x14ac:dyDescent="0.25">
      <c r="L40" s="14"/>
      <c r="O40" s="115"/>
      <c r="P40" s="115"/>
      <c r="R40" s="80"/>
      <c r="S40" s="80"/>
    </row>
    <row r="41" spans="1:19" x14ac:dyDescent="0.25">
      <c r="L41" s="14"/>
      <c r="O41" s="115"/>
      <c r="P41" s="115"/>
      <c r="R41" s="80"/>
      <c r="S41" s="80"/>
    </row>
    <row r="42" spans="1:19" x14ac:dyDescent="0.25">
      <c r="L42" s="14"/>
      <c r="O42" s="115"/>
      <c r="P42" s="115"/>
      <c r="R42" s="80"/>
      <c r="S42" s="80"/>
    </row>
    <row r="43" spans="1:19" x14ac:dyDescent="0.25">
      <c r="L43" s="14"/>
      <c r="O43" s="115"/>
      <c r="P43" s="115"/>
      <c r="R43" s="80"/>
      <c r="S43" s="80"/>
    </row>
    <row r="44" spans="1:19" x14ac:dyDescent="0.25">
      <c r="L44" s="14"/>
      <c r="O44" s="115"/>
      <c r="P44" s="115"/>
      <c r="R44" s="80"/>
      <c r="S44" s="80"/>
    </row>
    <row r="45" spans="1:19" x14ac:dyDescent="0.25">
      <c r="L45" s="14"/>
      <c r="O45" s="115"/>
      <c r="P45" s="115"/>
      <c r="R45" s="80"/>
      <c r="S45" s="80"/>
    </row>
    <row r="46" spans="1:19" x14ac:dyDescent="0.25">
      <c r="L46" s="14"/>
      <c r="O46" s="115"/>
      <c r="P46" s="115"/>
      <c r="R46" s="80"/>
      <c r="S46" s="80"/>
    </row>
    <row r="47" spans="1:19" x14ac:dyDescent="0.25">
      <c r="L47" s="14"/>
      <c r="O47" s="115"/>
      <c r="P47" s="115"/>
      <c r="R47" s="80"/>
      <c r="S47" s="80"/>
    </row>
    <row r="48" spans="1:19" x14ac:dyDescent="0.25">
      <c r="L48" s="14"/>
      <c r="O48" s="115"/>
      <c r="P48" s="115"/>
      <c r="R48" s="80"/>
      <c r="S48" s="80"/>
    </row>
    <row r="49" spans="10:19" x14ac:dyDescent="0.25">
      <c r="L49" s="14"/>
      <c r="O49" s="115"/>
      <c r="P49" s="115"/>
      <c r="R49" s="80"/>
      <c r="S49" s="80"/>
    </row>
    <row r="50" spans="10:19" x14ac:dyDescent="0.25">
      <c r="L50" s="14"/>
      <c r="O50" s="115"/>
      <c r="P50" s="115"/>
      <c r="R50" s="80"/>
      <c r="S50" s="80"/>
    </row>
    <row r="51" spans="10:19" x14ac:dyDescent="0.25">
      <c r="L51" s="14"/>
      <c r="O51" s="115"/>
      <c r="P51" s="115"/>
      <c r="R51" s="80"/>
      <c r="S51" s="80"/>
    </row>
    <row r="52" spans="10:19" x14ac:dyDescent="0.25">
      <c r="L52" s="14"/>
      <c r="O52" s="115"/>
      <c r="P52" s="115"/>
      <c r="R52" s="80"/>
      <c r="S52" s="80"/>
    </row>
    <row r="53" spans="10:19" x14ac:dyDescent="0.25">
      <c r="L53" s="14"/>
      <c r="O53" s="115"/>
      <c r="P53" s="115"/>
      <c r="R53" s="80"/>
      <c r="S53" s="80"/>
    </row>
    <row r="54" spans="10:19" x14ac:dyDescent="0.25">
      <c r="L54" s="14"/>
      <c r="O54" s="115"/>
      <c r="P54" s="115"/>
      <c r="R54" s="80"/>
      <c r="S54" s="80"/>
    </row>
    <row r="55" spans="10:19" x14ac:dyDescent="0.25">
      <c r="L55" s="14"/>
      <c r="O55" s="115"/>
      <c r="P55" s="115"/>
      <c r="R55" s="80"/>
      <c r="S55" s="80"/>
    </row>
    <row r="56" spans="10:19" x14ac:dyDescent="0.25">
      <c r="L56" s="14"/>
      <c r="O56" s="115"/>
      <c r="P56" s="115"/>
      <c r="R56" s="80"/>
      <c r="S56" s="80"/>
    </row>
    <row r="57" spans="10:19" x14ac:dyDescent="0.25">
      <c r="L57" s="14"/>
      <c r="O57" s="115"/>
      <c r="P57" s="115"/>
      <c r="R57" s="80"/>
      <c r="S57" s="80"/>
    </row>
    <row r="58" spans="10:19" x14ac:dyDescent="0.25">
      <c r="L58" s="14"/>
      <c r="O58" s="115"/>
      <c r="P58" s="115"/>
      <c r="R58" s="80"/>
      <c r="S58" s="80"/>
    </row>
    <row r="59" spans="10:19" x14ac:dyDescent="0.25">
      <c r="L59" s="14"/>
      <c r="O59" s="115"/>
      <c r="P59" s="115"/>
      <c r="R59" s="80"/>
      <c r="S59" s="80"/>
    </row>
    <row r="60" spans="10:19" x14ac:dyDescent="0.25">
      <c r="L60" s="14"/>
      <c r="O60" s="115"/>
      <c r="P60" s="115"/>
      <c r="R60" s="80"/>
      <c r="S60" s="80"/>
    </row>
    <row r="61" spans="10:19" x14ac:dyDescent="0.25">
      <c r="L61" s="14"/>
      <c r="O61" s="115"/>
      <c r="P61" s="115"/>
      <c r="R61" s="80"/>
      <c r="S61" s="80"/>
    </row>
    <row r="62" spans="10:19" x14ac:dyDescent="0.25">
      <c r="J62" s="11"/>
      <c r="L62" s="14"/>
      <c r="O62" s="115"/>
      <c r="P62" s="115"/>
      <c r="R62" s="80"/>
      <c r="S62" s="80"/>
    </row>
    <row r="63" spans="10:19" x14ac:dyDescent="0.25">
      <c r="J63" s="11"/>
      <c r="L63" s="14"/>
      <c r="O63" s="115"/>
      <c r="P63" s="115"/>
      <c r="R63" s="80"/>
      <c r="S63" s="80"/>
    </row>
    <row r="64" spans="10:19" x14ac:dyDescent="0.25">
      <c r="J64" s="11"/>
      <c r="L64" s="14"/>
      <c r="O64" s="115"/>
      <c r="P64" s="115"/>
      <c r="R64" s="80"/>
      <c r="S64" s="80"/>
    </row>
    <row r="65" spans="10:19" x14ac:dyDescent="0.25">
      <c r="J65" s="11"/>
      <c r="L65" s="14"/>
      <c r="O65" s="115"/>
      <c r="P65" s="115"/>
      <c r="R65" s="80"/>
      <c r="S65" s="80"/>
    </row>
    <row r="66" spans="10:19" x14ac:dyDescent="0.25">
      <c r="J66" s="11"/>
      <c r="L66" s="14"/>
      <c r="O66" s="115"/>
      <c r="P66" s="115"/>
      <c r="R66" s="80"/>
      <c r="S66" s="80"/>
    </row>
    <row r="67" spans="10:19" x14ac:dyDescent="0.25">
      <c r="J67" s="11"/>
      <c r="L67" s="14"/>
      <c r="O67" s="115"/>
      <c r="P67" s="115"/>
      <c r="R67" s="80"/>
      <c r="S67" s="80"/>
    </row>
    <row r="68" spans="10:19" x14ac:dyDescent="0.25">
      <c r="J68" s="11"/>
      <c r="L68" s="14"/>
      <c r="O68" s="115"/>
      <c r="P68" s="115"/>
      <c r="R68" s="80"/>
      <c r="S68" s="80"/>
    </row>
    <row r="69" spans="10:19" x14ac:dyDescent="0.25">
      <c r="L69" s="14"/>
      <c r="O69" s="115"/>
      <c r="P69" s="115"/>
      <c r="R69" s="80"/>
      <c r="S69" s="80"/>
    </row>
    <row r="70" spans="10:19" x14ac:dyDescent="0.25">
      <c r="J70" s="11"/>
      <c r="L70" s="14"/>
      <c r="O70" s="115"/>
      <c r="P70" s="115"/>
      <c r="R70" s="80"/>
      <c r="S70" s="80"/>
    </row>
    <row r="71" spans="10:19" x14ac:dyDescent="0.25">
      <c r="J71" s="11"/>
      <c r="L71" s="14"/>
      <c r="O71" s="115"/>
      <c r="P71" s="115"/>
      <c r="R71" s="80"/>
      <c r="S71" s="80"/>
    </row>
    <row r="72" spans="10:19" x14ac:dyDescent="0.25">
      <c r="J72" s="11"/>
      <c r="L72" s="14"/>
      <c r="O72" s="115"/>
      <c r="P72" s="115"/>
      <c r="R72" s="80"/>
      <c r="S72" s="80"/>
    </row>
    <row r="73" spans="10:19" x14ac:dyDescent="0.25">
      <c r="J73" s="11"/>
      <c r="L73" s="14"/>
      <c r="O73" s="115"/>
      <c r="P73" s="115"/>
      <c r="R73" s="80"/>
      <c r="S73" s="80"/>
    </row>
    <row r="74" spans="10:19" x14ac:dyDescent="0.25">
      <c r="J74" s="11"/>
      <c r="L74" s="14"/>
      <c r="O74" s="115"/>
      <c r="P74" s="115"/>
      <c r="R74" s="80"/>
      <c r="S74" s="80"/>
    </row>
    <row r="75" spans="10:19" x14ac:dyDescent="0.25">
      <c r="J75" s="11"/>
      <c r="L75" s="14"/>
      <c r="O75" s="115"/>
      <c r="P75" s="115"/>
      <c r="R75" s="80"/>
      <c r="S75" s="80"/>
    </row>
    <row r="76" spans="10:19" x14ac:dyDescent="0.25">
      <c r="J76" s="11"/>
      <c r="L76" s="14"/>
      <c r="O76" s="115"/>
      <c r="P76" s="115"/>
      <c r="R76" s="80"/>
      <c r="S76" s="80"/>
    </row>
    <row r="77" spans="10:19" x14ac:dyDescent="0.25">
      <c r="J77" s="11"/>
      <c r="L77" s="14"/>
      <c r="O77" s="115"/>
      <c r="P77" s="115"/>
      <c r="R77" s="80"/>
      <c r="S77" s="80"/>
    </row>
    <row r="78" spans="10:19" x14ac:dyDescent="0.25">
      <c r="J78" s="11"/>
      <c r="L78" s="14"/>
      <c r="O78" s="115"/>
      <c r="P78" s="115"/>
      <c r="R78" s="80"/>
      <c r="S78" s="80"/>
    </row>
    <row r="79" spans="10:19" x14ac:dyDescent="0.25">
      <c r="J79" s="11"/>
      <c r="L79" s="14"/>
      <c r="O79" s="115"/>
      <c r="P79" s="115"/>
      <c r="R79" s="80"/>
      <c r="S79" s="80"/>
    </row>
    <row r="80" spans="10:19" x14ac:dyDescent="0.25">
      <c r="J80" s="11"/>
      <c r="L80" s="14"/>
      <c r="O80" s="115"/>
      <c r="P80" s="115"/>
      <c r="R80" s="80"/>
      <c r="S80" s="80"/>
    </row>
    <row r="81" spans="12:19" x14ac:dyDescent="0.25">
      <c r="L81" s="14"/>
      <c r="O81" s="115"/>
      <c r="P81" s="115"/>
      <c r="R81" s="80"/>
      <c r="S81" s="80"/>
    </row>
    <row r="82" spans="12:19" x14ac:dyDescent="0.25">
      <c r="L82" s="14"/>
      <c r="O82" s="115"/>
      <c r="P82" s="115"/>
      <c r="R82" s="80"/>
      <c r="S82" s="80"/>
    </row>
    <row r="83" spans="12:19" x14ac:dyDescent="0.25">
      <c r="L83" s="14"/>
      <c r="O83" s="115"/>
      <c r="P83" s="115"/>
      <c r="R83" s="80"/>
      <c r="S83" s="80"/>
    </row>
    <row r="84" spans="12:19" x14ac:dyDescent="0.25">
      <c r="L84" s="14"/>
      <c r="O84" s="115"/>
      <c r="P84" s="115"/>
      <c r="R84" s="80"/>
      <c r="S84" s="8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77981-8A6C-4C6A-AA38-D1AE8101D00C}">
  <sheetPr codeName="Sheet3">
    <tabColor theme="5" tint="0.79998168889431442"/>
  </sheetPr>
  <dimension ref="A1:V33"/>
  <sheetViews>
    <sheetView topLeftCell="C1" zoomScale="94" workbookViewId="0">
      <selection activeCell="M14" sqref="M14"/>
    </sheetView>
  </sheetViews>
  <sheetFormatPr defaultColWidth="8.85546875" defaultRowHeight="15" x14ac:dyDescent="0.25"/>
  <cols>
    <col min="1" max="1" width="9.7109375" customWidth="1"/>
    <col min="2" max="2" width="14.42578125" customWidth="1"/>
    <col min="3" max="3" width="5.85546875" customWidth="1"/>
    <col min="4" max="4" width="14" customWidth="1"/>
    <col min="5" max="5" width="19" bestFit="1" customWidth="1"/>
    <col min="6" max="6" width="14.140625" bestFit="1" customWidth="1"/>
    <col min="7" max="7" width="15.85546875" bestFit="1" customWidth="1"/>
    <col min="8" max="8" width="14.28515625" customWidth="1"/>
    <col min="10" max="10" width="9.140625" style="2"/>
    <col min="11" max="11" width="24.140625" bestFit="1" customWidth="1"/>
    <col min="12" max="12" width="16.42578125" bestFit="1" customWidth="1"/>
    <col min="13" max="13" width="9.85546875" bestFit="1" customWidth="1"/>
    <col min="14" max="14" width="9.7109375" bestFit="1" customWidth="1"/>
    <col min="15" max="15" width="3.85546875" customWidth="1"/>
    <col min="16" max="16" width="9.85546875" bestFit="1" customWidth="1"/>
    <col min="19" max="19" width="9.140625" style="2"/>
    <col min="20" max="20" width="28.28515625" bestFit="1" customWidth="1"/>
    <col min="21" max="22" width="11.42578125" bestFit="1" customWidth="1"/>
  </cols>
  <sheetData>
    <row r="1" spans="1:22" x14ac:dyDescent="0.25">
      <c r="A1" s="1" t="s">
        <v>5</v>
      </c>
      <c r="B1" s="1"/>
      <c r="C1" s="1"/>
      <c r="D1" s="1"/>
      <c r="E1" s="1"/>
      <c r="F1" s="1"/>
    </row>
    <row r="3" spans="1:22" x14ac:dyDescent="0.25">
      <c r="K3" t="s">
        <v>205</v>
      </c>
      <c r="T3" t="s">
        <v>219</v>
      </c>
    </row>
    <row r="4" spans="1:22" x14ac:dyDescent="0.25">
      <c r="A4" s="55"/>
    </row>
    <row r="5" spans="1:22" x14ac:dyDescent="0.25">
      <c r="B5" s="125" t="s">
        <v>231</v>
      </c>
      <c r="F5" s="2"/>
      <c r="K5" s="3"/>
      <c r="L5" s="4" t="s">
        <v>216</v>
      </c>
      <c r="T5" s="3"/>
      <c r="U5" s="4" t="s">
        <v>42</v>
      </c>
      <c r="V5" s="3" t="s">
        <v>220</v>
      </c>
    </row>
    <row r="6" spans="1:22" x14ac:dyDescent="0.25">
      <c r="A6" s="31" t="s">
        <v>2</v>
      </c>
      <c r="B6" s="19" t="s">
        <v>202</v>
      </c>
      <c r="C6" s="3"/>
      <c r="D6" s="20" t="s">
        <v>203</v>
      </c>
      <c r="E6" s="20" t="s">
        <v>219</v>
      </c>
      <c r="F6" s="21" t="s">
        <v>204</v>
      </c>
      <c r="G6" s="109" t="s">
        <v>221</v>
      </c>
      <c r="H6" s="120" t="s">
        <v>1</v>
      </c>
      <c r="J6" s="2" t="s">
        <v>251</v>
      </c>
      <c r="K6" t="s">
        <v>213</v>
      </c>
      <c r="L6" s="118">
        <f>P17*P21*P31</f>
        <v>0.81316755418614295</v>
      </c>
      <c r="T6" t="s">
        <v>40</v>
      </c>
      <c r="U6" s="119" t="str">
        <f>Pol_Sex</f>
        <v>F</v>
      </c>
      <c r="V6">
        <f>VLOOKUP(U6,T17:U18,2,0)</f>
        <v>1</v>
      </c>
    </row>
    <row r="7" spans="1:22" x14ac:dyDescent="0.25">
      <c r="A7" s="5">
        <v>0</v>
      </c>
      <c r="B7" s="6">
        <f>'Myopia Raw'!E12</f>
        <v>0</v>
      </c>
      <c r="D7" s="123">
        <f>M10</f>
        <v>0.81316755418614295</v>
      </c>
      <c r="E7" s="123">
        <f>V10</f>
        <v>6.1347000000000014</v>
      </c>
      <c r="F7" s="76">
        <f>B7*D7*E7</f>
        <v>0</v>
      </c>
      <c r="G7" s="80">
        <f>F7/(1+F7)</f>
        <v>0</v>
      </c>
      <c r="H7" s="76"/>
      <c r="J7" s="2" t="s">
        <v>249</v>
      </c>
      <c r="K7" t="s">
        <v>214</v>
      </c>
      <c r="L7" s="118">
        <f>Q17*Q21*Q31</f>
        <v>0.83788688529224609</v>
      </c>
      <c r="T7" t="s">
        <v>218</v>
      </c>
      <c r="U7" s="119">
        <f>Parameters!C7</f>
        <v>2</v>
      </c>
      <c r="V7">
        <f>VLOOKUP(U7,T21:U23,2,0)</f>
        <v>5.07</v>
      </c>
    </row>
    <row r="8" spans="1:22" x14ac:dyDescent="0.25">
      <c r="A8" s="5">
        <v>1</v>
      </c>
      <c r="B8" s="6">
        <v>0</v>
      </c>
      <c r="D8" s="122">
        <f>D7</f>
        <v>0.81316755418614295</v>
      </c>
      <c r="E8" s="122">
        <f>E7</f>
        <v>6.1347000000000014</v>
      </c>
      <c r="F8" s="76">
        <f t="shared" ref="F8:F27" si="0">B8*D8*E8</f>
        <v>0</v>
      </c>
      <c r="G8" s="80">
        <f t="shared" ref="G8:G27" si="1">F8/(1+F8)</f>
        <v>0</v>
      </c>
      <c r="H8" s="76">
        <f>(G8-G7)/(1-G7)*1000</f>
        <v>0</v>
      </c>
      <c r="T8" t="s">
        <v>226</v>
      </c>
      <c r="U8" s="119">
        <f>Parameters!C8</f>
        <v>2</v>
      </c>
      <c r="V8">
        <f>VLOOKUP(U8,T26:U28,2,0)</f>
        <v>1.2100000000000002</v>
      </c>
    </row>
    <row r="9" spans="1:22" x14ac:dyDescent="0.25">
      <c r="A9" s="5">
        <v>2</v>
      </c>
      <c r="B9" s="6">
        <f>'Myopia Raw'!E12</f>
        <v>0</v>
      </c>
      <c r="D9" s="122">
        <f t="shared" ref="D9:D27" si="2">D8</f>
        <v>0.81316755418614295</v>
      </c>
      <c r="E9" s="122">
        <f t="shared" ref="E9:E27" si="3">E8</f>
        <v>6.1347000000000014</v>
      </c>
      <c r="F9" s="76">
        <f t="shared" si="0"/>
        <v>0</v>
      </c>
      <c r="G9" s="80">
        <f t="shared" si="1"/>
        <v>0</v>
      </c>
      <c r="H9" s="76">
        <f t="shared" ref="H9:H26" si="4">(G9-G8)/(1-G8)*1000</f>
        <v>0</v>
      </c>
      <c r="K9" s="3"/>
      <c r="L9" s="4"/>
      <c r="M9" s="3"/>
      <c r="T9" s="3"/>
      <c r="U9" s="4"/>
      <c r="V9" s="3"/>
    </row>
    <row r="10" spans="1:22" x14ac:dyDescent="0.25">
      <c r="A10" s="5">
        <v>3</v>
      </c>
      <c r="B10" s="6">
        <f>'Myopia Raw'!E13</f>
        <v>1.2444661242676919E-3</v>
      </c>
      <c r="D10" s="122">
        <f t="shared" si="2"/>
        <v>0.81316755418614295</v>
      </c>
      <c r="E10" s="122">
        <f t="shared" si="3"/>
        <v>6.1347000000000014</v>
      </c>
      <c r="F10" s="76">
        <f t="shared" si="0"/>
        <v>6.2080677884499115E-3</v>
      </c>
      <c r="G10" s="80">
        <f t="shared" si="1"/>
        <v>6.1697654661969237E-3</v>
      </c>
      <c r="H10" s="76">
        <f t="shared" si="4"/>
        <v>6.1697654661969237</v>
      </c>
      <c r="K10" t="s">
        <v>222</v>
      </c>
      <c r="L10" s="121" t="str">
        <f>Pol_Country</f>
        <v>P</v>
      </c>
      <c r="M10" s="122">
        <f>VLOOKUP(L10, J6:L7, 3, 0)</f>
        <v>0.81316755418614295</v>
      </c>
      <c r="N10" t="s">
        <v>230</v>
      </c>
      <c r="T10" t="s">
        <v>216</v>
      </c>
      <c r="U10" s="112"/>
      <c r="V10">
        <f>PRODUCT(V6:V9)</f>
        <v>6.1347000000000014</v>
      </c>
    </row>
    <row r="11" spans="1:22" x14ac:dyDescent="0.25">
      <c r="A11" s="5">
        <v>4</v>
      </c>
      <c r="B11" s="6">
        <f>'Myopia Raw'!E14</f>
        <v>2.4889322485353838E-3</v>
      </c>
      <c r="D11" s="122">
        <f t="shared" si="2"/>
        <v>0.81316755418614295</v>
      </c>
      <c r="E11" s="122">
        <f t="shared" si="3"/>
        <v>6.1347000000000014</v>
      </c>
      <c r="F11" s="76">
        <f t="shared" si="0"/>
        <v>1.2416135576899823E-2</v>
      </c>
      <c r="G11" s="80">
        <f t="shared" si="1"/>
        <v>1.2263865756964452E-2</v>
      </c>
      <c r="H11" s="76">
        <f t="shared" si="4"/>
        <v>6.1319328784822247</v>
      </c>
    </row>
    <row r="12" spans="1:22" x14ac:dyDescent="0.25">
      <c r="A12" s="5">
        <v>5</v>
      </c>
      <c r="B12" s="6">
        <f>'Myopia Raw'!E15</f>
        <v>3.7333983728030759E-3</v>
      </c>
      <c r="D12" s="122">
        <f t="shared" si="2"/>
        <v>0.81316755418614295</v>
      </c>
      <c r="E12" s="122">
        <f t="shared" si="3"/>
        <v>6.1347000000000014</v>
      </c>
      <c r="F12" s="76">
        <f t="shared" si="0"/>
        <v>1.8624203365349735E-2</v>
      </c>
      <c r="G12" s="80">
        <f t="shared" si="1"/>
        <v>1.8283684310483439E-2</v>
      </c>
      <c r="H12" s="76">
        <f t="shared" si="4"/>
        <v>6.0945614368278163</v>
      </c>
    </row>
    <row r="13" spans="1:22" x14ac:dyDescent="0.25">
      <c r="A13" s="5">
        <v>6</v>
      </c>
      <c r="B13" s="6">
        <f>'Myopia Raw'!E16</f>
        <v>4.9778644970707676E-3</v>
      </c>
      <c r="D13" s="122">
        <f t="shared" si="2"/>
        <v>0.81316755418614295</v>
      </c>
      <c r="E13" s="122">
        <f t="shared" si="3"/>
        <v>6.1347000000000014</v>
      </c>
      <c r="F13" s="76">
        <f t="shared" si="0"/>
        <v>2.4832271153799646E-2</v>
      </c>
      <c r="G13" s="80">
        <f t="shared" si="1"/>
        <v>2.42305710434376E-2</v>
      </c>
      <c r="H13" s="76">
        <f t="shared" si="4"/>
        <v>6.0576427608593999</v>
      </c>
    </row>
    <row r="14" spans="1:22" x14ac:dyDescent="0.25">
      <c r="A14" s="5">
        <v>7</v>
      </c>
      <c r="B14" s="6">
        <f>'Myopia Raw'!E17</f>
        <v>7.5080033787260411E-3</v>
      </c>
      <c r="D14" s="122">
        <f t="shared" si="2"/>
        <v>0.81316755418614295</v>
      </c>
      <c r="E14" s="122">
        <f t="shared" si="3"/>
        <v>6.1347000000000014</v>
      </c>
      <c r="F14" s="76">
        <f t="shared" si="0"/>
        <v>3.7453967626856925E-2</v>
      </c>
      <c r="G14" s="80">
        <f t="shared" si="1"/>
        <v>3.6101811545944246E-2</v>
      </c>
      <c r="H14" s="76">
        <f t="shared" si="4"/>
        <v>12.16603036559686</v>
      </c>
      <c r="K14" t="s">
        <v>230</v>
      </c>
    </row>
    <row r="15" spans="1:22" x14ac:dyDescent="0.25">
      <c r="A15" s="5">
        <v>8</v>
      </c>
      <c r="B15" s="6">
        <f>'Myopia Raw'!E18</f>
        <v>1.0038142260381315E-2</v>
      </c>
      <c r="D15" s="122">
        <f t="shared" si="2"/>
        <v>0.81316755418614295</v>
      </c>
      <c r="E15" s="122">
        <f t="shared" si="3"/>
        <v>6.1347000000000014</v>
      </c>
      <c r="F15" s="76">
        <f t="shared" si="0"/>
        <v>5.0075664099914215E-2</v>
      </c>
      <c r="G15" s="80">
        <f t="shared" si="1"/>
        <v>4.7687672242968521E-2</v>
      </c>
      <c r="H15" s="76">
        <f t="shared" si="4"/>
        <v>12.019797148499897</v>
      </c>
      <c r="K15" s="113"/>
      <c r="M15" t="s">
        <v>217</v>
      </c>
      <c r="P15" t="s">
        <v>215</v>
      </c>
    </row>
    <row r="16" spans="1:22" x14ac:dyDescent="0.25">
      <c r="A16" s="5">
        <v>9</v>
      </c>
      <c r="B16" s="6">
        <f>'Myopia Raw'!E19</f>
        <v>1.256828114203659E-2</v>
      </c>
      <c r="D16" s="122">
        <f t="shared" si="2"/>
        <v>0.81316755418614295</v>
      </c>
      <c r="E16" s="122">
        <f t="shared" si="3"/>
        <v>6.1347000000000014</v>
      </c>
      <c r="F16" s="76">
        <f t="shared" si="0"/>
        <v>6.2697360572971483E-2</v>
      </c>
      <c r="G16" s="80">
        <f t="shared" si="1"/>
        <v>5.8998321534521482E-2</v>
      </c>
      <c r="H16" s="76">
        <f t="shared" si="4"/>
        <v>11.877037566228701</v>
      </c>
      <c r="K16" s="3" t="s">
        <v>206</v>
      </c>
      <c r="L16" s="4" t="s">
        <v>209</v>
      </c>
      <c r="M16" s="114" t="s">
        <v>213</v>
      </c>
      <c r="N16" s="114" t="s">
        <v>214</v>
      </c>
      <c r="O16" s="3"/>
      <c r="P16" s="114" t="s">
        <v>213</v>
      </c>
      <c r="Q16" s="114" t="s">
        <v>214</v>
      </c>
      <c r="T16" s="39" t="s">
        <v>40</v>
      </c>
      <c r="U16" s="4" t="s">
        <v>209</v>
      </c>
    </row>
    <row r="17" spans="1:21" x14ac:dyDescent="0.25">
      <c r="A17" s="5">
        <v>10</v>
      </c>
      <c r="B17" s="6">
        <f>'Myopia Raw'!E20</f>
        <v>1.8630791543902826E-2</v>
      </c>
      <c r="D17" s="122">
        <f t="shared" si="2"/>
        <v>0.81316755418614295</v>
      </c>
      <c r="E17" s="122">
        <f t="shared" si="3"/>
        <v>6.1347000000000014</v>
      </c>
      <c r="F17" s="76">
        <f t="shared" si="0"/>
        <v>9.2940430118247833E-2</v>
      </c>
      <c r="G17" s="80">
        <f t="shared" si="1"/>
        <v>8.5037050105459436E-2</v>
      </c>
      <c r="H17" s="76">
        <f t="shared" si="4"/>
        <v>27.671288125011785</v>
      </c>
      <c r="K17" t="s">
        <v>207</v>
      </c>
      <c r="L17" s="116">
        <v>1</v>
      </c>
      <c r="M17" s="11">
        <v>0</v>
      </c>
      <c r="N17" s="11">
        <v>1</v>
      </c>
      <c r="P17" s="79">
        <f>SUMPRODUCT($L17:$L18,M17:M18)</f>
        <v>0.9</v>
      </c>
      <c r="Q17" s="79">
        <f>SUMPRODUCT($L17:$L18,N17:N18)</f>
        <v>1</v>
      </c>
      <c r="T17" s="32" t="s">
        <v>3</v>
      </c>
      <c r="U17" s="117">
        <v>1</v>
      </c>
    </row>
    <row r="18" spans="1:21" x14ac:dyDescent="0.25">
      <c r="A18" s="5">
        <v>11</v>
      </c>
      <c r="B18" s="6">
        <f>'Myopia Raw'!E21</f>
        <v>2.4693301945769068E-2</v>
      </c>
      <c r="D18" s="122">
        <f t="shared" si="2"/>
        <v>0.81316755418614295</v>
      </c>
      <c r="E18" s="122">
        <f t="shared" si="3"/>
        <v>6.1347000000000014</v>
      </c>
      <c r="F18" s="76">
        <f t="shared" si="0"/>
        <v>0.1231834996635242</v>
      </c>
      <c r="G18" s="80">
        <f t="shared" si="1"/>
        <v>0.10967353037186416</v>
      </c>
      <c r="H18" s="76">
        <f t="shared" si="4"/>
        <v>26.926205338964103</v>
      </c>
      <c r="K18" t="s">
        <v>208</v>
      </c>
      <c r="L18" s="117">
        <v>0.9</v>
      </c>
      <c r="M18" s="11">
        <v>1</v>
      </c>
      <c r="N18" s="11">
        <v>0</v>
      </c>
      <c r="T18" s="32" t="s">
        <v>4</v>
      </c>
      <c r="U18" s="117">
        <v>1</v>
      </c>
    </row>
    <row r="19" spans="1:21" x14ac:dyDescent="0.25">
      <c r="A19" s="5">
        <v>12</v>
      </c>
      <c r="B19" s="6">
        <f>'Myopia Raw'!E22</f>
        <v>3.0755812347635306E-2</v>
      </c>
      <c r="D19" s="122">
        <f t="shared" si="2"/>
        <v>0.81316755418614295</v>
      </c>
      <c r="E19" s="122">
        <f t="shared" si="3"/>
        <v>6.1347000000000014</v>
      </c>
      <c r="F19" s="76">
        <f t="shared" si="0"/>
        <v>0.15342656920880055</v>
      </c>
      <c r="G19" s="80">
        <f t="shared" si="1"/>
        <v>0.13301806400562141</v>
      </c>
      <c r="H19" s="76">
        <f t="shared" si="4"/>
        <v>26.22019498477632</v>
      </c>
    </row>
    <row r="20" spans="1:21" x14ac:dyDescent="0.25">
      <c r="A20" s="5">
        <v>13</v>
      </c>
      <c r="B20" s="6">
        <f>'Myopia Raw'!E23</f>
        <v>3.6144104701796229E-2</v>
      </c>
      <c r="D20" s="122">
        <f t="shared" si="2"/>
        <v>0.81316755418614295</v>
      </c>
      <c r="E20" s="122">
        <f t="shared" si="3"/>
        <v>6.1347000000000014</v>
      </c>
      <c r="F20" s="76">
        <f t="shared" si="0"/>
        <v>0.18030627573219152</v>
      </c>
      <c r="G20" s="80">
        <f t="shared" si="1"/>
        <v>0.15276227826573255</v>
      </c>
      <c r="H20" s="76">
        <f t="shared" si="4"/>
        <v>22.773501315763465</v>
      </c>
      <c r="K20" s="3" t="s">
        <v>210</v>
      </c>
      <c r="L20" s="4" t="s">
        <v>209</v>
      </c>
      <c r="M20" s="114" t="s">
        <v>213</v>
      </c>
      <c r="N20" s="114" t="s">
        <v>214</v>
      </c>
      <c r="O20" s="3"/>
      <c r="P20" s="114" t="s">
        <v>213</v>
      </c>
      <c r="Q20" s="114" t="s">
        <v>214</v>
      </c>
      <c r="T20" s="3" t="s">
        <v>218</v>
      </c>
      <c r="U20" s="4" t="s">
        <v>209</v>
      </c>
    </row>
    <row r="21" spans="1:21" x14ac:dyDescent="0.25">
      <c r="A21" s="5">
        <v>14</v>
      </c>
      <c r="B21" s="6">
        <f>'Myopia Raw'!E24</f>
        <v>4.1532397055957147E-2</v>
      </c>
      <c r="D21" s="122">
        <f t="shared" si="2"/>
        <v>0.81316755418614295</v>
      </c>
      <c r="E21" s="122">
        <f t="shared" si="3"/>
        <v>6.1347000000000014</v>
      </c>
      <c r="F21" s="76">
        <f t="shared" si="0"/>
        <v>0.20718598225558249</v>
      </c>
      <c r="G21" s="80">
        <f t="shared" si="1"/>
        <v>0.17162722670823521</v>
      </c>
      <c r="H21" s="76">
        <f t="shared" si="4"/>
        <v>22.266417038050125</v>
      </c>
      <c r="K21" t="s">
        <v>211</v>
      </c>
      <c r="L21" s="116">
        <v>1</v>
      </c>
      <c r="M21" s="115">
        <v>0.66799999999999993</v>
      </c>
      <c r="N21" s="115">
        <v>0.16679999999999995</v>
      </c>
      <c r="P21" s="79">
        <f>SUMPRODUCT($L21:$L22,M21:M22)</f>
        <v>0.96679999999999988</v>
      </c>
      <c r="Q21" s="79">
        <f>SUMPRODUCT($L21:$L22,N21:N22)</f>
        <v>0.91668000000000005</v>
      </c>
      <c r="T21" s="32">
        <v>0</v>
      </c>
      <c r="U21" s="117">
        <v>1</v>
      </c>
    </row>
    <row r="22" spans="1:21" x14ac:dyDescent="0.25">
      <c r="A22" s="5">
        <v>15</v>
      </c>
      <c r="B22" s="6">
        <f>'Myopia Raw'!E25</f>
        <v>4.6920689410118059E-2</v>
      </c>
      <c r="D22" s="122">
        <f t="shared" si="2"/>
        <v>0.81316755418614295</v>
      </c>
      <c r="E22" s="122">
        <f t="shared" si="3"/>
        <v>6.1347000000000014</v>
      </c>
      <c r="F22" s="76">
        <f t="shared" si="0"/>
        <v>0.23406568877897341</v>
      </c>
      <c r="G22" s="80">
        <f t="shared" si="1"/>
        <v>0.18967036431469542</v>
      </c>
      <c r="H22" s="76">
        <f t="shared" si="4"/>
        <v>21.7814227944273</v>
      </c>
      <c r="K22" t="s">
        <v>212</v>
      </c>
      <c r="L22" s="117">
        <v>0.9</v>
      </c>
      <c r="M22" s="115">
        <v>0.33200000000000002</v>
      </c>
      <c r="N22" s="115">
        <v>0.83320000000000005</v>
      </c>
      <c r="T22" s="32">
        <v>1</v>
      </c>
      <c r="U22" s="117">
        <v>2.08</v>
      </c>
    </row>
    <row r="23" spans="1:21" x14ac:dyDescent="0.25">
      <c r="A23" s="5">
        <v>16</v>
      </c>
      <c r="B23" s="6">
        <f>'Myopia Raw'!E26</f>
        <v>4.8276903409142896E-2</v>
      </c>
      <c r="D23" s="122">
        <f t="shared" si="2"/>
        <v>0.81316755418614295</v>
      </c>
      <c r="E23" s="122">
        <f t="shared" si="3"/>
        <v>6.1347000000000014</v>
      </c>
      <c r="F23" s="76">
        <f t="shared" si="0"/>
        <v>0.24083121519822037</v>
      </c>
      <c r="G23" s="80">
        <f t="shared" si="1"/>
        <v>0.19408861757217161</v>
      </c>
      <c r="H23" s="76">
        <f t="shared" si="4"/>
        <v>5.4524147493872981</v>
      </c>
      <c r="T23" s="32">
        <v>2</v>
      </c>
      <c r="U23" s="117">
        <v>5.07</v>
      </c>
    </row>
    <row r="24" spans="1:21" x14ac:dyDescent="0.25">
      <c r="A24" s="5">
        <v>17</v>
      </c>
      <c r="B24" s="6">
        <f>'Myopia Raw'!E27</f>
        <v>4.9633117408167726E-2</v>
      </c>
      <c r="D24" s="122">
        <f t="shared" si="2"/>
        <v>0.81316755418614295</v>
      </c>
      <c r="E24" s="122">
        <f t="shared" si="3"/>
        <v>6.1347000000000014</v>
      </c>
      <c r="F24" s="76">
        <f t="shared" si="0"/>
        <v>0.24759674161746731</v>
      </c>
      <c r="G24" s="80">
        <f t="shared" si="1"/>
        <v>0.19845895180558618</v>
      </c>
      <c r="H24" s="76">
        <f t="shared" si="4"/>
        <v>5.4228471376701828</v>
      </c>
    </row>
    <row r="25" spans="1:21" x14ac:dyDescent="0.25">
      <c r="A25" s="8">
        <v>18</v>
      </c>
      <c r="B25" s="9">
        <f>'Myopia Raw'!E28</f>
        <v>5.0989331407192556E-2</v>
      </c>
      <c r="C25" s="3"/>
      <c r="D25" s="124">
        <f t="shared" si="2"/>
        <v>0.81316755418614295</v>
      </c>
      <c r="E25" s="124">
        <f t="shared" si="3"/>
        <v>6.1347000000000014</v>
      </c>
      <c r="F25" s="110">
        <f t="shared" si="0"/>
        <v>0.25436226803671419</v>
      </c>
      <c r="G25" s="111">
        <f t="shared" si="1"/>
        <v>0.20278214238286479</v>
      </c>
      <c r="H25" s="110">
        <f>(G25-G24)/(1-G24)*1000</f>
        <v>5.393598477604141</v>
      </c>
      <c r="T25" s="3" t="s">
        <v>226</v>
      </c>
      <c r="U25" s="4" t="s">
        <v>209</v>
      </c>
    </row>
    <row r="26" spans="1:21" x14ac:dyDescent="0.25">
      <c r="A26" s="5">
        <v>19</v>
      </c>
      <c r="B26" s="6">
        <f>'Myopia Raw'!E29</f>
        <v>5.2345545406217386E-2</v>
      </c>
      <c r="D26" s="122">
        <f t="shared" si="2"/>
        <v>0.81316755418614295</v>
      </c>
      <c r="E26" s="122">
        <f t="shared" si="3"/>
        <v>6.1347000000000014</v>
      </c>
      <c r="F26" s="76">
        <f t="shared" si="0"/>
        <v>0.26112779445596113</v>
      </c>
      <c r="G26" s="80">
        <f t="shared" si="1"/>
        <v>0.20705894803358071</v>
      </c>
      <c r="H26" s="76">
        <f t="shared" si="4"/>
        <v>5.3646636359842574</v>
      </c>
      <c r="T26" s="32">
        <v>0</v>
      </c>
      <c r="U26" s="117">
        <v>1</v>
      </c>
    </row>
    <row r="27" spans="1:21" x14ac:dyDescent="0.25">
      <c r="A27" s="5">
        <v>20</v>
      </c>
      <c r="B27" s="6">
        <f>'Myopia Raw'!E30</f>
        <v>5.3701759405242216E-2</v>
      </c>
      <c r="D27" s="122">
        <f t="shared" si="2"/>
        <v>0.81316755418614295</v>
      </c>
      <c r="E27" s="122">
        <f t="shared" si="3"/>
        <v>6.1347000000000014</v>
      </c>
      <c r="F27" s="76">
        <f t="shared" si="0"/>
        <v>0.26789332087520801</v>
      </c>
      <c r="G27" s="80">
        <f t="shared" si="1"/>
        <v>0.21129011129286901</v>
      </c>
      <c r="H27" s="76">
        <f>(G27-G26)/(1-G26)*1000</f>
        <v>5.3360375891693437</v>
      </c>
      <c r="T27" s="32">
        <v>1</v>
      </c>
      <c r="U27" s="117">
        <v>1.1000000000000001</v>
      </c>
    </row>
    <row r="28" spans="1:21" x14ac:dyDescent="0.25">
      <c r="A28" s="5"/>
      <c r="B28" s="6"/>
      <c r="F28" s="2"/>
      <c r="H28" s="2"/>
      <c r="I28" t="s">
        <v>229</v>
      </c>
      <c r="K28" t="s">
        <v>228</v>
      </c>
      <c r="T28" s="32">
        <v>2</v>
      </c>
      <c r="U28" s="117">
        <f>U27^2</f>
        <v>1.2100000000000002</v>
      </c>
    </row>
    <row r="29" spans="1:21" x14ac:dyDescent="0.25">
      <c r="A29" s="5"/>
      <c r="B29" s="6"/>
      <c r="F29" s="2"/>
      <c r="H29" s="2"/>
      <c r="I29" t="s">
        <v>230</v>
      </c>
    </row>
    <row r="30" spans="1:21" x14ac:dyDescent="0.25">
      <c r="A30" s="5"/>
      <c r="B30" s="6"/>
      <c r="F30" s="2"/>
      <c r="H30" s="2"/>
      <c r="K30" s="3" t="s">
        <v>226</v>
      </c>
      <c r="L30" s="4" t="s">
        <v>209</v>
      </c>
      <c r="M30" s="114" t="s">
        <v>213</v>
      </c>
      <c r="N30" s="114" t="s">
        <v>214</v>
      </c>
      <c r="O30" s="3"/>
      <c r="P30" s="114" t="s">
        <v>213</v>
      </c>
      <c r="Q30" s="114" t="s">
        <v>214</v>
      </c>
    </row>
    <row r="31" spans="1:21" x14ac:dyDescent="0.25">
      <c r="A31" s="5"/>
      <c r="B31" s="6"/>
      <c r="F31" s="2"/>
      <c r="H31" s="2"/>
      <c r="K31">
        <v>0</v>
      </c>
      <c r="L31" s="117">
        <v>1</v>
      </c>
      <c r="M31" s="115">
        <v>0.66648678796024996</v>
      </c>
      <c r="N31" s="115">
        <v>0.55220052405845466</v>
      </c>
      <c r="P31" s="79">
        <f>1/SUMPRODUCT($L31:$L33,M31:M33)</f>
        <v>0.934546446681082</v>
      </c>
      <c r="Q31" s="79">
        <f>1/SUMPRODUCT($L31:$L33,N31:N33)</f>
        <v>0.91404512511699398</v>
      </c>
    </row>
    <row r="32" spans="1:21" x14ac:dyDescent="0.25">
      <c r="A32" s="5"/>
      <c r="B32" s="6"/>
      <c r="F32" s="2"/>
      <c r="H32" s="2"/>
      <c r="K32">
        <v>1</v>
      </c>
      <c r="L32" s="117">
        <v>1.1000000000000001</v>
      </c>
      <c r="M32" s="115">
        <v>0</v>
      </c>
      <c r="N32" s="115">
        <v>0</v>
      </c>
    </row>
    <row r="33" spans="11:14" x14ac:dyDescent="0.25">
      <c r="K33">
        <v>2</v>
      </c>
      <c r="L33" s="117">
        <f>L32^2</f>
        <v>1.2100000000000002</v>
      </c>
      <c r="M33" s="115">
        <v>0.33351321203975004</v>
      </c>
      <c r="N33" s="115">
        <v>0.44779947594154529</v>
      </c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64769-291F-406A-9760-DB43A9D75048}">
  <sheetPr codeName="Sheet15">
    <tabColor theme="5" tint="0.79998168889431442"/>
  </sheetPr>
  <dimension ref="A1:V33"/>
  <sheetViews>
    <sheetView zoomScale="94" workbookViewId="0">
      <selection activeCell="G28" sqref="G28"/>
    </sheetView>
  </sheetViews>
  <sheetFormatPr defaultColWidth="8.85546875" defaultRowHeight="15" x14ac:dyDescent="0.25"/>
  <cols>
    <col min="1" max="1" width="9.7109375" customWidth="1"/>
    <col min="2" max="2" width="14.42578125" customWidth="1"/>
    <col min="3" max="3" width="5.85546875" customWidth="1"/>
    <col min="4" max="4" width="14" customWidth="1"/>
    <col min="5" max="5" width="19" bestFit="1" customWidth="1"/>
    <col min="6" max="6" width="14.140625" bestFit="1" customWidth="1"/>
    <col min="7" max="7" width="15.85546875" bestFit="1" customWidth="1"/>
    <col min="8" max="8" width="14.28515625" customWidth="1"/>
    <col min="10" max="10" width="8.85546875" style="2"/>
    <col min="11" max="11" width="24.140625" bestFit="1" customWidth="1"/>
    <col min="12" max="12" width="16.42578125" bestFit="1" customWidth="1"/>
    <col min="13" max="13" width="9.85546875" bestFit="1" customWidth="1"/>
    <col min="14" max="14" width="9.7109375" bestFit="1" customWidth="1"/>
    <col min="15" max="15" width="3.85546875" customWidth="1"/>
    <col min="16" max="16" width="9.85546875" bestFit="1" customWidth="1"/>
    <col min="19" max="19" width="8.85546875" style="2"/>
    <col min="20" max="20" width="28.28515625" bestFit="1" customWidth="1"/>
    <col min="21" max="22" width="11.42578125" bestFit="1" customWidth="1"/>
  </cols>
  <sheetData>
    <row r="1" spans="1:22" x14ac:dyDescent="0.25">
      <c r="A1" s="1" t="s">
        <v>5</v>
      </c>
      <c r="B1" s="1"/>
      <c r="C1" s="1"/>
      <c r="D1" s="1"/>
      <c r="E1" s="1"/>
      <c r="F1" s="1"/>
    </row>
    <row r="3" spans="1:22" x14ac:dyDescent="0.25">
      <c r="K3" t="s">
        <v>205</v>
      </c>
      <c r="T3" t="s">
        <v>219</v>
      </c>
    </row>
    <row r="4" spans="1:22" x14ac:dyDescent="0.25">
      <c r="A4" s="55" t="s">
        <v>2</v>
      </c>
    </row>
    <row r="5" spans="1:22" x14ac:dyDescent="0.25">
      <c r="B5" s="125" t="s">
        <v>231</v>
      </c>
      <c r="F5" s="2"/>
      <c r="K5" s="3"/>
      <c r="L5" s="4" t="s">
        <v>216</v>
      </c>
      <c r="T5" s="3"/>
      <c r="U5" s="4" t="s">
        <v>42</v>
      </c>
      <c r="V5" s="3" t="s">
        <v>220</v>
      </c>
    </row>
    <row r="6" spans="1:22" x14ac:dyDescent="0.25">
      <c r="A6" s="31"/>
      <c r="B6" s="19" t="s">
        <v>202</v>
      </c>
      <c r="C6" s="3"/>
      <c r="D6" s="20" t="s">
        <v>203</v>
      </c>
      <c r="E6" s="20" t="s">
        <v>219</v>
      </c>
      <c r="F6" s="21" t="s">
        <v>204</v>
      </c>
      <c r="G6" s="109" t="s">
        <v>221</v>
      </c>
      <c r="H6" s="120" t="s">
        <v>1</v>
      </c>
      <c r="J6" s="2" t="s">
        <v>251</v>
      </c>
      <c r="K6" t="s">
        <v>213</v>
      </c>
      <c r="L6" s="118">
        <f>P17*P21*P31</f>
        <v>0.81316755418614295</v>
      </c>
      <c r="T6" t="s">
        <v>40</v>
      </c>
      <c r="U6" s="119" t="str">
        <f>Pol_Sex</f>
        <v>F</v>
      </c>
      <c r="V6">
        <f>VLOOKUP(U6,T17:U18,2,0)</f>
        <v>1</v>
      </c>
    </row>
    <row r="7" spans="1:22" x14ac:dyDescent="0.25">
      <c r="A7" s="5">
        <v>0</v>
      </c>
      <c r="B7" s="6">
        <v>0</v>
      </c>
      <c r="D7" s="123">
        <f>M10</f>
        <v>0.81316755418614295</v>
      </c>
      <c r="E7" s="123">
        <f>V10</f>
        <v>6.1347000000000014</v>
      </c>
      <c r="F7" s="76">
        <f>B7*D7*E7</f>
        <v>0</v>
      </c>
      <c r="G7" s="80">
        <f>F7/(1+F7)</f>
        <v>0</v>
      </c>
      <c r="H7" s="76"/>
      <c r="J7" s="2" t="s">
        <v>249</v>
      </c>
      <c r="K7" t="s">
        <v>214</v>
      </c>
      <c r="L7" s="118">
        <f>Q17*Q21*Q31</f>
        <v>0.83788688529224609</v>
      </c>
      <c r="T7" t="s">
        <v>218</v>
      </c>
      <c r="U7" s="119">
        <f>Parameters!C7</f>
        <v>2</v>
      </c>
      <c r="V7">
        <f>VLOOKUP(U7,T21:U23,2,0)</f>
        <v>5.07</v>
      </c>
    </row>
    <row r="8" spans="1:22" x14ac:dyDescent="0.25">
      <c r="A8" s="5">
        <v>1</v>
      </c>
      <c r="B8" s="6">
        <v>0</v>
      </c>
      <c r="D8" s="122">
        <f>D7</f>
        <v>0.81316755418614295</v>
      </c>
      <c r="E8" s="122">
        <f>E7</f>
        <v>6.1347000000000014</v>
      </c>
      <c r="F8" s="76">
        <f t="shared" ref="F8:F27" si="0">B8*D8*E8</f>
        <v>0</v>
      </c>
      <c r="G8" s="80">
        <f t="shared" ref="G8:G27" si="1">F8/(1+F8)</f>
        <v>0</v>
      </c>
      <c r="H8" s="76">
        <f>(G8-G7)/(1-G7)*1000</f>
        <v>0</v>
      </c>
      <c r="T8" t="s">
        <v>226</v>
      </c>
      <c r="U8" s="119">
        <f>Parameters!C8</f>
        <v>2</v>
      </c>
      <c r="V8">
        <f>VLOOKUP(U8,T26:U28,2,0)</f>
        <v>1.2100000000000002</v>
      </c>
    </row>
    <row r="9" spans="1:22" x14ac:dyDescent="0.25">
      <c r="A9" s="5">
        <v>2</v>
      </c>
      <c r="B9" s="6">
        <v>0</v>
      </c>
      <c r="D9" s="122">
        <f t="shared" ref="D9:E24" si="2">D8</f>
        <v>0.81316755418614295</v>
      </c>
      <c r="E9" s="122">
        <f t="shared" si="2"/>
        <v>6.1347000000000014</v>
      </c>
      <c r="F9" s="76">
        <f t="shared" si="0"/>
        <v>0</v>
      </c>
      <c r="G9" s="80">
        <f t="shared" si="1"/>
        <v>0</v>
      </c>
      <c r="H9" s="76">
        <f t="shared" ref="H9:H27" si="3">(G9-G8)/(1-G8)*1000</f>
        <v>0</v>
      </c>
      <c r="K9" s="3"/>
      <c r="L9" s="4"/>
      <c r="M9" s="3"/>
      <c r="T9" s="3"/>
      <c r="U9" s="4"/>
      <c r="V9" s="3"/>
    </row>
    <row r="10" spans="1:22" x14ac:dyDescent="0.25">
      <c r="A10" s="5">
        <v>3</v>
      </c>
      <c r="B10" s="6">
        <v>1.2444661242676919E-3</v>
      </c>
      <c r="D10" s="122">
        <f t="shared" si="2"/>
        <v>0.81316755418614295</v>
      </c>
      <c r="E10" s="122">
        <f t="shared" si="2"/>
        <v>6.1347000000000014</v>
      </c>
      <c r="F10" s="76">
        <f t="shared" si="0"/>
        <v>6.2080677884499115E-3</v>
      </c>
      <c r="G10" s="80">
        <f t="shared" si="1"/>
        <v>6.1697654661969237E-3</v>
      </c>
      <c r="H10" s="76">
        <f t="shared" si="3"/>
        <v>6.1697654661969237</v>
      </c>
      <c r="K10" t="s">
        <v>222</v>
      </c>
      <c r="L10" s="121" t="str">
        <f>Pol_Country</f>
        <v>P</v>
      </c>
      <c r="M10" s="122">
        <f>VLOOKUP(L10, J6:L7, 3, 0)</f>
        <v>0.81316755418614295</v>
      </c>
      <c r="T10" t="s">
        <v>216</v>
      </c>
      <c r="U10" s="112"/>
      <c r="V10">
        <f>PRODUCT(V6:V9)</f>
        <v>6.1347000000000014</v>
      </c>
    </row>
    <row r="11" spans="1:22" x14ac:dyDescent="0.25">
      <c r="A11" s="5">
        <v>4</v>
      </c>
      <c r="B11" s="6">
        <v>2.4889322485353838E-3</v>
      </c>
      <c r="D11" s="122">
        <f t="shared" si="2"/>
        <v>0.81316755418614295</v>
      </c>
      <c r="E11" s="122">
        <f t="shared" si="2"/>
        <v>6.1347000000000014</v>
      </c>
      <c r="F11" s="76">
        <f t="shared" si="0"/>
        <v>1.2416135576899823E-2</v>
      </c>
      <c r="G11" s="80">
        <f t="shared" si="1"/>
        <v>1.2263865756964452E-2</v>
      </c>
      <c r="H11" s="76">
        <f t="shared" si="3"/>
        <v>6.1319328784822247</v>
      </c>
    </row>
    <row r="12" spans="1:22" x14ac:dyDescent="0.25">
      <c r="A12" s="5">
        <v>5</v>
      </c>
      <c r="B12" s="6">
        <v>3.7333983728030759E-3</v>
      </c>
      <c r="D12" s="122">
        <f t="shared" si="2"/>
        <v>0.81316755418614295</v>
      </c>
      <c r="E12" s="122">
        <f t="shared" si="2"/>
        <v>6.1347000000000014</v>
      </c>
      <c r="F12" s="76">
        <f t="shared" si="0"/>
        <v>1.8624203365349735E-2</v>
      </c>
      <c r="G12" s="80">
        <f t="shared" si="1"/>
        <v>1.8283684310483439E-2</v>
      </c>
      <c r="H12" s="76">
        <f t="shared" si="3"/>
        <v>6.0945614368278163</v>
      </c>
    </row>
    <row r="13" spans="1:22" x14ac:dyDescent="0.25">
      <c r="A13" s="5">
        <v>6</v>
      </c>
      <c r="B13" s="6">
        <v>4.9778644970707676E-3</v>
      </c>
      <c r="D13" s="122">
        <f t="shared" si="2"/>
        <v>0.81316755418614295</v>
      </c>
      <c r="E13" s="122">
        <f t="shared" si="2"/>
        <v>6.1347000000000014</v>
      </c>
      <c r="F13" s="76">
        <f t="shared" si="0"/>
        <v>2.4832271153799646E-2</v>
      </c>
      <c r="G13" s="80">
        <f t="shared" si="1"/>
        <v>2.42305710434376E-2</v>
      </c>
      <c r="H13" s="76">
        <f t="shared" si="3"/>
        <v>6.0576427608593999</v>
      </c>
    </row>
    <row r="14" spans="1:22" x14ac:dyDescent="0.25">
      <c r="A14" s="5">
        <v>7</v>
      </c>
      <c r="B14" s="6">
        <v>7.5080033787260411E-3</v>
      </c>
      <c r="D14" s="122">
        <f t="shared" si="2"/>
        <v>0.81316755418614295</v>
      </c>
      <c r="E14" s="122">
        <f t="shared" si="2"/>
        <v>6.1347000000000014</v>
      </c>
      <c r="F14" s="76">
        <f t="shared" si="0"/>
        <v>3.7453967626856925E-2</v>
      </c>
      <c r="G14" s="80">
        <f t="shared" si="1"/>
        <v>3.6101811545944246E-2</v>
      </c>
      <c r="H14" s="76">
        <f t="shared" si="3"/>
        <v>12.16603036559686</v>
      </c>
      <c r="K14" t="s">
        <v>230</v>
      </c>
    </row>
    <row r="15" spans="1:22" x14ac:dyDescent="0.25">
      <c r="A15" s="5">
        <v>8</v>
      </c>
      <c r="B15" s="6">
        <v>1.0038142260381315E-2</v>
      </c>
      <c r="D15" s="122">
        <f t="shared" si="2"/>
        <v>0.81316755418614295</v>
      </c>
      <c r="E15" s="122">
        <f t="shared" si="2"/>
        <v>6.1347000000000014</v>
      </c>
      <c r="F15" s="76">
        <f t="shared" si="0"/>
        <v>5.0075664099914215E-2</v>
      </c>
      <c r="G15" s="80">
        <f t="shared" si="1"/>
        <v>4.7687672242968521E-2</v>
      </c>
      <c r="H15" s="76">
        <f t="shared" si="3"/>
        <v>12.019797148499897</v>
      </c>
      <c r="K15" s="113"/>
      <c r="M15" t="s">
        <v>217</v>
      </c>
      <c r="P15" t="s">
        <v>215</v>
      </c>
    </row>
    <row r="16" spans="1:22" x14ac:dyDescent="0.25">
      <c r="A16" s="5">
        <v>9</v>
      </c>
      <c r="B16" s="6">
        <v>1.256828114203659E-2</v>
      </c>
      <c r="D16" s="122">
        <f t="shared" si="2"/>
        <v>0.81316755418614295</v>
      </c>
      <c r="E16" s="122">
        <f t="shared" si="2"/>
        <v>6.1347000000000014</v>
      </c>
      <c r="F16" s="76">
        <f t="shared" si="0"/>
        <v>6.2697360572971483E-2</v>
      </c>
      <c r="G16" s="80">
        <f t="shared" si="1"/>
        <v>5.8998321534521482E-2</v>
      </c>
      <c r="H16" s="76">
        <f t="shared" si="3"/>
        <v>11.877037566228701</v>
      </c>
      <c r="K16" s="3" t="s">
        <v>206</v>
      </c>
      <c r="L16" s="4" t="s">
        <v>209</v>
      </c>
      <c r="M16" s="114" t="s">
        <v>213</v>
      </c>
      <c r="N16" s="114" t="s">
        <v>214</v>
      </c>
      <c r="O16" s="3"/>
      <c r="P16" s="114" t="s">
        <v>213</v>
      </c>
      <c r="Q16" s="114" t="s">
        <v>214</v>
      </c>
      <c r="T16" s="39" t="s">
        <v>40</v>
      </c>
      <c r="U16" s="4" t="s">
        <v>209</v>
      </c>
    </row>
    <row r="17" spans="1:21" x14ac:dyDescent="0.25">
      <c r="A17" s="5">
        <v>10</v>
      </c>
      <c r="B17" s="6">
        <v>1.8630791543902826E-2</v>
      </c>
      <c r="D17" s="122">
        <f t="shared" si="2"/>
        <v>0.81316755418614295</v>
      </c>
      <c r="E17" s="122">
        <f t="shared" si="2"/>
        <v>6.1347000000000014</v>
      </c>
      <c r="F17" s="76">
        <f t="shared" si="0"/>
        <v>9.2940430118247833E-2</v>
      </c>
      <c r="G17" s="80">
        <f t="shared" si="1"/>
        <v>8.5037050105459436E-2</v>
      </c>
      <c r="H17" s="76">
        <f t="shared" si="3"/>
        <v>27.671288125011785</v>
      </c>
      <c r="K17" t="s">
        <v>207</v>
      </c>
      <c r="L17" s="116">
        <v>1</v>
      </c>
      <c r="M17" s="11">
        <v>0</v>
      </c>
      <c r="N17" s="11">
        <v>1</v>
      </c>
      <c r="P17" s="79">
        <f>SUMPRODUCT($L17:$L18,M17:M18)</f>
        <v>0.9</v>
      </c>
      <c r="Q17" s="79">
        <f>SUMPRODUCT($L17:$L18,N17:N18)</f>
        <v>1</v>
      </c>
      <c r="T17" s="32" t="s">
        <v>3</v>
      </c>
      <c r="U17" s="117">
        <v>1</v>
      </c>
    </row>
    <row r="18" spans="1:21" x14ac:dyDescent="0.25">
      <c r="A18" s="5">
        <v>11</v>
      </c>
      <c r="B18" s="6">
        <v>2.4693301945769068E-2</v>
      </c>
      <c r="D18" s="122">
        <f t="shared" si="2"/>
        <v>0.81316755418614295</v>
      </c>
      <c r="E18" s="122">
        <f t="shared" si="2"/>
        <v>6.1347000000000014</v>
      </c>
      <c r="F18" s="76">
        <f t="shared" si="0"/>
        <v>0.1231834996635242</v>
      </c>
      <c r="G18" s="80">
        <f t="shared" si="1"/>
        <v>0.10967353037186416</v>
      </c>
      <c r="H18" s="76">
        <f t="shared" si="3"/>
        <v>26.926205338964103</v>
      </c>
      <c r="K18" t="s">
        <v>208</v>
      </c>
      <c r="L18" s="117">
        <v>0.9</v>
      </c>
      <c r="M18" s="11">
        <v>1</v>
      </c>
      <c r="N18" s="11">
        <v>0</v>
      </c>
      <c r="T18" s="32" t="s">
        <v>4</v>
      </c>
      <c r="U18" s="117">
        <v>1</v>
      </c>
    </row>
    <row r="19" spans="1:21" x14ac:dyDescent="0.25">
      <c r="A19" s="5">
        <v>12</v>
      </c>
      <c r="B19" s="6">
        <v>3.0755812347635306E-2</v>
      </c>
      <c r="D19" s="122">
        <f t="shared" si="2"/>
        <v>0.81316755418614295</v>
      </c>
      <c r="E19" s="122">
        <f t="shared" si="2"/>
        <v>6.1347000000000014</v>
      </c>
      <c r="F19" s="76">
        <f t="shared" si="0"/>
        <v>0.15342656920880055</v>
      </c>
      <c r="G19" s="80">
        <f t="shared" si="1"/>
        <v>0.13301806400562141</v>
      </c>
      <c r="H19" s="76">
        <f t="shared" si="3"/>
        <v>26.22019498477632</v>
      </c>
    </row>
    <row r="20" spans="1:21" x14ac:dyDescent="0.25">
      <c r="A20" s="5">
        <v>13</v>
      </c>
      <c r="B20" s="6">
        <v>3.6144104701796229E-2</v>
      </c>
      <c r="D20" s="122">
        <f t="shared" si="2"/>
        <v>0.81316755418614295</v>
      </c>
      <c r="E20" s="122">
        <f t="shared" si="2"/>
        <v>6.1347000000000014</v>
      </c>
      <c r="F20" s="76">
        <f t="shared" si="0"/>
        <v>0.18030627573219152</v>
      </c>
      <c r="G20" s="80">
        <f t="shared" si="1"/>
        <v>0.15276227826573255</v>
      </c>
      <c r="H20" s="76">
        <f t="shared" si="3"/>
        <v>22.773501315763465</v>
      </c>
      <c r="K20" s="3" t="s">
        <v>210</v>
      </c>
      <c r="L20" s="4" t="s">
        <v>209</v>
      </c>
      <c r="M20" s="114" t="s">
        <v>213</v>
      </c>
      <c r="N20" s="114" t="s">
        <v>214</v>
      </c>
      <c r="O20" s="3"/>
      <c r="P20" s="114" t="s">
        <v>213</v>
      </c>
      <c r="Q20" s="114" t="s">
        <v>214</v>
      </c>
      <c r="T20" s="3" t="s">
        <v>218</v>
      </c>
      <c r="U20" s="4" t="s">
        <v>209</v>
      </c>
    </row>
    <row r="21" spans="1:21" x14ac:dyDescent="0.25">
      <c r="A21" s="5">
        <v>14</v>
      </c>
      <c r="B21" s="6">
        <v>4.1532397055957147E-2</v>
      </c>
      <c r="D21" s="122">
        <f t="shared" si="2"/>
        <v>0.81316755418614295</v>
      </c>
      <c r="E21" s="122">
        <f t="shared" si="2"/>
        <v>6.1347000000000014</v>
      </c>
      <c r="F21" s="76">
        <f t="shared" si="0"/>
        <v>0.20718598225558249</v>
      </c>
      <c r="G21" s="80">
        <f t="shared" si="1"/>
        <v>0.17162722670823521</v>
      </c>
      <c r="H21" s="76">
        <f t="shared" si="3"/>
        <v>22.266417038050125</v>
      </c>
      <c r="K21" t="s">
        <v>211</v>
      </c>
      <c r="L21" s="116">
        <v>1</v>
      </c>
      <c r="M21" s="115">
        <v>0.66799999999999993</v>
      </c>
      <c r="N21" s="115">
        <v>0.16679999999999995</v>
      </c>
      <c r="P21" s="79">
        <f>SUMPRODUCT($L21:$L22,M21:M22)</f>
        <v>0.96679999999999988</v>
      </c>
      <c r="Q21" s="79">
        <f>SUMPRODUCT($L21:$L22,N21:N22)</f>
        <v>0.91668000000000005</v>
      </c>
      <c r="T21" s="32">
        <v>0</v>
      </c>
      <c r="U21" s="117">
        <v>1</v>
      </c>
    </row>
    <row r="22" spans="1:21" x14ac:dyDescent="0.25">
      <c r="A22" s="5">
        <v>15</v>
      </c>
      <c r="B22" s="6">
        <v>4.6920689410118059E-2</v>
      </c>
      <c r="D22" s="122">
        <f t="shared" si="2"/>
        <v>0.81316755418614295</v>
      </c>
      <c r="E22" s="122">
        <f t="shared" si="2"/>
        <v>6.1347000000000014</v>
      </c>
      <c r="F22" s="76">
        <f t="shared" si="0"/>
        <v>0.23406568877897341</v>
      </c>
      <c r="G22" s="80">
        <f t="shared" si="1"/>
        <v>0.18967036431469542</v>
      </c>
      <c r="H22" s="76">
        <f t="shared" si="3"/>
        <v>21.7814227944273</v>
      </c>
      <c r="K22" t="s">
        <v>212</v>
      </c>
      <c r="L22" s="117">
        <v>0.9</v>
      </c>
      <c r="M22" s="115">
        <v>0.33200000000000002</v>
      </c>
      <c r="N22" s="115">
        <v>0.83320000000000005</v>
      </c>
      <c r="T22" s="32">
        <v>1</v>
      </c>
      <c r="U22" s="117">
        <v>2.08</v>
      </c>
    </row>
    <row r="23" spans="1:21" x14ac:dyDescent="0.25">
      <c r="A23" s="5">
        <v>16</v>
      </c>
      <c r="B23" s="6">
        <v>4.8276903409142896E-2</v>
      </c>
      <c r="D23" s="122">
        <f t="shared" si="2"/>
        <v>0.81316755418614295</v>
      </c>
      <c r="E23" s="122">
        <f t="shared" si="2"/>
        <v>6.1347000000000014</v>
      </c>
      <c r="F23" s="76">
        <f t="shared" si="0"/>
        <v>0.24083121519822037</v>
      </c>
      <c r="G23" s="80">
        <f t="shared" si="1"/>
        <v>0.19408861757217161</v>
      </c>
      <c r="H23" s="76">
        <f t="shared" si="3"/>
        <v>5.4524147493872981</v>
      </c>
      <c r="T23" s="32">
        <v>2</v>
      </c>
      <c r="U23" s="117">
        <v>5.07</v>
      </c>
    </row>
    <row r="24" spans="1:21" x14ac:dyDescent="0.25">
      <c r="A24" s="5">
        <v>17</v>
      </c>
      <c r="B24" s="6">
        <v>4.9633117408167726E-2</v>
      </c>
      <c r="D24" s="122">
        <f t="shared" si="2"/>
        <v>0.81316755418614295</v>
      </c>
      <c r="E24" s="122">
        <f t="shared" si="2"/>
        <v>6.1347000000000014</v>
      </c>
      <c r="F24" s="76">
        <f t="shared" si="0"/>
        <v>0.24759674161746731</v>
      </c>
      <c r="G24" s="80">
        <f t="shared" si="1"/>
        <v>0.19845895180558618</v>
      </c>
      <c r="H24" s="76">
        <f t="shared" si="3"/>
        <v>5.4228471376701828</v>
      </c>
    </row>
    <row r="25" spans="1:21" x14ac:dyDescent="0.25">
      <c r="A25" s="8">
        <v>18</v>
      </c>
      <c r="B25" s="9">
        <v>5.0989331407192556E-2</v>
      </c>
      <c r="C25" s="3"/>
      <c r="D25" s="124">
        <f t="shared" ref="D25:E27" si="4">D24</f>
        <v>0.81316755418614295</v>
      </c>
      <c r="E25" s="124">
        <f t="shared" si="4"/>
        <v>6.1347000000000014</v>
      </c>
      <c r="F25" s="110">
        <f t="shared" si="0"/>
        <v>0.25436226803671419</v>
      </c>
      <c r="G25" s="111">
        <f t="shared" si="1"/>
        <v>0.20278214238286479</v>
      </c>
      <c r="H25" s="110">
        <f t="shared" si="3"/>
        <v>5.393598477604141</v>
      </c>
      <c r="T25" s="3" t="s">
        <v>226</v>
      </c>
      <c r="U25" s="4" t="s">
        <v>209</v>
      </c>
    </row>
    <row r="26" spans="1:21" x14ac:dyDescent="0.25">
      <c r="A26" s="5">
        <v>19</v>
      </c>
      <c r="B26" s="6">
        <v>5.2345545406217386E-2</v>
      </c>
      <c r="D26" s="122">
        <f t="shared" si="4"/>
        <v>0.81316755418614295</v>
      </c>
      <c r="E26" s="122">
        <f t="shared" si="4"/>
        <v>6.1347000000000014</v>
      </c>
      <c r="F26" s="76">
        <f t="shared" si="0"/>
        <v>0.26112779445596113</v>
      </c>
      <c r="G26" s="80">
        <f t="shared" si="1"/>
        <v>0.20705894803358071</v>
      </c>
      <c r="H26" s="76">
        <f t="shared" si="3"/>
        <v>5.3646636359842574</v>
      </c>
      <c r="T26" s="32">
        <v>0</v>
      </c>
      <c r="U26" s="117">
        <v>1</v>
      </c>
    </row>
    <row r="27" spans="1:21" x14ac:dyDescent="0.25">
      <c r="A27" s="5">
        <v>20</v>
      </c>
      <c r="B27" s="6">
        <v>5.3701759405242216E-2</v>
      </c>
      <c r="D27" s="122">
        <f t="shared" si="4"/>
        <v>0.81316755418614295</v>
      </c>
      <c r="E27" s="122">
        <f t="shared" si="4"/>
        <v>6.1347000000000014</v>
      </c>
      <c r="F27" s="76">
        <f t="shared" si="0"/>
        <v>0.26789332087520801</v>
      </c>
      <c r="G27" s="80">
        <f t="shared" si="1"/>
        <v>0.21129011129286901</v>
      </c>
      <c r="H27" s="76">
        <f t="shared" si="3"/>
        <v>5.3360375891693437</v>
      </c>
      <c r="T27" s="32">
        <v>1</v>
      </c>
      <c r="U27" s="117">
        <v>1.1000000000000001</v>
      </c>
    </row>
    <row r="28" spans="1:21" x14ac:dyDescent="0.25">
      <c r="A28" s="5"/>
      <c r="B28" s="6"/>
      <c r="F28" s="2"/>
      <c r="H28" s="2"/>
      <c r="I28" t="s">
        <v>229</v>
      </c>
      <c r="K28" t="s">
        <v>228</v>
      </c>
      <c r="T28" s="32">
        <v>2</v>
      </c>
      <c r="U28" s="117">
        <f>U27^2</f>
        <v>1.2100000000000002</v>
      </c>
    </row>
    <row r="29" spans="1:21" x14ac:dyDescent="0.25">
      <c r="A29" s="5"/>
      <c r="B29" s="6"/>
      <c r="F29" s="2"/>
      <c r="H29" s="2"/>
      <c r="I29" t="s">
        <v>230</v>
      </c>
    </row>
    <row r="30" spans="1:21" x14ac:dyDescent="0.25">
      <c r="A30" s="5"/>
      <c r="B30" s="6"/>
      <c r="F30" s="2"/>
      <c r="H30" s="2"/>
      <c r="K30" s="3" t="s">
        <v>226</v>
      </c>
      <c r="L30" s="4" t="s">
        <v>209</v>
      </c>
      <c r="M30" s="114" t="s">
        <v>213</v>
      </c>
      <c r="N30" s="114" t="s">
        <v>214</v>
      </c>
      <c r="O30" s="3"/>
      <c r="P30" s="114" t="s">
        <v>213</v>
      </c>
      <c r="Q30" s="114" t="s">
        <v>214</v>
      </c>
    </row>
    <row r="31" spans="1:21" x14ac:dyDescent="0.25">
      <c r="A31" s="5"/>
      <c r="B31" s="6"/>
      <c r="F31" s="2"/>
      <c r="H31" s="2"/>
      <c r="K31">
        <v>0</v>
      </c>
      <c r="L31" s="117">
        <v>1</v>
      </c>
      <c r="M31" s="115">
        <v>0.66648678796024996</v>
      </c>
      <c r="N31" s="115">
        <v>0.55220052405845466</v>
      </c>
      <c r="P31" s="79">
        <f>1/SUMPRODUCT($L31:$L33,M31:M33)</f>
        <v>0.934546446681082</v>
      </c>
      <c r="Q31" s="79">
        <f>1/SUMPRODUCT($L31:$L33,N31:N33)</f>
        <v>0.91404512511699398</v>
      </c>
    </row>
    <row r="32" spans="1:21" x14ac:dyDescent="0.25">
      <c r="A32" s="5"/>
      <c r="B32" s="6"/>
      <c r="F32" s="2"/>
      <c r="H32" s="2"/>
      <c r="K32">
        <v>1</v>
      </c>
      <c r="L32" s="117">
        <v>1.1000000000000001</v>
      </c>
      <c r="M32" s="115">
        <v>0</v>
      </c>
      <c r="N32" s="115">
        <v>0</v>
      </c>
    </row>
    <row r="33" spans="11:14" x14ac:dyDescent="0.25">
      <c r="K33">
        <v>2</v>
      </c>
      <c r="L33" s="117">
        <f>L32^2</f>
        <v>1.2100000000000002</v>
      </c>
      <c r="M33" s="115">
        <v>0.33351321203975004</v>
      </c>
      <c r="N33" s="115">
        <v>0.44779947594154529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83B81-D0F3-4849-9AA0-71BCA15CB1A2}">
  <sheetPr codeName="Sheet5">
    <tabColor theme="5" tint="0.79998168889431442"/>
  </sheetPr>
  <dimension ref="A2:AA61"/>
  <sheetViews>
    <sheetView zoomScale="85" zoomScaleNormal="85" workbookViewId="0">
      <selection activeCell="N50" sqref="N50"/>
    </sheetView>
  </sheetViews>
  <sheetFormatPr defaultColWidth="8.85546875" defaultRowHeight="15" x14ac:dyDescent="0.25"/>
  <cols>
    <col min="1" max="1" width="15.140625" customWidth="1"/>
    <col min="2" max="2" width="12.7109375" bestFit="1" customWidth="1"/>
    <col min="3" max="3" width="10.7109375" customWidth="1"/>
    <col min="4" max="4" width="12.7109375" bestFit="1" customWidth="1"/>
    <col min="5" max="7" width="10.42578125" customWidth="1"/>
    <col min="8" max="8" width="12.85546875" customWidth="1"/>
    <col min="9" max="9" width="14.85546875" bestFit="1" customWidth="1"/>
    <col min="11" max="11" width="8.85546875" style="2"/>
    <col min="13" max="13" width="11.42578125" customWidth="1"/>
    <col min="15" max="15" width="8.85546875" style="2"/>
    <col min="16" max="16" width="22.85546875" bestFit="1" customWidth="1"/>
    <col min="17" max="17" width="12" customWidth="1"/>
    <col min="18" max="18" width="14" customWidth="1"/>
    <col min="19" max="19" width="10" customWidth="1"/>
    <col min="21" max="21" width="16.85546875" bestFit="1" customWidth="1"/>
    <col min="22" max="22" width="10.42578125" customWidth="1"/>
    <col min="26" max="26" width="9.140625" customWidth="1"/>
  </cols>
  <sheetData>
    <row r="2" spans="1:27" x14ac:dyDescent="0.25">
      <c r="A2" s="1" t="s">
        <v>6</v>
      </c>
      <c r="H2" s="202" t="s">
        <v>7</v>
      </c>
      <c r="I2" s="203"/>
      <c r="L2" s="1" t="s">
        <v>8</v>
      </c>
      <c r="P2" s="204" t="s">
        <v>9</v>
      </c>
      <c r="Q2" s="205"/>
      <c r="R2" s="205"/>
      <c r="S2" s="206"/>
      <c r="U2" s="207" t="s">
        <v>10</v>
      </c>
      <c r="V2" s="208"/>
    </row>
    <row r="3" spans="1:27" x14ac:dyDescent="0.25">
      <c r="L3" t="s">
        <v>1</v>
      </c>
    </row>
    <row r="4" spans="1:27" x14ac:dyDescent="0.25">
      <c r="A4" s="3"/>
      <c r="B4" s="19" t="s">
        <v>251</v>
      </c>
      <c r="C4" s="36" t="s">
        <v>249</v>
      </c>
      <c r="D4" s="157"/>
      <c r="E4" s="3"/>
      <c r="F4" s="19" t="s">
        <v>251</v>
      </c>
      <c r="G4" s="36" t="s">
        <v>249</v>
      </c>
      <c r="H4" s="3"/>
      <c r="I4" s="4" t="s">
        <v>11</v>
      </c>
      <c r="P4" s="3"/>
      <c r="Q4" s="4" t="s">
        <v>12</v>
      </c>
      <c r="R4" s="3" t="s">
        <v>13</v>
      </c>
      <c r="S4" s="3" t="s">
        <v>14</v>
      </c>
      <c r="U4" s="3"/>
      <c r="V4" s="4"/>
      <c r="Z4" s="10"/>
      <c r="AA4" s="11"/>
    </row>
    <row r="5" spans="1:27" x14ac:dyDescent="0.25">
      <c r="A5" t="s">
        <v>15</v>
      </c>
      <c r="B5" s="12">
        <f>2.62909090909091%</f>
        <v>2.6290909090909097E-2</v>
      </c>
      <c r="C5" s="108">
        <f>0.425454545454545%</f>
        <v>4.2545454545454501E-3</v>
      </c>
      <c r="D5" s="108"/>
      <c r="F5" s="12">
        <v>2.629090909090909E-2</v>
      </c>
      <c r="G5" s="108">
        <v>4.3E-3</v>
      </c>
      <c r="H5" t="s">
        <v>19</v>
      </c>
      <c r="I5" s="13">
        <v>-0.25</v>
      </c>
      <c r="P5" t="s">
        <v>16</v>
      </c>
      <c r="Q5" s="2">
        <v>0</v>
      </c>
      <c r="R5">
        <v>0</v>
      </c>
      <c r="S5" s="14">
        <v>0</v>
      </c>
      <c r="U5" t="s">
        <v>17</v>
      </c>
      <c r="V5" s="13">
        <v>0.1</v>
      </c>
      <c r="Z5" s="10"/>
      <c r="AA5" s="11"/>
    </row>
    <row r="6" spans="1:27" x14ac:dyDescent="0.25">
      <c r="A6" t="s">
        <v>18</v>
      </c>
      <c r="B6" s="12">
        <f>4.06909090909091%</f>
        <v>4.0690909090909104E-2</v>
      </c>
      <c r="C6" s="108">
        <f>1.94454545454545%</f>
        <v>1.9445454545454498E-2</v>
      </c>
      <c r="D6" s="108"/>
      <c r="F6" s="12">
        <v>4.0690909090909097E-2</v>
      </c>
      <c r="G6" s="108">
        <v>1.9400000000000001E-2</v>
      </c>
      <c r="P6" t="s">
        <v>20</v>
      </c>
      <c r="Q6" s="2">
        <v>0</v>
      </c>
      <c r="R6">
        <v>0</v>
      </c>
      <c r="S6" s="14">
        <v>0.09</v>
      </c>
      <c r="Z6" s="10"/>
      <c r="AA6" s="11"/>
    </row>
    <row r="7" spans="1:27" x14ac:dyDescent="0.25">
      <c r="A7" t="s">
        <v>21</v>
      </c>
      <c r="B7" s="15">
        <v>10</v>
      </c>
      <c r="C7">
        <v>10</v>
      </c>
      <c r="F7" s="15">
        <v>10</v>
      </c>
      <c r="G7">
        <v>10</v>
      </c>
      <c r="P7" t="s">
        <v>22</v>
      </c>
      <c r="Q7" s="2">
        <v>0</v>
      </c>
      <c r="R7">
        <v>0</v>
      </c>
      <c r="S7" s="14">
        <v>0</v>
      </c>
    </row>
    <row r="8" spans="1:27" x14ac:dyDescent="0.25">
      <c r="D8" s="1"/>
      <c r="I8" s="16"/>
      <c r="P8" t="s">
        <v>23</v>
      </c>
      <c r="Q8" s="2">
        <v>0</v>
      </c>
      <c r="R8">
        <v>0</v>
      </c>
      <c r="S8" s="14">
        <v>4.4999999999999998E-2</v>
      </c>
      <c r="AA8" s="17"/>
    </row>
    <row r="9" spans="1:27" x14ac:dyDescent="0.25">
      <c r="B9" s="1" t="s">
        <v>27</v>
      </c>
      <c r="D9" s="144" t="s">
        <v>26</v>
      </c>
      <c r="F9" s="1" t="s">
        <v>315</v>
      </c>
      <c r="H9" s="143" t="s">
        <v>316</v>
      </c>
      <c r="P9" t="s">
        <v>24</v>
      </c>
      <c r="Q9" s="2">
        <v>0</v>
      </c>
      <c r="R9">
        <v>0</v>
      </c>
      <c r="S9" s="14">
        <v>4.2999999999999997E-2</v>
      </c>
    </row>
    <row r="10" spans="1:27" x14ac:dyDescent="0.25">
      <c r="A10" s="18" t="s">
        <v>25</v>
      </c>
      <c r="B10" s="19" t="s">
        <v>251</v>
      </c>
      <c r="C10" s="36" t="s">
        <v>249</v>
      </c>
      <c r="D10" s="19" t="s">
        <v>251</v>
      </c>
      <c r="E10" s="36" t="s">
        <v>249</v>
      </c>
      <c r="F10" s="19" t="s">
        <v>251</v>
      </c>
      <c r="G10" s="36" t="s">
        <v>249</v>
      </c>
      <c r="H10" s="19" t="s">
        <v>251</v>
      </c>
      <c r="I10" s="36" t="s">
        <v>249</v>
      </c>
      <c r="L10" s="18" t="s">
        <v>25</v>
      </c>
      <c r="M10" s="19" t="s">
        <v>28</v>
      </c>
      <c r="Q10" s="2"/>
      <c r="S10" s="11"/>
    </row>
    <row r="11" spans="1:27" x14ac:dyDescent="0.25">
      <c r="A11" s="22">
        <v>1</v>
      </c>
      <c r="B11" s="23">
        <f>IF(A11&lt;=$B$7, ($B$5*($B$7-A11+1) + $B$6*(A11-1))/$B$7, $B$6)</f>
        <v>2.6290909090909097E-2</v>
      </c>
      <c r="C11" s="16">
        <f>IF(A11&lt;=$C$7, ($C$5*($C$7-A11+1) + $C$6*(A11-1))/$C$7, $C$6)</f>
        <v>4.2545454545454501E-3</v>
      </c>
      <c r="D11" s="146">
        <f>B11</f>
        <v>2.6290909090909097E-2</v>
      </c>
      <c r="E11" s="145">
        <f>C11</f>
        <v>4.2545454545454501E-3</v>
      </c>
      <c r="F11" s="162">
        <v>2.6290909090909094E-2</v>
      </c>
      <c r="G11" s="16">
        <v>4.2545454545454544E-3</v>
      </c>
      <c r="H11" s="23">
        <f>F11*(1+$I$5)</f>
        <v>1.9718181818181822E-2</v>
      </c>
      <c r="I11" s="16">
        <f t="shared" ref="I11:I60" si="0">G11*(1+$I$5)</f>
        <v>3.1909090909090906E-3</v>
      </c>
      <c r="J11" s="16"/>
      <c r="L11" s="22">
        <v>1</v>
      </c>
      <c r="M11" s="24">
        <v>0</v>
      </c>
    </row>
    <row r="12" spans="1:27" x14ac:dyDescent="0.25">
      <c r="A12" s="22">
        <v>2</v>
      </c>
      <c r="B12" s="23">
        <f t="shared" ref="B12:B60" si="1">IF(A12&lt;=$B$7, ($B$5*($B$7-A12+1) + $B$6*(A12-1))/$B$7, $B$6)</f>
        <v>2.7730909090909094E-2</v>
      </c>
      <c r="C12" s="16">
        <f t="shared" ref="C12:C60" si="2">IF(A12&lt;=$C$7, ($C$5*($C$7-A12+1) + $C$6*(A12-1))/$C$7, $C$6)</f>
        <v>5.7736363636363541E-3</v>
      </c>
      <c r="D12" s="23">
        <f>(1+B12)^$A12 / (1+B11)^$A11 - 1</f>
        <v>2.9172929570659312E-2</v>
      </c>
      <c r="E12" s="16">
        <f t="shared" ref="E12:E43" si="3">(1+C12)^$A12 / (1+C11)^$A11 - 1</f>
        <v>7.2950251335637262E-3</v>
      </c>
      <c r="F12" s="23">
        <v>2.9172929570659312E-2</v>
      </c>
      <c r="G12" s="16">
        <v>7.2950251335637262E-3</v>
      </c>
      <c r="H12" s="23">
        <f t="shared" ref="H12:H60" si="4">F12*(1+$I$5)</f>
        <v>2.1879697177994484E-2</v>
      </c>
      <c r="I12" s="16">
        <f t="shared" si="0"/>
        <v>5.4712688501727946E-3</v>
      </c>
      <c r="L12" s="22">
        <v>2</v>
      </c>
      <c r="M12" s="24">
        <v>0</v>
      </c>
      <c r="P12" s="3"/>
      <c r="Q12" s="4" t="s">
        <v>29</v>
      </c>
      <c r="R12" s="3" t="s">
        <v>30</v>
      </c>
    </row>
    <row r="13" spans="1:27" x14ac:dyDescent="0.25">
      <c r="A13" s="22">
        <v>3</v>
      </c>
      <c r="B13" s="23">
        <f t="shared" si="1"/>
        <v>2.9170909090909098E-2</v>
      </c>
      <c r="C13" s="16">
        <f t="shared" si="2"/>
        <v>7.2927272727272589E-3</v>
      </c>
      <c r="D13" s="23">
        <f t="shared" ref="D13:D43" si="5">(1+B13)^$A13 / (1+B12)^$A12 - 1</f>
        <v>3.205696486422438E-2</v>
      </c>
      <c r="E13" s="16">
        <f t="shared" si="3"/>
        <v>1.0337795726934607E-2</v>
      </c>
      <c r="F13" s="23">
        <v>3.205696486422438E-2</v>
      </c>
      <c r="G13" s="16">
        <v>1.0337795726934607E-2</v>
      </c>
      <c r="H13" s="23">
        <f t="shared" si="4"/>
        <v>2.4042723648168285E-2</v>
      </c>
      <c r="I13" s="16">
        <f t="shared" si="0"/>
        <v>7.7533467952009549E-3</v>
      </c>
      <c r="L13" s="22">
        <v>3</v>
      </c>
      <c r="M13" s="24">
        <v>0</v>
      </c>
      <c r="P13" t="s">
        <v>31</v>
      </c>
      <c r="Q13" s="12">
        <v>1.35E-2</v>
      </c>
      <c r="R13" s="108">
        <v>2.35E-2</v>
      </c>
    </row>
    <row r="14" spans="1:27" x14ac:dyDescent="0.25">
      <c r="A14" s="22">
        <v>4</v>
      </c>
      <c r="B14" s="23">
        <f t="shared" si="1"/>
        <v>3.0610909090909098E-2</v>
      </c>
      <c r="C14" s="16">
        <f t="shared" si="2"/>
        <v>8.8118181818181655E-3</v>
      </c>
      <c r="D14" s="23">
        <f t="shared" si="5"/>
        <v>3.4943009325520524E-2</v>
      </c>
      <c r="E14" s="16">
        <f t="shared" si="3"/>
        <v>1.3382850314413552E-2</v>
      </c>
      <c r="F14" s="23">
        <v>3.4943009325520524E-2</v>
      </c>
      <c r="G14" s="16">
        <v>1.3382850314413552E-2</v>
      </c>
      <c r="H14" s="23">
        <f t="shared" si="4"/>
        <v>2.6207256994140393E-2</v>
      </c>
      <c r="I14" s="16">
        <f t="shared" si="0"/>
        <v>1.0037137735810164E-2</v>
      </c>
      <c r="L14" s="22">
        <v>4</v>
      </c>
      <c r="M14" s="24">
        <v>0</v>
      </c>
      <c r="Q14" s="2"/>
    </row>
    <row r="15" spans="1:27" x14ac:dyDescent="0.25">
      <c r="A15" s="22">
        <v>5</v>
      </c>
      <c r="B15" s="23">
        <f t="shared" si="1"/>
        <v>3.2050909090909095E-2</v>
      </c>
      <c r="C15" s="16">
        <f t="shared" si="2"/>
        <v>1.0330909090909069E-2</v>
      </c>
      <c r="D15" s="23">
        <f t="shared" si="5"/>
        <v>3.7831057328246098E-2</v>
      </c>
      <c r="E15" s="16">
        <f t="shared" si="3"/>
        <v>1.6430182001887506E-2</v>
      </c>
      <c r="F15" s="23">
        <v>3.7831057328246098E-2</v>
      </c>
      <c r="G15" s="16">
        <v>1.6430182001887506E-2</v>
      </c>
      <c r="H15" s="23">
        <f t="shared" si="4"/>
        <v>2.8373292996184574E-2</v>
      </c>
      <c r="I15" s="16">
        <f t="shared" si="0"/>
        <v>1.2322636501415629E-2</v>
      </c>
      <c r="L15" s="22">
        <v>5</v>
      </c>
      <c r="M15" s="24">
        <v>0</v>
      </c>
    </row>
    <row r="16" spans="1:27" x14ac:dyDescent="0.25">
      <c r="A16" s="22">
        <v>6</v>
      </c>
      <c r="B16" s="23">
        <f t="shared" si="1"/>
        <v>3.3490909090909106E-2</v>
      </c>
      <c r="C16" s="16">
        <f t="shared" si="2"/>
        <v>1.1849999999999975E-2</v>
      </c>
      <c r="D16" s="23">
        <f t="shared" si="5"/>
        <v>4.0721103265794367E-2</v>
      </c>
      <c r="E16" s="16">
        <f t="shared" si="3"/>
        <v>1.9479783921261484E-2</v>
      </c>
      <c r="F16" s="23">
        <v>4.0721103265794367E-2</v>
      </c>
      <c r="G16" s="16">
        <v>1.9479783921261484E-2</v>
      </c>
      <c r="H16" s="23">
        <f t="shared" si="4"/>
        <v>3.0540827449345775E-2</v>
      </c>
      <c r="I16" s="16">
        <f t="shared" si="0"/>
        <v>1.4609837940946113E-2</v>
      </c>
      <c r="L16" s="22">
        <v>6</v>
      </c>
      <c r="M16" s="24">
        <v>0</v>
      </c>
    </row>
    <row r="17" spans="1:19" x14ac:dyDescent="0.25">
      <c r="A17" s="22">
        <v>7</v>
      </c>
      <c r="B17" s="23">
        <f t="shared" si="1"/>
        <v>3.4930909090909103E-2</v>
      </c>
      <c r="C17" s="16">
        <f t="shared" si="2"/>
        <v>1.3369090909090877E-2</v>
      </c>
      <c r="D17" s="23">
        <f t="shared" si="5"/>
        <v>4.3613141551184675E-2</v>
      </c>
      <c r="E17" s="16">
        <f t="shared" si="3"/>
        <v>2.2531649230354001E-2</v>
      </c>
      <c r="F17" s="23">
        <v>4.3613141551184675E-2</v>
      </c>
      <c r="G17" s="16">
        <v>2.2531649230354001E-2</v>
      </c>
      <c r="H17" s="23">
        <f t="shared" si="4"/>
        <v>3.2709856163388507E-2</v>
      </c>
      <c r="I17" s="16">
        <f t="shared" si="0"/>
        <v>1.68987369227655E-2</v>
      </c>
      <c r="L17" s="22">
        <v>7</v>
      </c>
      <c r="M17" s="24">
        <v>0</v>
      </c>
    </row>
    <row r="18" spans="1:19" x14ac:dyDescent="0.25">
      <c r="A18" s="22">
        <v>8</v>
      </c>
      <c r="B18" s="23">
        <f t="shared" si="1"/>
        <v>3.63709090909091E-2</v>
      </c>
      <c r="C18" s="16">
        <f t="shared" si="2"/>
        <v>1.4888181818181783E-2</v>
      </c>
      <c r="D18" s="23">
        <f t="shared" si="5"/>
        <v>4.6507166616977402E-2</v>
      </c>
      <c r="E18" s="16">
        <f t="shared" si="3"/>
        <v>2.558577111277649E-2</v>
      </c>
      <c r="F18" s="23">
        <v>4.6507166616977402E-2</v>
      </c>
      <c r="G18" s="16">
        <v>2.558577111277649E-2</v>
      </c>
      <c r="H18" s="23">
        <f t="shared" si="4"/>
        <v>3.4880374962733052E-2</v>
      </c>
      <c r="I18" s="16">
        <f t="shared" si="0"/>
        <v>1.9189328334582367E-2</v>
      </c>
      <c r="L18" s="22">
        <v>8</v>
      </c>
      <c r="M18" s="24">
        <v>0</v>
      </c>
    </row>
    <row r="19" spans="1:19" x14ac:dyDescent="0.25">
      <c r="A19" s="22">
        <v>9</v>
      </c>
      <c r="B19" s="23">
        <f t="shared" si="1"/>
        <v>3.7810909090909103E-2</v>
      </c>
      <c r="C19" s="16">
        <f t="shared" si="2"/>
        <v>1.6407272727272691E-2</v>
      </c>
      <c r="D19" s="23">
        <f t="shared" si="5"/>
        <v>4.9403172915208016E-2</v>
      </c>
      <c r="E19" s="16">
        <f t="shared" si="3"/>
        <v>2.8642142777830282E-2</v>
      </c>
      <c r="F19" s="23">
        <v>4.9403172915208016E-2</v>
      </c>
      <c r="G19" s="16">
        <v>2.8642142777832058E-2</v>
      </c>
      <c r="H19" s="23">
        <f t="shared" si="4"/>
        <v>3.7052379686406012E-2</v>
      </c>
      <c r="I19" s="16">
        <f t="shared" si="0"/>
        <v>2.1481607083374044E-2</v>
      </c>
      <c r="L19" s="22">
        <v>9</v>
      </c>
      <c r="M19" s="24">
        <v>0</v>
      </c>
    </row>
    <row r="20" spans="1:19" x14ac:dyDescent="0.25">
      <c r="A20" s="22">
        <v>10</v>
      </c>
      <c r="B20" s="23">
        <f t="shared" si="1"/>
        <v>3.92509090909091E-2</v>
      </c>
      <c r="C20" s="16">
        <f t="shared" si="2"/>
        <v>1.7926363636363594E-2</v>
      </c>
      <c r="D20" s="23">
        <f t="shared" si="5"/>
        <v>5.2301154917290482E-2</v>
      </c>
      <c r="E20" s="16">
        <f t="shared" si="3"/>
        <v>3.1700757460410456E-2</v>
      </c>
      <c r="F20" s="23">
        <v>5.2301154917290482E-2</v>
      </c>
      <c r="G20" s="16">
        <v>3.1700757460408679E-2</v>
      </c>
      <c r="H20" s="23">
        <f t="shared" si="4"/>
        <v>3.9225866187967862E-2</v>
      </c>
      <c r="I20" s="16">
        <f t="shared" si="0"/>
        <v>2.377556809530651E-2</v>
      </c>
      <c r="L20" s="22">
        <v>10</v>
      </c>
      <c r="M20" s="24">
        <v>0</v>
      </c>
    </row>
    <row r="21" spans="1:19" x14ac:dyDescent="0.25">
      <c r="A21" s="22">
        <v>11</v>
      </c>
      <c r="B21" s="23">
        <f t="shared" si="1"/>
        <v>4.0690909090909104E-2</v>
      </c>
      <c r="C21" s="16">
        <f t="shared" si="2"/>
        <v>1.9445454545454498E-2</v>
      </c>
      <c r="D21" s="23">
        <f t="shared" si="5"/>
        <v>5.5201107113974412E-2</v>
      </c>
      <c r="E21" s="16">
        <f t="shared" si="3"/>
        <v>3.4761608420867063E-2</v>
      </c>
      <c r="F21" s="23">
        <v>5.5201107113974412E-2</v>
      </c>
      <c r="G21" s="16">
        <v>3.4761608420867063E-2</v>
      </c>
      <c r="H21" s="23">
        <f t="shared" si="4"/>
        <v>4.1400830335480809E-2</v>
      </c>
      <c r="I21" s="16">
        <f t="shared" si="0"/>
        <v>2.6071206315650297E-2</v>
      </c>
      <c r="L21" s="22">
        <v>11</v>
      </c>
      <c r="M21" s="24">
        <v>0</v>
      </c>
    </row>
    <row r="22" spans="1:19" x14ac:dyDescent="0.25">
      <c r="A22" s="22">
        <v>12</v>
      </c>
      <c r="B22" s="23">
        <f t="shared" si="1"/>
        <v>4.0690909090909104E-2</v>
      </c>
      <c r="C22" s="16">
        <f t="shared" si="2"/>
        <v>1.9445454545454498E-2</v>
      </c>
      <c r="D22" s="23">
        <f t="shared" si="5"/>
        <v>4.0690909090909333E-2</v>
      </c>
      <c r="E22" s="16">
        <f t="shared" si="3"/>
        <v>1.9445454545454544E-2</v>
      </c>
      <c r="F22" s="23">
        <v>4.0690909090909333E-2</v>
      </c>
      <c r="G22" s="16">
        <v>1.9445454545454544E-2</v>
      </c>
      <c r="H22" s="23">
        <f t="shared" si="4"/>
        <v>3.0518181818182E-2</v>
      </c>
      <c r="I22" s="16">
        <f t="shared" si="0"/>
        <v>1.4584090909090908E-2</v>
      </c>
      <c r="L22" s="22">
        <v>12</v>
      </c>
      <c r="M22" s="24">
        <v>0</v>
      </c>
    </row>
    <row r="23" spans="1:19" x14ac:dyDescent="0.25">
      <c r="A23" s="22">
        <v>13</v>
      </c>
      <c r="B23" s="23">
        <f t="shared" si="1"/>
        <v>4.0690909090909104E-2</v>
      </c>
      <c r="C23" s="16">
        <f t="shared" si="2"/>
        <v>1.9445454545454498E-2</v>
      </c>
      <c r="D23" s="23">
        <f t="shared" si="5"/>
        <v>4.0690909090908889E-2</v>
      </c>
      <c r="E23" s="16">
        <f t="shared" si="3"/>
        <v>1.9445454545454544E-2</v>
      </c>
      <c r="F23" s="23">
        <v>4.0690909090908889E-2</v>
      </c>
      <c r="G23" s="16">
        <v>1.9445454545454544E-2</v>
      </c>
      <c r="H23" s="23">
        <f t="shared" si="4"/>
        <v>3.0518181818181667E-2</v>
      </c>
      <c r="I23" s="16">
        <f t="shared" si="0"/>
        <v>1.4584090909090908E-2</v>
      </c>
      <c r="L23" s="22">
        <v>13</v>
      </c>
      <c r="M23" s="24">
        <v>0</v>
      </c>
    </row>
    <row r="24" spans="1:19" x14ac:dyDescent="0.25">
      <c r="A24" s="22">
        <v>14</v>
      </c>
      <c r="B24" s="23">
        <f t="shared" si="1"/>
        <v>4.0690909090909104E-2</v>
      </c>
      <c r="C24" s="16">
        <f t="shared" si="2"/>
        <v>1.9445454545454498E-2</v>
      </c>
      <c r="D24" s="23">
        <f t="shared" si="5"/>
        <v>4.0690909090909333E-2</v>
      </c>
      <c r="E24" s="16">
        <f t="shared" si="3"/>
        <v>1.9445454545454544E-2</v>
      </c>
      <c r="F24" s="23">
        <v>4.0690909090909333E-2</v>
      </c>
      <c r="G24" s="16">
        <v>1.9445454545454544E-2</v>
      </c>
      <c r="H24" s="23">
        <f t="shared" si="4"/>
        <v>3.0518181818182E-2</v>
      </c>
      <c r="I24" s="16">
        <f t="shared" si="0"/>
        <v>1.4584090909090908E-2</v>
      </c>
      <c r="L24" s="22">
        <v>14</v>
      </c>
      <c r="M24" s="24">
        <v>0</v>
      </c>
    </row>
    <row r="25" spans="1:19" x14ac:dyDescent="0.25">
      <c r="A25" s="22">
        <v>15</v>
      </c>
      <c r="B25" s="23">
        <f t="shared" si="1"/>
        <v>4.0690909090909104E-2</v>
      </c>
      <c r="C25" s="16">
        <f t="shared" si="2"/>
        <v>1.9445454545454498E-2</v>
      </c>
      <c r="D25" s="23">
        <f t="shared" si="5"/>
        <v>4.0690909090909111E-2</v>
      </c>
      <c r="E25" s="16">
        <f t="shared" si="3"/>
        <v>1.9445454545454544E-2</v>
      </c>
      <c r="F25" s="23">
        <v>4.0690909090909111E-2</v>
      </c>
      <c r="G25" s="16">
        <v>1.9445454545454544E-2</v>
      </c>
      <c r="H25" s="23">
        <f t="shared" si="4"/>
        <v>3.0518181818181833E-2</v>
      </c>
      <c r="I25" s="16">
        <f t="shared" si="0"/>
        <v>1.4584090909090908E-2</v>
      </c>
      <c r="L25" s="22">
        <v>15</v>
      </c>
      <c r="M25" s="24">
        <v>0</v>
      </c>
      <c r="P25" s="202" t="s">
        <v>7</v>
      </c>
      <c r="Q25" s="209"/>
      <c r="R25" s="209"/>
      <c r="S25" s="203"/>
    </row>
    <row r="26" spans="1:19" x14ac:dyDescent="0.25">
      <c r="A26" s="22">
        <v>16</v>
      </c>
      <c r="B26" s="23">
        <f t="shared" si="1"/>
        <v>4.0690909090909104E-2</v>
      </c>
      <c r="C26" s="16">
        <f t="shared" si="2"/>
        <v>1.9445454545454498E-2</v>
      </c>
      <c r="D26" s="23">
        <f t="shared" si="5"/>
        <v>4.0690909090909111E-2</v>
      </c>
      <c r="E26" s="16">
        <f t="shared" si="3"/>
        <v>1.9445454545454544E-2</v>
      </c>
      <c r="F26" s="23">
        <v>4.0690909090909111E-2</v>
      </c>
      <c r="G26" s="16">
        <v>1.9445454545454544E-2</v>
      </c>
      <c r="H26" s="23">
        <f t="shared" si="4"/>
        <v>3.0518181818181833E-2</v>
      </c>
      <c r="I26" s="16">
        <f t="shared" si="0"/>
        <v>1.4584090909090908E-2</v>
      </c>
      <c r="L26" s="22">
        <v>16</v>
      </c>
      <c r="M26" s="24">
        <v>0</v>
      </c>
    </row>
    <row r="27" spans="1:19" x14ac:dyDescent="0.25">
      <c r="A27" s="22">
        <v>17</v>
      </c>
      <c r="B27" s="23">
        <f t="shared" si="1"/>
        <v>4.0690909090909104E-2</v>
      </c>
      <c r="C27" s="16">
        <f t="shared" si="2"/>
        <v>1.9445454545454498E-2</v>
      </c>
      <c r="D27" s="23">
        <f t="shared" si="5"/>
        <v>4.0690909090909111E-2</v>
      </c>
      <c r="E27" s="16">
        <f t="shared" si="3"/>
        <v>1.9445454545454544E-2</v>
      </c>
      <c r="F27" s="23">
        <v>4.0690909090909111E-2</v>
      </c>
      <c r="G27" s="16">
        <v>1.9445454545454544E-2</v>
      </c>
      <c r="H27" s="23">
        <f t="shared" si="4"/>
        <v>3.0518181818181833E-2</v>
      </c>
      <c r="I27" s="16">
        <f t="shared" si="0"/>
        <v>1.4584090909090908E-2</v>
      </c>
      <c r="L27" s="22">
        <v>17</v>
      </c>
      <c r="M27" s="24">
        <v>0</v>
      </c>
      <c r="P27" s="3"/>
      <c r="Q27" s="26" t="s">
        <v>32</v>
      </c>
      <c r="R27" s="27" t="s">
        <v>33</v>
      </c>
    </row>
    <row r="28" spans="1:19" x14ac:dyDescent="0.25">
      <c r="A28" s="22">
        <v>18</v>
      </c>
      <c r="B28" s="23">
        <f t="shared" si="1"/>
        <v>4.0690909090909104E-2</v>
      </c>
      <c r="C28" s="16">
        <f t="shared" si="2"/>
        <v>1.9445454545454498E-2</v>
      </c>
      <c r="D28" s="23">
        <f t="shared" si="5"/>
        <v>4.0690909090909111E-2</v>
      </c>
      <c r="E28" s="16">
        <f t="shared" si="3"/>
        <v>1.9445454545454544E-2</v>
      </c>
      <c r="F28" s="23">
        <v>4.0690909090909111E-2</v>
      </c>
      <c r="G28" s="16">
        <v>1.9445454545454544E-2</v>
      </c>
      <c r="H28" s="23">
        <f t="shared" si="4"/>
        <v>3.0518181818181833E-2</v>
      </c>
      <c r="I28" s="16">
        <f t="shared" si="0"/>
        <v>1.4584090909090908E-2</v>
      </c>
      <c r="L28" s="22">
        <v>18</v>
      </c>
      <c r="M28" s="24">
        <v>0</v>
      </c>
      <c r="P28" t="s">
        <v>38</v>
      </c>
      <c r="Q28" s="13">
        <v>0</v>
      </c>
      <c r="R28" s="11">
        <v>0.15</v>
      </c>
    </row>
    <row r="29" spans="1:19" x14ac:dyDescent="0.25">
      <c r="A29" s="22">
        <v>19</v>
      </c>
      <c r="B29" s="23">
        <f t="shared" si="1"/>
        <v>4.0690909090909104E-2</v>
      </c>
      <c r="C29" s="16">
        <f t="shared" si="2"/>
        <v>1.9445454545454498E-2</v>
      </c>
      <c r="D29" s="23">
        <f t="shared" si="5"/>
        <v>4.0690909090909111E-2</v>
      </c>
      <c r="E29" s="16">
        <f t="shared" si="3"/>
        <v>1.9445454545454766E-2</v>
      </c>
      <c r="F29" s="23">
        <v>4.0690909090909111E-2</v>
      </c>
      <c r="G29" s="16">
        <v>1.9445454545454766E-2</v>
      </c>
      <c r="H29" s="23">
        <f t="shared" si="4"/>
        <v>3.0518181818181833E-2</v>
      </c>
      <c r="I29" s="16">
        <f t="shared" si="0"/>
        <v>1.4584090909091074E-2</v>
      </c>
      <c r="L29" s="22">
        <v>19</v>
      </c>
      <c r="M29" s="24">
        <v>0</v>
      </c>
      <c r="P29" s="28" t="s">
        <v>39</v>
      </c>
      <c r="Q29" s="13">
        <v>0</v>
      </c>
      <c r="R29" s="11">
        <v>0.3</v>
      </c>
    </row>
    <row r="30" spans="1:19" x14ac:dyDescent="0.25">
      <c r="A30" s="22">
        <v>20</v>
      </c>
      <c r="B30" s="23">
        <f t="shared" si="1"/>
        <v>4.0690909090909104E-2</v>
      </c>
      <c r="C30" s="16">
        <f t="shared" si="2"/>
        <v>1.9445454545454498E-2</v>
      </c>
      <c r="D30" s="23">
        <f t="shared" si="5"/>
        <v>4.0690909090909333E-2</v>
      </c>
      <c r="E30" s="16">
        <f t="shared" si="3"/>
        <v>1.9445454545454544E-2</v>
      </c>
      <c r="F30" s="23">
        <v>4.0690909090909333E-2</v>
      </c>
      <c r="G30" s="16">
        <v>1.9445454545454544E-2</v>
      </c>
      <c r="H30" s="23">
        <f t="shared" si="4"/>
        <v>3.0518181818182E-2</v>
      </c>
      <c r="I30" s="16">
        <f t="shared" si="0"/>
        <v>1.4584090909090908E-2</v>
      </c>
      <c r="L30" s="22">
        <v>20</v>
      </c>
      <c r="M30" s="24">
        <v>0</v>
      </c>
      <c r="Q30" s="13"/>
      <c r="R30" s="11"/>
    </row>
    <row r="31" spans="1:19" x14ac:dyDescent="0.25">
      <c r="A31" s="22">
        <v>21</v>
      </c>
      <c r="B31" s="23">
        <f t="shared" si="1"/>
        <v>4.0690909090909104E-2</v>
      </c>
      <c r="C31" s="16">
        <f t="shared" si="2"/>
        <v>1.9445454545454498E-2</v>
      </c>
      <c r="D31" s="23">
        <f t="shared" si="5"/>
        <v>4.0690909090909111E-2</v>
      </c>
      <c r="E31" s="16">
        <f t="shared" si="3"/>
        <v>1.9445454545454766E-2</v>
      </c>
      <c r="F31" s="23">
        <v>4.0690909090909111E-2</v>
      </c>
      <c r="G31" s="16">
        <v>1.9445454545454766E-2</v>
      </c>
      <c r="H31" s="23">
        <f t="shared" si="4"/>
        <v>3.0518181818181833E-2</v>
      </c>
      <c r="I31" s="16">
        <f t="shared" si="0"/>
        <v>1.4584090909091074E-2</v>
      </c>
      <c r="L31" s="22">
        <v>21</v>
      </c>
      <c r="M31" s="24">
        <v>0</v>
      </c>
      <c r="P31" t="s">
        <v>34</v>
      </c>
      <c r="Q31" s="13">
        <v>0</v>
      </c>
      <c r="R31" s="11">
        <v>0</v>
      </c>
    </row>
    <row r="32" spans="1:19" x14ac:dyDescent="0.25">
      <c r="A32" s="22">
        <v>22</v>
      </c>
      <c r="B32" s="23">
        <f t="shared" si="1"/>
        <v>4.0690909090909104E-2</v>
      </c>
      <c r="C32" s="16">
        <f t="shared" si="2"/>
        <v>1.9445454545454498E-2</v>
      </c>
      <c r="D32" s="23">
        <f t="shared" si="5"/>
        <v>4.0690909090909333E-2</v>
      </c>
      <c r="E32" s="16">
        <f t="shared" si="3"/>
        <v>1.9445454545454322E-2</v>
      </c>
      <c r="F32" s="23">
        <v>4.0690909090909333E-2</v>
      </c>
      <c r="G32" s="16">
        <v>1.9445454545454322E-2</v>
      </c>
      <c r="H32" s="23">
        <f t="shared" si="4"/>
        <v>3.0518181818182E-2</v>
      </c>
      <c r="I32" s="16">
        <f t="shared" si="0"/>
        <v>1.4584090909090741E-2</v>
      </c>
      <c r="L32" s="22">
        <v>22</v>
      </c>
      <c r="M32" s="24">
        <v>0</v>
      </c>
      <c r="P32" s="28"/>
    </row>
    <row r="33" spans="1:19" x14ac:dyDescent="0.25">
      <c r="A33" s="22">
        <v>23</v>
      </c>
      <c r="B33" s="23">
        <f t="shared" si="1"/>
        <v>4.0690909090909104E-2</v>
      </c>
      <c r="C33" s="16">
        <f t="shared" si="2"/>
        <v>1.9445454545454498E-2</v>
      </c>
      <c r="D33" s="23">
        <f t="shared" si="5"/>
        <v>4.0690909090908889E-2</v>
      </c>
      <c r="E33" s="16">
        <f t="shared" si="3"/>
        <v>1.9445454545454766E-2</v>
      </c>
      <c r="F33" s="23">
        <v>4.0690909090908889E-2</v>
      </c>
      <c r="G33" s="16">
        <v>1.9445454545454766E-2</v>
      </c>
      <c r="H33" s="23">
        <f t="shared" si="4"/>
        <v>3.0518181818181667E-2</v>
      </c>
      <c r="I33" s="16">
        <f t="shared" si="0"/>
        <v>1.4584090909091074E-2</v>
      </c>
      <c r="L33" s="22">
        <v>23</v>
      </c>
      <c r="M33" s="24">
        <v>0</v>
      </c>
      <c r="P33" t="s">
        <v>23</v>
      </c>
      <c r="Q33" s="13">
        <v>0</v>
      </c>
      <c r="R33" s="11">
        <v>0.1</v>
      </c>
    </row>
    <row r="34" spans="1:19" x14ac:dyDescent="0.25">
      <c r="A34" s="22">
        <v>24</v>
      </c>
      <c r="B34" s="23">
        <f t="shared" si="1"/>
        <v>4.0690909090909104E-2</v>
      </c>
      <c r="C34" s="16">
        <f t="shared" si="2"/>
        <v>1.9445454545454498E-2</v>
      </c>
      <c r="D34" s="23">
        <f t="shared" si="5"/>
        <v>4.0690909090909333E-2</v>
      </c>
      <c r="E34" s="16">
        <f t="shared" si="3"/>
        <v>1.9445454545454544E-2</v>
      </c>
      <c r="F34" s="23">
        <v>4.0690909090909333E-2</v>
      </c>
      <c r="G34" s="16">
        <v>1.9445454545454544E-2</v>
      </c>
      <c r="H34" s="23">
        <f t="shared" si="4"/>
        <v>3.0518181818182E-2</v>
      </c>
      <c r="I34" s="16">
        <f t="shared" si="0"/>
        <v>1.4584090909090908E-2</v>
      </c>
      <c r="L34" s="22">
        <v>24</v>
      </c>
      <c r="M34" s="24">
        <v>0</v>
      </c>
      <c r="P34" t="s">
        <v>24</v>
      </c>
      <c r="Q34" s="13">
        <v>0</v>
      </c>
      <c r="R34" s="11">
        <v>0.1</v>
      </c>
    </row>
    <row r="35" spans="1:19" x14ac:dyDescent="0.25">
      <c r="A35" s="22">
        <v>25</v>
      </c>
      <c r="B35" s="23">
        <f t="shared" si="1"/>
        <v>4.0690909090909104E-2</v>
      </c>
      <c r="C35" s="16">
        <f t="shared" si="2"/>
        <v>1.9445454545454498E-2</v>
      </c>
      <c r="D35" s="23">
        <f t="shared" si="5"/>
        <v>4.0690909090909111E-2</v>
      </c>
      <c r="E35" s="16">
        <f t="shared" si="3"/>
        <v>1.9445454545454544E-2</v>
      </c>
      <c r="F35" s="23">
        <v>4.0690909090909111E-2</v>
      </c>
      <c r="G35" s="16">
        <v>1.9445454545454544E-2</v>
      </c>
      <c r="H35" s="23">
        <f t="shared" si="4"/>
        <v>3.0518181818181833E-2</v>
      </c>
      <c r="I35" s="16">
        <f t="shared" si="0"/>
        <v>1.4584090909090908E-2</v>
      </c>
      <c r="L35" s="22">
        <v>25</v>
      </c>
      <c r="M35" s="24">
        <v>0</v>
      </c>
      <c r="Q35" s="2"/>
    </row>
    <row r="36" spans="1:19" x14ac:dyDescent="0.25">
      <c r="A36" s="22">
        <v>26</v>
      </c>
      <c r="B36" s="23">
        <f t="shared" si="1"/>
        <v>4.0690909090909104E-2</v>
      </c>
      <c r="C36" s="16">
        <f t="shared" si="2"/>
        <v>1.9445454545454498E-2</v>
      </c>
      <c r="D36" s="23">
        <f t="shared" si="5"/>
        <v>4.0690909090908889E-2</v>
      </c>
      <c r="E36" s="16">
        <f t="shared" si="3"/>
        <v>1.9445454545454544E-2</v>
      </c>
      <c r="F36" s="23">
        <v>4.0690909090908889E-2</v>
      </c>
      <c r="G36" s="16">
        <v>1.9445454545454544E-2</v>
      </c>
      <c r="H36" s="23">
        <f t="shared" si="4"/>
        <v>3.0518181818181667E-2</v>
      </c>
      <c r="I36" s="16">
        <f t="shared" si="0"/>
        <v>1.4584090909090908E-2</v>
      </c>
      <c r="L36" s="22">
        <v>26</v>
      </c>
      <c r="M36" s="24">
        <v>0</v>
      </c>
      <c r="Q36" s="2"/>
      <c r="R36" s="11"/>
    </row>
    <row r="37" spans="1:19" x14ac:dyDescent="0.25">
      <c r="A37" s="22">
        <v>27</v>
      </c>
      <c r="B37" s="23">
        <f t="shared" si="1"/>
        <v>4.0690909090909104E-2</v>
      </c>
      <c r="C37" s="16">
        <f t="shared" si="2"/>
        <v>1.9445454545454498E-2</v>
      </c>
      <c r="D37" s="23">
        <f t="shared" si="5"/>
        <v>4.0690909090909111E-2</v>
      </c>
      <c r="E37" s="16">
        <f t="shared" si="3"/>
        <v>1.9445454545454766E-2</v>
      </c>
      <c r="F37" s="23">
        <v>4.0690909090909111E-2</v>
      </c>
      <c r="G37" s="16">
        <v>1.9445454545454766E-2</v>
      </c>
      <c r="H37" s="23">
        <f t="shared" si="4"/>
        <v>3.0518181818181833E-2</v>
      </c>
      <c r="I37" s="16">
        <f t="shared" si="0"/>
        <v>1.4584090909091074E-2</v>
      </c>
      <c r="L37" s="22">
        <v>27</v>
      </c>
      <c r="M37" s="24">
        <v>0</v>
      </c>
      <c r="Q37" s="2"/>
    </row>
    <row r="38" spans="1:19" x14ac:dyDescent="0.25">
      <c r="A38" s="22">
        <v>28</v>
      </c>
      <c r="B38" s="23">
        <f t="shared" si="1"/>
        <v>4.0690909090909104E-2</v>
      </c>
      <c r="C38" s="16">
        <f t="shared" si="2"/>
        <v>1.9445454545454498E-2</v>
      </c>
      <c r="D38" s="23">
        <f t="shared" si="5"/>
        <v>4.0690909090909111E-2</v>
      </c>
      <c r="E38" s="16">
        <f t="shared" si="3"/>
        <v>1.9445454545454544E-2</v>
      </c>
      <c r="F38" s="23">
        <v>4.0690909090909111E-2</v>
      </c>
      <c r="G38" s="16">
        <v>1.9445454545454544E-2</v>
      </c>
      <c r="H38" s="23">
        <f t="shared" si="4"/>
        <v>3.0518181818181833E-2</v>
      </c>
      <c r="I38" s="16">
        <f t="shared" si="0"/>
        <v>1.4584090909090908E-2</v>
      </c>
      <c r="L38" s="22">
        <v>28</v>
      </c>
      <c r="M38" s="24">
        <v>0</v>
      </c>
    </row>
    <row r="39" spans="1:19" x14ac:dyDescent="0.25">
      <c r="A39" s="22">
        <v>29</v>
      </c>
      <c r="B39" s="23">
        <f t="shared" si="1"/>
        <v>4.0690909090909104E-2</v>
      </c>
      <c r="C39" s="16">
        <f t="shared" si="2"/>
        <v>1.9445454545454498E-2</v>
      </c>
      <c r="D39" s="23">
        <f t="shared" si="5"/>
        <v>4.0690909090908889E-2</v>
      </c>
      <c r="E39" s="16">
        <f t="shared" si="3"/>
        <v>1.9445454545454322E-2</v>
      </c>
      <c r="F39" s="23">
        <v>4.0690909090908889E-2</v>
      </c>
      <c r="G39" s="16">
        <v>1.9445454545454322E-2</v>
      </c>
      <c r="H39" s="23">
        <f t="shared" si="4"/>
        <v>3.0518181818181667E-2</v>
      </c>
      <c r="I39" s="16">
        <f t="shared" si="0"/>
        <v>1.4584090909090741E-2</v>
      </c>
      <c r="L39" s="22">
        <v>29</v>
      </c>
      <c r="M39" s="24">
        <v>0</v>
      </c>
    </row>
    <row r="40" spans="1:19" x14ac:dyDescent="0.25">
      <c r="A40" s="22">
        <v>30</v>
      </c>
      <c r="B40" s="23">
        <f t="shared" si="1"/>
        <v>4.0690909090909104E-2</v>
      </c>
      <c r="C40" s="16">
        <f t="shared" si="2"/>
        <v>1.9445454545454498E-2</v>
      </c>
      <c r="D40" s="23">
        <f t="shared" si="5"/>
        <v>4.0690909090909333E-2</v>
      </c>
      <c r="E40" s="16">
        <f t="shared" si="3"/>
        <v>1.9445454545454544E-2</v>
      </c>
      <c r="F40" s="23">
        <v>4.0690909090909333E-2</v>
      </c>
      <c r="G40" s="16">
        <v>1.9445454545454544E-2</v>
      </c>
      <c r="H40" s="23">
        <f t="shared" si="4"/>
        <v>3.0518181818182E-2</v>
      </c>
      <c r="I40" s="16">
        <f t="shared" si="0"/>
        <v>1.4584090909090908E-2</v>
      </c>
      <c r="L40" s="22">
        <v>30</v>
      </c>
      <c r="M40" s="24">
        <v>0</v>
      </c>
      <c r="P40" s="210" t="s">
        <v>35</v>
      </c>
      <c r="Q40" s="211"/>
      <c r="R40" s="211"/>
      <c r="S40" s="212"/>
    </row>
    <row r="41" spans="1:19" x14ac:dyDescent="0.25">
      <c r="A41" s="22">
        <v>31</v>
      </c>
      <c r="B41" s="23">
        <f t="shared" si="1"/>
        <v>4.0690909090909104E-2</v>
      </c>
      <c r="C41" s="16">
        <f t="shared" si="2"/>
        <v>1.9445454545454498E-2</v>
      </c>
      <c r="D41" s="23">
        <f t="shared" si="5"/>
        <v>4.0690909090909111E-2</v>
      </c>
      <c r="E41" s="16">
        <f t="shared" si="3"/>
        <v>1.9445454545454544E-2</v>
      </c>
      <c r="F41" s="23">
        <v>4.0690909090909111E-2</v>
      </c>
      <c r="G41" s="16">
        <v>1.9445454545454544E-2</v>
      </c>
      <c r="H41" s="23">
        <f t="shared" si="4"/>
        <v>3.0518181818181833E-2</v>
      </c>
      <c r="I41" s="16">
        <f t="shared" si="0"/>
        <v>1.4584090909090908E-2</v>
      </c>
      <c r="L41" s="22">
        <v>31</v>
      </c>
      <c r="M41" s="24">
        <v>0</v>
      </c>
    </row>
    <row r="42" spans="1:19" x14ac:dyDescent="0.25">
      <c r="A42" s="22">
        <v>32</v>
      </c>
      <c r="B42" s="23">
        <f t="shared" si="1"/>
        <v>4.0690909090909104E-2</v>
      </c>
      <c r="C42" s="16">
        <f t="shared" si="2"/>
        <v>1.9445454545454498E-2</v>
      </c>
      <c r="D42" s="23">
        <f t="shared" si="5"/>
        <v>4.0690909090909111E-2</v>
      </c>
      <c r="E42" s="16">
        <f t="shared" si="3"/>
        <v>1.9445454545454544E-2</v>
      </c>
      <c r="F42" s="23">
        <v>4.0690909090909111E-2</v>
      </c>
      <c r="G42" s="16">
        <v>1.9445454545454544E-2</v>
      </c>
      <c r="H42" s="23">
        <f t="shared" si="4"/>
        <v>3.0518181818181833E-2</v>
      </c>
      <c r="I42" s="16">
        <f t="shared" si="0"/>
        <v>1.4584090909090908E-2</v>
      </c>
      <c r="L42" s="22">
        <v>32</v>
      </c>
      <c r="M42" s="24">
        <v>0</v>
      </c>
      <c r="P42" s="3"/>
      <c r="Q42" s="26" t="s">
        <v>36</v>
      </c>
    </row>
    <row r="43" spans="1:19" x14ac:dyDescent="0.25">
      <c r="A43" s="22">
        <v>33</v>
      </c>
      <c r="B43" s="23">
        <f t="shared" si="1"/>
        <v>4.0690909090909104E-2</v>
      </c>
      <c r="C43" s="16">
        <f t="shared" si="2"/>
        <v>1.9445454545454498E-2</v>
      </c>
      <c r="D43" s="23">
        <f t="shared" si="5"/>
        <v>4.0690909090909111E-2</v>
      </c>
      <c r="E43" s="16">
        <f t="shared" si="3"/>
        <v>1.9445454545454544E-2</v>
      </c>
      <c r="F43" s="23">
        <v>4.0690909090909111E-2</v>
      </c>
      <c r="G43" s="16">
        <v>1.9445454545454544E-2</v>
      </c>
      <c r="H43" s="23">
        <f t="shared" si="4"/>
        <v>3.0518181818181833E-2</v>
      </c>
      <c r="I43" s="16">
        <f t="shared" si="0"/>
        <v>1.4584090909090908E-2</v>
      </c>
      <c r="L43" s="22">
        <v>33</v>
      </c>
      <c r="M43" s="24">
        <v>0</v>
      </c>
      <c r="P43" s="29" t="s">
        <v>37</v>
      </c>
      <c r="Q43" s="30">
        <v>0.25600000000000001</v>
      </c>
    </row>
    <row r="44" spans="1:19" x14ac:dyDescent="0.25">
      <c r="A44" s="22">
        <v>34</v>
      </c>
      <c r="B44" s="23">
        <f t="shared" si="1"/>
        <v>4.0690909090909104E-2</v>
      </c>
      <c r="C44" s="16">
        <f t="shared" si="2"/>
        <v>1.9445454545454498E-2</v>
      </c>
      <c r="D44" s="23">
        <f t="shared" ref="D44:D60" si="6">(1+B44)^$A44 / (1+B43)^$A43 - 1</f>
        <v>4.0690909090909111E-2</v>
      </c>
      <c r="E44" s="16">
        <f t="shared" ref="E44:E60" si="7">(1+C44)^$A44 / (1+C43)^$A43 - 1</f>
        <v>1.9445454545454322E-2</v>
      </c>
      <c r="F44" s="23">
        <v>4.0690909090909111E-2</v>
      </c>
      <c r="G44" s="16">
        <v>1.9445454545454322E-2</v>
      </c>
      <c r="H44" s="23">
        <f t="shared" si="4"/>
        <v>3.0518181818181833E-2</v>
      </c>
      <c r="I44" s="16">
        <f t="shared" si="0"/>
        <v>1.4584090909090741E-2</v>
      </c>
      <c r="L44" s="22">
        <v>34</v>
      </c>
      <c r="M44" s="24">
        <v>0</v>
      </c>
    </row>
    <row r="45" spans="1:19" x14ac:dyDescent="0.25">
      <c r="A45" s="22">
        <v>35</v>
      </c>
      <c r="B45" s="23">
        <f t="shared" si="1"/>
        <v>4.0690909090909104E-2</v>
      </c>
      <c r="C45" s="16">
        <f t="shared" si="2"/>
        <v>1.9445454545454498E-2</v>
      </c>
      <c r="D45" s="23">
        <f t="shared" si="6"/>
        <v>4.0690909090909111E-2</v>
      </c>
      <c r="E45" s="16">
        <f t="shared" si="7"/>
        <v>1.9445454545454544E-2</v>
      </c>
      <c r="F45" s="23">
        <v>4.0690909090909111E-2</v>
      </c>
      <c r="G45" s="16">
        <v>1.9445454545454544E-2</v>
      </c>
      <c r="H45" s="23">
        <f t="shared" si="4"/>
        <v>3.0518181818181833E-2</v>
      </c>
      <c r="I45" s="16">
        <f t="shared" si="0"/>
        <v>1.4584090909090908E-2</v>
      </c>
      <c r="L45" s="22">
        <v>35</v>
      </c>
      <c r="M45" s="24">
        <v>0</v>
      </c>
    </row>
    <row r="46" spans="1:19" x14ac:dyDescent="0.25">
      <c r="A46" s="22">
        <v>36</v>
      </c>
      <c r="B46" s="23">
        <f t="shared" si="1"/>
        <v>4.0690909090909104E-2</v>
      </c>
      <c r="C46" s="16">
        <f t="shared" si="2"/>
        <v>1.9445454545454498E-2</v>
      </c>
      <c r="D46" s="23">
        <f t="shared" si="6"/>
        <v>4.0690909090909111E-2</v>
      </c>
      <c r="E46" s="16">
        <f t="shared" si="7"/>
        <v>1.9445454545454544E-2</v>
      </c>
      <c r="F46" s="23">
        <v>4.0690909090909111E-2</v>
      </c>
      <c r="G46" s="16">
        <v>1.9445454545454544E-2</v>
      </c>
      <c r="H46" s="23">
        <f t="shared" si="4"/>
        <v>3.0518181818181833E-2</v>
      </c>
      <c r="I46" s="16">
        <f t="shared" si="0"/>
        <v>1.4584090909090908E-2</v>
      </c>
      <c r="L46" s="22">
        <v>36</v>
      </c>
      <c r="M46" s="24">
        <v>0</v>
      </c>
    </row>
    <row r="47" spans="1:19" x14ac:dyDescent="0.25">
      <c r="A47" s="22">
        <v>37</v>
      </c>
      <c r="B47" s="23">
        <f t="shared" si="1"/>
        <v>4.0690909090909104E-2</v>
      </c>
      <c r="C47" s="16">
        <f t="shared" si="2"/>
        <v>1.9445454545454498E-2</v>
      </c>
      <c r="D47" s="23">
        <f t="shared" si="6"/>
        <v>4.0690909090909111E-2</v>
      </c>
      <c r="E47" s="16">
        <f t="shared" si="7"/>
        <v>1.9445454545454766E-2</v>
      </c>
      <c r="F47" s="23">
        <v>4.0690909090909111E-2</v>
      </c>
      <c r="G47" s="16">
        <v>1.9445454545454766E-2</v>
      </c>
      <c r="H47" s="23">
        <f t="shared" si="4"/>
        <v>3.0518181818181833E-2</v>
      </c>
      <c r="I47" s="16">
        <f t="shared" si="0"/>
        <v>1.4584090909091074E-2</v>
      </c>
      <c r="L47" s="22">
        <v>37</v>
      </c>
      <c r="M47" s="24">
        <v>0</v>
      </c>
    </row>
    <row r="48" spans="1:19" x14ac:dyDescent="0.25">
      <c r="A48" s="22">
        <v>38</v>
      </c>
      <c r="B48" s="23">
        <f t="shared" si="1"/>
        <v>4.0690909090909104E-2</v>
      </c>
      <c r="C48" s="16">
        <f t="shared" si="2"/>
        <v>1.9445454545454498E-2</v>
      </c>
      <c r="D48" s="23">
        <f t="shared" si="6"/>
        <v>4.0690909090909333E-2</v>
      </c>
      <c r="E48" s="16">
        <f t="shared" si="7"/>
        <v>1.9445454545454099E-2</v>
      </c>
      <c r="F48" s="23">
        <v>4.0690909090909333E-2</v>
      </c>
      <c r="G48" s="16">
        <v>1.9445454545454099E-2</v>
      </c>
      <c r="H48" s="23">
        <f t="shared" si="4"/>
        <v>3.0518181818182E-2</v>
      </c>
      <c r="I48" s="16">
        <f t="shared" si="0"/>
        <v>1.4584090909090575E-2</v>
      </c>
      <c r="L48" s="22">
        <v>38</v>
      </c>
      <c r="M48" s="24">
        <v>0</v>
      </c>
    </row>
    <row r="49" spans="1:13" x14ac:dyDescent="0.25">
      <c r="A49" s="22">
        <v>39</v>
      </c>
      <c r="B49" s="23">
        <f t="shared" si="1"/>
        <v>4.0690909090909104E-2</v>
      </c>
      <c r="C49" s="16">
        <f t="shared" si="2"/>
        <v>1.9445454545454498E-2</v>
      </c>
      <c r="D49" s="23">
        <f t="shared" si="6"/>
        <v>4.0690909090909111E-2</v>
      </c>
      <c r="E49" s="16">
        <f t="shared" si="7"/>
        <v>1.9445454545454766E-2</v>
      </c>
      <c r="F49" s="23">
        <v>4.0690909090909111E-2</v>
      </c>
      <c r="G49" s="16">
        <v>1.9445454545454766E-2</v>
      </c>
      <c r="H49" s="23">
        <f t="shared" si="4"/>
        <v>3.0518181818181833E-2</v>
      </c>
      <c r="I49" s="16">
        <f t="shared" si="0"/>
        <v>1.4584090909091074E-2</v>
      </c>
      <c r="L49" s="22">
        <v>39</v>
      </c>
      <c r="M49" s="24">
        <v>0</v>
      </c>
    </row>
    <row r="50" spans="1:13" x14ac:dyDescent="0.25">
      <c r="A50" s="22">
        <v>40</v>
      </c>
      <c r="B50" s="23">
        <f t="shared" si="1"/>
        <v>4.0690909090909104E-2</v>
      </c>
      <c r="C50" s="16">
        <f t="shared" si="2"/>
        <v>1.9445454545454498E-2</v>
      </c>
      <c r="D50" s="23">
        <f t="shared" si="6"/>
        <v>4.0690909090909111E-2</v>
      </c>
      <c r="E50" s="16">
        <f t="shared" si="7"/>
        <v>1.9445454545454544E-2</v>
      </c>
      <c r="F50" s="23">
        <v>4.0690909090909111E-2</v>
      </c>
      <c r="G50" s="16">
        <v>1.9445454545454544E-2</v>
      </c>
      <c r="H50" s="23">
        <f t="shared" si="4"/>
        <v>3.0518181818181833E-2</v>
      </c>
      <c r="I50" s="16">
        <f t="shared" si="0"/>
        <v>1.4584090909090908E-2</v>
      </c>
      <c r="L50" s="22">
        <v>40</v>
      </c>
      <c r="M50" s="24">
        <v>0</v>
      </c>
    </row>
    <row r="51" spans="1:13" x14ac:dyDescent="0.25">
      <c r="A51" s="22">
        <v>41</v>
      </c>
      <c r="B51" s="23">
        <f t="shared" si="1"/>
        <v>4.0690909090909104E-2</v>
      </c>
      <c r="C51" s="16">
        <f t="shared" si="2"/>
        <v>1.9445454545454498E-2</v>
      </c>
      <c r="D51" s="23">
        <f t="shared" si="6"/>
        <v>4.0690909090909111E-2</v>
      </c>
      <c r="E51" s="16">
        <f t="shared" si="7"/>
        <v>1.9445454545454544E-2</v>
      </c>
      <c r="F51" s="23">
        <v>4.0690909090909111E-2</v>
      </c>
      <c r="G51" s="16">
        <v>1.9445454545454544E-2</v>
      </c>
      <c r="H51" s="23">
        <f t="shared" si="4"/>
        <v>3.0518181818181833E-2</v>
      </c>
      <c r="I51" s="16">
        <f t="shared" si="0"/>
        <v>1.4584090909090908E-2</v>
      </c>
      <c r="L51" s="22">
        <v>41</v>
      </c>
      <c r="M51" s="24">
        <v>0</v>
      </c>
    </row>
    <row r="52" spans="1:13" x14ac:dyDescent="0.25">
      <c r="A52" s="22">
        <v>42</v>
      </c>
      <c r="B52" s="23">
        <f t="shared" si="1"/>
        <v>4.0690909090909104E-2</v>
      </c>
      <c r="C52" s="16">
        <f t="shared" si="2"/>
        <v>1.9445454545454498E-2</v>
      </c>
      <c r="D52" s="23">
        <f t="shared" si="6"/>
        <v>4.0690909090909111E-2</v>
      </c>
      <c r="E52" s="16">
        <f t="shared" si="7"/>
        <v>1.9445454545454766E-2</v>
      </c>
      <c r="F52" s="23">
        <v>4.0690909090909111E-2</v>
      </c>
      <c r="G52" s="16">
        <v>1.9445454545454766E-2</v>
      </c>
      <c r="H52" s="23">
        <f t="shared" si="4"/>
        <v>3.0518181818181833E-2</v>
      </c>
      <c r="I52" s="16">
        <f t="shared" si="0"/>
        <v>1.4584090909091074E-2</v>
      </c>
      <c r="L52" s="22">
        <v>42</v>
      </c>
      <c r="M52" s="24">
        <v>0</v>
      </c>
    </row>
    <row r="53" spans="1:13" x14ac:dyDescent="0.25">
      <c r="A53" s="22">
        <v>43</v>
      </c>
      <c r="B53" s="23">
        <f t="shared" si="1"/>
        <v>4.0690909090909104E-2</v>
      </c>
      <c r="C53" s="16">
        <f t="shared" si="2"/>
        <v>1.9445454545454498E-2</v>
      </c>
      <c r="D53" s="23">
        <f t="shared" si="6"/>
        <v>4.0690909090909111E-2</v>
      </c>
      <c r="E53" s="16">
        <f t="shared" si="7"/>
        <v>1.9445454545454544E-2</v>
      </c>
      <c r="F53" s="23">
        <v>4.0690909090909111E-2</v>
      </c>
      <c r="G53" s="16">
        <v>1.9445454545454544E-2</v>
      </c>
      <c r="H53" s="23">
        <f t="shared" si="4"/>
        <v>3.0518181818181833E-2</v>
      </c>
      <c r="I53" s="16">
        <f t="shared" si="0"/>
        <v>1.4584090909090908E-2</v>
      </c>
      <c r="L53" s="22">
        <v>43</v>
      </c>
      <c r="M53" s="24">
        <v>0</v>
      </c>
    </row>
    <row r="54" spans="1:13" x14ac:dyDescent="0.25">
      <c r="A54" s="22">
        <v>44</v>
      </c>
      <c r="B54" s="23">
        <f t="shared" si="1"/>
        <v>4.0690909090909104E-2</v>
      </c>
      <c r="C54" s="16">
        <f t="shared" si="2"/>
        <v>1.9445454545454498E-2</v>
      </c>
      <c r="D54" s="23">
        <f t="shared" si="6"/>
        <v>4.0690909090909111E-2</v>
      </c>
      <c r="E54" s="16">
        <f t="shared" si="7"/>
        <v>1.9445454545454544E-2</v>
      </c>
      <c r="F54" s="23">
        <v>4.0690909090909111E-2</v>
      </c>
      <c r="G54" s="16">
        <v>1.9445454545454544E-2</v>
      </c>
      <c r="H54" s="23">
        <f t="shared" si="4"/>
        <v>3.0518181818181833E-2</v>
      </c>
      <c r="I54" s="16">
        <f t="shared" si="0"/>
        <v>1.4584090909090908E-2</v>
      </c>
      <c r="L54" s="22">
        <v>44</v>
      </c>
      <c r="M54" s="24">
        <v>0</v>
      </c>
    </row>
    <row r="55" spans="1:13" x14ac:dyDescent="0.25">
      <c r="A55" s="22">
        <v>45</v>
      </c>
      <c r="B55" s="23">
        <f t="shared" si="1"/>
        <v>4.0690909090909104E-2</v>
      </c>
      <c r="C55" s="16">
        <f t="shared" si="2"/>
        <v>1.9445454545454498E-2</v>
      </c>
      <c r="D55" s="23">
        <f t="shared" si="6"/>
        <v>4.0690909090909111E-2</v>
      </c>
      <c r="E55" s="16">
        <f t="shared" si="7"/>
        <v>1.9445454545454544E-2</v>
      </c>
      <c r="F55" s="23">
        <v>4.0690909090909111E-2</v>
      </c>
      <c r="G55" s="16">
        <v>1.9445454545454544E-2</v>
      </c>
      <c r="H55" s="23">
        <f t="shared" si="4"/>
        <v>3.0518181818181833E-2</v>
      </c>
      <c r="I55" s="16">
        <f t="shared" si="0"/>
        <v>1.4584090909090908E-2</v>
      </c>
      <c r="L55" s="22">
        <v>45</v>
      </c>
      <c r="M55" s="24">
        <v>0</v>
      </c>
    </row>
    <row r="56" spans="1:13" x14ac:dyDescent="0.25">
      <c r="A56" s="22">
        <v>46</v>
      </c>
      <c r="B56" s="23">
        <f t="shared" si="1"/>
        <v>4.0690909090909104E-2</v>
      </c>
      <c r="C56" s="16">
        <f t="shared" si="2"/>
        <v>1.9445454545454498E-2</v>
      </c>
      <c r="D56" s="23">
        <f t="shared" si="6"/>
        <v>4.0690909090909333E-2</v>
      </c>
      <c r="E56" s="16">
        <f t="shared" si="7"/>
        <v>1.9445454545454322E-2</v>
      </c>
      <c r="F56" s="23">
        <v>4.0690909090909333E-2</v>
      </c>
      <c r="G56" s="16">
        <v>1.9445454545454322E-2</v>
      </c>
      <c r="H56" s="23">
        <f t="shared" si="4"/>
        <v>3.0518181818182E-2</v>
      </c>
      <c r="I56" s="16">
        <f t="shared" si="0"/>
        <v>1.4584090909090741E-2</v>
      </c>
      <c r="L56" s="22">
        <v>46</v>
      </c>
      <c r="M56" s="24">
        <v>0</v>
      </c>
    </row>
    <row r="57" spans="1:13" x14ac:dyDescent="0.25">
      <c r="A57" s="22">
        <v>47</v>
      </c>
      <c r="B57" s="23">
        <f t="shared" si="1"/>
        <v>4.0690909090909104E-2</v>
      </c>
      <c r="C57" s="16">
        <f t="shared" si="2"/>
        <v>1.9445454545454498E-2</v>
      </c>
      <c r="D57" s="23">
        <f t="shared" si="6"/>
        <v>4.0690909090908889E-2</v>
      </c>
      <c r="E57" s="16">
        <f t="shared" si="7"/>
        <v>1.9445454545454766E-2</v>
      </c>
      <c r="F57" s="23">
        <v>4.0690909090908889E-2</v>
      </c>
      <c r="G57" s="16">
        <v>1.9445454545454766E-2</v>
      </c>
      <c r="H57" s="23">
        <f t="shared" si="4"/>
        <v>3.0518181818181667E-2</v>
      </c>
      <c r="I57" s="16">
        <f t="shared" si="0"/>
        <v>1.4584090909091074E-2</v>
      </c>
      <c r="L57" s="22">
        <v>47</v>
      </c>
      <c r="M57" s="24">
        <v>0</v>
      </c>
    </row>
    <row r="58" spans="1:13" x14ac:dyDescent="0.25">
      <c r="A58" s="22">
        <v>48</v>
      </c>
      <c r="B58" s="23">
        <f t="shared" si="1"/>
        <v>4.0690909090909104E-2</v>
      </c>
      <c r="C58" s="16">
        <f t="shared" si="2"/>
        <v>1.9445454545454498E-2</v>
      </c>
      <c r="D58" s="23">
        <f t="shared" si="6"/>
        <v>4.0690909090909111E-2</v>
      </c>
      <c r="E58" s="16">
        <f t="shared" si="7"/>
        <v>1.9445454545454544E-2</v>
      </c>
      <c r="F58" s="23">
        <v>4.0690909090909111E-2</v>
      </c>
      <c r="G58" s="16">
        <v>1.9445454545454544E-2</v>
      </c>
      <c r="H58" s="23">
        <f t="shared" si="4"/>
        <v>3.0518181818181833E-2</v>
      </c>
      <c r="I58" s="16">
        <f t="shared" si="0"/>
        <v>1.4584090909090908E-2</v>
      </c>
      <c r="L58" s="22">
        <v>48</v>
      </c>
      <c r="M58" s="24">
        <v>0</v>
      </c>
    </row>
    <row r="59" spans="1:13" x14ac:dyDescent="0.25">
      <c r="A59" s="22">
        <v>49</v>
      </c>
      <c r="B59" s="23">
        <f t="shared" si="1"/>
        <v>4.0690909090909104E-2</v>
      </c>
      <c r="C59" s="16">
        <f t="shared" si="2"/>
        <v>1.9445454545454498E-2</v>
      </c>
      <c r="D59" s="23">
        <f t="shared" si="6"/>
        <v>4.0690909090909111E-2</v>
      </c>
      <c r="E59" s="16">
        <f t="shared" si="7"/>
        <v>1.9445454545454544E-2</v>
      </c>
      <c r="F59" s="23">
        <v>4.0690909090909111E-2</v>
      </c>
      <c r="G59" s="16">
        <v>1.9445454545454544E-2</v>
      </c>
      <c r="H59" s="23">
        <f t="shared" si="4"/>
        <v>3.0518181818181833E-2</v>
      </c>
      <c r="I59" s="16">
        <f t="shared" si="0"/>
        <v>1.4584090909090908E-2</v>
      </c>
      <c r="L59" s="22">
        <v>49</v>
      </c>
      <c r="M59" s="24">
        <v>0</v>
      </c>
    </row>
    <row r="60" spans="1:13" x14ac:dyDescent="0.25">
      <c r="A60" s="22">
        <v>50</v>
      </c>
      <c r="B60" s="23">
        <f t="shared" si="1"/>
        <v>4.0690909090909104E-2</v>
      </c>
      <c r="C60" s="16">
        <f t="shared" si="2"/>
        <v>1.9445454545454498E-2</v>
      </c>
      <c r="D60" s="23">
        <f t="shared" si="6"/>
        <v>4.0690909090908889E-2</v>
      </c>
      <c r="E60" s="16">
        <f t="shared" si="7"/>
        <v>1.9445454545454544E-2</v>
      </c>
      <c r="F60" s="23">
        <v>4.0690909090908889E-2</v>
      </c>
      <c r="G60" s="16">
        <v>1.9445454545454544E-2</v>
      </c>
      <c r="H60" s="23">
        <f t="shared" si="4"/>
        <v>3.0518181818181667E-2</v>
      </c>
      <c r="I60" s="16">
        <f t="shared" si="0"/>
        <v>1.4584090909090908E-2</v>
      </c>
      <c r="L60" s="22">
        <v>50</v>
      </c>
      <c r="M60" s="24">
        <v>0</v>
      </c>
    </row>
    <row r="61" spans="1:13" x14ac:dyDescent="0.25">
      <c r="A61" s="22"/>
      <c r="B61" s="23"/>
      <c r="C61" s="16"/>
      <c r="D61" s="23"/>
      <c r="E61" s="16"/>
      <c r="F61" s="23"/>
      <c r="G61" s="16"/>
      <c r="H61" s="23"/>
      <c r="I61" s="16"/>
      <c r="L61" s="22"/>
      <c r="M61" s="24"/>
    </row>
  </sheetData>
  <mergeCells count="5">
    <mergeCell ref="H2:I2"/>
    <mergeCell ref="P2:S2"/>
    <mergeCell ref="U2:V2"/>
    <mergeCell ref="P25:S25"/>
    <mergeCell ref="P40:S40"/>
  </mergeCell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4FC8E-863A-4F56-9ACF-F8B1DE5AB6CD}">
  <sheetPr codeName="Sheet6">
    <tabColor theme="9" tint="-0.499984740745262"/>
  </sheetPr>
  <dimension ref="A1"/>
  <sheetViews>
    <sheetView topLeftCell="XFD1" workbookViewId="0"/>
  </sheetViews>
  <sheetFormatPr defaultColWidth="0" defaultRowHeight="15" x14ac:dyDescent="0.25"/>
  <cols>
    <col min="1" max="16384" width="9.140625" hidden="1"/>
  </cols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7E97B-0AFD-42CA-8CD7-F6D586139C8E}">
  <sheetPr codeName="Sheet7">
    <tabColor theme="9" tint="0.79998168889431442"/>
  </sheetPr>
  <dimension ref="A1:Y70"/>
  <sheetViews>
    <sheetView tabSelected="1" zoomScale="85" zoomScaleNormal="85" workbookViewId="0">
      <selection activeCell="M38" sqref="M38"/>
    </sheetView>
  </sheetViews>
  <sheetFormatPr defaultColWidth="8.85546875" defaultRowHeight="15" x14ac:dyDescent="0.25"/>
  <cols>
    <col min="2" max="2" width="29.42578125" bestFit="1" customWidth="1"/>
    <col min="3" max="3" width="16.85546875" customWidth="1"/>
    <col min="5" max="5" width="19.42578125" bestFit="1" customWidth="1"/>
    <col min="6" max="6" width="3.42578125" customWidth="1"/>
    <col min="9" max="9" width="9.140625" style="2"/>
    <col min="10" max="10" width="23.42578125" bestFit="1" customWidth="1"/>
    <col min="11" max="11" width="15.140625" customWidth="1"/>
    <col min="12" max="12" width="11.42578125" bestFit="1" customWidth="1"/>
    <col min="13" max="13" width="18.140625" bestFit="1" customWidth="1"/>
    <col min="16" max="16" width="9.42578125" customWidth="1"/>
    <col min="17" max="17" width="20.140625" customWidth="1"/>
    <col min="18" max="18" width="22" bestFit="1" customWidth="1"/>
    <col min="20" max="20" width="8.85546875" style="2"/>
    <col min="21" max="21" width="15.42578125" customWidth="1"/>
  </cols>
  <sheetData>
    <row r="1" spans="1:22" x14ac:dyDescent="0.25">
      <c r="O1" s="127"/>
    </row>
    <row r="2" spans="1:22" x14ac:dyDescent="0.25">
      <c r="A2" s="1" t="s">
        <v>41</v>
      </c>
      <c r="C2" s="33" t="s">
        <v>42</v>
      </c>
      <c r="G2" s="38">
        <f>MAX(G5:G68)</f>
        <v>0</v>
      </c>
      <c r="J2" t="s">
        <v>17</v>
      </c>
      <c r="K2" s="11">
        <f>Others!V5</f>
        <v>0.1</v>
      </c>
      <c r="L2" t="s">
        <v>199</v>
      </c>
      <c r="O2" s="127"/>
      <c r="P2" s="1" t="s">
        <v>233</v>
      </c>
    </row>
    <row r="3" spans="1:22" x14ac:dyDescent="0.25">
      <c r="O3" s="127"/>
    </row>
    <row r="4" spans="1:22" x14ac:dyDescent="0.25">
      <c r="B4" s="213" t="s">
        <v>122</v>
      </c>
      <c r="C4" s="213"/>
      <c r="D4" s="3"/>
      <c r="E4" s="3" t="s">
        <v>43</v>
      </c>
      <c r="F4" s="3"/>
      <c r="G4" s="3" t="s">
        <v>44</v>
      </c>
      <c r="J4" s="202" t="s">
        <v>83</v>
      </c>
      <c r="K4" s="203"/>
      <c r="O4" s="127"/>
      <c r="U4" s="213" t="s">
        <v>244</v>
      </c>
      <c r="V4" s="213"/>
    </row>
    <row r="5" spans="1:22" x14ac:dyDescent="0.25">
      <c r="B5" s="41" t="s">
        <v>123</v>
      </c>
      <c r="C5" s="35">
        <v>0.5</v>
      </c>
      <c r="E5" t="s">
        <v>124</v>
      </c>
      <c r="J5" t="s">
        <v>84</v>
      </c>
      <c r="K5" s="105">
        <f>(1+IRR(Pricing!CB5:CB605, $K$2))^(12)-1</f>
        <v>0.1734906286238056</v>
      </c>
      <c r="O5" s="127"/>
      <c r="U5" t="s">
        <v>243</v>
      </c>
      <c r="V5" s="105">
        <v>0.05</v>
      </c>
    </row>
    <row r="6" spans="1:22" x14ac:dyDescent="0.25">
      <c r="B6" s="28" t="s">
        <v>40</v>
      </c>
      <c r="C6" s="35" t="s">
        <v>4</v>
      </c>
      <c r="E6" t="s">
        <v>125</v>
      </c>
      <c r="G6" s="38"/>
      <c r="K6" s="2"/>
      <c r="O6" s="127"/>
    </row>
    <row r="7" spans="1:22" x14ac:dyDescent="0.25">
      <c r="B7" s="28" t="s">
        <v>218</v>
      </c>
      <c r="C7" s="35">
        <v>2</v>
      </c>
      <c r="E7" t="s">
        <v>247</v>
      </c>
      <c r="J7" s="48" t="s">
        <v>85</v>
      </c>
      <c r="K7" s="49">
        <f>NPV((1+0.03)^(1/12)-1,Pricing!$CB$6:$CB$605)+Pricing!$CB$5</f>
        <v>1409.6963032385702</v>
      </c>
      <c r="O7" s="127"/>
    </row>
    <row r="8" spans="1:22" x14ac:dyDescent="0.25">
      <c r="B8" s="28" t="s">
        <v>226</v>
      </c>
      <c r="C8" s="35">
        <v>2</v>
      </c>
      <c r="E8" t="s">
        <v>248</v>
      </c>
      <c r="J8" s="48" t="s">
        <v>86</v>
      </c>
      <c r="K8" s="49">
        <f>NPV((1+0.05)^(1/12)-1,Pricing!$CB$6:$CB$605)+Pricing!$CB$5</f>
        <v>1057.2060036590874</v>
      </c>
      <c r="O8" s="127"/>
    </row>
    <row r="9" spans="1:22" x14ac:dyDescent="0.25">
      <c r="B9" s="28" t="s">
        <v>222</v>
      </c>
      <c r="C9" s="35" t="s">
        <v>251</v>
      </c>
      <c r="E9" t="s">
        <v>250</v>
      </c>
      <c r="J9" s="48" t="s">
        <v>87</v>
      </c>
      <c r="K9" s="49">
        <f>NPV((1+0.1)^(1/12)-1,Pricing!$CB$6:$CB$605)+Pricing!$CB$5</f>
        <v>462.64886026294084</v>
      </c>
      <c r="O9" s="127"/>
      <c r="P9" s="128" t="s">
        <v>25</v>
      </c>
      <c r="Q9" s="129" t="s">
        <v>233</v>
      </c>
      <c r="R9" s="130" t="s">
        <v>234</v>
      </c>
    </row>
    <row r="10" spans="1:22" x14ac:dyDescent="0.25">
      <c r="B10" s="39"/>
      <c r="C10" s="57"/>
      <c r="D10" s="3"/>
      <c r="E10" s="3"/>
      <c r="J10" s="48" t="s">
        <v>88</v>
      </c>
      <c r="K10" s="49">
        <f>NPV((1+Hurdle)^(1/12)-1,Pricing!$CB$6:$CB$605)+Pricing!$CB$5</f>
        <v>462.64886026294084</v>
      </c>
      <c r="O10" s="127"/>
      <c r="P10" s="131">
        <v>0</v>
      </c>
      <c r="Q10" s="132">
        <f>SUMIFS(Pricing!CB:CB, Pricing!C:C, P10)</f>
        <v>-714.03451059883128</v>
      </c>
      <c r="R10" s="133">
        <f t="shared" ref="R10:R41" si="0">Q10/Ann_Prem</f>
        <v>-1.5345680434103401</v>
      </c>
    </row>
    <row r="11" spans="1:22" x14ac:dyDescent="0.25">
      <c r="B11" s="28" t="s">
        <v>126</v>
      </c>
      <c r="C11" s="32"/>
      <c r="E11" t="s">
        <v>127</v>
      </c>
      <c r="J11" s="28"/>
      <c r="O11" s="127"/>
      <c r="P11" s="131">
        <v>1</v>
      </c>
      <c r="Q11" s="132">
        <f>SUMIFS(Pricing!CB:CB, Pricing!C:C, P11)</f>
        <v>47.135422589185424</v>
      </c>
      <c r="R11" s="133">
        <f t="shared" si="0"/>
        <v>0.10130114461462589</v>
      </c>
    </row>
    <row r="12" spans="1:22" x14ac:dyDescent="0.25">
      <c r="C12">
        <f>SUM(Pricing!X6:X317)</f>
        <v>6.6841518302171096E-3</v>
      </c>
      <c r="J12" s="28" t="s">
        <v>89</v>
      </c>
      <c r="K12" s="49">
        <f>NPV((1+Hurdle)^(1/12)-1,Pricing!$AE$7:$AE$605)+Pricing!$AE$6</f>
        <v>9306</v>
      </c>
      <c r="O12" s="127"/>
      <c r="P12" s="131">
        <v>2</v>
      </c>
      <c r="Q12" s="132">
        <f>SUMIFS(Pricing!CB:CB, Pricing!C:C, P12)</f>
        <v>53.098426919372343</v>
      </c>
      <c r="R12" s="133">
        <f t="shared" si="0"/>
        <v>0.1141165418426227</v>
      </c>
    </row>
    <row r="13" spans="1:22" x14ac:dyDescent="0.25">
      <c r="C13">
        <f>SUM(Pricing!Y6:Y317)</f>
        <v>0.20886656146026178</v>
      </c>
      <c r="J13" s="28"/>
      <c r="O13" s="127"/>
      <c r="P13" s="131">
        <v>3</v>
      </c>
      <c r="Q13" s="132">
        <f>SUMIFS(Pricing!CB:CB, Pricing!C:C, P13)</f>
        <v>88.864657116960615</v>
      </c>
      <c r="R13" s="133">
        <f t="shared" si="0"/>
        <v>0.19098357428962093</v>
      </c>
    </row>
    <row r="14" spans="1:22" x14ac:dyDescent="0.25">
      <c r="J14" s="28" t="s">
        <v>90</v>
      </c>
      <c r="K14" s="25">
        <f>K7 / (NPV((1+0.03)^(1/12)-1,Pricing!$AE$7:$AE$605)+Pricing!$AE$6)</f>
        <v>0.15148251700392973</v>
      </c>
      <c r="O14" s="127"/>
      <c r="P14" s="131">
        <v>4</v>
      </c>
      <c r="Q14" s="132">
        <f>SUMIFS(Pricing!CB:CB, Pricing!C:C, P14)</f>
        <v>114.32093627484421</v>
      </c>
      <c r="R14" s="133">
        <f t="shared" si="0"/>
        <v>0.2456929642700284</v>
      </c>
    </row>
    <row r="15" spans="1:22" x14ac:dyDescent="0.25">
      <c r="J15" s="28" t="s">
        <v>91</v>
      </c>
      <c r="K15" s="25">
        <f>K8 / (NPV((1+0.05)^(1/12)-1,Pricing!$AE$7:$AE$605)+Pricing!$AE$6)</f>
        <v>0.113604771508606</v>
      </c>
      <c r="O15" s="127"/>
      <c r="P15" s="131">
        <v>5</v>
      </c>
      <c r="Q15" s="132">
        <f>SUMIFS(Pricing!CB:CB, Pricing!C:C, P15)</f>
        <v>118.05743500881204</v>
      </c>
      <c r="R15" s="133">
        <f t="shared" si="0"/>
        <v>0.253723264579437</v>
      </c>
    </row>
    <row r="16" spans="1:22" x14ac:dyDescent="0.25">
      <c r="B16" s="213" t="s">
        <v>45</v>
      </c>
      <c r="C16" s="213"/>
      <c r="J16" s="28" t="s">
        <v>92</v>
      </c>
      <c r="K16" s="25">
        <f>K9 / (NPV((1+0.1)^(1/12)-1,Pricing!$AE$7:$AE$605)+Pricing!$AE$6)</f>
        <v>4.9715115007838047E-2</v>
      </c>
      <c r="O16" s="127"/>
      <c r="P16" s="131">
        <v>6</v>
      </c>
      <c r="Q16" s="132">
        <f>SUMIFS(Pricing!CB:CB, Pricing!C:C, P16)</f>
        <v>121.79314702402118</v>
      </c>
      <c r="R16" s="133">
        <f t="shared" si="0"/>
        <v>0.26175187411137152</v>
      </c>
    </row>
    <row r="17" spans="2:25" x14ac:dyDescent="0.25">
      <c r="B17" t="s">
        <v>46</v>
      </c>
      <c r="C17" s="2">
        <v>1</v>
      </c>
      <c r="E17" t="s">
        <v>47</v>
      </c>
      <c r="J17" s="28" t="s">
        <v>93</v>
      </c>
      <c r="K17" s="108">
        <f>K10 / (NPV((1+Hurdle)^(1/12)-1,Pricing!$AE$7:$AE$605)+Pricing!$AE$6)</f>
        <v>4.9715115007838047E-2</v>
      </c>
      <c r="M17" t="s">
        <v>246</v>
      </c>
      <c r="O17" s="127"/>
      <c r="P17" s="131">
        <v>7</v>
      </c>
      <c r="Q17" s="132">
        <f>SUMIFS(Pricing!CB:CB, Pricing!C:C, P17)</f>
        <v>154.30258202716786</v>
      </c>
      <c r="R17" s="133">
        <f t="shared" si="0"/>
        <v>0.33161956163156642</v>
      </c>
      <c r="Y17" t="s">
        <v>230</v>
      </c>
    </row>
    <row r="18" spans="2:25" x14ac:dyDescent="0.25">
      <c r="B18" t="s">
        <v>48</v>
      </c>
      <c r="C18" s="40">
        <v>198</v>
      </c>
      <c r="E18" t="s">
        <v>49</v>
      </c>
      <c r="J18" s="28"/>
      <c r="O18" s="127"/>
      <c r="P18" s="131">
        <v>8</v>
      </c>
      <c r="Q18" s="132">
        <f>SUMIFS(Pricing!CB:CB, Pricing!C:C, P18)</f>
        <v>175.68302412791871</v>
      </c>
      <c r="R18" s="133">
        <f t="shared" si="0"/>
        <v>0.37756936197704427</v>
      </c>
    </row>
    <row r="19" spans="2:25" x14ac:dyDescent="0.25">
      <c r="B19" t="s">
        <v>50</v>
      </c>
      <c r="C19" s="141" t="str">
        <f>Pol_Sex&amp;C7&amp;C8&amp;Pol_Country</f>
        <v>F22P</v>
      </c>
      <c r="J19" s="28" t="s">
        <v>94</v>
      </c>
      <c r="K19" s="46">
        <f>-SUM(MIN(0,Pricing!CB5:CB17))</f>
        <v>714.03451059883128</v>
      </c>
      <c r="O19" s="127"/>
      <c r="P19" s="131">
        <v>9</v>
      </c>
      <c r="Q19" s="132">
        <f>SUMIFS(Pricing!CB:CB, Pricing!C:C, P19)</f>
        <v>175.32533042134926</v>
      </c>
      <c r="R19" s="133">
        <f t="shared" si="0"/>
        <v>0.37680062415935794</v>
      </c>
    </row>
    <row r="20" spans="2:25" x14ac:dyDescent="0.25">
      <c r="B20" t="s">
        <v>51</v>
      </c>
      <c r="C20" s="76">
        <f>VLOOKUP(C19,Rate_Table!$E:$F,2,0)</f>
        <v>198</v>
      </c>
      <c r="J20" s="28" t="s">
        <v>95</v>
      </c>
      <c r="K20" s="50">
        <f>SUM(Pricing!AG5:AG17)</f>
        <v>9306</v>
      </c>
      <c r="O20" s="127"/>
      <c r="P20" s="131">
        <v>10</v>
      </c>
      <c r="Q20" s="132">
        <f>SUMIFS(Pricing!CB:CB, Pricing!C:C, P20)</f>
        <v>248.39541300204493</v>
      </c>
      <c r="R20" s="133">
        <f t="shared" si="0"/>
        <v>0.53383927144217691</v>
      </c>
    </row>
    <row r="21" spans="2:25" x14ac:dyDescent="0.25">
      <c r="C21" s="2"/>
      <c r="J21" s="28" t="s">
        <v>96</v>
      </c>
      <c r="K21" s="25">
        <f>K19/ K20</f>
        <v>7.6728402170517004E-2</v>
      </c>
      <c r="O21" s="127"/>
      <c r="P21" s="131">
        <v>11</v>
      </c>
      <c r="Q21" s="132">
        <f>SUMIFS(Pricing!CB:CB, Pricing!C:C, P21)</f>
        <v>290.90243845871197</v>
      </c>
      <c r="R21" s="133">
        <f t="shared" si="0"/>
        <v>0.62519329133615298</v>
      </c>
    </row>
    <row r="22" spans="2:25" x14ac:dyDescent="0.25">
      <c r="E22" s="43">
        <f>VLOOKUP(Pol_Country,'Business Mix'!$B$36:$C$38, 2,0)</f>
        <v>47000</v>
      </c>
      <c r="J22" s="28"/>
      <c r="O22" s="127"/>
      <c r="P22" s="131">
        <v>12</v>
      </c>
      <c r="Q22" s="132">
        <f>SUMIFS(Pricing!CB:CB, Pricing!C:C, P22)</f>
        <v>259.35526994517397</v>
      </c>
      <c r="R22" s="133">
        <f t="shared" si="0"/>
        <v>0.55739365988646883</v>
      </c>
    </row>
    <row r="23" spans="2:25" x14ac:dyDescent="0.25">
      <c r="B23" s="213" t="s">
        <v>52</v>
      </c>
      <c r="C23" s="213"/>
      <c r="J23" s="28" t="s">
        <v>97</v>
      </c>
      <c r="K23" s="51">
        <f>(COUNTIFS(Pricing!CK$5:CK$605, "&lt;0")+1) /12</f>
        <v>7.75</v>
      </c>
      <c r="O23" s="127"/>
      <c r="P23" s="131">
        <v>13</v>
      </c>
      <c r="Q23" s="132">
        <f>SUMIFS(Pricing!CB:CB, Pricing!C:C, P23)</f>
        <v>232.77952273268014</v>
      </c>
      <c r="R23" s="133">
        <f t="shared" si="0"/>
        <v>0.50027836392151326</v>
      </c>
    </row>
    <row r="24" spans="2:25" x14ac:dyDescent="0.25">
      <c r="B24" s="41" t="s">
        <v>53</v>
      </c>
      <c r="C24" s="35">
        <v>20</v>
      </c>
      <c r="E24" t="s">
        <v>54</v>
      </c>
      <c r="G24" s="38"/>
      <c r="J24" s="28" t="s">
        <v>98</v>
      </c>
      <c r="K24" s="51">
        <f>(COUNTIFS(Pricing!CL$5:CL$605, "&lt;0")+1) /12</f>
        <v>8.25</v>
      </c>
      <c r="O24" s="127"/>
      <c r="P24" s="131">
        <v>14</v>
      </c>
      <c r="Q24" s="132">
        <f>SUMIFS(Pricing!CB:CB, Pricing!C:C, P24)</f>
        <v>211.73051374075811</v>
      </c>
      <c r="R24" s="133">
        <f t="shared" si="0"/>
        <v>0.45504086340158628</v>
      </c>
    </row>
    <row r="25" spans="2:25" x14ac:dyDescent="0.25">
      <c r="B25" s="28" t="s">
        <v>55</v>
      </c>
      <c r="C25" s="42">
        <f>IF(C17=0, VBA_Prem_Input,C20)</f>
        <v>198</v>
      </c>
      <c r="E25" t="s">
        <v>56</v>
      </c>
      <c r="J25" s="28" t="s">
        <v>99</v>
      </c>
      <c r="K25" s="51">
        <f>(COUNTIFS(Pricing!CM$5:CM$605, "&lt;0")+1) /12</f>
        <v>9.8333333333333339</v>
      </c>
      <c r="O25" s="127"/>
      <c r="P25" s="131">
        <v>15</v>
      </c>
      <c r="Q25" s="132">
        <f>SUMIFS(Pricing!CB:CB, Pricing!C:C, P25)</f>
        <v>201.0037325732352</v>
      </c>
      <c r="R25" s="133">
        <f t="shared" si="0"/>
        <v>0.43198739001340036</v>
      </c>
    </row>
    <row r="26" spans="2:25" x14ac:dyDescent="0.25">
      <c r="B26" s="28" t="s">
        <v>57</v>
      </c>
      <c r="C26" s="43">
        <f>VLOOKUP(Pol_Country,'Business Mix'!$B$36:$C$38, 2,0)</f>
        <v>47000</v>
      </c>
      <c r="E26" t="s">
        <v>58</v>
      </c>
      <c r="J26" t="s">
        <v>100</v>
      </c>
      <c r="K26" s="52">
        <f>(COUNTIFS(Pricing!CN$5:CN$605, "&lt;0")+1) /12</f>
        <v>9.8333333333333339</v>
      </c>
      <c r="O26" s="127"/>
      <c r="P26" s="131">
        <v>16</v>
      </c>
      <c r="Q26" s="132">
        <f>SUMIFS(Pricing!CB:CB, Pricing!C:C, P26)</f>
        <v>115.41538211861314</v>
      </c>
      <c r="R26" s="133">
        <f t="shared" si="0"/>
        <v>0.24804509374298975</v>
      </c>
    </row>
    <row r="27" spans="2:25" x14ac:dyDescent="0.25">
      <c r="B27" s="28" t="s">
        <v>223</v>
      </c>
      <c r="C27" s="44">
        <f>Prem_Rate*Sum_Assured/1000 * IF(Prem_Mode="single", 1/20, 1)</f>
        <v>465.3</v>
      </c>
      <c r="E27" t="s">
        <v>59</v>
      </c>
      <c r="K27" s="52"/>
      <c r="O27" s="127"/>
      <c r="P27" s="131">
        <v>17</v>
      </c>
      <c r="Q27" s="132">
        <f>SUMIFS(Pricing!CB:CB, Pricing!C:C, P27)</f>
        <v>57.350551149256475</v>
      </c>
      <c r="R27" s="133">
        <f t="shared" si="0"/>
        <v>0.12325499924619918</v>
      </c>
    </row>
    <row r="28" spans="2:25" x14ac:dyDescent="0.25">
      <c r="B28" s="28" t="s">
        <v>224</v>
      </c>
      <c r="C28" s="44">
        <f>Prem_Rate * Sum_Assured/1000</f>
        <v>9306</v>
      </c>
      <c r="E28" t="s">
        <v>227</v>
      </c>
      <c r="J28" s="28" t="s">
        <v>101</v>
      </c>
      <c r="K28" s="49">
        <f>K10</f>
        <v>462.64886026294084</v>
      </c>
      <c r="O28" s="127"/>
      <c r="P28" s="131">
        <v>18</v>
      </c>
      <c r="Q28" s="132">
        <f>SUMIFS(Pricing!CB:CB, Pricing!C:C, P28)</f>
        <v>55.475058308188139</v>
      </c>
      <c r="R28" s="133">
        <f t="shared" si="0"/>
        <v>0.11922428177130483</v>
      </c>
    </row>
    <row r="29" spans="2:25" x14ac:dyDescent="0.25">
      <c r="B29" s="28"/>
      <c r="C29" s="32"/>
      <c r="J29" t="s">
        <v>102</v>
      </c>
      <c r="K29" s="13">
        <f>K28/Ann_Prem</f>
        <v>0.99430230015676091</v>
      </c>
      <c r="O29" s="127"/>
      <c r="P29" s="131">
        <v>19</v>
      </c>
      <c r="Q29" s="132">
        <f>SUMIFS(Pricing!CB:CB, Pricing!C:C, P29)</f>
        <v>53.573415445402361</v>
      </c>
      <c r="R29" s="133">
        <f t="shared" si="0"/>
        <v>0.11513736394885528</v>
      </c>
    </row>
    <row r="30" spans="2:25" x14ac:dyDescent="0.25">
      <c r="B30" s="28" t="s">
        <v>60</v>
      </c>
      <c r="C30" s="33" t="s">
        <v>113</v>
      </c>
      <c r="E30" t="s">
        <v>61</v>
      </c>
      <c r="G30" s="38"/>
      <c r="K30" s="52"/>
      <c r="O30" s="127"/>
      <c r="P30" s="131">
        <v>20</v>
      </c>
      <c r="Q30" s="132">
        <f>SUMIFS(Pricing!CB:CB, Pricing!C:C, P30)</f>
        <v>51.644002710554588</v>
      </c>
      <c r="R30" s="133">
        <f t="shared" si="0"/>
        <v>0.11099076447572445</v>
      </c>
    </row>
    <row r="31" spans="2:25" x14ac:dyDescent="0.25">
      <c r="B31" s="28" t="s">
        <v>62</v>
      </c>
      <c r="C31">
        <f>IF(Prem_Mode="single", 1, "Error")</f>
        <v>1</v>
      </c>
      <c r="E31" t="s">
        <v>63</v>
      </c>
      <c r="M31" s="106" t="s">
        <v>200</v>
      </c>
      <c r="O31" s="127"/>
      <c r="P31" s="131">
        <v>21</v>
      </c>
      <c r="Q31" s="132">
        <f>SUMIFS(Pricing!CB:CB, Pricing!C:C, P31)</f>
        <v>20.969087643573573</v>
      </c>
      <c r="R31" s="133">
        <f t="shared" si="0"/>
        <v>4.5065737467383564E-2</v>
      </c>
    </row>
    <row r="32" spans="2:25" x14ac:dyDescent="0.25">
      <c r="B32" s="28"/>
      <c r="G32" s="38"/>
      <c r="J32" s="214" t="s">
        <v>103</v>
      </c>
      <c r="K32" s="215"/>
      <c r="M32" s="107">
        <f>IF(ABS(-Pricing!$AP$5 - SUM(L34:L35)) &gt; 0.0001, 1, 0)</f>
        <v>0</v>
      </c>
      <c r="O32" s="127"/>
      <c r="P32" s="131">
        <v>22</v>
      </c>
      <c r="Q32" s="132">
        <f>SUMIFS(Pricing!CB:CB, Pricing!C:C, P32)</f>
        <v>0</v>
      </c>
      <c r="R32" s="133">
        <f t="shared" si="0"/>
        <v>0</v>
      </c>
    </row>
    <row r="33" spans="2:18" x14ac:dyDescent="0.25">
      <c r="B33" s="28"/>
      <c r="C33" s="32"/>
      <c r="O33" s="127"/>
      <c r="P33" s="131">
        <v>23</v>
      </c>
      <c r="Q33" s="132">
        <f>SUMIFS(Pricing!CB:CB, Pricing!C:C, P33)</f>
        <v>0</v>
      </c>
      <c r="R33" s="133">
        <f t="shared" si="0"/>
        <v>0</v>
      </c>
    </row>
    <row r="34" spans="2:18" x14ac:dyDescent="0.25">
      <c r="B34" s="28"/>
      <c r="C34" s="32"/>
      <c r="J34" t="s">
        <v>198</v>
      </c>
      <c r="K34" s="12">
        <f>L34/$L$40</f>
        <v>0.69222509834464085</v>
      </c>
      <c r="L34" s="46">
        <f>-SUMPRODUCT(Pricing!AL$5:AL$605, Pricing!$I$5:$I$605)</f>
        <v>6441.8467651952278</v>
      </c>
      <c r="O34" s="127"/>
      <c r="P34" s="131">
        <v>24</v>
      </c>
      <c r="Q34" s="132">
        <f>SUMIFS(Pricing!CB:CB, Pricing!C:C, P34)</f>
        <v>0</v>
      </c>
      <c r="R34" s="133">
        <f t="shared" si="0"/>
        <v>0</v>
      </c>
    </row>
    <row r="35" spans="2:18" x14ac:dyDescent="0.25">
      <c r="J35" t="s">
        <v>104</v>
      </c>
      <c r="K35" s="12">
        <f t="shared" ref="K35:K38" si="1">L35/$L$40</f>
        <v>4.6573328955227221E-3</v>
      </c>
      <c r="L35" s="46">
        <f>-SUMPRODUCT(Pricing!AK$5:AK$605, Pricing!$I$5:$I$605)</f>
        <v>43.341139925734453</v>
      </c>
      <c r="O35" s="127"/>
      <c r="P35" s="131">
        <v>25</v>
      </c>
      <c r="Q35" s="132">
        <f>SUMIFS(Pricing!CB:CB, Pricing!C:C, P35)</f>
        <v>0</v>
      </c>
      <c r="R35" s="133">
        <f t="shared" si="0"/>
        <v>0</v>
      </c>
    </row>
    <row r="36" spans="2:18" x14ac:dyDescent="0.25">
      <c r="B36" s="213" t="s">
        <v>201</v>
      </c>
      <c r="C36" s="213"/>
      <c r="J36" t="s">
        <v>64</v>
      </c>
      <c r="K36" s="12">
        <f t="shared" si="1"/>
        <v>3.3433455309156868E-2</v>
      </c>
      <c r="L36" s="46">
        <f>-(Pricing!BH5 + Pricing!BF5) - L38</f>
        <v>311.13173510701381</v>
      </c>
      <c r="O36" s="127"/>
      <c r="P36" s="131">
        <v>26</v>
      </c>
      <c r="Q36" s="132">
        <f>SUMIFS(Pricing!CB:CB, Pricing!C:C, P36)</f>
        <v>0</v>
      </c>
      <c r="R36" s="133">
        <f t="shared" si="0"/>
        <v>0</v>
      </c>
    </row>
    <row r="37" spans="2:18" x14ac:dyDescent="0.25">
      <c r="B37" s="41" t="s">
        <v>114</v>
      </c>
      <c r="C37" s="45">
        <v>1</v>
      </c>
      <c r="E37" t="s">
        <v>117</v>
      </c>
      <c r="J37" t="s">
        <v>35</v>
      </c>
      <c r="K37" s="12">
        <f t="shared" si="1"/>
        <v>4.5999133043373858E-2</v>
      </c>
      <c r="L37" s="46">
        <f>-SUMPRODUCT(Pricing!BX$5:BX$605, Pricing!$I$5:$I$605)</f>
        <v>428.0679321016371</v>
      </c>
      <c r="O37" s="127"/>
      <c r="P37" s="131">
        <v>27</v>
      </c>
      <c r="Q37" s="132">
        <f>SUMIFS(Pricing!CB:CB, Pricing!C:C, P37)</f>
        <v>0</v>
      </c>
      <c r="R37" s="133">
        <f t="shared" si="0"/>
        <v>0</v>
      </c>
    </row>
    <row r="38" spans="2:18" x14ac:dyDescent="0.25">
      <c r="B38" s="28" t="s">
        <v>115</v>
      </c>
      <c r="C38" s="45">
        <v>1</v>
      </c>
      <c r="E38" t="s">
        <v>116</v>
      </c>
      <c r="J38" t="s">
        <v>105</v>
      </c>
      <c r="K38" s="12">
        <f t="shared" si="1"/>
        <v>0.09</v>
      </c>
      <c r="L38" s="46">
        <f>-SUMPRODUCT(Pricing!AT$5:AT$605, Pricing!$I$5:$I$605)</f>
        <v>837.54</v>
      </c>
      <c r="O38" s="127"/>
      <c r="P38" s="131">
        <v>28</v>
      </c>
      <c r="Q38" s="132">
        <f>SUMIFS(Pricing!CB:CB, Pricing!C:C, P38)</f>
        <v>0</v>
      </c>
      <c r="R38" s="133">
        <f t="shared" si="0"/>
        <v>0</v>
      </c>
    </row>
    <row r="39" spans="2:18" x14ac:dyDescent="0.25">
      <c r="J39" s="3" t="s">
        <v>106</v>
      </c>
      <c r="K39" s="53">
        <f>1-SUM(K34:K38)</f>
        <v>0.1336849804073057</v>
      </c>
      <c r="L39" s="99">
        <f>L40-SUM(L34:L38)</f>
        <v>1244.0724276703868</v>
      </c>
      <c r="O39" s="127"/>
      <c r="P39" s="131">
        <v>29</v>
      </c>
      <c r="Q39" s="132">
        <f>SUMIFS(Pricing!CB:CB, Pricing!C:C, P39)</f>
        <v>0</v>
      </c>
      <c r="R39" s="133">
        <f t="shared" si="0"/>
        <v>0</v>
      </c>
    </row>
    <row r="40" spans="2:18" x14ac:dyDescent="0.25">
      <c r="B40" s="213" t="s">
        <v>64</v>
      </c>
      <c r="C40" s="213"/>
      <c r="J40" s="28" t="s">
        <v>107</v>
      </c>
      <c r="K40" s="25">
        <v>1</v>
      </c>
      <c r="L40" s="46">
        <f>Pricing!AG5</f>
        <v>9306</v>
      </c>
      <c r="O40" s="127"/>
      <c r="P40" s="131">
        <v>30</v>
      </c>
      <c r="Q40" s="132">
        <f>SUMIFS(Pricing!CB:CB, Pricing!C:C, P40)</f>
        <v>0</v>
      </c>
      <c r="R40" s="133">
        <f t="shared" si="0"/>
        <v>0</v>
      </c>
    </row>
    <row r="41" spans="2:18" x14ac:dyDescent="0.25">
      <c r="B41" s="41" t="s">
        <v>65</v>
      </c>
      <c r="C41" s="46">
        <f>Others!Q5 + Others!R5 * Sum_Assured/1000 + Others!S5 * Ann_Prem</f>
        <v>0</v>
      </c>
      <c r="E41" t="s">
        <v>66</v>
      </c>
      <c r="J41" s="28" t="s">
        <v>108</v>
      </c>
      <c r="K41" s="17">
        <f>SUM(K34:K35)</f>
        <v>0.69688243124016358</v>
      </c>
      <c r="L41" s="46">
        <f>SUM(L34:L35)</f>
        <v>6485.1879051209626</v>
      </c>
      <c r="O41" s="127"/>
      <c r="P41" s="131">
        <v>31</v>
      </c>
      <c r="Q41" s="132">
        <f>SUMIFS(Pricing!CB:CB, Pricing!C:C, P41)</f>
        <v>0</v>
      </c>
      <c r="R41" s="133">
        <f t="shared" si="0"/>
        <v>0</v>
      </c>
    </row>
    <row r="42" spans="2:18" x14ac:dyDescent="0.25">
      <c r="B42" s="28" t="s">
        <v>20</v>
      </c>
      <c r="C42" s="46">
        <f>Others!Q6 + Others!R6 * Sum_Assured/1000 + Others!S6 * Single_Prem</f>
        <v>837.54</v>
      </c>
      <c r="E42" t="s">
        <v>67</v>
      </c>
      <c r="J42" s="28" t="s">
        <v>109</v>
      </c>
      <c r="K42" s="17">
        <f>SUM(K36:K38)</f>
        <v>0.16943258835253072</v>
      </c>
      <c r="L42" s="46">
        <f>SUM(L36:L38)</f>
        <v>1576.7396672086509</v>
      </c>
      <c r="O42" s="127"/>
      <c r="P42" s="131">
        <v>32</v>
      </c>
      <c r="Q42" s="132">
        <f>SUMIFS(Pricing!CB:CB, Pricing!C:C, P42)</f>
        <v>0</v>
      </c>
      <c r="R42" s="133">
        <f t="shared" ref="R42:R60" si="2">Q42/Ann_Prem</f>
        <v>0</v>
      </c>
    </row>
    <row r="43" spans="2:18" x14ac:dyDescent="0.25">
      <c r="B43" s="28" t="s">
        <v>22</v>
      </c>
      <c r="C43" s="46">
        <f>Others!Q7 + Others!R7 * Sum_Assured/1000 + Others!S7 * Ann_Prem</f>
        <v>0</v>
      </c>
      <c r="E43" t="s">
        <v>68</v>
      </c>
      <c r="O43" s="127"/>
      <c r="P43" s="131">
        <v>33</v>
      </c>
      <c r="Q43" s="132">
        <f>SUMIFS(Pricing!CB:CB, Pricing!C:C, P43)</f>
        <v>0</v>
      </c>
      <c r="R43" s="133">
        <f t="shared" si="2"/>
        <v>0</v>
      </c>
    </row>
    <row r="44" spans="2:18" x14ac:dyDescent="0.25">
      <c r="B44" s="28" t="s">
        <v>69</v>
      </c>
      <c r="C44" s="46">
        <f>Others!Q8 + Others!R8 * Sum_Assured/1000 + Others!S8 * Ann_Prem</f>
        <v>20.938500000000001</v>
      </c>
      <c r="E44" t="s">
        <v>70</v>
      </c>
      <c r="O44" s="127"/>
      <c r="P44" s="131">
        <v>34</v>
      </c>
      <c r="Q44" s="132">
        <f>SUMIFS(Pricing!CB:CB, Pricing!C:C, P44)</f>
        <v>0</v>
      </c>
      <c r="R44" s="133">
        <f t="shared" si="2"/>
        <v>0</v>
      </c>
    </row>
    <row r="45" spans="2:18" x14ac:dyDescent="0.25">
      <c r="B45" s="28" t="s">
        <v>71</v>
      </c>
      <c r="C45" s="46">
        <f>Others!Q9 + Others!R9 * Sum_Assured/1000 + Others!S9 * Ann_Prem</f>
        <v>20.007899999999999</v>
      </c>
      <c r="E45" t="s">
        <v>72</v>
      </c>
      <c r="O45" s="127"/>
      <c r="P45" s="131">
        <v>35</v>
      </c>
      <c r="Q45" s="132">
        <f>SUMIFS(Pricing!CB:CB, Pricing!C:C, P45)</f>
        <v>0</v>
      </c>
      <c r="R45" s="133">
        <f t="shared" si="2"/>
        <v>0</v>
      </c>
    </row>
    <row r="46" spans="2:18" x14ac:dyDescent="0.25">
      <c r="B46" s="28"/>
      <c r="O46" s="127"/>
      <c r="P46" s="131">
        <v>36</v>
      </c>
      <c r="Q46" s="132">
        <f>SUMIFS(Pricing!CB:CB, Pricing!C:C, P46)</f>
        <v>0</v>
      </c>
      <c r="R46" s="133">
        <f t="shared" si="2"/>
        <v>0</v>
      </c>
    </row>
    <row r="47" spans="2:18" x14ac:dyDescent="0.25">
      <c r="B47" s="28" t="s">
        <v>73</v>
      </c>
      <c r="C47" s="47">
        <f>Others!$Q$13</f>
        <v>1.35E-2</v>
      </c>
      <c r="E47" t="s">
        <v>74</v>
      </c>
      <c r="O47" s="127"/>
      <c r="P47" s="131">
        <v>37</v>
      </c>
      <c r="Q47" s="132">
        <f>SUMIFS(Pricing!CB:CB, Pricing!C:C, P47)</f>
        <v>0</v>
      </c>
      <c r="R47" s="133">
        <f t="shared" si="2"/>
        <v>0</v>
      </c>
    </row>
    <row r="48" spans="2:18" x14ac:dyDescent="0.25">
      <c r="B48" s="28" t="s">
        <v>75</v>
      </c>
      <c r="C48" s="47">
        <f>Others!$R$13</f>
        <v>2.35E-2</v>
      </c>
      <c r="E48" t="s">
        <v>76</v>
      </c>
      <c r="O48" s="127"/>
      <c r="P48" s="131">
        <v>38</v>
      </c>
      <c r="Q48" s="132">
        <f>SUMIFS(Pricing!CB:CB, Pricing!C:C, P48)</f>
        <v>0</v>
      </c>
      <c r="R48" s="133">
        <f t="shared" si="2"/>
        <v>0</v>
      </c>
    </row>
    <row r="49" spans="2:18" x14ac:dyDescent="0.25">
      <c r="O49" s="127"/>
      <c r="P49" s="131">
        <v>39</v>
      </c>
      <c r="Q49" s="132">
        <f>SUMIFS(Pricing!CB:CB, Pricing!C:C, P49)</f>
        <v>0</v>
      </c>
      <c r="R49" s="133">
        <f t="shared" si="2"/>
        <v>0</v>
      </c>
    </row>
    <row r="50" spans="2:18" x14ac:dyDescent="0.25">
      <c r="B50" s="213" t="s">
        <v>32</v>
      </c>
      <c r="C50" s="213"/>
      <c r="O50" s="127"/>
      <c r="P50" s="131">
        <v>40</v>
      </c>
      <c r="Q50" s="132">
        <f>SUMIFS(Pricing!CB:CB, Pricing!C:C, P50)</f>
        <v>0</v>
      </c>
      <c r="R50" s="133">
        <f t="shared" si="2"/>
        <v>0</v>
      </c>
    </row>
    <row r="51" spans="2:18" x14ac:dyDescent="0.25">
      <c r="B51" s="41" t="s">
        <v>38</v>
      </c>
      <c r="C51" s="47">
        <f>Others!Q28</f>
        <v>0</v>
      </c>
      <c r="E51" t="s">
        <v>119</v>
      </c>
      <c r="O51" s="127"/>
      <c r="P51" s="131">
        <v>41</v>
      </c>
      <c r="Q51" s="132">
        <f>SUMIFS(Pricing!CB:CB, Pricing!C:C, P51)</f>
        <v>0</v>
      </c>
      <c r="R51" s="133">
        <f t="shared" si="2"/>
        <v>0</v>
      </c>
    </row>
    <row r="52" spans="2:18" x14ac:dyDescent="0.25">
      <c r="B52" s="28" t="s">
        <v>39</v>
      </c>
      <c r="C52" s="47">
        <f>Others!Q29</f>
        <v>0</v>
      </c>
      <c r="E52" t="s">
        <v>118</v>
      </c>
      <c r="O52" s="127"/>
      <c r="P52" s="131">
        <v>42</v>
      </c>
      <c r="Q52" s="132">
        <f>SUMIFS(Pricing!CB:CB, Pricing!C:C, P52)</f>
        <v>0</v>
      </c>
      <c r="R52" s="133">
        <f t="shared" si="2"/>
        <v>0</v>
      </c>
    </row>
    <row r="53" spans="2:18" x14ac:dyDescent="0.25">
      <c r="B53" s="28"/>
      <c r="C53" s="47"/>
      <c r="J53" s="210" t="s">
        <v>110</v>
      </c>
      <c r="K53" s="212"/>
      <c r="O53" s="127"/>
      <c r="P53" s="131">
        <v>43</v>
      </c>
      <c r="Q53" s="132">
        <f>SUMIFS(Pricing!CB:CB, Pricing!C:C, P53)</f>
        <v>0</v>
      </c>
      <c r="R53" s="133">
        <f t="shared" si="2"/>
        <v>0</v>
      </c>
    </row>
    <row r="54" spans="2:18" x14ac:dyDescent="0.25">
      <c r="B54" s="28" t="s">
        <v>34</v>
      </c>
      <c r="C54" s="47">
        <f>Others!Q31</f>
        <v>0</v>
      </c>
      <c r="E54" t="s">
        <v>77</v>
      </c>
      <c r="J54" t="s">
        <v>111</v>
      </c>
      <c r="K54" s="54"/>
      <c r="O54" s="127"/>
      <c r="P54" s="131">
        <v>44</v>
      </c>
      <c r="Q54" s="132">
        <f>SUMIFS(Pricing!CB:CB, Pricing!C:C, P54)</f>
        <v>0</v>
      </c>
      <c r="R54" s="133">
        <f t="shared" si="2"/>
        <v>0</v>
      </c>
    </row>
    <row r="55" spans="2:18" x14ac:dyDescent="0.25">
      <c r="B55" s="28"/>
      <c r="C55" s="47"/>
      <c r="K55" s="2"/>
      <c r="O55" s="127"/>
      <c r="P55" s="131">
        <v>45</v>
      </c>
      <c r="Q55" s="132">
        <f>SUMIFS(Pricing!CB:CB, Pricing!C:C, P55)</f>
        <v>0</v>
      </c>
      <c r="R55" s="133">
        <f t="shared" si="2"/>
        <v>0</v>
      </c>
    </row>
    <row r="56" spans="2:18" x14ac:dyDescent="0.25">
      <c r="B56" s="28" t="s">
        <v>23</v>
      </c>
      <c r="C56" s="47">
        <f>Others!Q33</f>
        <v>0</v>
      </c>
      <c r="E56" t="s">
        <v>78</v>
      </c>
      <c r="J56" t="s">
        <v>112</v>
      </c>
      <c r="K56" s="12"/>
      <c r="O56" s="127"/>
      <c r="P56" s="131">
        <v>46</v>
      </c>
      <c r="Q56" s="132">
        <f>SUMIFS(Pricing!CB:CB, Pricing!C:C, P56)</f>
        <v>0</v>
      </c>
      <c r="R56" s="133">
        <f t="shared" si="2"/>
        <v>0</v>
      </c>
    </row>
    <row r="57" spans="2:18" x14ac:dyDescent="0.25">
      <c r="B57" s="28" t="s">
        <v>24</v>
      </c>
      <c r="C57" s="47">
        <f>Others!Q34</f>
        <v>0</v>
      </c>
      <c r="E57" t="s">
        <v>79</v>
      </c>
      <c r="K57" s="2"/>
      <c r="O57" s="127"/>
      <c r="P57" s="131">
        <v>47</v>
      </c>
      <c r="Q57" s="132">
        <f>SUMIFS(Pricing!CB:CB, Pricing!C:C, P57)</f>
        <v>0</v>
      </c>
      <c r="R57" s="133">
        <f t="shared" si="2"/>
        <v>0</v>
      </c>
    </row>
    <row r="58" spans="2:18" x14ac:dyDescent="0.25">
      <c r="B58" s="28"/>
      <c r="K58" s="2"/>
      <c r="O58" s="127"/>
      <c r="P58" s="131">
        <v>48</v>
      </c>
      <c r="Q58" s="132">
        <f>SUMIFS(Pricing!CB:CB, Pricing!C:C, P58)</f>
        <v>0</v>
      </c>
      <c r="R58" s="133">
        <f t="shared" si="2"/>
        <v>0</v>
      </c>
    </row>
    <row r="59" spans="2:18" x14ac:dyDescent="0.25">
      <c r="K59" s="2"/>
      <c r="O59" s="127"/>
      <c r="P59" s="131">
        <v>49</v>
      </c>
      <c r="Q59" s="132">
        <f>SUMIFS(Pricing!CB:CB, Pricing!C:C, P59)</f>
        <v>0</v>
      </c>
      <c r="R59" s="133">
        <f t="shared" si="2"/>
        <v>0</v>
      </c>
    </row>
    <row r="60" spans="2:18" x14ac:dyDescent="0.25">
      <c r="K60" s="2"/>
      <c r="O60" s="127"/>
      <c r="P60" s="131">
        <v>50</v>
      </c>
      <c r="Q60" s="132">
        <f>SUMIFS(Pricing!CB:CB, Pricing!C:C, P60)</f>
        <v>0</v>
      </c>
      <c r="R60" s="133">
        <f t="shared" si="2"/>
        <v>0</v>
      </c>
    </row>
    <row r="61" spans="2:18" x14ac:dyDescent="0.25">
      <c r="B61" s="213" t="s">
        <v>33</v>
      </c>
      <c r="C61" s="213"/>
      <c r="O61" s="127"/>
    </row>
    <row r="62" spans="2:18" x14ac:dyDescent="0.25">
      <c r="B62" s="41" t="s">
        <v>38</v>
      </c>
      <c r="C62" s="47">
        <f>Others!R28</f>
        <v>0.15</v>
      </c>
      <c r="E62" t="s">
        <v>121</v>
      </c>
      <c r="O62" s="127"/>
    </row>
    <row r="63" spans="2:18" x14ac:dyDescent="0.25">
      <c r="B63" s="28" t="s">
        <v>39</v>
      </c>
      <c r="C63" s="47">
        <f>Others!R29</f>
        <v>0.3</v>
      </c>
      <c r="E63" t="s">
        <v>120</v>
      </c>
      <c r="O63" s="127"/>
    </row>
    <row r="64" spans="2:18" x14ac:dyDescent="0.25">
      <c r="B64" s="28"/>
      <c r="C64" s="47"/>
      <c r="O64" s="127"/>
    </row>
    <row r="65" spans="2:15" x14ac:dyDescent="0.25">
      <c r="B65" s="28" t="s">
        <v>34</v>
      </c>
      <c r="C65" s="47">
        <f>Others!R31</f>
        <v>0</v>
      </c>
      <c r="E65" t="s">
        <v>80</v>
      </c>
      <c r="O65" s="127"/>
    </row>
    <row r="66" spans="2:15" x14ac:dyDescent="0.25">
      <c r="B66" s="28"/>
      <c r="O66" s="127"/>
    </row>
    <row r="67" spans="2:15" x14ac:dyDescent="0.25">
      <c r="B67" s="28" t="s">
        <v>23</v>
      </c>
      <c r="C67" s="47">
        <f>Others!R33</f>
        <v>0.1</v>
      </c>
      <c r="E67" t="s">
        <v>81</v>
      </c>
      <c r="O67" s="127"/>
    </row>
    <row r="68" spans="2:15" x14ac:dyDescent="0.25">
      <c r="B68" s="28" t="s">
        <v>24</v>
      </c>
      <c r="C68" s="47">
        <f>Others!R34</f>
        <v>0.1</v>
      </c>
      <c r="E68" t="s">
        <v>82</v>
      </c>
      <c r="O68" s="127"/>
    </row>
    <row r="69" spans="2:15" x14ac:dyDescent="0.25">
      <c r="B69" s="28"/>
    </row>
    <row r="70" spans="2:15" x14ac:dyDescent="0.25">
      <c r="B70" s="28"/>
    </row>
  </sheetData>
  <mergeCells count="11">
    <mergeCell ref="U4:V4"/>
    <mergeCell ref="B50:C50"/>
    <mergeCell ref="B61:C61"/>
    <mergeCell ref="J4:K4"/>
    <mergeCell ref="J32:K32"/>
    <mergeCell ref="J53:K53"/>
    <mergeCell ref="B4:C4"/>
    <mergeCell ref="B16:C16"/>
    <mergeCell ref="B23:C23"/>
    <mergeCell ref="B36:C36"/>
    <mergeCell ref="B40:C40"/>
  </mergeCells>
  <conditionalFormatting sqref="G6">
    <cfRule type="cellIs" dxfId="5" priority="6" operator="notEqual">
      <formula>0</formula>
    </cfRule>
  </conditionalFormatting>
  <conditionalFormatting sqref="G30">
    <cfRule type="cellIs" dxfId="4" priority="5" operator="notEqual">
      <formula>0</formula>
    </cfRule>
  </conditionalFormatting>
  <conditionalFormatting sqref="G32">
    <cfRule type="cellIs" dxfId="3" priority="4" operator="notEqual">
      <formula>0</formula>
    </cfRule>
  </conditionalFormatting>
  <conditionalFormatting sqref="G2">
    <cfRule type="cellIs" dxfId="2" priority="3" operator="notEqual">
      <formula>0</formula>
    </cfRule>
  </conditionalFormatting>
  <conditionalFormatting sqref="G24">
    <cfRule type="cellIs" dxfId="1" priority="2" operator="notEqual">
      <formula>0</formula>
    </cfRule>
  </conditionalFormatting>
  <conditionalFormatting sqref="M32">
    <cfRule type="cellIs" dxfId="0" priority="1" operator="notEqual">
      <formula>0</formula>
    </cfRule>
  </conditionalFormatting>
  <pageMargins left="0.7" right="0.7" top="0.75" bottom="0.75" header="0.3" footer="0.3"/>
  <pageSetup paperSize="9" orientation="portrait" horizontalDpi="4294967294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single_cal">
                <anchor moveWithCells="1" sizeWithCells="1">
                  <from>
                    <xdr:col>20</xdr:col>
                    <xdr:colOff>180975</xdr:colOff>
                    <xdr:row>8</xdr:row>
                    <xdr:rowOff>104775</xdr:rowOff>
                  </from>
                  <to>
                    <xdr:col>22</xdr:col>
                    <xdr:colOff>257175</xdr:colOff>
                    <xdr:row>11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F9A4E-F7BC-4AB6-9D8F-7908D8233A30}">
  <sheetPr codeName="Sheet4">
    <tabColor theme="9" tint="0.79998168889431442"/>
  </sheetPr>
  <dimension ref="A1:CN319"/>
  <sheetViews>
    <sheetView zoomScale="85" zoomScaleNormal="85" workbookViewId="0">
      <pane xSplit="3" ySplit="4" topLeftCell="BN5" activePane="bottomRight" state="frozen"/>
      <selection pane="topRight" activeCell="D1" sqref="D1"/>
      <selection pane="bottomLeft" activeCell="A5" sqref="A5"/>
      <selection pane="bottomRight" activeCell="CB4" sqref="CB4"/>
    </sheetView>
  </sheetViews>
  <sheetFormatPr defaultColWidth="8.85546875" defaultRowHeight="15" x14ac:dyDescent="0.25"/>
  <cols>
    <col min="1" max="1" width="8" style="32" bestFit="1" customWidth="1"/>
    <col min="2" max="2" width="7" style="32" bestFit="1" customWidth="1"/>
    <col min="3" max="3" width="5.140625" style="32" bestFit="1" customWidth="1"/>
    <col min="5" max="5" width="10.85546875" bestFit="1" customWidth="1"/>
    <col min="9" max="9" width="10" bestFit="1" customWidth="1"/>
    <col min="10" max="10" width="12.140625" bestFit="1" customWidth="1"/>
    <col min="13" max="13" width="9.85546875" bestFit="1" customWidth="1"/>
    <col min="16" max="16" width="12.42578125" bestFit="1" customWidth="1"/>
    <col min="19" max="21" width="11" bestFit="1" customWidth="1"/>
    <col min="23" max="23" width="10" bestFit="1" customWidth="1"/>
    <col min="24" max="24" width="13.140625" bestFit="1" customWidth="1"/>
    <col min="25" max="25" width="14.28515625" bestFit="1" customWidth="1"/>
    <col min="26" max="26" width="10.42578125" bestFit="1" customWidth="1"/>
    <col min="27" max="27" width="13.140625" bestFit="1" customWidth="1"/>
    <col min="29" max="29" width="14.85546875" bestFit="1" customWidth="1"/>
    <col min="30" max="30" width="11.42578125" bestFit="1" customWidth="1"/>
    <col min="31" max="31" width="11.7109375" bestFit="1" customWidth="1"/>
    <col min="32" max="32" width="14.140625" bestFit="1" customWidth="1"/>
    <col min="33" max="33" width="13.42578125" bestFit="1" customWidth="1"/>
    <col min="35" max="35" width="14" bestFit="1" customWidth="1"/>
    <col min="36" max="36" width="12.28515625" bestFit="1" customWidth="1"/>
    <col min="37" max="37" width="13.28515625" bestFit="1" customWidth="1"/>
    <col min="38" max="38" width="14.42578125" bestFit="1" customWidth="1"/>
    <col min="39" max="39" width="11" bestFit="1" customWidth="1"/>
    <col min="40" max="40" width="10.7109375" bestFit="1" customWidth="1"/>
    <col min="41" max="41" width="16" bestFit="1" customWidth="1"/>
    <col min="42" max="42" width="15.42578125" bestFit="1" customWidth="1"/>
    <col min="44" max="44" width="10.85546875" bestFit="1" customWidth="1"/>
    <col min="45" max="45" width="12.42578125" bestFit="1" customWidth="1"/>
    <col min="46" max="46" width="15.28515625" bestFit="1" customWidth="1"/>
    <col min="47" max="47" width="12.28515625" customWidth="1"/>
    <col min="48" max="48" width="6.85546875" customWidth="1"/>
    <col min="49" max="49" width="14.7109375" bestFit="1" customWidth="1"/>
    <col min="50" max="50" width="11.42578125" bestFit="1" customWidth="1"/>
    <col min="51" max="51" width="7.7109375" customWidth="1"/>
    <col min="52" max="52" width="16.28515625" bestFit="1" customWidth="1"/>
    <col min="53" max="53" width="12.7109375" bestFit="1" customWidth="1"/>
    <col min="54" max="54" width="14.42578125" bestFit="1" customWidth="1"/>
    <col min="55" max="56" width="16.42578125" bestFit="1" customWidth="1"/>
    <col min="57" max="57" width="16.140625" bestFit="1" customWidth="1"/>
    <col min="58" max="58" width="16" bestFit="1" customWidth="1"/>
    <col min="59" max="59" width="16.7109375" bestFit="1" customWidth="1"/>
    <col min="60" max="60" width="16.140625" bestFit="1" customWidth="1"/>
    <col min="62" max="62" width="16" bestFit="1" customWidth="1"/>
    <col min="63" max="63" width="15.7109375" bestFit="1" customWidth="1"/>
    <col min="64" max="64" width="3.140625" customWidth="1"/>
    <col min="65" max="65" width="17.140625" bestFit="1" customWidth="1"/>
    <col min="66" max="66" width="16.7109375" bestFit="1" customWidth="1"/>
    <col min="68" max="68" width="16.140625" bestFit="1" customWidth="1"/>
    <col min="69" max="69" width="15.42578125" bestFit="1" customWidth="1"/>
    <col min="70" max="70" width="19.42578125" bestFit="1" customWidth="1"/>
    <col min="72" max="72" width="11.42578125" bestFit="1" customWidth="1"/>
    <col min="73" max="73" width="8.42578125" bestFit="1" customWidth="1"/>
    <col min="74" max="74" width="11.42578125" bestFit="1" customWidth="1"/>
    <col min="78" max="78" width="12.42578125" bestFit="1" customWidth="1"/>
    <col min="79" max="79" width="15.42578125" bestFit="1" customWidth="1"/>
    <col min="80" max="80" width="11.28515625" bestFit="1" customWidth="1"/>
    <col min="82" max="82" width="15.42578125" bestFit="1" customWidth="1"/>
    <col min="83" max="83" width="15.28515625" bestFit="1" customWidth="1"/>
    <col min="84" max="84" width="14.140625" bestFit="1" customWidth="1"/>
    <col min="86" max="86" width="13.28515625" bestFit="1" customWidth="1"/>
    <col min="87" max="87" width="14.140625" bestFit="1" customWidth="1"/>
    <col min="89" max="92" width="11.28515625" bestFit="1" customWidth="1"/>
  </cols>
  <sheetData>
    <row r="1" spans="1:92" x14ac:dyDescent="0.25">
      <c r="A1" s="58" t="s">
        <v>128</v>
      </c>
      <c r="F1" s="65" t="s">
        <v>133</v>
      </c>
      <c r="J1" s="33" t="s">
        <v>134</v>
      </c>
    </row>
    <row r="2" spans="1:92" x14ac:dyDescent="0.25">
      <c r="A2" s="216" t="s">
        <v>129</v>
      </c>
      <c r="B2" s="216"/>
      <c r="C2" s="216"/>
      <c r="D2" s="217" t="s">
        <v>2</v>
      </c>
      <c r="E2" s="217"/>
      <c r="G2" s="66" t="s">
        <v>135</v>
      </c>
      <c r="H2" s="33"/>
      <c r="I2" s="33"/>
      <c r="K2" s="70" t="s">
        <v>139</v>
      </c>
      <c r="L2" s="70"/>
      <c r="M2" s="70"/>
      <c r="N2" s="65"/>
      <c r="O2" s="65"/>
      <c r="P2" s="65"/>
      <c r="Q2" s="65"/>
      <c r="R2" s="65"/>
      <c r="S2" s="65"/>
      <c r="T2" s="74" t="s">
        <v>144</v>
      </c>
      <c r="U2" s="75"/>
      <c r="V2" s="74"/>
      <c r="W2" s="66" t="s">
        <v>147</v>
      </c>
      <c r="X2" s="33"/>
      <c r="Y2" s="33"/>
      <c r="Z2" s="33"/>
      <c r="AA2" s="33"/>
      <c r="AC2" s="83" t="s">
        <v>107</v>
      </c>
      <c r="AD2" s="34"/>
      <c r="AE2" s="34"/>
      <c r="AF2" s="84"/>
      <c r="AG2" s="84"/>
      <c r="AI2" s="88" t="s">
        <v>156</v>
      </c>
      <c r="AJ2" s="89"/>
      <c r="AK2" s="90"/>
      <c r="AL2" s="90"/>
      <c r="AM2" s="90"/>
      <c r="AN2" s="91"/>
      <c r="AO2" s="91"/>
      <c r="AP2" s="91"/>
      <c r="AR2" s="92" t="s">
        <v>64</v>
      </c>
      <c r="AS2" s="34"/>
      <c r="AT2" s="34"/>
      <c r="AU2" s="34"/>
      <c r="AV2" s="34"/>
      <c r="AW2" s="34"/>
      <c r="AX2" s="34"/>
      <c r="AY2" s="34"/>
      <c r="AZ2" s="34"/>
      <c r="BA2" s="34"/>
      <c r="BB2" s="34"/>
      <c r="BC2" s="34"/>
      <c r="BD2" s="34"/>
      <c r="BE2" s="34"/>
      <c r="BF2" s="34"/>
      <c r="BG2" s="84"/>
      <c r="BH2" s="84"/>
      <c r="BJ2" s="97" t="s">
        <v>177</v>
      </c>
      <c r="BK2" s="98"/>
      <c r="BL2" s="98"/>
      <c r="BM2" s="98"/>
      <c r="BN2" s="98"/>
      <c r="BP2" s="100" t="s">
        <v>182</v>
      </c>
      <c r="BQ2" s="101"/>
      <c r="BR2" s="101"/>
      <c r="BT2" s="97" t="s">
        <v>135</v>
      </c>
      <c r="BU2" s="97"/>
      <c r="BV2" s="97"/>
      <c r="BX2" s="97" t="s">
        <v>35</v>
      </c>
      <c r="BZ2" s="97" t="s">
        <v>183</v>
      </c>
      <c r="CA2" s="102"/>
      <c r="CB2" s="102"/>
      <c r="CD2" s="46">
        <f>SUMPRODUCT(BZ5:BZ$605, $I5:$I$605)</f>
        <v>1672.14035977202</v>
      </c>
      <c r="CE2" s="46">
        <f>SUMPRODUCT(CA5:CA$605, $I5:$I$605)</f>
        <v>1244.0724276703822</v>
      </c>
      <c r="CF2" s="46">
        <f>SUMPRODUCT(CB5:CB$605, $I5:$I$605)</f>
        <v>1244.0724276703822</v>
      </c>
      <c r="CH2" s="92" t="s">
        <v>194</v>
      </c>
      <c r="CI2" s="34"/>
    </row>
    <row r="3" spans="1:92" x14ac:dyDescent="0.25">
      <c r="G3" t="str">
        <f>Pol_Country</f>
        <v>P</v>
      </c>
      <c r="K3" t="str">
        <f>Pol_Country&amp;Pol_Sex</f>
        <v>PF</v>
      </c>
      <c r="N3" s="73"/>
      <c r="V3" t="s">
        <v>145</v>
      </c>
      <c r="W3" s="32" t="s">
        <v>150</v>
      </c>
      <c r="Z3" s="32" t="s">
        <v>145</v>
      </c>
      <c r="AA3" s="32" t="s">
        <v>145</v>
      </c>
      <c r="AC3" s="44" t="s">
        <v>150</v>
      </c>
      <c r="AD3" s="32" t="s">
        <v>150</v>
      </c>
      <c r="AE3" s="32" t="s">
        <v>150</v>
      </c>
      <c r="AF3" s="44"/>
      <c r="AG3" s="44"/>
      <c r="AK3" s="32" t="s">
        <v>145</v>
      </c>
      <c r="AL3" s="32" t="s">
        <v>145</v>
      </c>
      <c r="AM3" s="32" t="s">
        <v>145</v>
      </c>
      <c r="AN3" s="32" t="s">
        <v>145</v>
      </c>
      <c r="AR3" s="32"/>
      <c r="AS3" s="32"/>
      <c r="AT3" s="32" t="s">
        <v>150</v>
      </c>
      <c r="AU3" s="32" t="s">
        <v>150</v>
      </c>
      <c r="AV3" s="32" t="s">
        <v>150</v>
      </c>
      <c r="AW3" s="32" t="s">
        <v>150</v>
      </c>
      <c r="AX3" s="32" t="s">
        <v>145</v>
      </c>
      <c r="AY3" s="32" t="s">
        <v>145</v>
      </c>
      <c r="AZ3" s="32" t="s">
        <v>145</v>
      </c>
      <c r="BA3" s="32" t="s">
        <v>150</v>
      </c>
      <c r="BB3" s="32" t="s">
        <v>145</v>
      </c>
      <c r="BC3" s="32" t="s">
        <v>150</v>
      </c>
      <c r="BD3" s="32" t="s">
        <v>145</v>
      </c>
      <c r="BE3" s="32" t="s">
        <v>150</v>
      </c>
      <c r="BF3" s="32" t="s">
        <v>145</v>
      </c>
      <c r="BG3" s="44"/>
      <c r="BH3" s="44"/>
      <c r="BT3" s="32" t="s">
        <v>145</v>
      </c>
      <c r="BU3" s="32" t="s">
        <v>145</v>
      </c>
      <c r="CK3" s="47">
        <v>0.03</v>
      </c>
      <c r="CL3" s="47">
        <v>0.05</v>
      </c>
      <c r="CM3" s="47">
        <v>0.1</v>
      </c>
      <c r="CN3" s="47">
        <f>Hurdle</f>
        <v>0.1</v>
      </c>
    </row>
    <row r="4" spans="1:92" s="3" customFormat="1" x14ac:dyDescent="0.25">
      <c r="A4" s="59" t="s">
        <v>130</v>
      </c>
      <c r="B4" s="59" t="s">
        <v>131</v>
      </c>
      <c r="C4" s="60" t="s">
        <v>25</v>
      </c>
      <c r="D4" s="27" t="s">
        <v>2</v>
      </c>
      <c r="E4" s="63" t="s">
        <v>132</v>
      </c>
      <c r="G4" s="37" t="s">
        <v>136</v>
      </c>
      <c r="H4" s="37" t="s">
        <v>138</v>
      </c>
      <c r="I4" s="37" t="s">
        <v>137</v>
      </c>
      <c r="K4" s="71" t="s">
        <v>140</v>
      </c>
      <c r="L4" s="71" t="s">
        <v>7</v>
      </c>
      <c r="M4" s="71" t="s">
        <v>141</v>
      </c>
      <c r="N4" s="72" t="s">
        <v>39</v>
      </c>
      <c r="O4" s="71" t="s">
        <v>7</v>
      </c>
      <c r="P4" s="71" t="s">
        <v>142</v>
      </c>
      <c r="Q4" s="72" t="s">
        <v>143</v>
      </c>
      <c r="R4" s="71" t="s">
        <v>7</v>
      </c>
      <c r="S4" s="71" t="s">
        <v>146</v>
      </c>
      <c r="T4" s="72" t="s">
        <v>140</v>
      </c>
      <c r="U4" s="71" t="s">
        <v>39</v>
      </c>
      <c r="V4" s="71" t="s">
        <v>143</v>
      </c>
      <c r="W4" s="56" t="s">
        <v>148</v>
      </c>
      <c r="X4" s="37" t="s">
        <v>140</v>
      </c>
      <c r="Y4" s="37" t="s">
        <v>39</v>
      </c>
      <c r="Z4" s="37" t="s">
        <v>143</v>
      </c>
      <c r="AA4" s="37" t="s">
        <v>149</v>
      </c>
      <c r="AC4" s="85" t="s">
        <v>151</v>
      </c>
      <c r="AD4" s="72" t="s">
        <v>152</v>
      </c>
      <c r="AE4" s="37" t="s">
        <v>153</v>
      </c>
      <c r="AF4" s="86" t="s">
        <v>154</v>
      </c>
      <c r="AG4" s="87" t="s">
        <v>155</v>
      </c>
      <c r="AI4" s="71" t="s">
        <v>157</v>
      </c>
      <c r="AJ4" s="85" t="s">
        <v>158</v>
      </c>
      <c r="AK4" s="56" t="s">
        <v>159</v>
      </c>
      <c r="AL4" s="37" t="s">
        <v>160</v>
      </c>
      <c r="AM4" s="72" t="s">
        <v>161</v>
      </c>
      <c r="AN4" s="37" t="s">
        <v>162</v>
      </c>
      <c r="AO4" s="86" t="s">
        <v>163</v>
      </c>
      <c r="AP4" s="87" t="s">
        <v>164</v>
      </c>
      <c r="AR4" s="71" t="s">
        <v>165</v>
      </c>
      <c r="AS4" s="71" t="s">
        <v>105</v>
      </c>
      <c r="AT4" s="37" t="s">
        <v>166</v>
      </c>
      <c r="AU4" s="72" t="s">
        <v>167</v>
      </c>
      <c r="AV4" s="71" t="s">
        <v>7</v>
      </c>
      <c r="AW4" s="71" t="str">
        <f>AU4 &amp; "_pad"</f>
        <v>Main_exp_pad</v>
      </c>
      <c r="AX4" s="72" t="s">
        <v>168</v>
      </c>
      <c r="AY4" s="71" t="s">
        <v>7</v>
      </c>
      <c r="AZ4" s="71" t="str">
        <f>AX4 &amp; "_pad"</f>
        <v>Claims_exp_pad</v>
      </c>
      <c r="BA4" s="56" t="s">
        <v>169</v>
      </c>
      <c r="BB4" s="37" t="s">
        <v>170</v>
      </c>
      <c r="BC4" s="72" t="s">
        <v>171</v>
      </c>
      <c r="BD4" s="71" t="s">
        <v>172</v>
      </c>
      <c r="BE4" s="37" t="s">
        <v>173</v>
      </c>
      <c r="BF4" s="37" t="s">
        <v>174</v>
      </c>
      <c r="BG4" s="86" t="s">
        <v>175</v>
      </c>
      <c r="BH4" s="87" t="s">
        <v>176</v>
      </c>
      <c r="BJ4" s="87" t="s">
        <v>178</v>
      </c>
      <c r="BK4" s="87" t="s">
        <v>179</v>
      </c>
      <c r="BL4" s="99"/>
      <c r="BM4" s="85" t="s">
        <v>180</v>
      </c>
      <c r="BN4" s="87" t="s">
        <v>181</v>
      </c>
      <c r="BP4" s="71" t="s">
        <v>196</v>
      </c>
      <c r="BQ4" s="37" t="s">
        <v>189</v>
      </c>
      <c r="BR4" s="103" t="s">
        <v>190</v>
      </c>
      <c r="BT4" s="71" t="s">
        <v>184</v>
      </c>
      <c r="BU4" s="37" t="s">
        <v>135</v>
      </c>
      <c r="BV4" s="37" t="s">
        <v>185</v>
      </c>
      <c r="BX4" s="37" t="s">
        <v>35</v>
      </c>
      <c r="BZ4" s="37" t="s">
        <v>186</v>
      </c>
      <c r="CA4" s="37" t="s">
        <v>187</v>
      </c>
      <c r="CB4" s="37" t="s">
        <v>188</v>
      </c>
      <c r="CD4" s="3" t="s">
        <v>191</v>
      </c>
      <c r="CE4" s="3" t="s">
        <v>192</v>
      </c>
      <c r="CF4" s="3" t="s">
        <v>193</v>
      </c>
      <c r="CH4" s="71" t="s">
        <v>225</v>
      </c>
      <c r="CI4" s="71" t="s">
        <v>195</v>
      </c>
      <c r="CK4" s="3" t="s">
        <v>197</v>
      </c>
      <c r="CL4" s="3" t="s">
        <v>197</v>
      </c>
      <c r="CM4" s="3" t="s">
        <v>197</v>
      </c>
      <c r="CN4" s="3" t="s">
        <v>197</v>
      </c>
    </row>
    <row r="5" spans="1:92" x14ac:dyDescent="0.25">
      <c r="A5" s="61">
        <v>0</v>
      </c>
      <c r="B5" s="32">
        <v>0</v>
      </c>
      <c r="C5" s="62">
        <v>0</v>
      </c>
      <c r="D5">
        <f>Pol_Entry_Age</f>
        <v>0.5</v>
      </c>
      <c r="E5" s="28">
        <f>INT(D5+0.001)</f>
        <v>0</v>
      </c>
      <c r="I5" s="67">
        <v>1</v>
      </c>
      <c r="J5" s="189">
        <f>SUM(I5:I250)/12</f>
        <v>14.277556772130716</v>
      </c>
      <c r="N5" s="2"/>
      <c r="Q5" s="2"/>
      <c r="T5" s="2"/>
      <c r="W5" s="2"/>
      <c r="AA5" s="67">
        <v>1</v>
      </c>
      <c r="AC5" s="46"/>
      <c r="AD5" s="15"/>
      <c r="AE5" s="46"/>
      <c r="AF5" s="15"/>
      <c r="AG5" s="46">
        <f>SUMPRODUCT(AE6:AE$605, $I5:$I$604) / $I5</f>
        <v>9306</v>
      </c>
      <c r="AI5" s="79"/>
      <c r="AJ5" s="79"/>
      <c r="AK5" s="24"/>
      <c r="AL5" s="79"/>
      <c r="AM5" s="24"/>
      <c r="AN5" s="79"/>
      <c r="AO5" s="15"/>
      <c r="AP5" s="46">
        <f>SUMPRODUCT(AN6:AN$605, $I6:$I$605) / $I5</f>
        <v>-6485.1879051209653</v>
      </c>
      <c r="AR5" s="46">
        <f>-Exp_Init</f>
        <v>0</v>
      </c>
      <c r="AS5" s="93">
        <f>-Exp_Comm</f>
        <v>-837.54</v>
      </c>
      <c r="AT5" s="93">
        <f>AS5</f>
        <v>-837.54</v>
      </c>
      <c r="AU5" s="2"/>
      <c r="AX5" s="2"/>
      <c r="BA5" s="2"/>
      <c r="BC5" s="2"/>
      <c r="BD5" s="64"/>
      <c r="BF5" s="94">
        <f>SUM(AR5, AT5)</f>
        <v>-837.54</v>
      </c>
      <c r="BG5" s="15"/>
      <c r="BH5" s="46">
        <f>(SUMPRODUCT(BE6:BE$605,$I5:$I$604)+SUMPRODUCT(BF6:BF$605,$I6:$I$605)) / $I5</f>
        <v>-311.13173510701387</v>
      </c>
      <c r="BJ5" s="46"/>
      <c r="BK5" s="46">
        <f>SUM(AN5,BF5)</f>
        <v>-837.54</v>
      </c>
      <c r="BM5" s="46"/>
      <c r="BN5" s="46">
        <f>MAX(BN6/(1+H6) - (BJ6 + BK6/(1+H6)),0)</f>
        <v>0</v>
      </c>
      <c r="BP5" s="46">
        <f>Reserve!BX5</f>
        <v>122.18380456832165</v>
      </c>
      <c r="BQ5" s="46">
        <f>BP5*AA5</f>
        <v>122.18380456832165</v>
      </c>
      <c r="BR5" s="104">
        <f>-BQ5</f>
        <v>-122.18380456832165</v>
      </c>
      <c r="BT5" s="46"/>
      <c r="BU5" s="46"/>
      <c r="BV5" s="46">
        <f>SUMPRODUCT(BU6:BU$605, $I6:$I$605) / $I5</f>
        <v>3672.0899011412298</v>
      </c>
      <c r="BX5" s="46">
        <f>-BZ5*Others!$Q$43</f>
        <v>245.68929396949034</v>
      </c>
      <c r="BZ5" s="46">
        <f t="shared" ref="BZ5:BZ68" si="0">SUM(BJ5,BK5,BR5,BU5)</f>
        <v>-959.72380456832161</v>
      </c>
      <c r="CA5" s="46">
        <f>BZ5+BX5</f>
        <v>-714.03451059883128</v>
      </c>
      <c r="CB5" s="46">
        <f>CA5</f>
        <v>-714.03451059883128</v>
      </c>
      <c r="CD5" s="46">
        <f>SUMPRODUCT(BZ6:BZ$605, $I6:$I$605) / $I5</f>
        <v>2631.8641643403453</v>
      </c>
      <c r="CE5" s="46">
        <f>SUMPRODUCT(CA6:CA$605, $I6:$I$605) / $I5</f>
        <v>1958.1069382692135</v>
      </c>
      <c r="CF5" s="46">
        <f>SUMPRODUCT(CB6:CB$605, $I6:$I$605) / $I5</f>
        <v>1958.1069382692135</v>
      </c>
    </row>
    <row r="6" spans="1:92" x14ac:dyDescent="0.25">
      <c r="A6" s="61">
        <f t="shared" ref="A6:A69" si="1">A5+1/12</f>
        <v>8.3333333333333329E-2</v>
      </c>
      <c r="B6" s="32">
        <f>IF(B5=12,1,B5+1)</f>
        <v>1</v>
      </c>
      <c r="C6" s="62">
        <v>1</v>
      </c>
      <c r="D6" s="64">
        <f>$D$5+A6</f>
        <v>0.58333333333333337</v>
      </c>
      <c r="E6" s="28">
        <f t="shared" ref="E6:E69" si="2">INT(D6+0.001)</f>
        <v>0</v>
      </c>
      <c r="G6" s="68">
        <f>INDEX(Others!$D$11:$E$60, MATCH(C6, Others!$A$11:$A$60, 0), MATCH(G$3, Others!$D$10:$E$10, 0))</f>
        <v>2.6290909090909097E-2</v>
      </c>
      <c r="H6" s="16">
        <f>(1+G6)^(1/12) - 1</f>
        <v>2.1649437542921035E-3</v>
      </c>
      <c r="I6" s="69">
        <f>I5/(1+H6)</f>
        <v>0.99783973310203622</v>
      </c>
      <c r="K6" s="80">
        <f>INDEX(Mortality!$B$7:$F$32, MATCH( E6,Mortality!$A$7:$A$32, 0), MATCH( K$3,Mortality!$B$6:$F$6,0))</f>
        <v>0.33</v>
      </c>
      <c r="L6" s="11">
        <f t="shared" ref="L6:L69" si="3">PAD_Mort</f>
        <v>0</v>
      </c>
      <c r="M6" s="80">
        <f>IFERROR( K6*(1+L6), 0)</f>
        <v>0.33</v>
      </c>
      <c r="N6" s="76">
        <f>INDEX(Myopia!$H:$H, MATCH(E6, Myopia!$A:$A, 0)) * Trend_Factor^(A6)</f>
        <v>0</v>
      </c>
      <c r="O6" s="11">
        <f t="shared" ref="O6:O69" si="4">PAD_Incid</f>
        <v>0</v>
      </c>
      <c r="P6" s="80">
        <f>IFERROR( N6*(1+O6), 0)</f>
        <v>0</v>
      </c>
      <c r="Q6" s="76">
        <f>VLOOKUP(C6,Others!$L$10:$M$61,2)</f>
        <v>0</v>
      </c>
      <c r="R6" s="11">
        <f t="shared" ref="R6:R69" si="5">PAD_Laspe</f>
        <v>0</v>
      </c>
      <c r="S6" s="80">
        <f>IFERROR( Q6*(1+R6), 0)</f>
        <v>0</v>
      </c>
      <c r="T6" s="78">
        <f>(M6/1000)/12</f>
        <v>2.7500000000000001E-5</v>
      </c>
      <c r="U6" s="81">
        <f>(P6/1000)/12</f>
        <v>0</v>
      </c>
      <c r="V6" s="81">
        <f>(S6/1000)/12</f>
        <v>0</v>
      </c>
      <c r="W6" s="77">
        <f t="shared" ref="W6:W69" si="6">IF(E6&gt;Mat_Year, 0, AA5)</f>
        <v>1</v>
      </c>
      <c r="X6" s="82">
        <f>W6 * (T6)*(1-U6/2)</f>
        <v>2.7500000000000001E-5</v>
      </c>
      <c r="Y6" s="82">
        <f>W6 * (1-T6/2)*(U6)</f>
        <v>0</v>
      </c>
      <c r="Z6" s="82">
        <f>W6 * (1-T6)*(1-U6)*(V6)</f>
        <v>0</v>
      </c>
      <c r="AA6" s="82">
        <f>W6-SUM(X6:Z6)</f>
        <v>0.99997250000000004</v>
      </c>
      <c r="AC6" s="46">
        <f t="shared" ref="AC6:AC69" si="7">IF(C6&gt;Prem_Term,0,Ann_Prem)</f>
        <v>465.3</v>
      </c>
      <c r="AD6" s="104">
        <f>IF(Prem_Mode="single", Parameters!$C$28,
IF(Prem_Mode="Mth", AC6/12,
IF(B6=1, AC6, 0)))</f>
        <v>9306</v>
      </c>
      <c r="AE6" s="46">
        <f>AD6*$W6</f>
        <v>9306</v>
      </c>
      <c r="AF6" s="15">
        <f>IF($W6 = 0, 0, AG6/$W6)</f>
        <v>0</v>
      </c>
      <c r="AG6" s="46">
        <f>SUMPRODUCT(AE7:AE$605, $I6:$I$604) / $I6</f>
        <v>0</v>
      </c>
      <c r="AI6" s="46">
        <f t="shared" ref="AI6:AI69" si="8">IF(E6&gt;Mat_Year,0, -Sum_Assured)</f>
        <v>-47000</v>
      </c>
      <c r="AJ6" s="46">
        <f>IF(E6&gt;Mat_Year,0,  -SUM($AD$5:AD6))</f>
        <v>-9306</v>
      </c>
      <c r="AK6" s="24">
        <f>AJ6*X6</f>
        <v>-0.255915</v>
      </c>
      <c r="AL6" s="79">
        <f>AI6*Y6</f>
        <v>0</v>
      </c>
      <c r="AM6" s="24">
        <f>IF($W6 = 0, 0, AN6/$W6)</f>
        <v>-0.255915</v>
      </c>
      <c r="AN6" s="79">
        <f>SUM(AK6:AL6)</f>
        <v>-0.255915</v>
      </c>
      <c r="AO6" s="15">
        <f>IF($W6 = 0, 0, AP6/$W6)</f>
        <v>-6498.9720571715679</v>
      </c>
      <c r="AP6" s="46">
        <f>SUMPRODUCT(AN7:AN$605, $I7:$I$605) / $I6</f>
        <v>-6498.9720571715679</v>
      </c>
      <c r="AR6" s="46">
        <v>0</v>
      </c>
      <c r="AS6" s="46">
        <v>0</v>
      </c>
      <c r="AT6" s="46">
        <v>0</v>
      </c>
      <c r="AU6" s="95">
        <f t="shared" ref="AU6:AU69" si="9">IF(E6&gt;Mat_Year,0,
-Exp_Main/12 * (1+Exp_Main_Infl)^(A5))</f>
        <v>-1.7448750000000002</v>
      </c>
      <c r="AV6" s="47">
        <f t="shared" ref="AV6:AV69" si="10">PAD_Exp_Main</f>
        <v>0</v>
      </c>
      <c r="AW6" s="96">
        <f>AU6*(1+AV6)</f>
        <v>-1.7448750000000002</v>
      </c>
      <c r="AX6" s="95">
        <f t="shared" ref="AX6:AX69" si="11">IF(E6&gt;Mat_Year,0,
-Exp_Claim* (1+Exp_Main_Infl)^(A5))</f>
        <v>-20.007899999999999</v>
      </c>
      <c r="AY6" s="11">
        <f t="shared" ref="AY6:AY69" si="12">PAD_Exp_Claim</f>
        <v>0</v>
      </c>
      <c r="AZ6" s="96">
        <f>AX6*(1+AY6)</f>
        <v>-20.007899999999999</v>
      </c>
      <c r="BA6" s="95">
        <f>AW6*$W6</f>
        <v>-1.7448750000000002</v>
      </c>
      <c r="BB6" s="64">
        <f>AZ6*SUM(X6:Y6)</f>
        <v>-5.5021724999999996E-4</v>
      </c>
      <c r="BC6" s="95">
        <f>IF($W6 = 0, 0, BE6/$W6)</f>
        <v>-1.7448750000000002</v>
      </c>
      <c r="BD6" s="96">
        <f>IF($W6 = 0, 0, BF6/$W6)</f>
        <v>-5.5021724999999996E-4</v>
      </c>
      <c r="BE6" s="96">
        <f>SUM(AT6,BA6)</f>
        <v>-1.7448750000000002</v>
      </c>
      <c r="BF6" s="96">
        <f>SUM(BB6)</f>
        <v>-5.5021724999999996E-4</v>
      </c>
      <c r="BG6" s="15">
        <f>IF($W6 = 0, 0, BH6/$W6)</f>
        <v>-310.0561150402126</v>
      </c>
      <c r="BH6" s="46">
        <f>(SUMPRODUCT(BE7:BE$605,$I6:$I$604)+SUMPRODUCT(BF7:BF$605,$I7:$I$605)) / $I6</f>
        <v>-310.0561150402126</v>
      </c>
      <c r="BJ6" s="46">
        <f>SUM(AE6,BE6)</f>
        <v>9304.2551249999997</v>
      </c>
      <c r="BK6" s="46">
        <f>SUM(AN6,BF6)</f>
        <v>-0.25646521724999999</v>
      </c>
      <c r="BM6" s="49">
        <f>IF($W6 = 0, 0, BN6/$AA6)</f>
        <v>6809.2154256359809</v>
      </c>
      <c r="BN6" s="46">
        <f>MAX(BN7/(1+H7) - (BJ7 + BK7/(1+H7)),0)</f>
        <v>6809.0281722117761</v>
      </c>
      <c r="BP6" s="46">
        <f>Reserve!BX6</f>
        <v>9441.6188573885702</v>
      </c>
      <c r="BQ6" s="46">
        <f t="shared" ref="BQ6:BQ69" si="13">BP6*AA6</f>
        <v>9441.3592128699929</v>
      </c>
      <c r="BR6" s="15">
        <f>BQ5-BQ6</f>
        <v>-9319.1754083016713</v>
      </c>
      <c r="BT6" s="49">
        <f>IF($W6 = 0, 0, BU6/$W6)</f>
        <v>20.407710085784878</v>
      </c>
      <c r="BU6" s="46">
        <f>SUM(BJ6,BQ5)*H6</f>
        <v>20.407710085784878</v>
      </c>
      <c r="BV6" s="46">
        <f>SUMPRODUCT(BU7:BU$605, $I7:$I$605) / $I6</f>
        <v>3659.6320591521203</v>
      </c>
      <c r="BX6" s="46">
        <f>-BZ6*Others!$Q$43</f>
        <v>-1.3391261611171121</v>
      </c>
      <c r="BZ6" s="50">
        <f>SUM(BJ6,BK6,BR6,BU6)</f>
        <v>5.2309615668637193</v>
      </c>
      <c r="CA6" s="46">
        <f>BZ6+BX6</f>
        <v>3.8918354057466074</v>
      </c>
      <c r="CB6" s="46">
        <f t="shared" ref="CB6:CB69" si="14">CA6</f>
        <v>3.8918354057466074</v>
      </c>
      <c r="CD6" s="46">
        <f>SUMPRODUCT(BZ7:BZ$605, $I7:$I$605) / $I6</f>
        <v>2632.3310406582159</v>
      </c>
      <c r="CE6" s="46">
        <f>SUMPRODUCT(CA7:CA$605, $I7:$I$605) / $I6</f>
        <v>1958.4542942497085</v>
      </c>
      <c r="CF6" s="46">
        <f>SUMPRODUCT(CB7:CB$605, $I7:$I$605) / $I6</f>
        <v>1958.4542942497085</v>
      </c>
      <c r="CH6" s="46">
        <f t="shared" ref="CH6:CH69" si="15">IF(E7&gt;Mat_Year, 0, MAX(0, -AI6-$BP6))</f>
        <v>37558.381142611426</v>
      </c>
      <c r="CI6" s="46">
        <f t="shared" ref="CI6:CI69" si="16">IF(E7&gt;Mat_Year, 0, MAX(0, -AJ6-$BP6))</f>
        <v>0</v>
      </c>
      <c r="CK6" s="46">
        <f>NPV((1+CK$3)^(1/12)-1,$CB$6:$CB6)+$CB$5</f>
        <v>-710.152249895306</v>
      </c>
      <c r="CL6" s="46">
        <f>NPV((1+CL$3)^(1/12)-1,$CB$6:$CB6)+$CB$5</f>
        <v>-710.15846667581786</v>
      </c>
      <c r="CM6" s="46">
        <f>NPV((1+CM$3)^(1/12)-1,$CB$6:$CB6)+$CB$5</f>
        <v>-710.17346372307452</v>
      </c>
      <c r="CN6" s="46">
        <f>NPV((1+CN$3)^(1/12)-1,$CB$6:$CB6)+$CB$5</f>
        <v>-710.17346372307452</v>
      </c>
    </row>
    <row r="7" spans="1:92" x14ac:dyDescent="0.25">
      <c r="A7" s="61">
        <f t="shared" si="1"/>
        <v>0.16666666666666666</v>
      </c>
      <c r="B7" s="32">
        <f>IF(B6=12,1,B6+1)</f>
        <v>2</v>
      </c>
      <c r="C7" s="62">
        <f t="shared" ref="C7:C70" si="17">IF(B6=12,C6+1,C6)</f>
        <v>1</v>
      </c>
      <c r="D7" s="64">
        <f t="shared" ref="D7:D70" si="18">$D$5+A7</f>
        <v>0.66666666666666663</v>
      </c>
      <c r="E7" s="28">
        <f t="shared" si="2"/>
        <v>0</v>
      </c>
      <c r="G7" s="68">
        <f>INDEX(Others!$D$11:$E$60, MATCH(C7, Others!$A$11:$A$60, 0), MATCH(G$3, Others!$D$10:$E$10, 0))</f>
        <v>2.6290909090909097E-2</v>
      </c>
      <c r="H7" s="16">
        <f t="shared" ref="H7:H9" si="19">(1+G7)^(1/12) - 1</f>
        <v>2.1649437542921035E-3</v>
      </c>
      <c r="I7" s="69">
        <f t="shared" ref="I7:I9" si="20">I6/(1+H7)</f>
        <v>0.99568413295714286</v>
      </c>
      <c r="K7" s="80">
        <f>INDEX(Mortality!$B$7:$F$32, MATCH( E7,Mortality!$A$7:$A$32, 0), MATCH( K$3,Mortality!$B$6:$F$6,0))</f>
        <v>0.33</v>
      </c>
      <c r="L7" s="11">
        <f t="shared" si="3"/>
        <v>0</v>
      </c>
      <c r="M7" s="80">
        <f t="shared" ref="M7:M70" si="21">IFERROR( K7*(1+L7), 0)</f>
        <v>0.33</v>
      </c>
      <c r="N7" s="76">
        <f>INDEX(Myopia!$H:$H, MATCH(E7, Myopia!$A:$A, 0)) * Trend_Factor^(A7)</f>
        <v>0</v>
      </c>
      <c r="O7" s="11">
        <f t="shared" si="4"/>
        <v>0</v>
      </c>
      <c r="P7" s="80">
        <f t="shared" ref="P7:P70" si="22">IFERROR( N7*(1+O7), 0)</f>
        <v>0</v>
      </c>
      <c r="Q7" s="76">
        <f>VLOOKUP(C7,Others!$L$10:$M$61,2)</f>
        <v>0</v>
      </c>
      <c r="R7" s="11">
        <f t="shared" si="5"/>
        <v>0</v>
      </c>
      <c r="S7" s="80">
        <f t="shared" ref="S7:S70" si="23">IFERROR( Q7*(1+R7), 0)</f>
        <v>0</v>
      </c>
      <c r="T7" s="78">
        <f t="shared" ref="T7:T70" si="24">(M7/1000)/12</f>
        <v>2.7500000000000001E-5</v>
      </c>
      <c r="U7" s="81">
        <f t="shared" ref="U7:U70" si="25">(P7/1000)/12</f>
        <v>0</v>
      </c>
      <c r="V7" s="81">
        <f t="shared" ref="V7:V70" si="26">(S7/1000)/12</f>
        <v>0</v>
      </c>
      <c r="W7" s="77">
        <f t="shared" si="6"/>
        <v>0.99997250000000004</v>
      </c>
      <c r="X7" s="82">
        <f t="shared" ref="X7:X70" si="27">W7 * (T7)*(1-U7/2)</f>
        <v>2.7499243750000001E-5</v>
      </c>
      <c r="Y7" s="82">
        <f t="shared" ref="Y7:Y70" si="28">W7 * (1-T7/2)*(U7)</f>
        <v>0</v>
      </c>
      <c r="Z7" s="82">
        <f t="shared" ref="Z7:Z70" si="29">W7 * (1-T7)*(1-U7)*(V7)</f>
        <v>0</v>
      </c>
      <c r="AA7" s="82">
        <f t="shared" ref="AA7:AA70" si="30">W7-SUM(X7:Z7)</f>
        <v>0.99994500075625004</v>
      </c>
      <c r="AC7" s="46">
        <f t="shared" si="7"/>
        <v>465.3</v>
      </c>
      <c r="AD7" s="15">
        <f t="shared" ref="AD7:AD69" si="31">IF(Prem_Mode="Mth",AC7/12,
IF(B7=1, AC7, 0))</f>
        <v>0</v>
      </c>
      <c r="AE7" s="46">
        <f t="shared" ref="AE7:AE70" si="32">AD7*$W7</f>
        <v>0</v>
      </c>
      <c r="AF7" s="15">
        <f t="shared" ref="AF7:AF70" si="33">IF($W7 = 0, 0, AG7/$W7)</f>
        <v>0</v>
      </c>
      <c r="AG7" s="46">
        <f>SUMPRODUCT(AE8:AE$605, $I7:$I$604) / $I7</f>
        <v>0</v>
      </c>
      <c r="AI7" s="46">
        <f t="shared" si="8"/>
        <v>-47000</v>
      </c>
      <c r="AJ7" s="46">
        <f>IF(E7&gt;Mat_Year,0,  -SUM($AD$5:AD7))</f>
        <v>-9306</v>
      </c>
      <c r="AK7" s="24">
        <f t="shared" ref="AK7:AK70" si="34">AJ7*X7</f>
        <v>-0.25590796233750002</v>
      </c>
      <c r="AL7" s="79">
        <f t="shared" ref="AL7:AL70" si="35">AI7*Y7</f>
        <v>0</v>
      </c>
      <c r="AM7" s="24">
        <f t="shared" ref="AM7:AM70" si="36">IF($W7 = 0, 0, AN7/$W7)</f>
        <v>-0.255915</v>
      </c>
      <c r="AN7" s="79">
        <f t="shared" ref="AN7:AN70" si="37">SUM(AK7:AL7)</f>
        <v>-0.25590796233750002</v>
      </c>
      <c r="AO7" s="15">
        <f t="shared" ref="AO7:AO70" si="38">IF($W7 = 0, 0, AP7/$W7)</f>
        <v>-6512.9651647157525</v>
      </c>
      <c r="AP7" s="46">
        <f>SUMPRODUCT(AN8:AN$605, $I8:$I$605) / $I7</f>
        <v>-6512.7860581737232</v>
      </c>
      <c r="AR7" s="46">
        <v>0</v>
      </c>
      <c r="AS7" s="46">
        <v>0</v>
      </c>
      <c r="AT7" s="46">
        <v>0</v>
      </c>
      <c r="AU7" s="95">
        <f t="shared" si="9"/>
        <v>-1.7468259421476999</v>
      </c>
      <c r="AV7" s="47">
        <f t="shared" si="10"/>
        <v>0</v>
      </c>
      <c r="AW7" s="96">
        <f t="shared" ref="AW7:AW11" si="39">AU7*(1+AV7)</f>
        <v>-1.7468259421476999</v>
      </c>
      <c r="AX7" s="95">
        <f t="shared" si="11"/>
        <v>-20.030270803293625</v>
      </c>
      <c r="AY7" s="11">
        <f t="shared" si="12"/>
        <v>0</v>
      </c>
      <c r="AZ7" s="96">
        <f t="shared" ref="AZ7:AZ11" si="40">AX7*(1+AY7)</f>
        <v>-20.030270803293625</v>
      </c>
      <c r="BA7" s="95">
        <f t="shared" ref="BA7:BA11" si="41">AW7*$W7</f>
        <v>-1.746777904434291</v>
      </c>
      <c r="BB7" s="64">
        <f t="shared" ref="BB7:BB11" si="42">AZ7*SUM(X7:Y7)</f>
        <v>-5.5081729919827975E-4</v>
      </c>
      <c r="BC7" s="95">
        <f t="shared" ref="BC7:BC11" si="43">IF($W7 = 0, 0, BE7/$W7)</f>
        <v>-1.7468259421476999</v>
      </c>
      <c r="BD7" s="96">
        <f t="shared" ref="BD7:BD11" si="44">IF($W7 = 0, 0, BF7/$W7)</f>
        <v>-5.5083244709057475E-4</v>
      </c>
      <c r="BE7" s="96">
        <f t="shared" ref="BE7:BE11" si="45">SUM(AT7,BA7)</f>
        <v>-1.746777904434291</v>
      </c>
      <c r="BF7" s="96">
        <f t="shared" ref="BF7:BF11" si="46">SUM(BB7)</f>
        <v>-5.5081729919827975E-4</v>
      </c>
      <c r="BG7" s="15">
        <f t="shared" ref="BG7:BG70" si="47">IF($W7 = 0, 0, BH7/$W7)</f>
        <v>-308.984755773085</v>
      </c>
      <c r="BH7" s="46">
        <f>(SUMPRODUCT(BE8:BE$605,$I7:$I$604)+SUMPRODUCT(BF8:BF$605,$I8:$I$605)) / $I7</f>
        <v>-308.97625869230126</v>
      </c>
      <c r="BJ7" s="46">
        <f t="shared" ref="BJ7:BJ26" si="48">SUM(AE7,BE7)</f>
        <v>-1.746777904434291</v>
      </c>
      <c r="BK7" s="46">
        <f t="shared" ref="BK7:BK26" si="49">SUM(AN7,BF7)</f>
        <v>-0.25645877963669828</v>
      </c>
      <c r="BM7" s="49">
        <f t="shared" ref="BM7:BM70" si="50">IF($W7 = 0, 0, BN7/$AA7)</f>
        <v>6822.1375292708872</v>
      </c>
      <c r="BN7" s="46">
        <f t="shared" ref="BN7:BN26" si="51">MAX(BN8/(1+H8) - (BJ8 + BK8/(1+H8)),0)</f>
        <v>6821.7623168660193</v>
      </c>
      <c r="BP7" s="46">
        <f>Reserve!BX7</f>
        <v>9455.0724886091903</v>
      </c>
      <c r="BQ7" s="46">
        <f t="shared" si="13"/>
        <v>9454.552466772715</v>
      </c>
      <c r="BR7" s="15">
        <f t="shared" ref="BR7:BR70" si="52">BQ6-BQ7</f>
        <v>-13.193253902722063</v>
      </c>
      <c r="BT7" s="49">
        <f t="shared" ref="BT7:BT70" si="53">IF($W7 = 0, 0, BU7/$W7)</f>
        <v>20.436791995796646</v>
      </c>
      <c r="BU7" s="46">
        <f t="shared" ref="BU7:BU69" si="54">SUM(BJ7,BQ6)*H7</f>
        <v>20.436229984016762</v>
      </c>
      <c r="BV7" s="46">
        <f>SUMPRODUCT(BU8:BU$605, $I8:$I$605) / $I7</f>
        <v>3647.1187267375717</v>
      </c>
      <c r="BX7" s="46">
        <f>-BZ7*Others!$Q$43</f>
        <v>-1.3413732856892697</v>
      </c>
      <c r="BZ7" s="50">
        <f>SUM(BJ7,BK7,BR7,BU7)</f>
        <v>5.2397393972237101</v>
      </c>
      <c r="CA7" s="46">
        <f t="shared" ref="CA7:CA70" si="55">BZ7+BX7</f>
        <v>3.8983661115344406</v>
      </c>
      <c r="CB7" s="46">
        <f t="shared" si="14"/>
        <v>3.8983661115344406</v>
      </c>
      <c r="CD7" s="46">
        <f>SUMPRODUCT(BZ8:BZ$605, $I8:$I$605) / $I7</f>
        <v>2632.7901499066943</v>
      </c>
      <c r="CE7" s="46">
        <f>SUMPRODUCT(CA8:CA$605, $I8:$I$605) / $I7</f>
        <v>1958.7958715305767</v>
      </c>
      <c r="CF7" s="46">
        <f>SUMPRODUCT(CB8:CB$605, $I8:$I$605) / $I7</f>
        <v>1958.7958715305767</v>
      </c>
      <c r="CH7" s="46">
        <f t="shared" si="15"/>
        <v>37544.927511390808</v>
      </c>
      <c r="CI7" s="46">
        <f t="shared" si="16"/>
        <v>0</v>
      </c>
      <c r="CK7" s="46">
        <f>NPV((1+CK$3)^(1/12)-1,$CB$6:$CB7)+$CB$5</f>
        <v>-706.27304172669665</v>
      </c>
      <c r="CL7" s="46">
        <f>NPV((1+CL$3)^(1/12)-1,$CB$6:$CB7)+$CB$5</f>
        <v>-706.29167234471129</v>
      </c>
      <c r="CM7" s="46">
        <f>NPV((1+CM$3)^(1/12)-1,$CB$6:$CB7)+$CB$5</f>
        <v>-706.3365340225605</v>
      </c>
      <c r="CN7" s="46">
        <f>NPV((1+CN$3)^(1/12)-1,$CB$6:$CB7)+$CB$5</f>
        <v>-706.3365340225605</v>
      </c>
    </row>
    <row r="8" spans="1:92" x14ac:dyDescent="0.25">
      <c r="A8" s="61">
        <f t="shared" si="1"/>
        <v>0.25</v>
      </c>
      <c r="B8" s="32">
        <f t="shared" ref="B8:B70" si="56">IF(B7=12,1,B7+1)</f>
        <v>3</v>
      </c>
      <c r="C8" s="62">
        <f t="shared" si="17"/>
        <v>1</v>
      </c>
      <c r="D8" s="64">
        <f t="shared" si="18"/>
        <v>0.75</v>
      </c>
      <c r="E8" s="28">
        <f t="shared" si="2"/>
        <v>0</v>
      </c>
      <c r="G8" s="68">
        <f>INDEX(Others!$D$11:$E$60, MATCH(C8, Others!$A$11:$A$60, 0), MATCH(G$3, Others!$D$10:$E$10, 0))</f>
        <v>2.6290909090909097E-2</v>
      </c>
      <c r="H8" s="16">
        <f t="shared" si="19"/>
        <v>2.1649437542921035E-3</v>
      </c>
      <c r="I8" s="69">
        <f t="shared" si="20"/>
        <v>0.9935331894838878</v>
      </c>
      <c r="K8" s="80">
        <f>INDEX(Mortality!$B$7:$F$32, MATCH( E8,Mortality!$A$7:$A$32, 0), MATCH( K$3,Mortality!$B$6:$F$6,0))</f>
        <v>0.33</v>
      </c>
      <c r="L8" s="11">
        <f t="shared" si="3"/>
        <v>0</v>
      </c>
      <c r="M8" s="80">
        <f t="shared" si="21"/>
        <v>0.33</v>
      </c>
      <c r="N8" s="76">
        <f>INDEX(Myopia!$H:$H, MATCH(E8, Myopia!$A:$A, 0)) * Trend_Factor^(A8)</f>
        <v>0</v>
      </c>
      <c r="O8" s="11">
        <f t="shared" si="4"/>
        <v>0</v>
      </c>
      <c r="P8" s="80">
        <f t="shared" si="22"/>
        <v>0</v>
      </c>
      <c r="Q8" s="76">
        <f>VLOOKUP(C8,Others!$L$10:$M$61,2)</f>
        <v>0</v>
      </c>
      <c r="R8" s="11">
        <f t="shared" si="5"/>
        <v>0</v>
      </c>
      <c r="S8" s="80">
        <f t="shared" si="23"/>
        <v>0</v>
      </c>
      <c r="T8" s="78">
        <f t="shared" si="24"/>
        <v>2.7500000000000001E-5</v>
      </c>
      <c r="U8" s="81">
        <f t="shared" si="25"/>
        <v>0</v>
      </c>
      <c r="V8" s="81">
        <f t="shared" si="26"/>
        <v>0</v>
      </c>
      <c r="W8" s="77">
        <f t="shared" si="6"/>
        <v>0.99994500075625004</v>
      </c>
      <c r="X8" s="82">
        <f t="shared" si="27"/>
        <v>2.7498487520796878E-5</v>
      </c>
      <c r="Y8" s="82">
        <f t="shared" si="28"/>
        <v>0</v>
      </c>
      <c r="Z8" s="82">
        <f t="shared" si="29"/>
        <v>0</v>
      </c>
      <c r="AA8" s="82">
        <f t="shared" si="30"/>
        <v>0.99991750226872922</v>
      </c>
      <c r="AC8" s="46">
        <f t="shared" si="7"/>
        <v>465.3</v>
      </c>
      <c r="AD8" s="15">
        <f t="shared" si="31"/>
        <v>0</v>
      </c>
      <c r="AE8" s="46">
        <f t="shared" si="32"/>
        <v>0</v>
      </c>
      <c r="AF8" s="15">
        <f t="shared" si="33"/>
        <v>0</v>
      </c>
      <c r="AG8" s="46">
        <f>SUMPRODUCT(AE9:AE$605, $I8:$I$604) / $I8</f>
        <v>0</v>
      </c>
      <c r="AI8" s="46">
        <f t="shared" si="8"/>
        <v>-47000</v>
      </c>
      <c r="AJ8" s="46">
        <f>IF(E8&gt;Mat_Year,0,  -SUM($AD$5:AD8))</f>
        <v>-9306</v>
      </c>
      <c r="AK8" s="24">
        <f t="shared" si="34"/>
        <v>-0.25590092486853577</v>
      </c>
      <c r="AL8" s="79">
        <f t="shared" si="35"/>
        <v>0</v>
      </c>
      <c r="AM8" s="24">
        <f t="shared" si="36"/>
        <v>-0.25591500000000006</v>
      </c>
      <c r="AN8" s="79">
        <f t="shared" si="37"/>
        <v>-0.25590092486853577</v>
      </c>
      <c r="AO8" s="15">
        <f t="shared" si="38"/>
        <v>-6526.9889522048743</v>
      </c>
      <c r="AP8" s="46">
        <f>SUMPRODUCT(AN9:AN$605, $I9:$I$605) / $I8</f>
        <v>-6526.6299727485384</v>
      </c>
      <c r="AR8" s="46">
        <v>0</v>
      </c>
      <c r="AS8" s="46">
        <v>0</v>
      </c>
      <c r="AT8" s="46">
        <v>0</v>
      </c>
      <c r="AU8" s="95">
        <f t="shared" si="9"/>
        <v>-1.7487790656409195</v>
      </c>
      <c r="AV8" s="47">
        <f t="shared" si="10"/>
        <v>0</v>
      </c>
      <c r="AW8" s="96">
        <f t="shared" si="39"/>
        <v>-1.7487790656409195</v>
      </c>
      <c r="AX8" s="95">
        <f t="shared" si="11"/>
        <v>-20.052666619349207</v>
      </c>
      <c r="AY8" s="11">
        <f t="shared" si="12"/>
        <v>0</v>
      </c>
      <c r="AZ8" s="96">
        <f t="shared" si="40"/>
        <v>-20.052666619349207</v>
      </c>
      <c r="BA8" s="95">
        <f t="shared" si="41"/>
        <v>-1.7486828841148234</v>
      </c>
      <c r="BB8" s="64">
        <f t="shared" si="42"/>
        <v>-5.5141800279087433E-4</v>
      </c>
      <c r="BC8" s="95">
        <f t="shared" si="43"/>
        <v>-1.7487790656409195</v>
      </c>
      <c r="BD8" s="96">
        <f t="shared" si="44"/>
        <v>-5.5144833203210326E-4</v>
      </c>
      <c r="BE8" s="96">
        <f t="shared" si="45"/>
        <v>-1.7486828841148234</v>
      </c>
      <c r="BF8" s="96">
        <f t="shared" si="46"/>
        <v>-5.5141800279087433E-4</v>
      </c>
      <c r="BG8" s="15">
        <f t="shared" si="47"/>
        <v>-307.90908957864639</v>
      </c>
      <c r="BH8" s="46">
        <f>(SUMPRODUCT(BE9:BE$605,$I8:$I$604)+SUMPRODUCT(BF9:BF$605,$I9:$I$605)) / $I8</f>
        <v>-307.89215481157584</v>
      </c>
      <c r="BJ8" s="46">
        <f t="shared" si="48"/>
        <v>-1.7486828841148234</v>
      </c>
      <c r="BK8" s="46">
        <f t="shared" si="49"/>
        <v>-0.25645234287132662</v>
      </c>
      <c r="BM8" s="49">
        <f t="shared" si="50"/>
        <v>6835.0860066486985</v>
      </c>
      <c r="BN8" s="46">
        <f t="shared" si="51"/>
        <v>6834.5221275601089</v>
      </c>
      <c r="BP8" s="46">
        <f>Reserve!BX8</f>
        <v>9468.5447218538611</v>
      </c>
      <c r="BQ8" s="46">
        <f t="shared" si="13"/>
        <v>9467.7635883958719</v>
      </c>
      <c r="BR8" s="15">
        <f t="shared" si="52"/>
        <v>-13.211121623156941</v>
      </c>
      <c r="BT8" s="49">
        <f t="shared" si="53"/>
        <v>20.465914122277763</v>
      </c>
      <c r="BU8" s="46">
        <f t="shared" si="54"/>
        <v>20.464788512478385</v>
      </c>
      <c r="BV8" s="46">
        <f>SUMPRODUCT(BU9:BU$605, $I9:$I$605) / $I8</f>
        <v>3634.5497451337055</v>
      </c>
      <c r="BX8" s="46">
        <f>-BZ8*Others!$Q$43</f>
        <v>-1.3436241055578353</v>
      </c>
      <c r="BZ8" s="50">
        <f t="shared" si="0"/>
        <v>5.248531662335294</v>
      </c>
      <c r="CA8" s="46">
        <f t="shared" si="55"/>
        <v>3.9049075567774585</v>
      </c>
      <c r="CB8" s="46">
        <f t="shared" si="14"/>
        <v>3.9049075567774585</v>
      </c>
      <c r="CD8" s="46">
        <f>SUMPRODUCT(BZ9:BZ$605, $I9:$I$605) / $I8</f>
        <v>2633.2414608357608</v>
      </c>
      <c r="CE8" s="46">
        <f>SUMPRODUCT(CA9:CA$605, $I9:$I$605) / $I8</f>
        <v>1959.1316468618024</v>
      </c>
      <c r="CF8" s="46">
        <f>SUMPRODUCT(CB9:CB$605, $I9:$I$605) / $I8</f>
        <v>1959.1316468618024</v>
      </c>
      <c r="CH8" s="46">
        <f t="shared" si="15"/>
        <v>37531.455278146139</v>
      </c>
      <c r="CI8" s="46">
        <f t="shared" si="16"/>
        <v>0</v>
      </c>
      <c r="CK8" s="46">
        <f>NPV((1+CK$3)^(1/12)-1,$CB$6:$CB8)+$CB$5</f>
        <v>-702.3968839106625</v>
      </c>
      <c r="CL8" s="46">
        <f>NPV((1+CL$3)^(1/12)-1,$CB$6:$CB8)+$CB$5</f>
        <v>-702.43410574951565</v>
      </c>
      <c r="CM8" s="46">
        <f>NPV((1+CM$3)^(1/12)-1,$CB$6:$CB8)+$CB$5</f>
        <v>-702.52357106893726</v>
      </c>
      <c r="CN8" s="46">
        <f>NPV((1+CN$3)^(1/12)-1,$CB$6:$CB8)+$CB$5</f>
        <v>-702.52357106893726</v>
      </c>
    </row>
    <row r="9" spans="1:92" x14ac:dyDescent="0.25">
      <c r="A9" s="61">
        <f t="shared" si="1"/>
        <v>0.33333333333333331</v>
      </c>
      <c r="B9" s="32">
        <f t="shared" si="56"/>
        <v>4</v>
      </c>
      <c r="C9" s="62">
        <f t="shared" si="17"/>
        <v>1</v>
      </c>
      <c r="D9" s="64">
        <f t="shared" si="18"/>
        <v>0.83333333333333326</v>
      </c>
      <c r="E9" s="28">
        <f t="shared" si="2"/>
        <v>0</v>
      </c>
      <c r="G9" s="68">
        <f>INDEX(Others!$D$11:$E$60, MATCH(C9, Others!$A$11:$A$60, 0), MATCH(G$3, Others!$D$10:$E$10, 0))</f>
        <v>2.6290909090909097E-2</v>
      </c>
      <c r="H9" s="16">
        <f t="shared" si="19"/>
        <v>2.1649437542921035E-3</v>
      </c>
      <c r="I9" s="69">
        <f t="shared" si="20"/>
        <v>0.99138689262261737</v>
      </c>
      <c r="K9" s="80">
        <f>INDEX(Mortality!$B$7:$F$32, MATCH( E9,Mortality!$A$7:$A$32, 0), MATCH( K$3,Mortality!$B$6:$F$6,0))</f>
        <v>0.33</v>
      </c>
      <c r="L9" s="11">
        <f t="shared" si="3"/>
        <v>0</v>
      </c>
      <c r="M9" s="80">
        <f t="shared" si="21"/>
        <v>0.33</v>
      </c>
      <c r="N9" s="76">
        <f>INDEX(Myopia!$H:$H, MATCH(E9, Myopia!$A:$A, 0)) * Trend_Factor^(A9)</f>
        <v>0</v>
      </c>
      <c r="O9" s="11">
        <f t="shared" si="4"/>
        <v>0</v>
      </c>
      <c r="P9" s="80">
        <f t="shared" si="22"/>
        <v>0</v>
      </c>
      <c r="Q9" s="76">
        <f>VLOOKUP(C9,Others!$L$10:$M$61,2)</f>
        <v>0</v>
      </c>
      <c r="R9" s="11">
        <f t="shared" si="5"/>
        <v>0</v>
      </c>
      <c r="S9" s="80">
        <f t="shared" si="23"/>
        <v>0</v>
      </c>
      <c r="T9" s="78">
        <f t="shared" si="24"/>
        <v>2.7500000000000001E-5</v>
      </c>
      <c r="U9" s="81">
        <f t="shared" si="25"/>
        <v>0</v>
      </c>
      <c r="V9" s="81">
        <f t="shared" si="26"/>
        <v>0</v>
      </c>
      <c r="W9" s="77">
        <f t="shared" si="6"/>
        <v>0.99991750226872922</v>
      </c>
      <c r="X9" s="82">
        <f t="shared" si="27"/>
        <v>2.7497731312390055E-5</v>
      </c>
      <c r="Y9" s="82">
        <f t="shared" si="28"/>
        <v>0</v>
      </c>
      <c r="Z9" s="82">
        <f t="shared" si="29"/>
        <v>0</v>
      </c>
      <c r="AA9" s="82">
        <f t="shared" si="30"/>
        <v>0.99989000453741683</v>
      </c>
      <c r="AC9" s="46">
        <f t="shared" si="7"/>
        <v>465.3</v>
      </c>
      <c r="AD9" s="15">
        <f t="shared" si="31"/>
        <v>0</v>
      </c>
      <c r="AE9" s="46">
        <f t="shared" si="32"/>
        <v>0</v>
      </c>
      <c r="AF9" s="15">
        <f t="shared" si="33"/>
        <v>0</v>
      </c>
      <c r="AG9" s="46">
        <f>SUMPRODUCT(AE10:AE$605, $I9:$I$604) / $I9</f>
        <v>0</v>
      </c>
      <c r="AI9" s="46">
        <f t="shared" si="8"/>
        <v>-47000</v>
      </c>
      <c r="AJ9" s="46">
        <f>IF(E9&gt;Mat_Year,0,  -SUM($AD$5:AD9))</f>
        <v>-9306</v>
      </c>
      <c r="AK9" s="24">
        <f t="shared" si="34"/>
        <v>-0.25589388759310183</v>
      </c>
      <c r="AL9" s="79">
        <f t="shared" si="35"/>
        <v>0</v>
      </c>
      <c r="AM9" s="24">
        <f t="shared" si="36"/>
        <v>-0.255915</v>
      </c>
      <c r="AN9" s="79">
        <f t="shared" si="37"/>
        <v>-0.25589388759310183</v>
      </c>
      <c r="AO9" s="15">
        <f t="shared" si="38"/>
        <v>-6541.0434869048368</v>
      </c>
      <c r="AP9" s="46">
        <f>SUMPRODUCT(AN10:AN$605, $I10:$I$605) / $I9</f>
        <v>-6540.5038656570232</v>
      </c>
      <c r="AR9" s="46">
        <v>0</v>
      </c>
      <c r="AS9" s="46">
        <v>0</v>
      </c>
      <c r="AT9" s="46">
        <v>0</v>
      </c>
      <c r="AU9" s="95">
        <f t="shared" si="9"/>
        <v>-1.7507343729186178</v>
      </c>
      <c r="AV9" s="47">
        <f t="shared" si="10"/>
        <v>0</v>
      </c>
      <c r="AW9" s="96">
        <f t="shared" si="39"/>
        <v>-1.7507343729186178</v>
      </c>
      <c r="AX9" s="95">
        <f t="shared" si="11"/>
        <v>-20.075087476133479</v>
      </c>
      <c r="AY9" s="11">
        <f t="shared" si="12"/>
        <v>0</v>
      </c>
      <c r="AZ9" s="96">
        <f t="shared" si="40"/>
        <v>-20.075087476133479</v>
      </c>
      <c r="BA9" s="95">
        <f t="shared" si="41"/>
        <v>-1.7505899413047943</v>
      </c>
      <c r="BB9" s="64">
        <f t="shared" si="42"/>
        <v>-5.5201936149144501E-4</v>
      </c>
      <c r="BC9" s="95">
        <f t="shared" si="43"/>
        <v>-1.7507343729186178</v>
      </c>
      <c r="BD9" s="96">
        <f t="shared" si="44"/>
        <v>-5.520649055936707E-4</v>
      </c>
      <c r="BE9" s="96">
        <f t="shared" si="45"/>
        <v>-1.7505899413047943</v>
      </c>
      <c r="BF9" s="96">
        <f t="shared" si="46"/>
        <v>-5.5201936149144501E-4</v>
      </c>
      <c r="BG9" s="15">
        <f t="shared" si="47"/>
        <v>-306.82910482474063</v>
      </c>
      <c r="BH9" s="46">
        <f>(SUMPRODUCT(BE10:BE$605,$I9:$I$604)+SUMPRODUCT(BF10:BF$605,$I10:$I$605)) / $I9</f>
        <v>-306.80379211970472</v>
      </c>
      <c r="BJ9" s="46">
        <f t="shared" si="48"/>
        <v>-1.7505899413047943</v>
      </c>
      <c r="BK9" s="46">
        <f t="shared" si="49"/>
        <v>-0.25644590695459329</v>
      </c>
      <c r="BM9" s="49">
        <f t="shared" si="50"/>
        <v>6848.0609134046899</v>
      </c>
      <c r="BN9" s="46">
        <f t="shared" si="51"/>
        <v>6847.3076577767224</v>
      </c>
      <c r="BP9" s="46">
        <f>Reserve!BX9</f>
        <v>9482.0355807714786</v>
      </c>
      <c r="BQ9" s="46">
        <f t="shared" si="13"/>
        <v>9480.9925998815415</v>
      </c>
      <c r="BR9" s="15">
        <f t="shared" si="52"/>
        <v>-13.229011485669616</v>
      </c>
      <c r="BT9" s="49">
        <f t="shared" si="53"/>
        <v>20.495076516366904</v>
      </c>
      <c r="BU9" s="46">
        <f t="shared" si="54"/>
        <v>20.493385719052082</v>
      </c>
      <c r="BV9" s="46">
        <f>SUMPRODUCT(BU10:BU$605, $I10:$I$605) / $I9</f>
        <v>3621.9249551850448</v>
      </c>
      <c r="BX9" s="46">
        <f>-BZ9*Others!$Q$43</f>
        <v>-1.3458786265915079</v>
      </c>
      <c r="BZ9" s="50">
        <f t="shared" si="0"/>
        <v>5.2573383851230773</v>
      </c>
      <c r="CA9" s="46">
        <f t="shared" si="55"/>
        <v>3.9114597585315694</v>
      </c>
      <c r="CB9" s="46">
        <f t="shared" si="14"/>
        <v>3.9114597585315694</v>
      </c>
      <c r="CD9" s="46">
        <f>SUMPRODUCT(BZ10:BZ$605, $I10:$I$605) / $I9</f>
        <v>2633.6849421048173</v>
      </c>
      <c r="CE9" s="46">
        <f>SUMPRODUCT(CA10:CA$605, $I10:$I$605) / $I9</f>
        <v>1959.4615969259808</v>
      </c>
      <c r="CF9" s="46">
        <f>SUMPRODUCT(CB10:CB$605, $I10:$I$605) / $I9</f>
        <v>1959.4615969259808</v>
      </c>
      <c r="CH9" s="46">
        <f t="shared" si="15"/>
        <v>37517.96441922852</v>
      </c>
      <c r="CI9" s="46">
        <f t="shared" si="16"/>
        <v>0</v>
      </c>
      <c r="CK9" s="46">
        <f>NPV((1+CK$3)^(1/12)-1,$CB$6:$CB9)+$CB$5</f>
        <v>-698.52377426646319</v>
      </c>
      <c r="CL9" s="46">
        <f>NPV((1+CL$3)^(1/12)-1,$CB$6:$CB9)+$CB$5</f>
        <v>-698.58574508558229</v>
      </c>
      <c r="CM9" s="46">
        <f>NPV((1+CM$3)^(1/12)-1,$CB$6:$CB9)+$CB$5</f>
        <v>-698.73442537101562</v>
      </c>
      <c r="CN9" s="46">
        <f>NPV((1+CN$3)^(1/12)-1,$CB$6:$CB9)+$CB$5</f>
        <v>-698.73442537101562</v>
      </c>
    </row>
    <row r="10" spans="1:92" x14ac:dyDescent="0.25">
      <c r="A10" s="61">
        <f t="shared" si="1"/>
        <v>0.41666666666666663</v>
      </c>
      <c r="B10" s="32">
        <f t="shared" si="56"/>
        <v>5</v>
      </c>
      <c r="C10" s="62">
        <f t="shared" si="17"/>
        <v>1</v>
      </c>
      <c r="D10" s="64">
        <f t="shared" si="18"/>
        <v>0.91666666666666663</v>
      </c>
      <c r="E10" s="28">
        <f t="shared" si="2"/>
        <v>0</v>
      </c>
      <c r="G10" s="68">
        <f>INDEX(Others!$D$11:$E$60, MATCH(C10, Others!$A$11:$A$60, 0), MATCH(G$3, Others!$D$10:$E$10, 0))</f>
        <v>2.6290909090909097E-2</v>
      </c>
      <c r="H10" s="16">
        <f t="shared" ref="H10:H73" si="57">(1+G10)^(1/12) - 1</f>
        <v>2.1649437542921035E-3</v>
      </c>
      <c r="I10" s="69">
        <f t="shared" ref="I10:I73" si="58">I9/(1+H10)</f>
        <v>0.98924523233540962</v>
      </c>
      <c r="K10" s="80">
        <f>INDEX(Mortality!$B$7:$F$32, MATCH( E10,Mortality!$A$7:$A$32, 0), MATCH( K$3,Mortality!$B$6:$F$6,0))</f>
        <v>0.33</v>
      </c>
      <c r="L10" s="11">
        <f t="shared" si="3"/>
        <v>0</v>
      </c>
      <c r="M10" s="80">
        <f t="shared" si="21"/>
        <v>0.33</v>
      </c>
      <c r="N10" s="76">
        <f>INDEX(Myopia!$H:$H, MATCH(E10, Myopia!$A:$A, 0)) * Trend_Factor^(A10)</f>
        <v>0</v>
      </c>
      <c r="O10" s="11">
        <f t="shared" si="4"/>
        <v>0</v>
      </c>
      <c r="P10" s="80">
        <f t="shared" si="22"/>
        <v>0</v>
      </c>
      <c r="Q10" s="76">
        <f>VLOOKUP(C10,Others!$L$10:$M$61,2)</f>
        <v>0</v>
      </c>
      <c r="R10" s="11">
        <f t="shared" si="5"/>
        <v>0</v>
      </c>
      <c r="S10" s="80">
        <f t="shared" si="23"/>
        <v>0</v>
      </c>
      <c r="T10" s="78">
        <f t="shared" si="24"/>
        <v>2.7500000000000001E-5</v>
      </c>
      <c r="U10" s="81">
        <f t="shared" si="25"/>
        <v>0</v>
      </c>
      <c r="V10" s="81">
        <f t="shared" si="26"/>
        <v>0</v>
      </c>
      <c r="W10" s="77">
        <f t="shared" si="6"/>
        <v>0.99989000453741683</v>
      </c>
      <c r="X10" s="82">
        <f t="shared" si="27"/>
        <v>2.7496975124778964E-5</v>
      </c>
      <c r="Y10" s="82">
        <f t="shared" si="28"/>
        <v>0</v>
      </c>
      <c r="Z10" s="82">
        <f t="shared" si="29"/>
        <v>0</v>
      </c>
      <c r="AA10" s="82">
        <f t="shared" si="30"/>
        <v>0.999862507562292</v>
      </c>
      <c r="AC10" s="46">
        <f t="shared" si="7"/>
        <v>465.3</v>
      </c>
      <c r="AD10" s="15">
        <f t="shared" si="31"/>
        <v>0</v>
      </c>
      <c r="AE10" s="46">
        <f t="shared" si="32"/>
        <v>0</v>
      </c>
      <c r="AF10" s="15">
        <f t="shared" si="33"/>
        <v>0</v>
      </c>
      <c r="AG10" s="46">
        <f>SUMPRODUCT(AE11:AE$605, $I10:$I$604) / $I10</f>
        <v>0</v>
      </c>
      <c r="AI10" s="46">
        <f t="shared" si="8"/>
        <v>-47000</v>
      </c>
      <c r="AJ10" s="46">
        <f>IF(E10&gt;Mat_Year,0,  -SUM($AD$5:AD10))</f>
        <v>-9306</v>
      </c>
      <c r="AK10" s="24">
        <f t="shared" si="34"/>
        <v>-0.25588685051119303</v>
      </c>
      <c r="AL10" s="79">
        <f t="shared" si="35"/>
        <v>0</v>
      </c>
      <c r="AM10" s="24">
        <f t="shared" si="36"/>
        <v>-0.255915</v>
      </c>
      <c r="AN10" s="79">
        <f t="shared" si="37"/>
        <v>-0.25588685051119303</v>
      </c>
      <c r="AO10" s="15">
        <f t="shared" si="38"/>
        <v>-6555.1288362290225</v>
      </c>
      <c r="AP10" s="46">
        <f>SUMPRODUCT(AN11:AN$605, $I11:$I$605) / $I10</f>
        <v>-6554.4078018003893</v>
      </c>
      <c r="AR10" s="46">
        <v>0</v>
      </c>
      <c r="AS10" s="46">
        <v>0</v>
      </c>
      <c r="AT10" s="46">
        <v>0</v>
      </c>
      <c r="AU10" s="95">
        <f t="shared" si="9"/>
        <v>-1.7526918664224815</v>
      </c>
      <c r="AV10" s="47">
        <f t="shared" si="10"/>
        <v>0</v>
      </c>
      <c r="AW10" s="96">
        <f t="shared" si="39"/>
        <v>-1.7526918664224815</v>
      </c>
      <c r="AX10" s="95">
        <f t="shared" si="11"/>
        <v>-20.097533401644451</v>
      </c>
      <c r="AY10" s="11">
        <f t="shared" si="12"/>
        <v>0</v>
      </c>
      <c r="AZ10" s="96">
        <f t="shared" si="40"/>
        <v>-20.097533401644451</v>
      </c>
      <c r="BA10" s="95">
        <f t="shared" si="41"/>
        <v>-1.7524990782698686</v>
      </c>
      <c r="BB10" s="64">
        <f t="shared" si="42"/>
        <v>-5.5262137601443182E-4</v>
      </c>
      <c r="BC10" s="95">
        <f t="shared" si="43"/>
        <v>-1.7526918664224815</v>
      </c>
      <c r="BD10" s="96">
        <f t="shared" si="44"/>
        <v>-5.5268216854522246E-4</v>
      </c>
      <c r="BE10" s="96">
        <f t="shared" si="45"/>
        <v>-1.7524990782698686</v>
      </c>
      <c r="BF10" s="96">
        <f t="shared" si="46"/>
        <v>-5.5262137601443182E-4</v>
      </c>
      <c r="BG10" s="15">
        <f t="shared" si="47"/>
        <v>-305.74478985125972</v>
      </c>
      <c r="BH10" s="46">
        <f>(SUMPRODUCT(BE11:BE$605,$I10:$I$604)+SUMPRODUCT(BF11:BF$605,$I11:$I$605)) / $I10</f>
        <v>-305.71115931166764</v>
      </c>
      <c r="BJ10" s="46">
        <f t="shared" si="48"/>
        <v>-1.7524990782698686</v>
      </c>
      <c r="BK10" s="46">
        <f t="shared" si="49"/>
        <v>-0.25643947188720745</v>
      </c>
      <c r="BM10" s="49">
        <f t="shared" si="50"/>
        <v>6861.0623052936726</v>
      </c>
      <c r="BN10" s="46">
        <f t="shared" si="51"/>
        <v>6860.1189611120517</v>
      </c>
      <c r="BP10" s="46">
        <f>Reserve!BX10</f>
        <v>9495.5450890361917</v>
      </c>
      <c r="BQ10" s="46">
        <f t="shared" si="13"/>
        <v>9494.2395233945335</v>
      </c>
      <c r="BR10" s="15">
        <f t="shared" si="52"/>
        <v>-13.246923512991998</v>
      </c>
      <c r="BT10" s="49">
        <f t="shared" si="53"/>
        <v>20.524279229257303</v>
      </c>
      <c r="BU10" s="46">
        <f t="shared" si="54"/>
        <v>20.522021651669295</v>
      </c>
      <c r="BV10" s="46">
        <f>SUMPRODUCT(BU11:BU$605, $I11:$I$605) / $I10</f>
        <v>3609.244197343618</v>
      </c>
      <c r="BX10" s="46">
        <f>-BZ10*Others!$Q$43</f>
        <v>-1.3481368546611767</v>
      </c>
      <c r="BZ10" s="50">
        <f t="shared" si="0"/>
        <v>5.266159588520221</v>
      </c>
      <c r="CA10" s="46">
        <f t="shared" si="55"/>
        <v>3.9180227338590443</v>
      </c>
      <c r="CB10" s="46">
        <f t="shared" si="14"/>
        <v>3.9180227338590443</v>
      </c>
      <c r="CD10" s="46">
        <f>SUMPRODUCT(BZ11:BZ$605, $I11:$I$605) / $I10</f>
        <v>2634.1205622824796</v>
      </c>
      <c r="CE10" s="46">
        <f>SUMPRODUCT(CA11:CA$605, $I11:$I$605) / $I10</f>
        <v>1959.7856983381616</v>
      </c>
      <c r="CF10" s="46">
        <f>SUMPRODUCT(CB11:CB$605, $I11:$I$605) / $I10</f>
        <v>1959.7856983381616</v>
      </c>
      <c r="CH10" s="46">
        <f t="shared" si="15"/>
        <v>37504.45491096381</v>
      </c>
      <c r="CI10" s="46">
        <f t="shared" si="16"/>
        <v>0</v>
      </c>
      <c r="CK10" s="46">
        <f>NPV((1+CK$3)^(1/12)-1,$CB$6:$CB10)+$CB$5</f>
        <v>-694.65371061497603</v>
      </c>
      <c r="CL10" s="46">
        <f>NPV((1+CL$3)^(1/12)-1,$CB$6:$CB10)+$CB$5</f>
        <v>-694.74656859950733</v>
      </c>
      <c r="CM10" s="46">
        <f>NPV((1+CM$3)^(1/12)-1,$CB$6:$CB10)+$CB$5</f>
        <v>-694.9689483689549</v>
      </c>
      <c r="CN10" s="46">
        <f>NPV((1+CN$3)^(1/12)-1,$CB$6:$CB10)+$CB$5</f>
        <v>-694.9689483689549</v>
      </c>
    </row>
    <row r="11" spans="1:92" x14ac:dyDescent="0.25">
      <c r="A11" s="61">
        <f t="shared" si="1"/>
        <v>0.49999999999999994</v>
      </c>
      <c r="B11" s="32">
        <f t="shared" si="56"/>
        <v>6</v>
      </c>
      <c r="C11" s="62">
        <f t="shared" si="17"/>
        <v>1</v>
      </c>
      <c r="D11" s="64">
        <f t="shared" si="18"/>
        <v>1</v>
      </c>
      <c r="E11" s="28">
        <f t="shared" si="2"/>
        <v>1</v>
      </c>
      <c r="G11" s="68">
        <f>INDEX(Others!$D$11:$E$60, MATCH(C11, Others!$A$11:$A$60, 0), MATCH(G$3, Others!$D$10:$E$10, 0))</f>
        <v>2.6290909090909097E-2</v>
      </c>
      <c r="H11" s="16">
        <f t="shared" si="57"/>
        <v>2.1649437542921035E-3</v>
      </c>
      <c r="I11" s="69">
        <f t="shared" si="58"/>
        <v>0.98710819860602694</v>
      </c>
      <c r="K11" s="80">
        <f>INDEX(Mortality!$B$7:$F$32, MATCH( E11,Mortality!$A$7:$A$32, 0), MATCH( K$3,Mortality!$B$6:$F$6,0))</f>
        <v>0.33</v>
      </c>
      <c r="L11" s="11">
        <f t="shared" si="3"/>
        <v>0</v>
      </c>
      <c r="M11" s="80">
        <f t="shared" si="21"/>
        <v>0.33</v>
      </c>
      <c r="N11" s="76">
        <f>INDEX(Myopia!$H:$H, MATCH(E11, Myopia!$A:$A, 0)) * Trend_Factor^(A11)</f>
        <v>0</v>
      </c>
      <c r="O11" s="11">
        <f t="shared" si="4"/>
        <v>0</v>
      </c>
      <c r="P11" s="80">
        <f t="shared" si="22"/>
        <v>0</v>
      </c>
      <c r="Q11" s="76">
        <f>VLOOKUP(C11,Others!$L$10:$M$61,2)</f>
        <v>0</v>
      </c>
      <c r="R11" s="11">
        <f t="shared" si="5"/>
        <v>0</v>
      </c>
      <c r="S11" s="80">
        <f t="shared" si="23"/>
        <v>0</v>
      </c>
      <c r="T11" s="78">
        <f t="shared" si="24"/>
        <v>2.7500000000000001E-5</v>
      </c>
      <c r="U11" s="81">
        <f t="shared" si="25"/>
        <v>0</v>
      </c>
      <c r="V11" s="81">
        <f t="shared" si="26"/>
        <v>0</v>
      </c>
      <c r="W11" s="77">
        <f t="shared" si="6"/>
        <v>0.999862507562292</v>
      </c>
      <c r="X11" s="82">
        <f t="shared" si="27"/>
        <v>2.749621895796303E-5</v>
      </c>
      <c r="Y11" s="82">
        <f t="shared" si="28"/>
        <v>0</v>
      </c>
      <c r="Z11" s="82">
        <f t="shared" si="29"/>
        <v>0</v>
      </c>
      <c r="AA11" s="82">
        <f t="shared" si="30"/>
        <v>0.99983501134333408</v>
      </c>
      <c r="AC11" s="46">
        <f t="shared" si="7"/>
        <v>465.3</v>
      </c>
      <c r="AD11" s="15">
        <f t="shared" si="31"/>
        <v>0</v>
      </c>
      <c r="AE11" s="46">
        <f t="shared" si="32"/>
        <v>0</v>
      </c>
      <c r="AF11" s="15">
        <f t="shared" si="33"/>
        <v>0</v>
      </c>
      <c r="AG11" s="46">
        <f>SUMPRODUCT(AE12:AE$605, $I11:$I$604) / $I11</f>
        <v>0</v>
      </c>
      <c r="AI11" s="46">
        <f t="shared" si="8"/>
        <v>-47000</v>
      </c>
      <c r="AJ11" s="46">
        <f>IF(E11&gt;Mat_Year,0,  -SUM($AD$5:AD11))</f>
        <v>-9306</v>
      </c>
      <c r="AK11" s="24">
        <f t="shared" si="34"/>
        <v>-0.25587981362280399</v>
      </c>
      <c r="AL11" s="79">
        <f t="shared" si="35"/>
        <v>0</v>
      </c>
      <c r="AM11" s="24">
        <f t="shared" si="36"/>
        <v>-0.255915</v>
      </c>
      <c r="AN11" s="79">
        <f t="shared" si="37"/>
        <v>-0.25587981362280399</v>
      </c>
      <c r="AO11" s="15">
        <f t="shared" si="38"/>
        <v>-6569.2450677386223</v>
      </c>
      <c r="AP11" s="46">
        <f>SUMPRODUCT(AN12:AN$605, $I12:$I$605) / $I11</f>
        <v>-6568.3418462203581</v>
      </c>
      <c r="AR11" s="46">
        <v>0</v>
      </c>
      <c r="AS11" s="46">
        <v>0</v>
      </c>
      <c r="AT11" s="46">
        <v>0</v>
      </c>
      <c r="AU11" s="95">
        <f t="shared" si="9"/>
        <v>-1.7546515485969261</v>
      </c>
      <c r="AV11" s="47">
        <f t="shared" si="10"/>
        <v>0</v>
      </c>
      <c r="AW11" s="96">
        <f t="shared" si="39"/>
        <v>-1.7546515485969261</v>
      </c>
      <c r="AX11" s="95">
        <f t="shared" si="11"/>
        <v>-20.120004423911414</v>
      </c>
      <c r="AY11" s="11">
        <f t="shared" si="12"/>
        <v>0</v>
      </c>
      <c r="AZ11" s="96">
        <f t="shared" si="40"/>
        <v>-20.120004423911414</v>
      </c>
      <c r="BA11" s="95">
        <f t="shared" si="41"/>
        <v>-1.7544102972781814</v>
      </c>
      <c r="BB11" s="64">
        <f t="shared" si="42"/>
        <v>-5.5322404707505311E-4</v>
      </c>
      <c r="BC11" s="95">
        <f t="shared" si="43"/>
        <v>-1.7546515485969261</v>
      </c>
      <c r="BD11" s="96">
        <f t="shared" si="44"/>
        <v>-5.5330012165756396E-4</v>
      </c>
      <c r="BE11" s="96">
        <f t="shared" si="45"/>
        <v>-1.7544102972781814</v>
      </c>
      <c r="BF11" s="96">
        <f t="shared" si="46"/>
        <v>-5.5322404707505311E-4</v>
      </c>
      <c r="BG11" s="15">
        <f t="shared" si="47"/>
        <v>-304.65613297008076</v>
      </c>
      <c r="BH11" s="46">
        <f>(SUMPRODUCT(BE12:BE$605,$I11:$I$604)+SUMPRODUCT(BF12:BF$605,$I12:$I$605)) / $I11</f>
        <v>-304.61424505569602</v>
      </c>
      <c r="BJ11" s="46">
        <f t="shared" si="48"/>
        <v>-1.7544102972781814</v>
      </c>
      <c r="BK11" s="46">
        <f t="shared" si="49"/>
        <v>-0.25643303766987902</v>
      </c>
      <c r="BM11" s="49">
        <f t="shared" si="50"/>
        <v>6874.090238190247</v>
      </c>
      <c r="BN11" s="46">
        <f t="shared" si="51"/>
        <v>6872.956091276048</v>
      </c>
      <c r="BP11" s="46">
        <f>Reserve!BX11</f>
        <v>9509.0732703474096</v>
      </c>
      <c r="BQ11" s="46">
        <f t="shared" si="13"/>
        <v>9507.5043811223968</v>
      </c>
      <c r="BR11" s="15">
        <f t="shared" si="52"/>
        <v>-13.264857727863273</v>
      </c>
      <c r="BT11" s="49">
        <f t="shared" si="53"/>
        <v>20.553522312196865</v>
      </c>
      <c r="BU11" s="46">
        <f t="shared" si="54"/>
        <v>20.550696358310674</v>
      </c>
      <c r="BV11" s="46">
        <f>SUMPRODUCT(BU12:BU$605, $I12:$I$605) / $I11</f>
        <v>3596.507311668061</v>
      </c>
      <c r="BX11" s="46">
        <f>-BZ11*Others!$Q$43</f>
        <v>-1.3503987956478314</v>
      </c>
      <c r="BZ11" s="50">
        <f t="shared" si="0"/>
        <v>5.2749952954993411</v>
      </c>
      <c r="CA11" s="46">
        <f t="shared" si="55"/>
        <v>3.9245964998515097</v>
      </c>
      <c r="CB11" s="46">
        <f t="shared" si="14"/>
        <v>3.9245964998515097</v>
      </c>
      <c r="CD11" s="46">
        <f>SUMPRODUCT(BZ12:BZ$605, $I12:$I$605) / $I11</f>
        <v>2634.5482898463465</v>
      </c>
      <c r="CE11" s="46">
        <f>SUMPRODUCT(CA12:CA$605, $I12:$I$605) / $I11</f>
        <v>1960.1039276456784</v>
      </c>
      <c r="CF11" s="46">
        <f>SUMPRODUCT(CB12:CB$605, $I12:$I$605) / $I11</f>
        <v>1960.1039276456784</v>
      </c>
      <c r="CH11" s="46">
        <f t="shared" si="15"/>
        <v>37490.926729652594</v>
      </c>
      <c r="CI11" s="46">
        <f t="shared" si="16"/>
        <v>0</v>
      </c>
      <c r="CK11" s="46">
        <f>NPV((1+CK$3)^(1/12)-1,$CB$6:$CB11)+$CB$5</f>
        <v>-690.78669077869131</v>
      </c>
      <c r="CL11" s="46">
        <f>NPV((1+CL$3)^(1/12)-1,$CB$6:$CB11)+$CB$5</f>
        <v>-690.91655458900868</v>
      </c>
      <c r="CM11" s="46">
        <f>NPV((1+CM$3)^(1/12)-1,$CB$6:$CB11)+$CB$5</f>
        <v>-691.22699242846227</v>
      </c>
      <c r="CN11" s="46">
        <f>NPV((1+CN$3)^(1/12)-1,$CB$6:$CB11)+$CB$5</f>
        <v>-691.22699242846227</v>
      </c>
    </row>
    <row r="12" spans="1:92" x14ac:dyDescent="0.25">
      <c r="A12" s="61">
        <f t="shared" si="1"/>
        <v>0.58333333333333326</v>
      </c>
      <c r="B12" s="32">
        <f t="shared" si="56"/>
        <v>7</v>
      </c>
      <c r="C12" s="62">
        <f t="shared" si="17"/>
        <v>1</v>
      </c>
      <c r="D12" s="64">
        <f t="shared" si="18"/>
        <v>1.0833333333333333</v>
      </c>
      <c r="E12" s="28">
        <f t="shared" si="2"/>
        <v>1</v>
      </c>
      <c r="G12" s="68">
        <f>INDEX(Others!$D$11:$E$60, MATCH(C12, Others!$A$11:$A$60, 0), MATCH(G$3, Others!$D$10:$E$10, 0))</f>
        <v>2.6290909090909097E-2</v>
      </c>
      <c r="H12" s="16">
        <f t="shared" si="57"/>
        <v>2.1649437542921035E-3</v>
      </c>
      <c r="I12" s="69">
        <f t="shared" si="58"/>
        <v>0.98497578143986975</v>
      </c>
      <c r="K12" s="80">
        <f>INDEX(Mortality!$B$7:$F$32, MATCH( E12,Mortality!$A$7:$A$32, 0), MATCH( K$3,Mortality!$B$6:$F$6,0))</f>
        <v>0.33</v>
      </c>
      <c r="L12" s="11">
        <f t="shared" si="3"/>
        <v>0</v>
      </c>
      <c r="M12" s="80">
        <f t="shared" si="21"/>
        <v>0.33</v>
      </c>
      <c r="N12" s="76">
        <f>INDEX(Myopia!$H:$H, MATCH(E12, Myopia!$A:$A, 0)) * Trend_Factor^(A12)</f>
        <v>0</v>
      </c>
      <c r="O12" s="11">
        <f t="shared" si="4"/>
        <v>0</v>
      </c>
      <c r="P12" s="80">
        <f t="shared" si="22"/>
        <v>0</v>
      </c>
      <c r="Q12" s="76">
        <f>VLOOKUP(C12,Others!$L$10:$M$61,2)</f>
        <v>0</v>
      </c>
      <c r="R12" s="11">
        <f t="shared" si="5"/>
        <v>0</v>
      </c>
      <c r="S12" s="80">
        <f t="shared" si="23"/>
        <v>0</v>
      </c>
      <c r="T12" s="78">
        <f t="shared" si="24"/>
        <v>2.7500000000000001E-5</v>
      </c>
      <c r="U12" s="81">
        <f t="shared" si="25"/>
        <v>0</v>
      </c>
      <c r="V12" s="81">
        <f t="shared" si="26"/>
        <v>0</v>
      </c>
      <c r="W12" s="77">
        <f t="shared" si="6"/>
        <v>0.99983501134333408</v>
      </c>
      <c r="X12" s="82">
        <f t="shared" si="27"/>
        <v>2.7495462811941687E-5</v>
      </c>
      <c r="Y12" s="82">
        <f t="shared" si="28"/>
        <v>0</v>
      </c>
      <c r="Z12" s="82">
        <f t="shared" si="29"/>
        <v>0</v>
      </c>
      <c r="AA12" s="82">
        <f t="shared" si="30"/>
        <v>0.99980751588052219</v>
      </c>
      <c r="AC12" s="46">
        <f t="shared" si="7"/>
        <v>465.3</v>
      </c>
      <c r="AD12" s="15">
        <f t="shared" si="31"/>
        <v>0</v>
      </c>
      <c r="AE12" s="46">
        <f t="shared" si="32"/>
        <v>0</v>
      </c>
      <c r="AF12" s="15">
        <f t="shared" si="33"/>
        <v>0</v>
      </c>
      <c r="AG12" s="46">
        <f>SUMPRODUCT(AE13:AE$605, $I12:$I$604) / $I12</f>
        <v>0</v>
      </c>
      <c r="AI12" s="46">
        <f t="shared" si="8"/>
        <v>-47000</v>
      </c>
      <c r="AJ12" s="46">
        <f>IF(E12&gt;Mat_Year,0,  -SUM($AD$5:AD12))</f>
        <v>-9306</v>
      </c>
      <c r="AK12" s="24">
        <f t="shared" si="34"/>
        <v>-0.25587277692792937</v>
      </c>
      <c r="AL12" s="79">
        <f t="shared" si="35"/>
        <v>0</v>
      </c>
      <c r="AM12" s="24">
        <f t="shared" si="36"/>
        <v>-0.255915</v>
      </c>
      <c r="AN12" s="79">
        <f t="shared" si="37"/>
        <v>-0.25587277692792937</v>
      </c>
      <c r="AO12" s="15">
        <f t="shared" si="38"/>
        <v>-6583.3922491429512</v>
      </c>
      <c r="AP12" s="46">
        <f>SUMPRODUCT(AN13:AN$605, $I13:$I$605) / $I12</f>
        <v>-6582.3060640994599</v>
      </c>
      <c r="AR12" s="46">
        <v>0</v>
      </c>
      <c r="AS12" s="46">
        <v>0</v>
      </c>
      <c r="AT12" s="46">
        <v>0</v>
      </c>
      <c r="AU12" s="95">
        <f t="shared" si="9"/>
        <v>-1.7566134218891016</v>
      </c>
      <c r="AV12" s="47">
        <f t="shared" si="10"/>
        <v>0</v>
      </c>
      <c r="AW12" s="96">
        <f t="shared" ref="AW12:AW75" si="59">AU12*(1+AV12)</f>
        <v>-1.7566134218891016</v>
      </c>
      <c r="AX12" s="95">
        <f t="shared" si="11"/>
        <v>-20.142500570995029</v>
      </c>
      <c r="AY12" s="11">
        <f t="shared" si="12"/>
        <v>0</v>
      </c>
      <c r="AZ12" s="96">
        <f t="shared" ref="AZ12:AZ75" si="60">AX12*(1+AY12)</f>
        <v>-20.142500570995029</v>
      </c>
      <c r="BA12" s="95">
        <f t="shared" ref="BA12:BA75" si="61">AW12*$W12</f>
        <v>-1.7563236006003429</v>
      </c>
      <c r="BB12" s="64">
        <f t="shared" ref="BB12:BB75" si="62">AZ12*SUM(X12:Y12)</f>
        <v>-5.5382737538930808E-4</v>
      </c>
      <c r="BC12" s="95">
        <f t="shared" ref="BC12:BC75" si="63">IF($W12 = 0, 0, BE12/$W12)</f>
        <v>-1.7566134218891016</v>
      </c>
      <c r="BD12" s="96">
        <f t="shared" ref="BD12:BD75" si="64">IF($W12 = 0, 0, BF12/$W12)</f>
        <v>-5.5391876570236331E-4</v>
      </c>
      <c r="BE12" s="96">
        <f t="shared" ref="BE12:BE75" si="65">SUM(AT12,BA12)</f>
        <v>-1.7563236006003429</v>
      </c>
      <c r="BF12" s="96">
        <f t="shared" ref="BF12:BF75" si="66">SUM(BB12)</f>
        <v>-5.5382737538930808E-4</v>
      </c>
      <c r="BG12" s="15">
        <f t="shared" si="47"/>
        <v>-303.56312246500113</v>
      </c>
      <c r="BH12" s="46">
        <f>(SUMPRODUCT(BE13:BE$605,$I12:$I$604)+SUMPRODUCT(BF13:BF$605,$I13:$I$605)) / $I12</f>
        <v>-303.51303799321232</v>
      </c>
      <c r="BJ12" s="46">
        <f t="shared" si="48"/>
        <v>-1.7563236006003429</v>
      </c>
      <c r="BK12" s="46">
        <f t="shared" si="49"/>
        <v>-0.25642660430331865</v>
      </c>
      <c r="BM12" s="49">
        <f t="shared" si="50"/>
        <v>6887.1447680890687</v>
      </c>
      <c r="BN12" s="46">
        <f t="shared" si="51"/>
        <v>6885.819102092667</v>
      </c>
      <c r="BP12" s="46">
        <f>Reserve!BX12</f>
        <v>9522.6201484298163</v>
      </c>
      <c r="BQ12" s="46">
        <f t="shared" si="13"/>
        <v>9520.7871952754249</v>
      </c>
      <c r="BR12" s="15">
        <f t="shared" si="52"/>
        <v>-13.282814153028085</v>
      </c>
      <c r="BT12" s="49">
        <f t="shared" si="53"/>
        <v>20.582805816488186</v>
      </c>
      <c r="BU12" s="46">
        <f t="shared" si="54"/>
        <v>20.579409887006108</v>
      </c>
      <c r="BV12" s="46">
        <f>SUMPRODUCT(BU13:BU$605, $I13:$I$605) / $I12</f>
        <v>3583.714137822717</v>
      </c>
      <c r="BX12" s="46">
        <f>-BZ12*Others!$Q$43</f>
        <v>-1.3526644554430367</v>
      </c>
      <c r="BZ12" s="50">
        <f t="shared" si="0"/>
        <v>5.2838455290743624</v>
      </c>
      <c r="CA12" s="46">
        <f t="shared" si="55"/>
        <v>3.9311810736313255</v>
      </c>
      <c r="CB12" s="46">
        <f t="shared" si="14"/>
        <v>3.9311810736313255</v>
      </c>
      <c r="CD12" s="46">
        <f>SUMPRODUCT(BZ13:BZ$605, $I13:$I$605) / $I12</f>
        <v>2634.9680931827556</v>
      </c>
      <c r="CE12" s="46">
        <f>SUMPRODUCT(CA13:CA$605, $I13:$I$605) / $I12</f>
        <v>1960.4162613279668</v>
      </c>
      <c r="CF12" s="46">
        <f>SUMPRODUCT(CB13:CB$605, $I13:$I$605) / $I12</f>
        <v>1960.4162613279668</v>
      </c>
      <c r="CH12" s="46">
        <f t="shared" si="15"/>
        <v>37477.379851570186</v>
      </c>
      <c r="CI12" s="46">
        <f t="shared" si="16"/>
        <v>0</v>
      </c>
      <c r="CK12" s="46">
        <f>NPV((1+CK$3)^(1/12)-1,$CB$6:$CB12)+$CB$5</f>
        <v>-686.92271258170501</v>
      </c>
      <c r="CL12" s="46">
        <f>NPV((1+CL$3)^(1/12)-1,$CB$6:$CB12)+$CB$5</f>
        <v>-687.09568140280021</v>
      </c>
      <c r="CM12" s="46">
        <f>NPV((1+CM$3)^(1/12)-1,$CB$6:$CB12)+$CB$5</f>
        <v>-687.50841083502689</v>
      </c>
      <c r="CN12" s="46">
        <f>NPV((1+CN$3)^(1/12)-1,$CB$6:$CB12)+$CB$5</f>
        <v>-687.50841083502689</v>
      </c>
    </row>
    <row r="13" spans="1:92" x14ac:dyDescent="0.25">
      <c r="A13" s="61">
        <f t="shared" si="1"/>
        <v>0.66666666666666663</v>
      </c>
      <c r="B13" s="32">
        <f t="shared" si="56"/>
        <v>8</v>
      </c>
      <c r="C13" s="62">
        <f t="shared" si="17"/>
        <v>1</v>
      </c>
      <c r="D13" s="64">
        <f t="shared" si="18"/>
        <v>1.1666666666666665</v>
      </c>
      <c r="E13" s="28">
        <f t="shared" si="2"/>
        <v>1</v>
      </c>
      <c r="G13" s="68">
        <f>INDEX(Others!$D$11:$E$60, MATCH(C13, Others!$A$11:$A$60, 0), MATCH(G$3, Others!$D$10:$E$10, 0))</f>
        <v>2.6290909090909097E-2</v>
      </c>
      <c r="H13" s="16">
        <f t="shared" si="57"/>
        <v>2.1649437542921035E-3</v>
      </c>
      <c r="I13" s="69">
        <f t="shared" si="58"/>
        <v>0.98284797086392917</v>
      </c>
      <c r="K13" s="80">
        <f>INDEX(Mortality!$B$7:$F$32, MATCH( E13,Mortality!$A$7:$A$32, 0), MATCH( K$3,Mortality!$B$6:$F$6,0))</f>
        <v>0.33</v>
      </c>
      <c r="L13" s="11">
        <f t="shared" si="3"/>
        <v>0</v>
      </c>
      <c r="M13" s="80">
        <f t="shared" si="21"/>
        <v>0.33</v>
      </c>
      <c r="N13" s="76">
        <f>INDEX(Myopia!$H:$H, MATCH(E13, Myopia!$A:$A, 0)) * Trend_Factor^(A13)</f>
        <v>0</v>
      </c>
      <c r="O13" s="11">
        <f t="shared" si="4"/>
        <v>0</v>
      </c>
      <c r="P13" s="80">
        <f t="shared" si="22"/>
        <v>0</v>
      </c>
      <c r="Q13" s="76">
        <f>VLOOKUP(C13,Others!$L$10:$M$61,2)</f>
        <v>0</v>
      </c>
      <c r="R13" s="11">
        <f t="shared" si="5"/>
        <v>0</v>
      </c>
      <c r="S13" s="80">
        <f t="shared" si="23"/>
        <v>0</v>
      </c>
      <c r="T13" s="78">
        <f t="shared" si="24"/>
        <v>2.7500000000000001E-5</v>
      </c>
      <c r="U13" s="81">
        <f t="shared" si="25"/>
        <v>0</v>
      </c>
      <c r="V13" s="81">
        <f t="shared" si="26"/>
        <v>0</v>
      </c>
      <c r="W13" s="77">
        <f t="shared" si="6"/>
        <v>0.99980751588052219</v>
      </c>
      <c r="X13" s="82">
        <f t="shared" si="27"/>
        <v>2.749470668671436E-5</v>
      </c>
      <c r="Y13" s="82">
        <f t="shared" si="28"/>
        <v>0</v>
      </c>
      <c r="Z13" s="82">
        <f t="shared" si="29"/>
        <v>0</v>
      </c>
      <c r="AA13" s="82">
        <f t="shared" si="30"/>
        <v>0.99978002117383546</v>
      </c>
      <c r="AC13" s="46">
        <f t="shared" si="7"/>
        <v>465.3</v>
      </c>
      <c r="AD13" s="15">
        <f t="shared" si="31"/>
        <v>0</v>
      </c>
      <c r="AE13" s="46">
        <f t="shared" si="32"/>
        <v>0</v>
      </c>
      <c r="AF13" s="15">
        <f t="shared" si="33"/>
        <v>0</v>
      </c>
      <c r="AG13" s="46">
        <f>SUMPRODUCT(AE14:AE$605, $I13:$I$604) / $I13</f>
        <v>0</v>
      </c>
      <c r="AI13" s="46">
        <f t="shared" si="8"/>
        <v>-47000</v>
      </c>
      <c r="AJ13" s="46">
        <f>IF(E13&gt;Mat_Year,0,  -SUM($AD$5:AD13))</f>
        <v>-9306</v>
      </c>
      <c r="AK13" s="24">
        <f t="shared" si="34"/>
        <v>-0.25586574042656385</v>
      </c>
      <c r="AL13" s="79">
        <f t="shared" si="35"/>
        <v>0</v>
      </c>
      <c r="AM13" s="24">
        <f t="shared" si="36"/>
        <v>-0.255915</v>
      </c>
      <c r="AN13" s="79">
        <f t="shared" si="37"/>
        <v>-0.25586574042656385</v>
      </c>
      <c r="AO13" s="15">
        <f t="shared" si="38"/>
        <v>-6597.5704482997799</v>
      </c>
      <c r="AP13" s="46">
        <f>SUMPRODUCT(AN14:AN$605, $I14:$I$605) / $I13</f>
        <v>-6596.300520761346</v>
      </c>
      <c r="AR13" s="46">
        <v>0</v>
      </c>
      <c r="AS13" s="46">
        <v>0</v>
      </c>
      <c r="AT13" s="46">
        <v>0</v>
      </c>
      <c r="AU13" s="95">
        <f t="shared" si="9"/>
        <v>-1.758577488748893</v>
      </c>
      <c r="AV13" s="47">
        <f t="shared" si="10"/>
        <v>0</v>
      </c>
      <c r="AW13" s="96">
        <f t="shared" si="59"/>
        <v>-1.758577488748893</v>
      </c>
      <c r="AX13" s="95">
        <f t="shared" si="11"/>
        <v>-20.165021870987303</v>
      </c>
      <c r="AY13" s="11">
        <f t="shared" si="12"/>
        <v>0</v>
      </c>
      <c r="AZ13" s="96">
        <f t="shared" si="60"/>
        <v>-20.165021870987303</v>
      </c>
      <c r="BA13" s="95">
        <f t="shared" si="61"/>
        <v>-1.7582389905094375</v>
      </c>
      <c r="BB13" s="64">
        <f t="shared" si="62"/>
        <v>-5.544313616739759E-4</v>
      </c>
      <c r="BC13" s="95">
        <f t="shared" si="63"/>
        <v>-1.758577488748893</v>
      </c>
      <c r="BD13" s="96">
        <f t="shared" si="64"/>
        <v>-5.5453810145215086E-4</v>
      </c>
      <c r="BE13" s="96">
        <f t="shared" si="65"/>
        <v>-1.7582389905094375</v>
      </c>
      <c r="BF13" s="96">
        <f t="shared" si="66"/>
        <v>-5.544313616739759E-4</v>
      </c>
      <c r="BG13" s="15">
        <f t="shared" si="47"/>
        <v>-302.46574659167482</v>
      </c>
      <c r="BH13" s="46">
        <f>(SUMPRODUCT(BE14:BE$605,$I13:$I$604)+SUMPRODUCT(BF14:BF$605,$I14:$I$605)) / $I13</f>
        <v>-302.40752673876995</v>
      </c>
      <c r="BJ13" s="46">
        <f t="shared" si="48"/>
        <v>-1.7582389905094375</v>
      </c>
      <c r="BK13" s="46">
        <f t="shared" si="49"/>
        <v>-0.25642017178823784</v>
      </c>
      <c r="BM13" s="49">
        <f t="shared" si="50"/>
        <v>6900.2259511051025</v>
      </c>
      <c r="BN13" s="46">
        <f t="shared" si="51"/>
        <v>6898.7080475001085</v>
      </c>
      <c r="BP13" s="46">
        <f>Reserve!BX13</f>
        <v>9536.1857470333798</v>
      </c>
      <c r="BQ13" s="46">
        <f t="shared" si="13"/>
        <v>9534.0879880866596</v>
      </c>
      <c r="BR13" s="15">
        <f t="shared" si="52"/>
        <v>-13.300792811234714</v>
      </c>
      <c r="BT13" s="49">
        <f t="shared" si="53"/>
        <v>20.61212979348857</v>
      </c>
      <c r="BU13" s="46">
        <f t="shared" si="54"/>
        <v>20.608162285834709</v>
      </c>
      <c r="BV13" s="46">
        <f>SUMPRODUCT(BU14:BU$605, $I14:$I$605) / $I13</f>
        <v>3570.8645150767302</v>
      </c>
      <c r="BX13" s="46">
        <f>-BZ13*Others!$Q$43</f>
        <v>-1.3549338399493935</v>
      </c>
      <c r="BZ13" s="50">
        <f t="shared" si="0"/>
        <v>5.2927103123023187</v>
      </c>
      <c r="CA13" s="46">
        <f t="shared" si="55"/>
        <v>3.9377764723529252</v>
      </c>
      <c r="CB13" s="46">
        <f t="shared" si="14"/>
        <v>3.9377764723529252</v>
      </c>
      <c r="CD13" s="46">
        <f>SUMPRODUCT(BZ14:BZ$605, $I14:$I$605) / $I13</f>
        <v>2635.3799405865489</v>
      </c>
      <c r="CE13" s="46">
        <f>SUMPRODUCT(CA14:CA$605, $I14:$I$605) / $I13</f>
        <v>1960.7226757963888</v>
      </c>
      <c r="CF13" s="46">
        <f>SUMPRODUCT(CB14:CB$605, $I14:$I$605) / $I13</f>
        <v>1960.7226757963888</v>
      </c>
      <c r="CH13" s="46">
        <f t="shared" si="15"/>
        <v>37463.814252966622</v>
      </c>
      <c r="CI13" s="46">
        <f t="shared" si="16"/>
        <v>0</v>
      </c>
      <c r="CK13" s="46">
        <f>NPV((1+CK$3)^(1/12)-1,$CB$6:$CB13)+$CB$5</f>
        <v>-683.06177384971215</v>
      </c>
      <c r="CL13" s="46">
        <f>NPV((1+CL$3)^(1/12)-1,$CB$6:$CB13)+$CB$5</f>
        <v>-683.28392744046619</v>
      </c>
      <c r="CM13" s="46">
        <f>NPV((1+CM$3)^(1/12)-1,$CB$6:$CB13)+$CB$5</f>
        <v>-683.81305778818887</v>
      </c>
      <c r="CN13" s="46">
        <f>NPV((1+CN$3)^(1/12)-1,$CB$6:$CB13)+$CB$5</f>
        <v>-683.81305778818887</v>
      </c>
    </row>
    <row r="14" spans="1:92" x14ac:dyDescent="0.25">
      <c r="A14" s="61">
        <f t="shared" si="1"/>
        <v>0.75</v>
      </c>
      <c r="B14" s="32">
        <f t="shared" si="56"/>
        <v>9</v>
      </c>
      <c r="C14" s="62">
        <f t="shared" si="17"/>
        <v>1</v>
      </c>
      <c r="D14" s="64">
        <f t="shared" si="18"/>
        <v>1.25</v>
      </c>
      <c r="E14" s="28">
        <f t="shared" si="2"/>
        <v>1</v>
      </c>
      <c r="G14" s="68">
        <f>INDEX(Others!$D$11:$E$60, MATCH(C14, Others!$A$11:$A$60, 0), MATCH(G$3, Others!$D$10:$E$10, 0))</f>
        <v>2.6290909090909097E-2</v>
      </c>
      <c r="H14" s="16">
        <f t="shared" si="57"/>
        <v>2.1649437542921035E-3</v>
      </c>
      <c r="I14" s="69">
        <f t="shared" si="58"/>
        <v>0.98072475692674099</v>
      </c>
      <c r="K14" s="80">
        <f>INDEX(Mortality!$B$7:$F$32, MATCH( E14,Mortality!$A$7:$A$32, 0), MATCH( K$3,Mortality!$B$6:$F$6,0))</f>
        <v>0.33</v>
      </c>
      <c r="L14" s="11">
        <f t="shared" si="3"/>
        <v>0</v>
      </c>
      <c r="M14" s="80">
        <f t="shared" si="21"/>
        <v>0.33</v>
      </c>
      <c r="N14" s="76">
        <f>INDEX(Myopia!$H:$H, MATCH(E14, Myopia!$A:$A, 0)) * Trend_Factor^(A14)</f>
        <v>0</v>
      </c>
      <c r="O14" s="11">
        <f t="shared" si="4"/>
        <v>0</v>
      </c>
      <c r="P14" s="80">
        <f t="shared" si="22"/>
        <v>0</v>
      </c>
      <c r="Q14" s="76">
        <f>VLOOKUP(C14,Others!$L$10:$M$61,2)</f>
        <v>0</v>
      </c>
      <c r="R14" s="11">
        <f t="shared" si="5"/>
        <v>0</v>
      </c>
      <c r="S14" s="80">
        <f t="shared" si="23"/>
        <v>0</v>
      </c>
      <c r="T14" s="78">
        <f t="shared" si="24"/>
        <v>2.7500000000000001E-5</v>
      </c>
      <c r="U14" s="81">
        <f t="shared" si="25"/>
        <v>0</v>
      </c>
      <c r="V14" s="81">
        <f t="shared" si="26"/>
        <v>0</v>
      </c>
      <c r="W14" s="77">
        <f t="shared" si="6"/>
        <v>0.99978002117383546</v>
      </c>
      <c r="X14" s="82">
        <f t="shared" si="27"/>
        <v>2.7493950582280475E-5</v>
      </c>
      <c r="Y14" s="82">
        <f t="shared" si="28"/>
        <v>0</v>
      </c>
      <c r="Z14" s="82">
        <f t="shared" si="29"/>
        <v>0</v>
      </c>
      <c r="AA14" s="82">
        <f t="shared" si="30"/>
        <v>0.99975252722325314</v>
      </c>
      <c r="AC14" s="46">
        <f t="shared" si="7"/>
        <v>465.3</v>
      </c>
      <c r="AD14" s="15">
        <f t="shared" si="31"/>
        <v>0</v>
      </c>
      <c r="AE14" s="46">
        <f t="shared" si="32"/>
        <v>0</v>
      </c>
      <c r="AF14" s="15">
        <f t="shared" si="33"/>
        <v>0</v>
      </c>
      <c r="AG14" s="46">
        <f>SUMPRODUCT(AE15:AE$605, $I14:$I$604) / $I14</f>
        <v>0</v>
      </c>
      <c r="AI14" s="46">
        <f t="shared" si="8"/>
        <v>-47000</v>
      </c>
      <c r="AJ14" s="46">
        <f>IF(E14&gt;Mat_Year,0,  -SUM($AD$5:AD14))</f>
        <v>-9306</v>
      </c>
      <c r="AK14" s="24">
        <f t="shared" si="34"/>
        <v>-0.2558587041187021</v>
      </c>
      <c r="AL14" s="79">
        <f t="shared" si="35"/>
        <v>0</v>
      </c>
      <c r="AM14" s="24">
        <f t="shared" si="36"/>
        <v>-0.255915</v>
      </c>
      <c r="AN14" s="79">
        <f t="shared" si="37"/>
        <v>-0.2558587041187021</v>
      </c>
      <c r="AO14" s="15">
        <f t="shared" si="38"/>
        <v>-6611.7797332156542</v>
      </c>
      <c r="AP14" s="46">
        <f>SUMPRODUCT(AN15:AN$605, $I15:$I$605) / $I14</f>
        <v>-6610.3252816710828</v>
      </c>
      <c r="AR14" s="46">
        <v>0</v>
      </c>
      <c r="AS14" s="46">
        <v>0</v>
      </c>
      <c r="AT14" s="46">
        <v>0</v>
      </c>
      <c r="AU14" s="95">
        <f t="shared" si="9"/>
        <v>-1.7605437516289251</v>
      </c>
      <c r="AV14" s="47">
        <f t="shared" si="10"/>
        <v>0</v>
      </c>
      <c r="AW14" s="96">
        <f t="shared" si="59"/>
        <v>-1.7605437516289251</v>
      </c>
      <c r="AX14" s="95">
        <f t="shared" si="11"/>
        <v>-20.18756835201167</v>
      </c>
      <c r="AY14" s="11">
        <f t="shared" si="12"/>
        <v>0</v>
      </c>
      <c r="AZ14" s="96">
        <f t="shared" si="60"/>
        <v>-20.18756835201167</v>
      </c>
      <c r="BA14" s="95">
        <f t="shared" si="61"/>
        <v>-1.7601564692810305</v>
      </c>
      <c r="BB14" s="64">
        <f t="shared" si="62"/>
        <v>-5.5503600664661811E-4</v>
      </c>
      <c r="BC14" s="95">
        <f t="shared" si="63"/>
        <v>-1.7605437516289251</v>
      </c>
      <c r="BD14" s="96">
        <f t="shared" si="64"/>
        <v>-5.5515812968032088E-4</v>
      </c>
      <c r="BE14" s="96">
        <f t="shared" si="65"/>
        <v>-1.7601564692810305</v>
      </c>
      <c r="BF14" s="96">
        <f t="shared" si="66"/>
        <v>-5.5503600664661811E-4</v>
      </c>
      <c r="BG14" s="15">
        <f t="shared" si="47"/>
        <v>-301.36399357754703</v>
      </c>
      <c r="BH14" s="46">
        <f>(SUMPRODUCT(BE15:BE$605,$I14:$I$604)+SUMPRODUCT(BF15:BF$605,$I15:$I$605)) / $I14</f>
        <v>-301.29769987999157</v>
      </c>
      <c r="BJ14" s="46">
        <f t="shared" si="48"/>
        <v>-1.7601564692810305</v>
      </c>
      <c r="BK14" s="46">
        <f t="shared" si="49"/>
        <v>-0.25641374012534873</v>
      </c>
      <c r="BM14" s="49">
        <f t="shared" si="50"/>
        <v>6913.3338434738898</v>
      </c>
      <c r="BN14" s="46">
        <f t="shared" si="51"/>
        <v>6911.6229815510669</v>
      </c>
      <c r="BP14" s="46">
        <f>Reserve!BX14</f>
        <v>9549.7700899333795</v>
      </c>
      <c r="BQ14" s="46">
        <f t="shared" si="13"/>
        <v>9547.4067818119292</v>
      </c>
      <c r="BR14" s="15">
        <f t="shared" si="52"/>
        <v>-13.318793725269643</v>
      </c>
      <c r="BT14" s="49">
        <f t="shared" si="53"/>
        <v>20.641494294610045</v>
      </c>
      <c r="BU14" s="46">
        <f>SUM(BJ14,BQ13)*H14</f>
        <v>20.636953602924834</v>
      </c>
      <c r="BV14" s="46">
        <f>SUMPRODUCT(BU15:BU$605, $I15:$I$605) / $I14</f>
        <v>3557.9582823031442</v>
      </c>
      <c r="BX14" s="46">
        <f>-BZ14*Others!$Q$43</f>
        <v>-1.3572069550716961</v>
      </c>
      <c r="BZ14" s="50">
        <f>SUM(BJ14,BK14,BR14,BU14)</f>
        <v>5.3015896682488126</v>
      </c>
      <c r="CA14" s="46">
        <f t="shared" si="55"/>
        <v>3.9443827131771165</v>
      </c>
      <c r="CB14" s="46">
        <f t="shared" si="14"/>
        <v>3.9443827131771165</v>
      </c>
      <c r="CD14" s="46">
        <f>SUMPRODUCT(BZ15:BZ$605, $I15:$I$605) / $I14</f>
        <v>2635.7838002608592</v>
      </c>
      <c r="CE14" s="46">
        <f>SUMPRODUCT(CA15:CA$605, $I15:$I$605) / $I14</f>
        <v>1961.023147394076</v>
      </c>
      <c r="CF14" s="46">
        <f>SUMPRODUCT(CB15:CB$605, $I15:$I$605) / $I14</f>
        <v>1961.023147394076</v>
      </c>
      <c r="CH14" s="46">
        <f t="shared" si="15"/>
        <v>37450.229910066621</v>
      </c>
      <c r="CI14" s="46">
        <f t="shared" si="16"/>
        <v>0</v>
      </c>
      <c r="CK14" s="46">
        <f>NPV((1+CK$3)^(1/12)-1,$CB$6:$CB14)+$CB$5</f>
        <v>-679.20387241002322</v>
      </c>
      <c r="CL14" s="46">
        <f>NPV((1+CL$3)^(1/12)-1,$CB$6:$CB14)+$CB$5</f>
        <v>-679.48127115236036</v>
      </c>
      <c r="CM14" s="46">
        <f>NPV((1+CM$3)^(1/12)-1,$CB$6:$CB14)+$CB$5</f>
        <v>-680.14078839586819</v>
      </c>
      <c r="CN14" s="46">
        <f>NPV((1+CN$3)^(1/12)-1,$CB$6:$CB14)+$CB$5</f>
        <v>-680.14078839586819</v>
      </c>
    </row>
    <row r="15" spans="1:92" x14ac:dyDescent="0.25">
      <c r="A15" s="61">
        <f t="shared" si="1"/>
        <v>0.83333333333333337</v>
      </c>
      <c r="B15" s="32">
        <f t="shared" si="56"/>
        <v>10</v>
      </c>
      <c r="C15" s="62">
        <f t="shared" si="17"/>
        <v>1</v>
      </c>
      <c r="D15" s="64">
        <f t="shared" si="18"/>
        <v>1.3333333333333335</v>
      </c>
      <c r="E15" s="28">
        <f t="shared" si="2"/>
        <v>1</v>
      </c>
      <c r="G15" s="68">
        <f>INDEX(Others!$D$11:$E$60, MATCH(C15, Others!$A$11:$A$60, 0), MATCH(G$3, Others!$D$10:$E$10, 0))</f>
        <v>2.6290909090909097E-2</v>
      </c>
      <c r="H15" s="16">
        <f t="shared" si="57"/>
        <v>2.1649437542921035E-3</v>
      </c>
      <c r="I15" s="69">
        <f t="shared" si="58"/>
        <v>0.9786061296983386</v>
      </c>
      <c r="K15" s="80">
        <f>INDEX(Mortality!$B$7:$F$32, MATCH( E15,Mortality!$A$7:$A$32, 0), MATCH( K$3,Mortality!$B$6:$F$6,0))</f>
        <v>0.33</v>
      </c>
      <c r="L15" s="11">
        <f t="shared" si="3"/>
        <v>0</v>
      </c>
      <c r="M15" s="80">
        <f t="shared" si="21"/>
        <v>0.33</v>
      </c>
      <c r="N15" s="76">
        <f>INDEX(Myopia!$H:$H, MATCH(E15, Myopia!$A:$A, 0)) * Trend_Factor^(A15)</f>
        <v>0</v>
      </c>
      <c r="O15" s="11">
        <f t="shared" si="4"/>
        <v>0</v>
      </c>
      <c r="P15" s="80">
        <f t="shared" si="22"/>
        <v>0</v>
      </c>
      <c r="Q15" s="76">
        <f>VLOOKUP(C15,Others!$L$10:$M$61,2)</f>
        <v>0</v>
      </c>
      <c r="R15" s="11">
        <f t="shared" si="5"/>
        <v>0</v>
      </c>
      <c r="S15" s="80">
        <f t="shared" si="23"/>
        <v>0</v>
      </c>
      <c r="T15" s="78">
        <f t="shared" si="24"/>
        <v>2.7500000000000001E-5</v>
      </c>
      <c r="U15" s="81">
        <f t="shared" si="25"/>
        <v>0</v>
      </c>
      <c r="V15" s="81">
        <f t="shared" si="26"/>
        <v>0</v>
      </c>
      <c r="W15" s="77">
        <f t="shared" si="6"/>
        <v>0.99975252722325314</v>
      </c>
      <c r="X15" s="82">
        <f t="shared" si="27"/>
        <v>2.7493194498639463E-5</v>
      </c>
      <c r="Y15" s="82">
        <f t="shared" si="28"/>
        <v>0</v>
      </c>
      <c r="Z15" s="82">
        <f t="shared" si="29"/>
        <v>0</v>
      </c>
      <c r="AA15" s="82">
        <f t="shared" si="30"/>
        <v>0.99972503402875446</v>
      </c>
      <c r="AC15" s="46">
        <f t="shared" si="7"/>
        <v>465.3</v>
      </c>
      <c r="AD15" s="15">
        <f t="shared" si="31"/>
        <v>0</v>
      </c>
      <c r="AE15" s="46">
        <f t="shared" si="32"/>
        <v>0</v>
      </c>
      <c r="AF15" s="15">
        <f t="shared" si="33"/>
        <v>0</v>
      </c>
      <c r="AG15" s="46">
        <f>SUMPRODUCT(AE16:AE$605, $I15:$I$604) / $I15</f>
        <v>0</v>
      </c>
      <c r="AI15" s="46">
        <f t="shared" si="8"/>
        <v>-47000</v>
      </c>
      <c r="AJ15" s="46">
        <f>IF(E15&gt;Mat_Year,0,  -SUM($AD$5:AD15))</f>
        <v>-9306</v>
      </c>
      <c r="AK15" s="24">
        <f t="shared" si="34"/>
        <v>-0.25585166800433884</v>
      </c>
      <c r="AL15" s="79">
        <f t="shared" si="35"/>
        <v>0</v>
      </c>
      <c r="AM15" s="24">
        <f t="shared" si="36"/>
        <v>-0.255915</v>
      </c>
      <c r="AN15" s="79">
        <f t="shared" si="37"/>
        <v>-0.25585166800433884</v>
      </c>
      <c r="AO15" s="15">
        <f t="shared" si="38"/>
        <v>-6626.0201720462283</v>
      </c>
      <c r="AP15" s="46">
        <f>SUMPRODUCT(AN16:AN$605, $I16:$I$605) / $I15</f>
        <v>-6624.380412435471</v>
      </c>
      <c r="AR15" s="46">
        <v>0</v>
      </c>
      <c r="AS15" s="46">
        <v>0</v>
      </c>
      <c r="AT15" s="46">
        <v>0</v>
      </c>
      <c r="AU15" s="95">
        <f t="shared" si="9"/>
        <v>-1.7625122129845652</v>
      </c>
      <c r="AV15" s="47">
        <f t="shared" si="10"/>
        <v>0</v>
      </c>
      <c r="AW15" s="96">
        <f t="shared" si="59"/>
        <v>-1.7625122129845652</v>
      </c>
      <c r="AX15" s="95">
        <f t="shared" si="11"/>
        <v>-20.21014004222301</v>
      </c>
      <c r="AY15" s="11">
        <f t="shared" si="12"/>
        <v>0</v>
      </c>
      <c r="AZ15" s="96">
        <f t="shared" si="60"/>
        <v>-20.21014004222301</v>
      </c>
      <c r="BA15" s="95">
        <f t="shared" si="61"/>
        <v>-1.7620760391931676</v>
      </c>
      <c r="BB15" s="64">
        <f t="shared" si="62"/>
        <v>-5.5564131102557883E-4</v>
      </c>
      <c r="BC15" s="95">
        <f t="shared" si="63"/>
        <v>-1.7625122129845652</v>
      </c>
      <c r="BD15" s="96">
        <f t="shared" si="64"/>
        <v>-5.5577885116113283E-4</v>
      </c>
      <c r="BE15" s="96">
        <f t="shared" si="65"/>
        <v>-1.7620760391931676</v>
      </c>
      <c r="BF15" s="96">
        <f t="shared" si="66"/>
        <v>-5.5564131102557883E-4</v>
      </c>
      <c r="BG15" s="15">
        <f t="shared" si="47"/>
        <v>-300.25785162179028</v>
      </c>
      <c r="BH15" s="46">
        <f>(SUMPRODUCT(BE16:BE$605,$I15:$I$604)+SUMPRODUCT(BF16:BF$605,$I16:$I$605)) / $I15</f>
        <v>-300.18354597750937</v>
      </c>
      <c r="BJ15" s="46">
        <f t="shared" si="48"/>
        <v>-1.7620760391931676</v>
      </c>
      <c r="BK15" s="46">
        <f t="shared" si="49"/>
        <v>-0.25640730931536443</v>
      </c>
      <c r="BM15" s="49">
        <f t="shared" si="50"/>
        <v>6926.4685015518044</v>
      </c>
      <c r="BN15" s="46">
        <f t="shared" si="51"/>
        <v>6924.5639584129731</v>
      </c>
      <c r="BP15" s="46">
        <f>Reserve!BX15</f>
        <v>9563.3732009304113</v>
      </c>
      <c r="BQ15" s="46">
        <f t="shared" si="13"/>
        <v>9560.743598729834</v>
      </c>
      <c r="BR15" s="15">
        <f t="shared" si="52"/>
        <v>-13.336816917904798</v>
      </c>
      <c r="BT15" s="49">
        <f t="shared" si="53"/>
        <v>20.670899371319443</v>
      </c>
      <c r="BU15" s="46">
        <f t="shared" si="54"/>
        <v>20.665783886454168</v>
      </c>
      <c r="BV15" s="46">
        <f>SUMPRODUCT(BU16:BU$605, $I16:$I$605) / $I15</f>
        <v>3544.9952779779942</v>
      </c>
      <c r="BX15" s="46">
        <f>-BZ15*Others!$Q$43</f>
        <v>-1.3594838067304544</v>
      </c>
      <c r="BZ15" s="50">
        <f t="shared" si="0"/>
        <v>5.3104836200408378</v>
      </c>
      <c r="CA15" s="46">
        <f t="shared" si="55"/>
        <v>3.9509998133103834</v>
      </c>
      <c r="CB15" s="46">
        <f t="shared" si="14"/>
        <v>3.9509998133103834</v>
      </c>
      <c r="CD15" s="46">
        <f>SUMPRODUCT(BZ16:BZ$605, $I16:$I$605) / $I15</f>
        <v>2636.1796403168573</v>
      </c>
      <c r="CE15" s="46">
        <f>SUMPRODUCT(CA16:CA$605, $I16:$I$605) / $I15</f>
        <v>1961.3176523957384</v>
      </c>
      <c r="CF15" s="46">
        <f>SUMPRODUCT(CB16:CB$605, $I16:$I$605) / $I15</f>
        <v>1961.3176523957384</v>
      </c>
      <c r="CH15" s="46">
        <f t="shared" si="15"/>
        <v>37436.626799069592</v>
      </c>
      <c r="CI15" s="46">
        <f t="shared" si="16"/>
        <v>0</v>
      </c>
      <c r="CK15" s="46">
        <f>NPV((1+CK$3)^(1/12)-1,$CB$6:$CB15)+$CB$5</f>
        <v>-675.34900609154397</v>
      </c>
      <c r="CL15" s="46">
        <f>NPV((1+CL$3)^(1/12)-1,$CB$6:$CB15)+$CB$5</f>
        <v>-675.68769103946784</v>
      </c>
      <c r="CM15" s="46">
        <f>NPV((1+CM$3)^(1/12)-1,$CB$6:$CB15)+$CB$5</f>
        <v>-676.49145866869196</v>
      </c>
      <c r="CN15" s="46">
        <f>NPV((1+CN$3)^(1/12)-1,$CB$6:$CB15)+$CB$5</f>
        <v>-676.49145866869196</v>
      </c>
    </row>
    <row r="16" spans="1:92" x14ac:dyDescent="0.25">
      <c r="A16" s="61">
        <f t="shared" si="1"/>
        <v>0.91666666666666674</v>
      </c>
      <c r="B16" s="32">
        <f t="shared" si="56"/>
        <v>11</v>
      </c>
      <c r="C16" s="62">
        <f t="shared" si="17"/>
        <v>1</v>
      </c>
      <c r="D16" s="64">
        <f t="shared" si="18"/>
        <v>1.4166666666666667</v>
      </c>
      <c r="E16" s="28">
        <f t="shared" si="2"/>
        <v>1</v>
      </c>
      <c r="G16" s="68">
        <f>INDEX(Others!$D$11:$E$60, MATCH(C16, Others!$A$11:$A$60, 0), MATCH(G$3, Others!$D$10:$E$10, 0))</f>
        <v>2.6290909090909097E-2</v>
      </c>
      <c r="H16" s="16">
        <f t="shared" si="57"/>
        <v>2.1649437542921035E-3</v>
      </c>
      <c r="I16" s="69">
        <f t="shared" si="58"/>
        <v>0.97649207927020687</v>
      </c>
      <c r="K16" s="80">
        <f>INDEX(Mortality!$B$7:$F$32, MATCH( E16,Mortality!$A$7:$A$32, 0), MATCH( K$3,Mortality!$B$6:$F$6,0))</f>
        <v>0.33</v>
      </c>
      <c r="L16" s="11">
        <f t="shared" si="3"/>
        <v>0</v>
      </c>
      <c r="M16" s="80">
        <f t="shared" si="21"/>
        <v>0.33</v>
      </c>
      <c r="N16" s="76">
        <f>INDEX(Myopia!$H:$H, MATCH(E16, Myopia!$A:$A, 0)) * Trend_Factor^(A16)</f>
        <v>0</v>
      </c>
      <c r="O16" s="11">
        <f t="shared" si="4"/>
        <v>0</v>
      </c>
      <c r="P16" s="80">
        <f t="shared" si="22"/>
        <v>0</v>
      </c>
      <c r="Q16" s="76">
        <f>VLOOKUP(C16,Others!$L$10:$M$61,2)</f>
        <v>0</v>
      </c>
      <c r="R16" s="11">
        <f t="shared" si="5"/>
        <v>0</v>
      </c>
      <c r="S16" s="80">
        <f t="shared" si="23"/>
        <v>0</v>
      </c>
      <c r="T16" s="78">
        <f t="shared" si="24"/>
        <v>2.7500000000000001E-5</v>
      </c>
      <c r="U16" s="81">
        <f t="shared" si="25"/>
        <v>0</v>
      </c>
      <c r="V16" s="81">
        <f t="shared" si="26"/>
        <v>0</v>
      </c>
      <c r="W16" s="77">
        <f t="shared" si="6"/>
        <v>0.99972503402875446</v>
      </c>
      <c r="X16" s="82">
        <f t="shared" si="27"/>
        <v>2.7492438435790749E-5</v>
      </c>
      <c r="Y16" s="82">
        <f t="shared" si="28"/>
        <v>0</v>
      </c>
      <c r="Z16" s="82">
        <f t="shared" si="29"/>
        <v>0</v>
      </c>
      <c r="AA16" s="82">
        <f t="shared" si="30"/>
        <v>0.99969754159031865</v>
      </c>
      <c r="AC16" s="46">
        <f t="shared" si="7"/>
        <v>465.3</v>
      </c>
      <c r="AD16" s="15">
        <f t="shared" si="31"/>
        <v>0</v>
      </c>
      <c r="AE16" s="46">
        <f t="shared" si="32"/>
        <v>0</v>
      </c>
      <c r="AF16" s="15">
        <f t="shared" si="33"/>
        <v>0</v>
      </c>
      <c r="AG16" s="46">
        <f>SUMPRODUCT(AE17:AE$605, $I16:$I$604) / $I16</f>
        <v>0</v>
      </c>
      <c r="AI16" s="46">
        <f t="shared" si="8"/>
        <v>-47000</v>
      </c>
      <c r="AJ16" s="46">
        <f>IF(E16&gt;Mat_Year,0,  -SUM($AD$5:AD16))</f>
        <v>-9306</v>
      </c>
      <c r="AK16" s="24">
        <f t="shared" si="34"/>
        <v>-0.25584463208346869</v>
      </c>
      <c r="AL16" s="79">
        <f t="shared" si="35"/>
        <v>0</v>
      </c>
      <c r="AM16" s="24">
        <f t="shared" si="36"/>
        <v>-0.255915</v>
      </c>
      <c r="AN16" s="79">
        <f t="shared" si="37"/>
        <v>-0.25584463208346869</v>
      </c>
      <c r="AO16" s="15">
        <f t="shared" si="38"/>
        <v>-6640.2918330965849</v>
      </c>
      <c r="AP16" s="46">
        <f>SUMPRODUCT(AN17:AN$605, $I17:$I$605) / $I16</f>
        <v>-6638.4659788033441</v>
      </c>
      <c r="AR16" s="46">
        <v>0</v>
      </c>
      <c r="AS16" s="46">
        <v>0</v>
      </c>
      <c r="AT16" s="46">
        <v>0</v>
      </c>
      <c r="AU16" s="95">
        <f t="shared" si="9"/>
        <v>-1.7644828752739254</v>
      </c>
      <c r="AV16" s="47">
        <f t="shared" si="10"/>
        <v>0</v>
      </c>
      <c r="AW16" s="96">
        <f t="shared" si="59"/>
        <v>-1.7644828752739254</v>
      </c>
      <c r="AX16" s="95">
        <f t="shared" si="11"/>
        <v>-20.232736969807679</v>
      </c>
      <c r="AY16" s="11">
        <f t="shared" si="12"/>
        <v>0</v>
      </c>
      <c r="AZ16" s="96">
        <f t="shared" si="60"/>
        <v>-20.232736969807679</v>
      </c>
      <c r="BA16" s="95">
        <f t="shared" si="61"/>
        <v>-1.7639977025263796</v>
      </c>
      <c r="BB16" s="64">
        <f t="shared" si="62"/>
        <v>-5.5624727552998506E-4</v>
      </c>
      <c r="BC16" s="95">
        <f t="shared" si="63"/>
        <v>-1.7644828752739254</v>
      </c>
      <c r="BD16" s="96">
        <f t="shared" si="64"/>
        <v>-5.5640026666971113E-4</v>
      </c>
      <c r="BE16" s="96">
        <f t="shared" si="65"/>
        <v>-1.7639977025263796</v>
      </c>
      <c r="BF16" s="96">
        <f t="shared" si="66"/>
        <v>-5.5624727552998506E-4</v>
      </c>
      <c r="BG16" s="15">
        <f t="shared" si="47"/>
        <v>-299.14730889523997</v>
      </c>
      <c r="BH16" s="46">
        <f>(SUMPRODUCT(BE17:BE$605,$I16:$I$604)+SUMPRODUCT(BF17:BF$605,$I17:$I$605)) / $I16</f>
        <v>-299.06505356490408</v>
      </c>
      <c r="BJ16" s="46">
        <f t="shared" si="48"/>
        <v>-1.7639977025263796</v>
      </c>
      <c r="BK16" s="46">
        <f t="shared" si="49"/>
        <v>-0.25640087935899869</v>
      </c>
      <c r="BM16" s="49">
        <f t="shared" si="50"/>
        <v>6939.6299818163188</v>
      </c>
      <c r="BN16" s="46">
        <f t="shared" si="51"/>
        <v>6937.5310323682415</v>
      </c>
      <c r="BP16" s="46">
        <f>Reserve!BX16</f>
        <v>9576.9951038504023</v>
      </c>
      <c r="BQ16" s="46">
        <f t="shared" si="13"/>
        <v>9574.0984611417662</v>
      </c>
      <c r="BR16" s="15">
        <f t="shared" si="52"/>
        <v>-13.354862411932118</v>
      </c>
      <c r="BT16" s="49">
        <f t="shared" si="53"/>
        <v>20.700345075138394</v>
      </c>
      <c r="BU16" s="46">
        <f t="shared" si="54"/>
        <v>20.694653184649692</v>
      </c>
      <c r="BV16" s="46">
        <f>SUMPRODUCT(BU17:BU$605, $I17:$I$605) / $I16</f>
        <v>3531.9753401793978</v>
      </c>
      <c r="BX16" s="46">
        <f>-BZ16*Others!$Q$43</f>
        <v>-1.3617644008530425</v>
      </c>
      <c r="BZ16" s="50">
        <f t="shared" si="0"/>
        <v>5.3193921908321968</v>
      </c>
      <c r="CA16" s="46">
        <f t="shared" si="55"/>
        <v>3.9576277899791545</v>
      </c>
      <c r="CB16" s="46">
        <f t="shared" si="14"/>
        <v>3.9576277899791545</v>
      </c>
      <c r="CD16" s="46">
        <f>SUMPRODUCT(BZ17:BZ$605, $I17:$I$605) / $I16</f>
        <v>2636.567428773521</v>
      </c>
      <c r="CE16" s="46">
        <f>SUMPRODUCT(CA17:CA$605, $I17:$I$605) / $I16</f>
        <v>1961.6061670074964</v>
      </c>
      <c r="CF16" s="46">
        <f>SUMPRODUCT(CB17:CB$605, $I17:$I$605) / $I16</f>
        <v>1961.6061670074964</v>
      </c>
      <c r="CH16" s="46">
        <f t="shared" si="15"/>
        <v>37423.0048961496</v>
      </c>
      <c r="CI16" s="46">
        <f t="shared" si="16"/>
        <v>0</v>
      </c>
      <c r="CK16" s="46">
        <f>NPV((1+CK$3)^(1/12)-1,$CB$6:$CB16)+$CB$5</f>
        <v>-671.49717272477926</v>
      </c>
      <c r="CL16" s="46">
        <f>NPV((1+CL$3)^(1/12)-1,$CB$6:$CB16)+$CB$5</f>
        <v>-671.90316565329158</v>
      </c>
      <c r="CM16" s="46">
        <f>NPV((1+CM$3)^(1/12)-1,$CB$6:$CB16)+$CB$5</f>
        <v>-672.8649255143813</v>
      </c>
      <c r="CN16" s="46">
        <f>NPV((1+CN$3)^(1/12)-1,$CB$6:$CB16)+$CB$5</f>
        <v>-672.8649255143813</v>
      </c>
    </row>
    <row r="17" spans="1:92" x14ac:dyDescent="0.25">
      <c r="A17" s="61">
        <f t="shared" si="1"/>
        <v>1</v>
      </c>
      <c r="B17" s="32">
        <f t="shared" si="56"/>
        <v>12</v>
      </c>
      <c r="C17" s="62">
        <f t="shared" si="17"/>
        <v>1</v>
      </c>
      <c r="D17" s="64">
        <f t="shared" si="18"/>
        <v>1.5</v>
      </c>
      <c r="E17" s="28">
        <f t="shared" si="2"/>
        <v>1</v>
      </c>
      <c r="G17" s="68">
        <f>INDEX(Others!$D$11:$E$60, MATCH(C17, Others!$A$11:$A$60, 0), MATCH(G$3, Others!$D$10:$E$10, 0))</f>
        <v>2.6290909090909097E-2</v>
      </c>
      <c r="H17" s="16">
        <f t="shared" si="57"/>
        <v>2.1649437542921035E-3</v>
      </c>
      <c r="I17" s="69">
        <f t="shared" si="58"/>
        <v>0.97438259575523567</v>
      </c>
      <c r="K17" s="80">
        <f>INDEX(Mortality!$B$7:$F$32, MATCH( E17,Mortality!$A$7:$A$32, 0), MATCH( K$3,Mortality!$B$6:$F$6,0))</f>
        <v>0.33</v>
      </c>
      <c r="L17" s="11">
        <f t="shared" si="3"/>
        <v>0</v>
      </c>
      <c r="M17" s="80">
        <f t="shared" si="21"/>
        <v>0.33</v>
      </c>
      <c r="N17" s="76">
        <f>INDEX(Myopia!$H:$H, MATCH(E17, Myopia!$A:$A, 0)) * Trend_Factor^(A17)</f>
        <v>0</v>
      </c>
      <c r="O17" s="11">
        <f t="shared" si="4"/>
        <v>0</v>
      </c>
      <c r="P17" s="80">
        <f t="shared" si="22"/>
        <v>0</v>
      </c>
      <c r="Q17" s="76">
        <f>VLOOKUP(C17,Others!$L$10:$M$61,2)</f>
        <v>0</v>
      </c>
      <c r="R17" s="11">
        <f t="shared" si="5"/>
        <v>0</v>
      </c>
      <c r="S17" s="80">
        <f t="shared" si="23"/>
        <v>0</v>
      </c>
      <c r="T17" s="78">
        <f t="shared" si="24"/>
        <v>2.7500000000000001E-5</v>
      </c>
      <c r="U17" s="81">
        <f t="shared" si="25"/>
        <v>0</v>
      </c>
      <c r="V17" s="81">
        <f t="shared" si="26"/>
        <v>0</v>
      </c>
      <c r="W17" s="77">
        <f t="shared" si="6"/>
        <v>0.99969754159031865</v>
      </c>
      <c r="X17" s="82">
        <f t="shared" si="27"/>
        <v>2.7491682393733762E-5</v>
      </c>
      <c r="Y17" s="82">
        <f t="shared" si="28"/>
        <v>0</v>
      </c>
      <c r="Z17" s="82">
        <f t="shared" si="29"/>
        <v>0</v>
      </c>
      <c r="AA17" s="82">
        <f t="shared" si="30"/>
        <v>0.99967004990792496</v>
      </c>
      <c r="AC17" s="46">
        <f t="shared" si="7"/>
        <v>465.3</v>
      </c>
      <c r="AD17" s="15">
        <f t="shared" si="31"/>
        <v>0</v>
      </c>
      <c r="AE17" s="46">
        <f t="shared" si="32"/>
        <v>0</v>
      </c>
      <c r="AF17" s="15">
        <f t="shared" si="33"/>
        <v>0</v>
      </c>
      <c r="AG17" s="46">
        <f>SUMPRODUCT(AE18:AE$605, $I17:$I$604) / $I17</f>
        <v>0</v>
      </c>
      <c r="AI17" s="46">
        <f t="shared" si="8"/>
        <v>-47000</v>
      </c>
      <c r="AJ17" s="46">
        <f>IF(E17&gt;Mat_Year,0,  -SUM($AD$5:AD17))</f>
        <v>-9306</v>
      </c>
      <c r="AK17" s="24">
        <f t="shared" si="34"/>
        <v>-0.25583759635608638</v>
      </c>
      <c r="AL17" s="79">
        <f t="shared" si="35"/>
        <v>0</v>
      </c>
      <c r="AM17" s="24">
        <f t="shared" si="36"/>
        <v>-0.255915</v>
      </c>
      <c r="AN17" s="79">
        <f t="shared" si="37"/>
        <v>-0.25583759635608638</v>
      </c>
      <c r="AO17" s="15">
        <f t="shared" si="38"/>
        <v>-6654.594784821571</v>
      </c>
      <c r="AP17" s="46">
        <f>SUMPRODUCT(AN18:AN$605, $I18:$I$605) / $I17</f>
        <v>-6652.5820466658797</v>
      </c>
      <c r="AR17" s="46">
        <v>0</v>
      </c>
      <c r="AS17" s="46">
        <v>0</v>
      </c>
      <c r="AT17" s="46">
        <v>0</v>
      </c>
      <c r="AU17" s="95">
        <f t="shared" si="9"/>
        <v>-1.7664557409578665</v>
      </c>
      <c r="AV17" s="47">
        <f t="shared" si="10"/>
        <v>0</v>
      </c>
      <c r="AW17" s="96">
        <f t="shared" si="59"/>
        <v>-1.7664557409578665</v>
      </c>
      <c r="AX17" s="95">
        <f t="shared" si="11"/>
        <v>-20.255359162983531</v>
      </c>
      <c r="AY17" s="11">
        <f t="shared" si="12"/>
        <v>0</v>
      </c>
      <c r="AZ17" s="96">
        <f t="shared" si="60"/>
        <v>-20.255359162983531</v>
      </c>
      <c r="BA17" s="95">
        <f t="shared" si="61"/>
        <v>-1.7659214615636838</v>
      </c>
      <c r="BB17" s="64">
        <f t="shared" si="62"/>
        <v>-5.5685390087974814E-4</v>
      </c>
      <c r="BC17" s="95">
        <f t="shared" si="63"/>
        <v>-1.7664557409578665</v>
      </c>
      <c r="BD17" s="96">
        <f t="shared" si="64"/>
        <v>-5.5702237698204704E-4</v>
      </c>
      <c r="BE17" s="96">
        <f t="shared" si="65"/>
        <v>-1.7659214615636838</v>
      </c>
      <c r="BF17" s="96">
        <f t="shared" si="66"/>
        <v>-5.5685390087974814E-4</v>
      </c>
      <c r="BG17" s="15">
        <f t="shared" si="47"/>
        <v>-298.03235354032847</v>
      </c>
      <c r="BH17" s="46">
        <f>(SUMPRODUCT(BE18:BE$605,$I17:$I$604)+SUMPRODUCT(BF18:BF$605,$I18:$I$605)) / $I17</f>
        <v>-297.94221114864308</v>
      </c>
      <c r="BJ17" s="46">
        <f t="shared" si="48"/>
        <v>-1.7659214615636838</v>
      </c>
      <c r="BK17" s="46">
        <f t="shared" si="49"/>
        <v>-0.25639445025696611</v>
      </c>
      <c r="BM17" s="49">
        <f t="shared" si="50"/>
        <v>6952.8183408662653</v>
      </c>
      <c r="BN17" s="46">
        <f t="shared" si="51"/>
        <v>6950.5242578145153</v>
      </c>
      <c r="BP17" s="46">
        <f>Reserve!BX17</f>
        <v>9590.6358225446311</v>
      </c>
      <c r="BQ17" s="46">
        <f t="shared" si="13"/>
        <v>9587.4713913719243</v>
      </c>
      <c r="BR17" s="15">
        <f t="shared" si="52"/>
        <v>-13.37293023015809</v>
      </c>
      <c r="BT17" s="49">
        <f t="shared" si="53"/>
        <v>20.729831457643364</v>
      </c>
      <c r="BU17" s="46">
        <f t="shared" si="54"/>
        <v>20.723561545787724</v>
      </c>
      <c r="BV17" s="46">
        <f>SUMPRODUCT(BU18:BU$605, $I18:$I$605) / $I17</f>
        <v>3518.898306586645</v>
      </c>
      <c r="BX17" s="46">
        <f>-BZ17*Others!$Q$43</f>
        <v>-1.3640487433751001</v>
      </c>
      <c r="BZ17" s="50">
        <f t="shared" si="0"/>
        <v>5.3283154038089844</v>
      </c>
      <c r="CA17" s="46">
        <f t="shared" si="55"/>
        <v>3.9642666604338843</v>
      </c>
      <c r="CB17" s="46">
        <f t="shared" si="14"/>
        <v>3.9642666604338843</v>
      </c>
      <c r="CD17" s="46">
        <f>SUMPRODUCT(BZ18:BZ$605, $I18:$I$605) / $I17</f>
        <v>2636.9471335574053</v>
      </c>
      <c r="CE17" s="46">
        <f>SUMPRODUCT(CA18:CA$605, $I18:$I$605) / $I17</f>
        <v>1961.8886673667064</v>
      </c>
      <c r="CF17" s="46">
        <f>SUMPRODUCT(CB18:CB$605, $I18:$I$605) / $I17</f>
        <v>1961.8886673667064</v>
      </c>
      <c r="CH17" s="46">
        <f t="shared" si="15"/>
        <v>37409.364177455369</v>
      </c>
      <c r="CI17" s="46">
        <f t="shared" si="16"/>
        <v>0</v>
      </c>
      <c r="CK17" s="46">
        <f>NPV((1+CK$3)^(1/12)-1,$CB$6:$CB17)+$CB$5</f>
        <v>-667.64837014183377</v>
      </c>
      <c r="CL17" s="46">
        <f>NPV((1+CL$3)^(1/12)-1,$CB$6:$CB17)+$CB$5</f>
        <v>-668.12767359573547</v>
      </c>
      <c r="CM17" s="46">
        <f>NPV((1+CM$3)^(1/12)-1,$CB$6:$CB17)+$CB$5</f>
        <v>-669.26104673216867</v>
      </c>
      <c r="CN17" s="46">
        <f>NPV((1+CN$3)^(1/12)-1,$CB$6:$CB17)+$CB$5</f>
        <v>-669.26104673216867</v>
      </c>
    </row>
    <row r="18" spans="1:92" x14ac:dyDescent="0.25">
      <c r="A18" s="61">
        <f t="shared" si="1"/>
        <v>1.0833333333333333</v>
      </c>
      <c r="B18" s="32">
        <f t="shared" si="56"/>
        <v>1</v>
      </c>
      <c r="C18" s="62">
        <f t="shared" si="17"/>
        <v>2</v>
      </c>
      <c r="D18" s="64">
        <f t="shared" si="18"/>
        <v>1.5833333333333333</v>
      </c>
      <c r="E18" s="28">
        <f t="shared" si="2"/>
        <v>1</v>
      </c>
      <c r="G18" s="68">
        <f>INDEX(Others!$D$11:$E$60, MATCH(C18, Others!$A$11:$A$60, 0), MATCH(G$3, Others!$D$10:$E$10, 0))</f>
        <v>2.9172929570659312E-2</v>
      </c>
      <c r="H18" s="16">
        <f t="shared" si="57"/>
        <v>2.3991649580110685E-3</v>
      </c>
      <c r="I18" s="69">
        <f t="shared" si="58"/>
        <v>0.97205048629110846</v>
      </c>
      <c r="K18" s="80">
        <f>INDEX(Mortality!$B$7:$F$32, MATCH( E18,Mortality!$A$7:$A$32, 0), MATCH( K$3,Mortality!$B$6:$F$6,0))</f>
        <v>0.33</v>
      </c>
      <c r="L18" s="11">
        <f t="shared" si="3"/>
        <v>0</v>
      </c>
      <c r="M18" s="80">
        <f t="shared" si="21"/>
        <v>0.33</v>
      </c>
      <c r="N18" s="76">
        <f>INDEX(Myopia!$H:$H, MATCH(E18, Myopia!$A:$A, 0)) * Trend_Factor^(A18)</f>
        <v>0</v>
      </c>
      <c r="O18" s="11">
        <f t="shared" si="4"/>
        <v>0</v>
      </c>
      <c r="P18" s="80">
        <f t="shared" si="22"/>
        <v>0</v>
      </c>
      <c r="Q18" s="76">
        <f>VLOOKUP(C18,Others!$L$10:$M$61,2)</f>
        <v>0</v>
      </c>
      <c r="R18" s="11">
        <f t="shared" si="5"/>
        <v>0</v>
      </c>
      <c r="S18" s="80">
        <f t="shared" si="23"/>
        <v>0</v>
      </c>
      <c r="T18" s="78">
        <f t="shared" si="24"/>
        <v>2.7500000000000001E-5</v>
      </c>
      <c r="U18" s="81">
        <f t="shared" si="25"/>
        <v>0</v>
      </c>
      <c r="V18" s="81">
        <f t="shared" si="26"/>
        <v>0</v>
      </c>
      <c r="W18" s="77">
        <f t="shared" si="6"/>
        <v>0.99967004990792496</v>
      </c>
      <c r="X18" s="82">
        <f t="shared" si="27"/>
        <v>2.7490926372467938E-5</v>
      </c>
      <c r="Y18" s="82">
        <f t="shared" si="28"/>
        <v>0</v>
      </c>
      <c r="Z18" s="82">
        <f t="shared" si="29"/>
        <v>0</v>
      </c>
      <c r="AA18" s="82">
        <f t="shared" si="30"/>
        <v>0.99964255898155252</v>
      </c>
      <c r="AC18" s="46">
        <f t="shared" si="7"/>
        <v>0</v>
      </c>
      <c r="AD18" s="15">
        <f t="shared" si="31"/>
        <v>0</v>
      </c>
      <c r="AE18" s="46">
        <f t="shared" si="32"/>
        <v>0</v>
      </c>
      <c r="AF18" s="15">
        <f t="shared" si="33"/>
        <v>0</v>
      </c>
      <c r="AG18" s="46">
        <f>SUMPRODUCT(AE19:AE$605, $I18:$I$604) / $I18</f>
        <v>0</v>
      </c>
      <c r="AI18" s="46">
        <f t="shared" si="8"/>
        <v>-47000</v>
      </c>
      <c r="AJ18" s="46">
        <f>IF(E18&gt;Mat_Year,0,  -SUM($AD$5:AD18))</f>
        <v>-9306</v>
      </c>
      <c r="AK18" s="24">
        <f t="shared" si="34"/>
        <v>-0.25583056082218664</v>
      </c>
      <c r="AL18" s="79">
        <f t="shared" si="35"/>
        <v>0</v>
      </c>
      <c r="AM18" s="24">
        <f t="shared" si="36"/>
        <v>-0.255915</v>
      </c>
      <c r="AN18" s="79">
        <f t="shared" si="37"/>
        <v>-0.25583056082218664</v>
      </c>
      <c r="AO18" s="15">
        <f t="shared" si="38"/>
        <v>-6670.4877858908512</v>
      </c>
      <c r="AP18" s="46">
        <f>SUMPRODUCT(AN19:AN$605, $I19:$I$605) / $I18</f>
        <v>-6668.2868578317111</v>
      </c>
      <c r="AR18" s="46">
        <v>0</v>
      </c>
      <c r="AS18" s="46">
        <v>0</v>
      </c>
      <c r="AT18" s="46">
        <v>0</v>
      </c>
      <c r="AU18" s="95">
        <f t="shared" si="9"/>
        <v>-1.7684308125000003</v>
      </c>
      <c r="AV18" s="47">
        <f t="shared" si="10"/>
        <v>0</v>
      </c>
      <c r="AW18" s="96">
        <f t="shared" si="59"/>
        <v>-1.7684308125000003</v>
      </c>
      <c r="AX18" s="95">
        <f t="shared" si="11"/>
        <v>-20.278006650000002</v>
      </c>
      <c r="AY18" s="11">
        <f t="shared" si="12"/>
        <v>0</v>
      </c>
      <c r="AZ18" s="96">
        <f t="shared" si="60"/>
        <v>-20.278006650000002</v>
      </c>
      <c r="BA18" s="95">
        <f t="shared" si="61"/>
        <v>-1.7678473185905876</v>
      </c>
      <c r="BB18" s="64">
        <f t="shared" si="62"/>
        <v>-5.5746118779556532E-4</v>
      </c>
      <c r="BC18" s="95">
        <f t="shared" si="63"/>
        <v>-1.7684308125000003</v>
      </c>
      <c r="BD18" s="96">
        <f t="shared" si="64"/>
        <v>-5.5764518287500014E-4</v>
      </c>
      <c r="BE18" s="96">
        <f t="shared" si="65"/>
        <v>-1.7678473185905876</v>
      </c>
      <c r="BF18" s="96">
        <f t="shared" si="66"/>
        <v>-5.5746118779556532E-4</v>
      </c>
      <c r="BG18" s="15">
        <f t="shared" si="47"/>
        <v>-296.9823668833248</v>
      </c>
      <c r="BH18" s="46">
        <f>(SUMPRODUCT(BE19:BE$605,$I18:$I$604)+SUMPRODUCT(BF19:BF$605,$I19:$I$605)) / $I18</f>
        <v>-296.884377524027</v>
      </c>
      <c r="BJ18" s="46">
        <f t="shared" si="48"/>
        <v>-1.7678473185905876</v>
      </c>
      <c r="BK18" s="46">
        <f t="shared" si="49"/>
        <v>-0.25638802200998217</v>
      </c>
      <c r="BM18" s="49">
        <f t="shared" si="50"/>
        <v>6967.6617634726645</v>
      </c>
      <c r="BN18" s="46">
        <f t="shared" si="51"/>
        <v>6965.1712353557314</v>
      </c>
      <c r="BP18" s="46">
        <f>Reserve!BX18</f>
        <v>9605.990320379784</v>
      </c>
      <c r="BQ18" s="46">
        <f t="shared" si="13"/>
        <v>9602.5567454164702</v>
      </c>
      <c r="BR18" s="15">
        <f t="shared" si="52"/>
        <v>-15.085354044545966</v>
      </c>
      <c r="BT18" s="49">
        <f t="shared" si="53"/>
        <v>23.005274633258725</v>
      </c>
      <c r="BU18" s="46">
        <f t="shared" si="54"/>
        <v>22.997684040775269</v>
      </c>
      <c r="BV18" s="46">
        <f>SUMPRODUCT(BU19:BU$605, $I19:$I$605) / $I18</f>
        <v>3504.3430400538368</v>
      </c>
      <c r="BX18" s="46">
        <f>-BZ18*Others!$Q$43</f>
        <v>-1.507352231840956</v>
      </c>
      <c r="BZ18" s="50">
        <f t="shared" si="0"/>
        <v>5.8880946556287341</v>
      </c>
      <c r="CA18" s="46">
        <f t="shared" si="55"/>
        <v>4.3807424237877779</v>
      </c>
      <c r="CB18" s="46">
        <f t="shared" si="14"/>
        <v>4.3807424237877779</v>
      </c>
      <c r="CD18" s="46">
        <f>SUMPRODUCT(BZ19:BZ$605, $I19:$I$605) / $I18</f>
        <v>2637.3855100607352</v>
      </c>
      <c r="CE18" s="46">
        <f>SUMPRODUCT(CA19:CA$605, $I19:$I$605) / $I18</f>
        <v>1962.2148194851836</v>
      </c>
      <c r="CF18" s="46">
        <f>SUMPRODUCT(CB19:CB$605, $I19:$I$605) / $I18</f>
        <v>1962.2148194851836</v>
      </c>
      <c r="CH18" s="46">
        <f t="shared" si="15"/>
        <v>37394.009679620212</v>
      </c>
      <c r="CI18" s="46">
        <f t="shared" si="16"/>
        <v>0</v>
      </c>
      <c r="CK18" s="46">
        <f>NPV((1+CK$3)^(1/12)-1,$CB$6:$CB18)+$CB$5</f>
        <v>-663.40568576181363</v>
      </c>
      <c r="CL18" s="46">
        <f>NPV((1+CL$3)^(1/12)-1,$CB$6:$CB18)+$CB$5</f>
        <v>-663.97246678094291</v>
      </c>
      <c r="CM18" s="46">
        <f>NPV((1+CM$3)^(1/12)-1,$CB$6:$CB18)+$CB$5</f>
        <v>-665.31005934786958</v>
      </c>
      <c r="CN18" s="46">
        <f>NPV((1+CN$3)^(1/12)-1,$CB$6:$CB18)+$CB$5</f>
        <v>-665.31005934786958</v>
      </c>
    </row>
    <row r="19" spans="1:92" x14ac:dyDescent="0.25">
      <c r="A19" s="61">
        <f t="shared" si="1"/>
        <v>1.1666666666666665</v>
      </c>
      <c r="B19" s="32">
        <f t="shared" si="56"/>
        <v>2</v>
      </c>
      <c r="C19" s="62">
        <f t="shared" si="17"/>
        <v>2</v>
      </c>
      <c r="D19" s="64">
        <f t="shared" si="18"/>
        <v>1.6666666666666665</v>
      </c>
      <c r="E19" s="28">
        <f t="shared" si="2"/>
        <v>1</v>
      </c>
      <c r="G19" s="68">
        <f>INDEX(Others!$D$11:$E$60, MATCH(C19, Others!$A$11:$A$60, 0), MATCH(G$3, Others!$D$10:$E$10, 0))</f>
        <v>2.9172929570659312E-2</v>
      </c>
      <c r="H19" s="16">
        <f t="shared" si="57"/>
        <v>2.3991649580110685E-3</v>
      </c>
      <c r="I19" s="69">
        <f t="shared" si="58"/>
        <v>0.96972395855080962</v>
      </c>
      <c r="K19" s="80">
        <f>INDEX(Mortality!$B$7:$F$32, MATCH( E19,Mortality!$A$7:$A$32, 0), MATCH( K$3,Mortality!$B$6:$F$6,0))</f>
        <v>0.33</v>
      </c>
      <c r="L19" s="11">
        <f t="shared" si="3"/>
        <v>0</v>
      </c>
      <c r="M19" s="80">
        <f t="shared" si="21"/>
        <v>0.33</v>
      </c>
      <c r="N19" s="76">
        <f>INDEX(Myopia!$H:$H, MATCH(E19, Myopia!$A:$A, 0)) * Trend_Factor^(A19)</f>
        <v>0</v>
      </c>
      <c r="O19" s="11">
        <f t="shared" si="4"/>
        <v>0</v>
      </c>
      <c r="P19" s="80">
        <f t="shared" si="22"/>
        <v>0</v>
      </c>
      <c r="Q19" s="76">
        <f>VLOOKUP(C19,Others!$L$10:$M$61,2)</f>
        <v>0</v>
      </c>
      <c r="R19" s="11">
        <f t="shared" si="5"/>
        <v>0</v>
      </c>
      <c r="S19" s="80">
        <f t="shared" si="23"/>
        <v>0</v>
      </c>
      <c r="T19" s="78">
        <f t="shared" si="24"/>
        <v>2.7500000000000001E-5</v>
      </c>
      <c r="U19" s="81">
        <f t="shared" si="25"/>
        <v>0</v>
      </c>
      <c r="V19" s="81">
        <f t="shared" si="26"/>
        <v>0</v>
      </c>
      <c r="W19" s="77">
        <f t="shared" si="6"/>
        <v>0.99964255898155252</v>
      </c>
      <c r="X19" s="82">
        <f t="shared" si="27"/>
        <v>2.7490170371992694E-5</v>
      </c>
      <c r="Y19" s="82">
        <f t="shared" si="28"/>
        <v>0</v>
      </c>
      <c r="Z19" s="82">
        <f t="shared" si="29"/>
        <v>0</v>
      </c>
      <c r="AA19" s="82">
        <f t="shared" si="30"/>
        <v>0.99961506881118056</v>
      </c>
      <c r="AC19" s="46">
        <f t="shared" si="7"/>
        <v>0</v>
      </c>
      <c r="AD19" s="15">
        <f t="shared" si="31"/>
        <v>0</v>
      </c>
      <c r="AE19" s="46">
        <f t="shared" si="32"/>
        <v>0</v>
      </c>
      <c r="AF19" s="15">
        <f t="shared" si="33"/>
        <v>0</v>
      </c>
      <c r="AG19" s="46">
        <f>SUMPRODUCT(AE20:AE$605, $I19:$I$604) / $I19</f>
        <v>0</v>
      </c>
      <c r="AI19" s="46">
        <f t="shared" si="8"/>
        <v>-47000</v>
      </c>
      <c r="AJ19" s="46">
        <f>IF(E19&gt;Mat_Year,0,  -SUM($AD$5:AD19))</f>
        <v>-9306</v>
      </c>
      <c r="AK19" s="24">
        <f t="shared" si="34"/>
        <v>-0.25582352548176401</v>
      </c>
      <c r="AL19" s="79">
        <f t="shared" si="35"/>
        <v>0</v>
      </c>
      <c r="AM19" s="24">
        <f t="shared" si="36"/>
        <v>-0.255915</v>
      </c>
      <c r="AN19" s="79">
        <f t="shared" si="37"/>
        <v>-0.25582352548176401</v>
      </c>
      <c r="AO19" s="15">
        <f t="shared" si="38"/>
        <v>-6686.419355009527</v>
      </c>
      <c r="AP19" s="46">
        <f>SUMPRODUCT(AN20:AN$605, $I20:$I$605) / $I19</f>
        <v>-6684.0293544655051</v>
      </c>
      <c r="AR19" s="46">
        <v>0</v>
      </c>
      <c r="AS19" s="46">
        <v>0</v>
      </c>
      <c r="AT19" s="46">
        <v>0</v>
      </c>
      <c r="AU19" s="95">
        <f t="shared" si="9"/>
        <v>-1.7704080923666941</v>
      </c>
      <c r="AV19" s="47">
        <f t="shared" si="10"/>
        <v>0</v>
      </c>
      <c r="AW19" s="96">
        <f t="shared" si="59"/>
        <v>-1.7704080923666941</v>
      </c>
      <c r="AX19" s="95">
        <f t="shared" si="11"/>
        <v>-20.300679459138088</v>
      </c>
      <c r="AY19" s="11">
        <f t="shared" si="12"/>
        <v>0</v>
      </c>
      <c r="AZ19" s="96">
        <f t="shared" si="60"/>
        <v>-20.300679459138088</v>
      </c>
      <c r="BA19" s="95">
        <f t="shared" si="61"/>
        <v>-1.7697752758950909</v>
      </c>
      <c r="BB19" s="64">
        <f t="shared" si="62"/>
        <v>-5.5806913699891852E-4</v>
      </c>
      <c r="BC19" s="95">
        <f t="shared" si="63"/>
        <v>-1.7704080923666941</v>
      </c>
      <c r="BD19" s="96">
        <f t="shared" si="64"/>
        <v>-5.5826868512629739E-4</v>
      </c>
      <c r="BE19" s="96">
        <f t="shared" si="65"/>
        <v>-1.7697752758950909</v>
      </c>
      <c r="BF19" s="96">
        <f t="shared" si="66"/>
        <v>-5.5806913699891852E-4</v>
      </c>
      <c r="BG19" s="15">
        <f t="shared" si="47"/>
        <v>-295.92784954323361</v>
      </c>
      <c r="BH19" s="46">
        <f>(SUMPRODUCT(BE20:BE$605,$I19:$I$604)+SUMPRODUCT(BF20:BF$605,$I20:$I$605)) / $I19</f>
        <v>-295.82207279130591</v>
      </c>
      <c r="BJ19" s="46">
        <f t="shared" si="48"/>
        <v>-1.7697752758950909</v>
      </c>
      <c r="BK19" s="46">
        <f t="shared" si="49"/>
        <v>-0.25638159461876292</v>
      </c>
      <c r="BM19" s="49">
        <f t="shared" si="50"/>
        <v>6982.5392243814231</v>
      </c>
      <c r="BN19" s="46">
        <f t="shared" si="51"/>
        <v>6979.8514272568036</v>
      </c>
      <c r="BP19" s="46">
        <f>Reserve!BX19</f>
        <v>9621.3692091571393</v>
      </c>
      <c r="BQ19" s="46">
        <f t="shared" si="13"/>
        <v>9617.6656440693878</v>
      </c>
      <c r="BR19" s="15">
        <f t="shared" si="52"/>
        <v>-15.10889865291756</v>
      </c>
      <c r="BT19" s="49">
        <f t="shared" si="53"/>
        <v>23.042107862592108</v>
      </c>
      <c r="BU19" s="46">
        <f t="shared" si="54"/>
        <v>23.033871668090526</v>
      </c>
      <c r="BV19" s="46">
        <f>SUMPRODUCT(BU20:BU$605, $I20:$I$605) / $I19</f>
        <v>3489.716665408293</v>
      </c>
      <c r="BX19" s="46">
        <f>-BZ19*Others!$Q$43</f>
        <v>-1.5100969330327325</v>
      </c>
      <c r="BZ19" s="50">
        <f t="shared" si="0"/>
        <v>5.8988161446591114</v>
      </c>
      <c r="CA19" s="46">
        <f t="shared" si="55"/>
        <v>4.3887192116263787</v>
      </c>
      <c r="CB19" s="46">
        <f t="shared" si="14"/>
        <v>4.3887192116263787</v>
      </c>
      <c r="CD19" s="46">
        <f>SUMPRODUCT(BZ20:BZ$605, $I20:$I$605) / $I19</f>
        <v>2637.8142168125801</v>
      </c>
      <c r="CE19" s="46">
        <f>SUMPRODUCT(CA20:CA$605, $I20:$I$605) / $I19</f>
        <v>1962.533777308556</v>
      </c>
      <c r="CF19" s="46">
        <f>SUMPRODUCT(CB20:CB$605, $I20:$I$605) / $I19</f>
        <v>1962.533777308556</v>
      </c>
      <c r="CH19" s="46">
        <f t="shared" si="15"/>
        <v>37378.630790842857</v>
      </c>
      <c r="CI19" s="46">
        <f t="shared" si="16"/>
        <v>0</v>
      </c>
      <c r="CK19" s="46">
        <f>NPV((1+CK$3)^(1/12)-1,$CB$6:$CB19)+$CB$5</f>
        <v>-659.16573284821175</v>
      </c>
      <c r="CL19" s="46">
        <f>NPV((1+CL$3)^(1/12)-1,$CB$6:$CB19)+$CB$5</f>
        <v>-659.82658468748411</v>
      </c>
      <c r="CM19" s="46">
        <f>NPV((1+CM$3)^(1/12)-1,$CB$6:$CB19)+$CB$5</f>
        <v>-661.38319110509417</v>
      </c>
      <c r="CN19" s="46">
        <f>NPV((1+CN$3)^(1/12)-1,$CB$6:$CB19)+$CB$5</f>
        <v>-661.38319110509417</v>
      </c>
    </row>
    <row r="20" spans="1:92" x14ac:dyDescent="0.25">
      <c r="A20" s="61">
        <f t="shared" si="1"/>
        <v>1.2499999999999998</v>
      </c>
      <c r="B20" s="32">
        <f t="shared" si="56"/>
        <v>3</v>
      </c>
      <c r="C20" s="62">
        <f t="shared" si="17"/>
        <v>2</v>
      </c>
      <c r="D20" s="64">
        <f t="shared" si="18"/>
        <v>1.7499999999999998</v>
      </c>
      <c r="E20" s="28">
        <f t="shared" si="2"/>
        <v>1</v>
      </c>
      <c r="G20" s="68">
        <f>INDEX(Others!$D$11:$E$60, MATCH(C20, Others!$A$11:$A$60, 0), MATCH(G$3, Others!$D$10:$E$10, 0))</f>
        <v>2.9172929570659312E-2</v>
      </c>
      <c r="H20" s="16">
        <f t="shared" si="57"/>
        <v>2.3991649580110685E-3</v>
      </c>
      <c r="I20" s="69">
        <f t="shared" si="58"/>
        <v>0.96740299917491435</v>
      </c>
      <c r="K20" s="80">
        <f>INDEX(Mortality!$B$7:$F$32, MATCH( E20,Mortality!$A$7:$A$32, 0), MATCH( K$3,Mortality!$B$6:$F$6,0))</f>
        <v>0.33</v>
      </c>
      <c r="L20" s="11">
        <f t="shared" si="3"/>
        <v>0</v>
      </c>
      <c r="M20" s="80">
        <f t="shared" si="21"/>
        <v>0.33</v>
      </c>
      <c r="N20" s="76">
        <f>INDEX(Myopia!$H:$H, MATCH(E20, Myopia!$A:$A, 0)) * Trend_Factor^(A20)</f>
        <v>0</v>
      </c>
      <c r="O20" s="11">
        <f t="shared" si="4"/>
        <v>0</v>
      </c>
      <c r="P20" s="80">
        <f t="shared" si="22"/>
        <v>0</v>
      </c>
      <c r="Q20" s="76">
        <f>VLOOKUP(C20,Others!$L$10:$M$61,2)</f>
        <v>0</v>
      </c>
      <c r="R20" s="11">
        <f t="shared" si="5"/>
        <v>0</v>
      </c>
      <c r="S20" s="80">
        <f t="shared" si="23"/>
        <v>0</v>
      </c>
      <c r="T20" s="78">
        <f t="shared" si="24"/>
        <v>2.7500000000000001E-5</v>
      </c>
      <c r="U20" s="81">
        <f t="shared" si="25"/>
        <v>0</v>
      </c>
      <c r="V20" s="81">
        <f t="shared" si="26"/>
        <v>0</v>
      </c>
      <c r="W20" s="77">
        <f t="shared" si="6"/>
        <v>0.99961506881118056</v>
      </c>
      <c r="X20" s="82">
        <f t="shared" si="27"/>
        <v>2.7489414392307466E-5</v>
      </c>
      <c r="Y20" s="82">
        <f t="shared" si="28"/>
        <v>0</v>
      </c>
      <c r="Z20" s="82">
        <f t="shared" si="29"/>
        <v>0</v>
      </c>
      <c r="AA20" s="82">
        <f t="shared" si="30"/>
        <v>0.99958757939678822</v>
      </c>
      <c r="AC20" s="46">
        <f t="shared" si="7"/>
        <v>0</v>
      </c>
      <c r="AD20" s="15">
        <f t="shared" si="31"/>
        <v>0</v>
      </c>
      <c r="AE20" s="46">
        <f t="shared" si="32"/>
        <v>0</v>
      </c>
      <c r="AF20" s="15">
        <f t="shared" si="33"/>
        <v>0</v>
      </c>
      <c r="AG20" s="46">
        <f>SUMPRODUCT(AE21:AE$605, $I20:$I$604) / $I20</f>
        <v>0</v>
      </c>
      <c r="AI20" s="46">
        <f t="shared" si="8"/>
        <v>-47000</v>
      </c>
      <c r="AJ20" s="46">
        <f>IF(E20&gt;Mat_Year,0,  -SUM($AD$5:AD20))</f>
        <v>-9306</v>
      </c>
      <c r="AK20" s="24">
        <f t="shared" si="34"/>
        <v>-0.2558164903348133</v>
      </c>
      <c r="AL20" s="79">
        <f t="shared" si="35"/>
        <v>0</v>
      </c>
      <c r="AM20" s="24">
        <f t="shared" si="36"/>
        <v>-0.255915</v>
      </c>
      <c r="AN20" s="79">
        <f t="shared" si="37"/>
        <v>-0.2558164903348133</v>
      </c>
      <c r="AO20" s="15">
        <f t="shared" si="38"/>
        <v>-6702.3895857719026</v>
      </c>
      <c r="AP20" s="46">
        <f>SUMPRODUCT(AN21:AN$605, $I21:$I$605) / $I20</f>
        <v>-6699.8096269807202</v>
      </c>
      <c r="AR20" s="46">
        <v>0</v>
      </c>
      <c r="AS20" s="46">
        <v>0</v>
      </c>
      <c r="AT20" s="46">
        <v>0</v>
      </c>
      <c r="AU20" s="95">
        <f t="shared" si="9"/>
        <v>-1.7723875830270721</v>
      </c>
      <c r="AV20" s="47">
        <f t="shared" si="10"/>
        <v>0</v>
      </c>
      <c r="AW20" s="96">
        <f t="shared" si="59"/>
        <v>-1.7723875830270721</v>
      </c>
      <c r="AX20" s="95">
        <f t="shared" si="11"/>
        <v>-20.323377618710424</v>
      </c>
      <c r="AY20" s="11">
        <f t="shared" si="12"/>
        <v>0</v>
      </c>
      <c r="AZ20" s="96">
        <f t="shared" si="60"/>
        <v>-20.323377618710424</v>
      </c>
      <c r="BA20" s="95">
        <f t="shared" si="61"/>
        <v>-1.7717053357676886</v>
      </c>
      <c r="BB20" s="64">
        <f t="shared" si="62"/>
        <v>-5.5867774921207773E-4</v>
      </c>
      <c r="BC20" s="95">
        <f t="shared" si="63"/>
        <v>-1.7723875830270721</v>
      </c>
      <c r="BD20" s="96">
        <f t="shared" si="64"/>
        <v>-5.5889288451453666E-4</v>
      </c>
      <c r="BE20" s="96">
        <f t="shared" si="65"/>
        <v>-1.7717053357676886</v>
      </c>
      <c r="BF20" s="96">
        <f t="shared" si="66"/>
        <v>-5.5867774921207773E-4</v>
      </c>
      <c r="BG20" s="15">
        <f t="shared" si="47"/>
        <v>-294.86878830850799</v>
      </c>
      <c r="BH20" s="46">
        <f>(SUMPRODUCT(BE21:BE$605,$I20:$I$604)+SUMPRODUCT(BF21:BF$605,$I21:$I$605)) / $I20</f>
        <v>-294.75528411527864</v>
      </c>
      <c r="BJ20" s="46">
        <f t="shared" si="48"/>
        <v>-1.7717053357676886</v>
      </c>
      <c r="BK20" s="46">
        <f t="shared" si="49"/>
        <v>-0.25637516808402538</v>
      </c>
      <c r="BM20" s="49">
        <f t="shared" si="50"/>
        <v>6997.4508039775146</v>
      </c>
      <c r="BN20" s="46">
        <f t="shared" si="51"/>
        <v>6994.564911095993</v>
      </c>
      <c r="BP20" s="46">
        <f>Reserve!BX20</f>
        <v>9636.7725262907989</v>
      </c>
      <c r="BQ20" s="46">
        <f t="shared" si="13"/>
        <v>9632.7981227524906</v>
      </c>
      <c r="BR20" s="15">
        <f t="shared" si="52"/>
        <v>-15.132478683102818</v>
      </c>
      <c r="BT20" s="49">
        <f t="shared" si="53"/>
        <v>23.078999604515264</v>
      </c>
      <c r="BU20" s="46">
        <f t="shared" si="54"/>
        <v>23.070115777760734</v>
      </c>
      <c r="BV20" s="46">
        <f>SUMPRODUCT(BU21:BU$605, $I21:$I$605) / $I20</f>
        <v>3475.018955567567</v>
      </c>
      <c r="BX20" s="46">
        <f>-BZ20*Others!$Q$43</f>
        <v>-1.5128464872463874</v>
      </c>
      <c r="BZ20" s="50">
        <f t="shared" si="0"/>
        <v>5.9095565908062007</v>
      </c>
      <c r="CA20" s="46">
        <f t="shared" si="55"/>
        <v>4.3967101035598137</v>
      </c>
      <c r="CB20" s="46">
        <f t="shared" si="14"/>
        <v>4.3967101035598137</v>
      </c>
      <c r="CD20" s="46">
        <f>SUMPRODUCT(BZ21:BZ$605, $I21:$I$605) / $I20</f>
        <v>2638.2332116564939</v>
      </c>
      <c r="CE20" s="46">
        <f>SUMPRODUCT(CA21:CA$605, $I21:$I$605) / $I20</f>
        <v>1962.8455094724279</v>
      </c>
      <c r="CF20" s="46">
        <f>SUMPRODUCT(CB21:CB$605, $I21:$I$605) / $I20</f>
        <v>1962.8455094724279</v>
      </c>
      <c r="CH20" s="46">
        <f t="shared" si="15"/>
        <v>37363.227473709201</v>
      </c>
      <c r="CI20" s="46">
        <f t="shared" si="16"/>
        <v>0</v>
      </c>
      <c r="CK20" s="46">
        <f>NPV((1+CK$3)^(1/12)-1,$CB$6:$CB20)+$CB$5</f>
        <v>-654.92851004787974</v>
      </c>
      <c r="CL20" s="46">
        <f>NPV((1+CL$3)^(1/12)-1,$CB$6:$CB20)+$CB$5</f>
        <v>-655.69000678546047</v>
      </c>
      <c r="CM20" s="46">
        <f>NPV((1+CM$3)^(1/12)-1,$CB$6:$CB20)+$CB$5</f>
        <v>-657.4802951398741</v>
      </c>
      <c r="CN20" s="46">
        <f>NPV((1+CN$3)^(1/12)-1,$CB$6:$CB20)+$CB$5</f>
        <v>-657.4802951398741</v>
      </c>
    </row>
    <row r="21" spans="1:92" x14ac:dyDescent="0.25">
      <c r="A21" s="61">
        <f t="shared" si="1"/>
        <v>1.333333333333333</v>
      </c>
      <c r="B21" s="32">
        <f t="shared" si="56"/>
        <v>4</v>
      </c>
      <c r="C21" s="62">
        <f t="shared" si="17"/>
        <v>2</v>
      </c>
      <c r="D21" s="64">
        <f t="shared" si="18"/>
        <v>1.833333333333333</v>
      </c>
      <c r="E21" s="28">
        <f t="shared" si="2"/>
        <v>1</v>
      </c>
      <c r="G21" s="68">
        <f>INDEX(Others!$D$11:$E$60, MATCH(C21, Others!$A$11:$A$60, 0), MATCH(G$3, Others!$D$10:$E$10, 0))</f>
        <v>2.9172929570659312E-2</v>
      </c>
      <c r="H21" s="16">
        <f t="shared" si="57"/>
        <v>2.3991649580110685E-3</v>
      </c>
      <c r="I21" s="69">
        <f t="shared" si="58"/>
        <v>0.96508759483597273</v>
      </c>
      <c r="K21" s="80">
        <f>INDEX(Mortality!$B$7:$F$32, MATCH( E21,Mortality!$A$7:$A$32, 0), MATCH( K$3,Mortality!$B$6:$F$6,0))</f>
        <v>0.33</v>
      </c>
      <c r="L21" s="11">
        <f t="shared" si="3"/>
        <v>0</v>
      </c>
      <c r="M21" s="80">
        <f t="shared" si="21"/>
        <v>0.33</v>
      </c>
      <c r="N21" s="76">
        <f>INDEX(Myopia!$H:$H, MATCH(E21, Myopia!$A:$A, 0)) * Trend_Factor^(A21)</f>
        <v>0</v>
      </c>
      <c r="O21" s="11">
        <f t="shared" si="4"/>
        <v>0</v>
      </c>
      <c r="P21" s="80">
        <f t="shared" si="22"/>
        <v>0</v>
      </c>
      <c r="Q21" s="76">
        <f>VLOOKUP(C21,Others!$L$10:$M$61,2)</f>
        <v>0</v>
      </c>
      <c r="R21" s="11">
        <f t="shared" si="5"/>
        <v>0</v>
      </c>
      <c r="S21" s="80">
        <f t="shared" si="23"/>
        <v>0</v>
      </c>
      <c r="T21" s="78">
        <f t="shared" si="24"/>
        <v>2.7500000000000001E-5</v>
      </c>
      <c r="U21" s="81">
        <f t="shared" si="25"/>
        <v>0</v>
      </c>
      <c r="V21" s="81">
        <f t="shared" si="26"/>
        <v>0</v>
      </c>
      <c r="W21" s="77">
        <f t="shared" si="6"/>
        <v>0.99958757939678822</v>
      </c>
      <c r="X21" s="82">
        <f t="shared" si="27"/>
        <v>2.7488658433411677E-5</v>
      </c>
      <c r="Y21" s="82">
        <f t="shared" si="28"/>
        <v>0</v>
      </c>
      <c r="Z21" s="82">
        <f t="shared" si="29"/>
        <v>0</v>
      </c>
      <c r="AA21" s="82">
        <f t="shared" si="30"/>
        <v>0.99956009073835483</v>
      </c>
      <c r="AC21" s="46">
        <f t="shared" si="7"/>
        <v>0</v>
      </c>
      <c r="AD21" s="15">
        <f t="shared" si="31"/>
        <v>0</v>
      </c>
      <c r="AE21" s="46">
        <f t="shared" si="32"/>
        <v>0</v>
      </c>
      <c r="AF21" s="15">
        <f t="shared" si="33"/>
        <v>0</v>
      </c>
      <c r="AG21" s="46">
        <f>SUMPRODUCT(AE22:AE$605, $I21:$I$604) / $I21</f>
        <v>0</v>
      </c>
      <c r="AI21" s="46">
        <f t="shared" si="8"/>
        <v>-47000</v>
      </c>
      <c r="AJ21" s="46">
        <f>IF(E21&gt;Mat_Year,0,  -SUM($AD$5:AD21))</f>
        <v>-9306</v>
      </c>
      <c r="AK21" s="24">
        <f t="shared" si="34"/>
        <v>-0.25580945538132904</v>
      </c>
      <c r="AL21" s="79">
        <f t="shared" si="35"/>
        <v>0</v>
      </c>
      <c r="AM21" s="24">
        <f t="shared" si="36"/>
        <v>-0.255915</v>
      </c>
      <c r="AN21" s="79">
        <f t="shared" si="37"/>
        <v>-0.25580945538132904</v>
      </c>
      <c r="AO21" s="15">
        <f t="shared" si="38"/>
        <v>-6718.398571999418</v>
      </c>
      <c r="AP21" s="46">
        <f>SUMPRODUCT(AN22:AN$605, $I22:$I$605) / $I21</f>
        <v>-6715.6277660077367</v>
      </c>
      <c r="AR21" s="46">
        <v>0</v>
      </c>
      <c r="AS21" s="46">
        <v>0</v>
      </c>
      <c r="AT21" s="46">
        <v>0</v>
      </c>
      <c r="AU21" s="95">
        <f t="shared" si="9"/>
        <v>-1.7743692869530192</v>
      </c>
      <c r="AV21" s="47">
        <f t="shared" si="10"/>
        <v>0</v>
      </c>
      <c r="AW21" s="96">
        <f t="shared" si="59"/>
        <v>-1.7743692869530192</v>
      </c>
      <c r="AX21" s="95">
        <f t="shared" si="11"/>
        <v>-20.346101157061284</v>
      </c>
      <c r="AY21" s="11">
        <f t="shared" si="12"/>
        <v>0</v>
      </c>
      <c r="AZ21" s="96">
        <f t="shared" si="60"/>
        <v>-20.346101157061284</v>
      </c>
      <c r="BA21" s="95">
        <f t="shared" si="61"/>
        <v>-1.7736375005013736</v>
      </c>
      <c r="BB21" s="64">
        <f t="shared" si="62"/>
        <v>-5.5928702515809978E-4</v>
      </c>
      <c r="BC21" s="95">
        <f t="shared" si="63"/>
        <v>-1.7743692869530192</v>
      </c>
      <c r="BD21" s="96">
        <f t="shared" si="64"/>
        <v>-5.5951778181918539E-4</v>
      </c>
      <c r="BE21" s="96">
        <f t="shared" si="65"/>
        <v>-1.7736375005013736</v>
      </c>
      <c r="BF21" s="96">
        <f t="shared" si="66"/>
        <v>-5.5928702515809978E-4</v>
      </c>
      <c r="BG21" s="15">
        <f t="shared" si="47"/>
        <v>-293.80516993306117</v>
      </c>
      <c r="BH21" s="46">
        <f>(SUMPRODUCT(BE22:BE$605,$I21:$I$604)+SUMPRODUCT(BF22:BF$605,$I22:$I$605)) / $I21</f>
        <v>-293.68399862765062</v>
      </c>
      <c r="BJ21" s="46">
        <f t="shared" si="48"/>
        <v>-1.7736375005013736</v>
      </c>
      <c r="BK21" s="46">
        <f t="shared" si="49"/>
        <v>-0.25636874240648716</v>
      </c>
      <c r="BM21" s="49">
        <f t="shared" si="50"/>
        <v>7012.3965828385008</v>
      </c>
      <c r="BN21" s="46">
        <f t="shared" si="51"/>
        <v>7009.3117646353812</v>
      </c>
      <c r="BP21" s="46">
        <f>Reserve!BX21</f>
        <v>9652.2003092492705</v>
      </c>
      <c r="BQ21" s="46">
        <f t="shared" si="13"/>
        <v>9647.9542169379765</v>
      </c>
      <c r="BR21" s="15">
        <f t="shared" si="52"/>
        <v>-15.156094185485927</v>
      </c>
      <c r="BT21" s="49">
        <f t="shared" si="53"/>
        <v>23.115949948784856</v>
      </c>
      <c r="BU21" s="46">
        <f t="shared" si="54"/>
        <v>23.106416454763163</v>
      </c>
      <c r="BV21" s="46">
        <f>SUMPRODUCT(BU22:BU$605, $I22:$I$605) / $I21</f>
        <v>3460.2496828194257</v>
      </c>
      <c r="BX21" s="46">
        <f>-BZ21*Others!$Q$43</f>
        <v>-1.5156009027505606</v>
      </c>
      <c r="BZ21" s="50">
        <f t="shared" si="0"/>
        <v>5.9203160263693775</v>
      </c>
      <c r="CA21" s="46">
        <f t="shared" si="55"/>
        <v>4.4047151236188169</v>
      </c>
      <c r="CB21" s="46">
        <f t="shared" si="14"/>
        <v>4.4047151236188169</v>
      </c>
      <c r="CD21" s="46">
        <f>SUMPRODUCT(BZ22:BZ$605, $I22:$I$605) / $I21</f>
        <v>2638.6424523025917</v>
      </c>
      <c r="CE21" s="46">
        <f>SUMPRODUCT(CA22:CA$605, $I22:$I$605) / $I21</f>
        <v>1963.1499845131248</v>
      </c>
      <c r="CF21" s="46">
        <f>SUMPRODUCT(CB22:CB$605, $I22:$I$605) / $I21</f>
        <v>1963.1499845131248</v>
      </c>
      <c r="CH21" s="46">
        <f t="shared" si="15"/>
        <v>37347.799690750733</v>
      </c>
      <c r="CI21" s="46">
        <f t="shared" si="16"/>
        <v>0</v>
      </c>
      <c r="CK21" s="46">
        <f>NPV((1+CK$3)^(1/12)-1,$CB$6:$CB21)+$CB$5</f>
        <v>-650.69401600813262</v>
      </c>
      <c r="CL21" s="46">
        <f>NPV((1+CL$3)^(1/12)-1,$CB$6:$CB21)+$CB$5</f>
        <v>-651.56271258938034</v>
      </c>
      <c r="CM21" s="46">
        <f>NPV((1+CM$3)^(1/12)-1,$CB$6:$CB21)+$CB$5</f>
        <v>-653.60122548033041</v>
      </c>
      <c r="CN21" s="46">
        <f>NPV((1+CN$3)^(1/12)-1,$CB$6:$CB21)+$CB$5</f>
        <v>-653.60122548033041</v>
      </c>
    </row>
    <row r="22" spans="1:92" x14ac:dyDescent="0.25">
      <c r="A22" s="61">
        <f t="shared" si="1"/>
        <v>1.4166666666666663</v>
      </c>
      <c r="B22" s="32">
        <f t="shared" si="56"/>
        <v>5</v>
      </c>
      <c r="C22" s="62">
        <f t="shared" si="17"/>
        <v>2</v>
      </c>
      <c r="D22" s="64">
        <f t="shared" si="18"/>
        <v>1.9166666666666663</v>
      </c>
      <c r="E22" s="28">
        <f t="shared" si="2"/>
        <v>1</v>
      </c>
      <c r="G22" s="68">
        <f>INDEX(Others!$D$11:$E$60, MATCH(C22, Others!$A$11:$A$60, 0), MATCH(G$3, Others!$D$10:$E$10, 0))</f>
        <v>2.9172929570659312E-2</v>
      </c>
      <c r="H22" s="16">
        <f t="shared" si="57"/>
        <v>2.3991649580110685E-3</v>
      </c>
      <c r="I22" s="69">
        <f t="shared" si="58"/>
        <v>0.96277773223843288</v>
      </c>
      <c r="K22" s="80">
        <f>INDEX(Mortality!$B$7:$F$32, MATCH( E22,Mortality!$A$7:$A$32, 0), MATCH( K$3,Mortality!$B$6:$F$6,0))</f>
        <v>0.33</v>
      </c>
      <c r="L22" s="11">
        <f t="shared" si="3"/>
        <v>0</v>
      </c>
      <c r="M22" s="80">
        <f t="shared" si="21"/>
        <v>0.33</v>
      </c>
      <c r="N22" s="76">
        <f>INDEX(Myopia!$H:$H, MATCH(E22, Myopia!$A:$A, 0)) * Trend_Factor^(A22)</f>
        <v>0</v>
      </c>
      <c r="O22" s="11">
        <f t="shared" si="4"/>
        <v>0</v>
      </c>
      <c r="P22" s="80">
        <f t="shared" si="22"/>
        <v>0</v>
      </c>
      <c r="Q22" s="76">
        <f>VLOOKUP(C22,Others!$L$10:$M$61,2)</f>
        <v>0</v>
      </c>
      <c r="R22" s="11">
        <f t="shared" si="5"/>
        <v>0</v>
      </c>
      <c r="S22" s="80">
        <f t="shared" si="23"/>
        <v>0</v>
      </c>
      <c r="T22" s="78">
        <f t="shared" si="24"/>
        <v>2.7500000000000001E-5</v>
      </c>
      <c r="U22" s="81">
        <f t="shared" si="25"/>
        <v>0</v>
      </c>
      <c r="V22" s="81">
        <f t="shared" si="26"/>
        <v>0</v>
      </c>
      <c r="W22" s="77">
        <f t="shared" si="6"/>
        <v>0.99956009073835483</v>
      </c>
      <c r="X22" s="82">
        <f t="shared" si="27"/>
        <v>2.7487902495304759E-5</v>
      </c>
      <c r="Y22" s="82">
        <f t="shared" si="28"/>
        <v>0</v>
      </c>
      <c r="Z22" s="82">
        <f t="shared" si="29"/>
        <v>0</v>
      </c>
      <c r="AA22" s="82">
        <f t="shared" si="30"/>
        <v>0.99953260283585954</v>
      </c>
      <c r="AC22" s="46">
        <f t="shared" si="7"/>
        <v>0</v>
      </c>
      <c r="AD22" s="15">
        <f t="shared" si="31"/>
        <v>0</v>
      </c>
      <c r="AE22" s="46">
        <f t="shared" si="32"/>
        <v>0</v>
      </c>
      <c r="AF22" s="15">
        <f t="shared" si="33"/>
        <v>0</v>
      </c>
      <c r="AG22" s="46">
        <f>SUMPRODUCT(AE23:AE$605, $I22:$I$604) / $I22</f>
        <v>0</v>
      </c>
      <c r="AI22" s="46">
        <f t="shared" si="8"/>
        <v>-47000</v>
      </c>
      <c r="AJ22" s="46">
        <f>IF(E22&gt;Mat_Year,0,  -SUM($AD$5:AD22))</f>
        <v>-9306</v>
      </c>
      <c r="AK22" s="24">
        <f t="shared" si="34"/>
        <v>-0.25580242062130609</v>
      </c>
      <c r="AL22" s="79">
        <f t="shared" si="35"/>
        <v>0</v>
      </c>
      <c r="AM22" s="24">
        <f t="shared" si="36"/>
        <v>-0.255915</v>
      </c>
      <c r="AN22" s="79">
        <f t="shared" si="37"/>
        <v>-0.25580242062130609</v>
      </c>
      <c r="AO22" s="15">
        <f t="shared" si="38"/>
        <v>-6734.4464077411858</v>
      </c>
      <c r="AP22" s="46">
        <f>SUMPRODUCT(AN23:AN$605, $I23:$I$605) / $I22</f>
        <v>-6731.4838623943679</v>
      </c>
      <c r="AR22" s="46">
        <v>0</v>
      </c>
      <c r="AS22" s="46">
        <v>0</v>
      </c>
      <c r="AT22" s="46">
        <v>0</v>
      </c>
      <c r="AU22" s="95">
        <f t="shared" si="9"/>
        <v>-1.7763532066191849</v>
      </c>
      <c r="AV22" s="47">
        <f t="shared" si="10"/>
        <v>0</v>
      </c>
      <c r="AW22" s="96">
        <f t="shared" si="59"/>
        <v>-1.7763532066191849</v>
      </c>
      <c r="AX22" s="95">
        <f t="shared" si="11"/>
        <v>-20.36885010256665</v>
      </c>
      <c r="AY22" s="11">
        <f t="shared" si="12"/>
        <v>0</v>
      </c>
      <c r="AZ22" s="96">
        <f t="shared" si="60"/>
        <v>-20.36885010256665</v>
      </c>
      <c r="BA22" s="95">
        <f t="shared" si="61"/>
        <v>-1.77557177239164</v>
      </c>
      <c r="BB22" s="64">
        <f t="shared" si="62"/>
        <v>-5.5989696556083045E-4</v>
      </c>
      <c r="BC22" s="95">
        <f t="shared" si="63"/>
        <v>-1.7763532066191849</v>
      </c>
      <c r="BD22" s="96">
        <f t="shared" si="64"/>
        <v>-5.6014337782058291E-4</v>
      </c>
      <c r="BE22" s="96">
        <f t="shared" si="65"/>
        <v>-1.77557177239164</v>
      </c>
      <c r="BF22" s="96">
        <f t="shared" si="66"/>
        <v>-5.5989696556083045E-4</v>
      </c>
      <c r="BG22" s="15">
        <f t="shared" si="47"/>
        <v>-292.73698113618053</v>
      </c>
      <c r="BH22" s="46">
        <f>(SUMPRODUCT(BE23:BE$605,$I22:$I$604)+SUMPRODUCT(BF23:BF$605,$I23:$I$605)) / $I22</f>
        <v>-292.60820342695268</v>
      </c>
      <c r="BJ22" s="46">
        <f t="shared" si="48"/>
        <v>-1.77557177239164</v>
      </c>
      <c r="BK22" s="46">
        <f t="shared" si="49"/>
        <v>-0.25636231758686695</v>
      </c>
      <c r="BM22" s="49">
        <f t="shared" si="50"/>
        <v>7027.3766417350071</v>
      </c>
      <c r="BN22" s="46">
        <f t="shared" si="51"/>
        <v>7024.0920658213136</v>
      </c>
      <c r="BP22" s="46">
        <f>Reserve!BX22</f>
        <v>9667.6525955555426</v>
      </c>
      <c r="BQ22" s="46">
        <f t="shared" si="13"/>
        <v>9663.133962148484</v>
      </c>
      <c r="BR22" s="15">
        <f t="shared" si="52"/>
        <v>-15.179745210507463</v>
      </c>
      <c r="BT22" s="49">
        <f t="shared" si="53"/>
        <v>23.152958985288077</v>
      </c>
      <c r="BU22" s="46">
        <f t="shared" si="54"/>
        <v>23.142773784195956</v>
      </c>
      <c r="BV22" s="46">
        <f>SUMPRODUCT(BU23:BU$605, $I23:$I$605) / $I22</f>
        <v>3445.4086188202191</v>
      </c>
      <c r="BX22" s="46">
        <f>-BZ22*Others!$Q$43</f>
        <v>-1.5183601878297568</v>
      </c>
      <c r="BZ22" s="50">
        <f t="shared" si="0"/>
        <v>5.9310944837099875</v>
      </c>
      <c r="CA22" s="46">
        <f t="shared" si="55"/>
        <v>4.4127342958802309</v>
      </c>
      <c r="CB22" s="46">
        <f t="shared" si="14"/>
        <v>4.4127342958802309</v>
      </c>
      <c r="CD22" s="46">
        <f>SUMPRODUCT(BZ23:BZ$605, $I23:$I$605) / $I22</f>
        <v>2639.0418963271663</v>
      </c>
      <c r="CE22" s="46">
        <f>SUMPRODUCT(CA23:CA$605, $I23:$I$605) / $I22</f>
        <v>1963.4471708674087</v>
      </c>
      <c r="CF22" s="46">
        <f>SUMPRODUCT(CB23:CB$605, $I23:$I$605) / $I22</f>
        <v>1963.4471708674087</v>
      </c>
      <c r="CH22" s="46">
        <f t="shared" si="15"/>
        <v>37332.347404444459</v>
      </c>
      <c r="CI22" s="46">
        <f t="shared" si="16"/>
        <v>0</v>
      </c>
      <c r="CK22" s="46">
        <f>NPV((1+CK$3)^(1/12)-1,$CB$6:$CB22)+$CB$5</f>
        <v>-646.46224937674288</v>
      </c>
      <c r="CL22" s="46">
        <f>NPV((1+CL$3)^(1/12)-1,$CB$6:$CB22)+$CB$5</f>
        <v>-647.44468165805779</v>
      </c>
      <c r="CM22" s="46">
        <f>NPV((1+CM$3)^(1/12)-1,$CB$6:$CB22)+$CB$5</f>
        <v>-649.74583704126167</v>
      </c>
      <c r="CN22" s="46">
        <f>NPV((1+CN$3)^(1/12)-1,$CB$6:$CB22)+$CB$5</f>
        <v>-649.74583704126167</v>
      </c>
    </row>
    <row r="23" spans="1:92" x14ac:dyDescent="0.25">
      <c r="A23" s="61">
        <f t="shared" si="1"/>
        <v>1.4999999999999996</v>
      </c>
      <c r="B23" s="32">
        <f t="shared" si="56"/>
        <v>6</v>
      </c>
      <c r="C23" s="62">
        <f t="shared" si="17"/>
        <v>2</v>
      </c>
      <c r="D23" s="64">
        <f t="shared" si="18"/>
        <v>1.9999999999999996</v>
      </c>
      <c r="E23" s="28">
        <f t="shared" si="2"/>
        <v>2</v>
      </c>
      <c r="G23" s="68">
        <f>INDEX(Others!$D$11:$E$60, MATCH(C23, Others!$A$11:$A$60, 0), MATCH(G$3, Others!$D$10:$E$10, 0))</f>
        <v>2.9172929570659312E-2</v>
      </c>
      <c r="H23" s="16">
        <f t="shared" si="57"/>
        <v>2.3991649580110685E-3</v>
      </c>
      <c r="I23" s="69">
        <f t="shared" si="58"/>
        <v>0.96047339811856502</v>
      </c>
      <c r="K23" s="80">
        <f>INDEX(Mortality!$B$7:$F$32, MATCH( E23,Mortality!$A$7:$A$32, 0), MATCH( K$3,Mortality!$B$6:$F$6,0))</f>
        <v>0.33200000000000002</v>
      </c>
      <c r="L23" s="11">
        <f t="shared" si="3"/>
        <v>0</v>
      </c>
      <c r="M23" s="80">
        <f t="shared" si="21"/>
        <v>0.33200000000000002</v>
      </c>
      <c r="N23" s="76">
        <f>INDEX(Myopia!$H:$H, MATCH(E23, Myopia!$A:$A, 0)) * Trend_Factor^(A23)</f>
        <v>0</v>
      </c>
      <c r="O23" s="11">
        <f t="shared" si="4"/>
        <v>0</v>
      </c>
      <c r="P23" s="80">
        <f t="shared" si="22"/>
        <v>0</v>
      </c>
      <c r="Q23" s="76">
        <f>VLOOKUP(C23,Others!$L$10:$M$61,2)</f>
        <v>0</v>
      </c>
      <c r="R23" s="11">
        <f t="shared" si="5"/>
        <v>0</v>
      </c>
      <c r="S23" s="80">
        <f t="shared" si="23"/>
        <v>0</v>
      </c>
      <c r="T23" s="78">
        <f t="shared" si="24"/>
        <v>2.7666666666666667E-5</v>
      </c>
      <c r="U23" s="81">
        <f t="shared" si="25"/>
        <v>0</v>
      </c>
      <c r="V23" s="81">
        <f t="shared" si="26"/>
        <v>0</v>
      </c>
      <c r="W23" s="77">
        <f t="shared" si="6"/>
        <v>0.99953260283585954</v>
      </c>
      <c r="X23" s="82">
        <f t="shared" si="27"/>
        <v>2.7653735345125446E-5</v>
      </c>
      <c r="Y23" s="82">
        <f t="shared" si="28"/>
        <v>0</v>
      </c>
      <c r="Z23" s="82">
        <f t="shared" si="29"/>
        <v>0</v>
      </c>
      <c r="AA23" s="82">
        <f t="shared" si="30"/>
        <v>0.99950494910051446</v>
      </c>
      <c r="AC23" s="46">
        <f t="shared" si="7"/>
        <v>0</v>
      </c>
      <c r="AD23" s="15">
        <f t="shared" si="31"/>
        <v>0</v>
      </c>
      <c r="AE23" s="46">
        <f t="shared" si="32"/>
        <v>0</v>
      </c>
      <c r="AF23" s="15">
        <f t="shared" si="33"/>
        <v>0</v>
      </c>
      <c r="AG23" s="46">
        <f>SUMPRODUCT(AE24:AE$605, $I23:$I$604) / $I23</f>
        <v>0</v>
      </c>
      <c r="AI23" s="46">
        <f t="shared" si="8"/>
        <v>-47000</v>
      </c>
      <c r="AJ23" s="46">
        <f>IF(E23&gt;Mat_Year,0,  -SUM($AD$5:AD23))</f>
        <v>-9306</v>
      </c>
      <c r="AK23" s="24">
        <f t="shared" si="34"/>
        <v>-0.2573456611217374</v>
      </c>
      <c r="AL23" s="79">
        <f t="shared" si="35"/>
        <v>0</v>
      </c>
      <c r="AM23" s="24">
        <f t="shared" si="36"/>
        <v>-0.25746599999999997</v>
      </c>
      <c r="AN23" s="79">
        <f t="shared" si="37"/>
        <v>-0.2573456611217374</v>
      </c>
      <c r="AO23" s="15">
        <f t="shared" si="38"/>
        <v>-6750.5316362745552</v>
      </c>
      <c r="AP23" s="46">
        <f>SUMPRODUCT(AN24:AN$605, $I24:$I$605) / $I23</f>
        <v>-6747.3764569313198</v>
      </c>
      <c r="AR23" s="46">
        <v>0</v>
      </c>
      <c r="AS23" s="46">
        <v>0</v>
      </c>
      <c r="AT23" s="46">
        <v>0</v>
      </c>
      <c r="AU23" s="95">
        <f t="shared" si="9"/>
        <v>-1.7783393445029845</v>
      </c>
      <c r="AV23" s="47">
        <f t="shared" si="10"/>
        <v>0</v>
      </c>
      <c r="AW23" s="96">
        <f t="shared" si="59"/>
        <v>-1.7783393445029845</v>
      </c>
      <c r="AX23" s="95">
        <f t="shared" si="11"/>
        <v>-20.391624483634221</v>
      </c>
      <c r="AY23" s="11">
        <f t="shared" si="12"/>
        <v>0</v>
      </c>
      <c r="AZ23" s="96">
        <f t="shared" si="60"/>
        <v>-20.391624483634221</v>
      </c>
      <c r="BA23" s="95">
        <f t="shared" si="61"/>
        <v>-1.7775081537364843</v>
      </c>
      <c r="BB23" s="64">
        <f t="shared" si="62"/>
        <v>-5.6390458672760113E-4</v>
      </c>
      <c r="BC23" s="95">
        <f t="shared" si="63"/>
        <v>-1.7783393445029845</v>
      </c>
      <c r="BD23" s="96">
        <f t="shared" si="64"/>
        <v>-5.6416827738054679E-4</v>
      </c>
      <c r="BE23" s="96">
        <f t="shared" si="65"/>
        <v>-1.7775081537364843</v>
      </c>
      <c r="BF23" s="96">
        <f t="shared" si="66"/>
        <v>-5.6390458672760113E-4</v>
      </c>
      <c r="BG23" s="15">
        <f t="shared" si="47"/>
        <v>-291.6642052038365</v>
      </c>
      <c r="BH23" s="46">
        <f>(SUMPRODUCT(BE24:BE$605,$I23:$I$604)+SUMPRODUCT(BF24:BF$605,$I24:$I$605)) / $I23</f>
        <v>-291.52788218144298</v>
      </c>
      <c r="BJ23" s="46">
        <f t="shared" si="48"/>
        <v>-1.7775081537364843</v>
      </c>
      <c r="BK23" s="46">
        <f t="shared" si="49"/>
        <v>-0.25790956570846502</v>
      </c>
      <c r="BM23" s="49">
        <f t="shared" si="50"/>
        <v>7042.3906809538903</v>
      </c>
      <c r="BN23" s="46">
        <f t="shared" si="51"/>
        <v>7038.9043391127552</v>
      </c>
      <c r="BP23" s="46">
        <f>Reserve!BX23</f>
        <v>9683.129490713005</v>
      </c>
      <c r="BQ23" s="46">
        <f t="shared" si="13"/>
        <v>9678.3358487487931</v>
      </c>
      <c r="BR23" s="15">
        <f t="shared" si="52"/>
        <v>-15.201886600309081</v>
      </c>
      <c r="BT23" s="49">
        <f t="shared" si="53"/>
        <v>23.190026804042827</v>
      </c>
      <c r="BU23" s="46">
        <f t="shared" si="54"/>
        <v>23.179187851278275</v>
      </c>
      <c r="BV23" s="46">
        <f>SUMPRODUCT(BU24:BU$605, $I24:$I$605) / $I23</f>
        <v>3430.4955345932435</v>
      </c>
      <c r="BX23" s="46">
        <f>-BZ23*Others!$Q$43</f>
        <v>-1.5211221840702065</v>
      </c>
      <c r="BZ23" s="50">
        <f t="shared" si="0"/>
        <v>5.941883531524244</v>
      </c>
      <c r="CA23" s="46">
        <f t="shared" si="55"/>
        <v>4.4207613474540377</v>
      </c>
      <c r="CB23" s="46">
        <f t="shared" si="14"/>
        <v>4.4207613474540377</v>
      </c>
      <c r="CD23" s="46">
        <f>SUMPRODUCT(BZ24:BZ$605, $I24:$I$605) / $I23</f>
        <v>2639.4315096360333</v>
      </c>
      <c r="CE23" s="46">
        <f>SUMPRODUCT(CA24:CA$605, $I24:$I$605) / $I23</f>
        <v>1963.7370431692054</v>
      </c>
      <c r="CF23" s="46">
        <f>SUMPRODUCT(CB24:CB$605, $I24:$I$605) / $I23</f>
        <v>1963.7370431692054</v>
      </c>
      <c r="CH23" s="46">
        <f t="shared" si="15"/>
        <v>37316.870509286993</v>
      </c>
      <c r="CI23" s="46">
        <f t="shared" si="16"/>
        <v>0</v>
      </c>
      <c r="CK23" s="46">
        <f>NPV((1+CK$3)^(1/12)-1,$CB$6:$CB23)+$CB$5</f>
        <v>-642.23321482584629</v>
      </c>
      <c r="CL23" s="46">
        <f>NPV((1+CL$3)^(1/12)-1,$CB$6:$CB23)+$CB$5</f>
        <v>-643.33589944713538</v>
      </c>
      <c r="CM23" s="46">
        <f>NPV((1+CM$3)^(1/12)-1,$CB$6:$CB23)+$CB$5</f>
        <v>-645.91399107691586</v>
      </c>
      <c r="CN23" s="46">
        <f>NPV((1+CN$3)^(1/12)-1,$CB$6:$CB23)+$CB$5</f>
        <v>-645.91399107691586</v>
      </c>
    </row>
    <row r="24" spans="1:92" x14ac:dyDescent="0.25">
      <c r="A24" s="61">
        <f t="shared" si="1"/>
        <v>1.5833333333333328</v>
      </c>
      <c r="B24" s="32">
        <f t="shared" si="56"/>
        <v>7</v>
      </c>
      <c r="C24" s="62">
        <f t="shared" si="17"/>
        <v>2</v>
      </c>
      <c r="D24" s="64">
        <f t="shared" si="18"/>
        <v>2.083333333333333</v>
      </c>
      <c r="E24" s="28">
        <f t="shared" si="2"/>
        <v>2</v>
      </c>
      <c r="G24" s="68">
        <f>INDEX(Others!$D$11:$E$60, MATCH(C24, Others!$A$11:$A$60, 0), MATCH(G$3, Others!$D$10:$E$10, 0))</f>
        <v>2.9172929570659312E-2</v>
      </c>
      <c r="H24" s="16">
        <f t="shared" si="57"/>
        <v>2.3991649580110685E-3</v>
      </c>
      <c r="I24" s="69">
        <f t="shared" si="58"/>
        <v>0.95817457924438487</v>
      </c>
      <c r="K24" s="80">
        <f>INDEX(Mortality!$B$7:$F$32, MATCH( E24,Mortality!$A$7:$A$32, 0), MATCH( K$3,Mortality!$B$6:$F$6,0))</f>
        <v>0.33200000000000002</v>
      </c>
      <c r="L24" s="11">
        <f t="shared" si="3"/>
        <v>0</v>
      </c>
      <c r="M24" s="80">
        <f t="shared" si="21"/>
        <v>0.33200000000000002</v>
      </c>
      <c r="N24" s="76">
        <f>INDEX(Myopia!$H:$H, MATCH(E24, Myopia!$A:$A, 0)) * Trend_Factor^(A24)</f>
        <v>0</v>
      </c>
      <c r="O24" s="11">
        <f t="shared" si="4"/>
        <v>0</v>
      </c>
      <c r="P24" s="80">
        <f t="shared" si="22"/>
        <v>0</v>
      </c>
      <c r="Q24" s="76">
        <f>VLOOKUP(C24,Others!$L$10:$M$61,2)</f>
        <v>0</v>
      </c>
      <c r="R24" s="11">
        <f t="shared" si="5"/>
        <v>0</v>
      </c>
      <c r="S24" s="80">
        <f t="shared" si="23"/>
        <v>0</v>
      </c>
      <c r="T24" s="78">
        <f t="shared" si="24"/>
        <v>2.7666666666666667E-5</v>
      </c>
      <c r="U24" s="81">
        <f t="shared" si="25"/>
        <v>0</v>
      </c>
      <c r="V24" s="81">
        <f t="shared" si="26"/>
        <v>0</v>
      </c>
      <c r="W24" s="77">
        <f t="shared" si="6"/>
        <v>0.99950494910051446</v>
      </c>
      <c r="X24" s="82">
        <f t="shared" si="27"/>
        <v>2.7652970258447566E-5</v>
      </c>
      <c r="Y24" s="82">
        <f t="shared" si="28"/>
        <v>0</v>
      </c>
      <c r="Z24" s="82">
        <f t="shared" si="29"/>
        <v>0</v>
      </c>
      <c r="AA24" s="82">
        <f t="shared" si="30"/>
        <v>0.99947729613025604</v>
      </c>
      <c r="AC24" s="46">
        <f t="shared" si="7"/>
        <v>0</v>
      </c>
      <c r="AD24" s="15">
        <f t="shared" si="31"/>
        <v>0</v>
      </c>
      <c r="AE24" s="46">
        <f t="shared" si="32"/>
        <v>0</v>
      </c>
      <c r="AF24" s="15">
        <f t="shared" si="33"/>
        <v>0</v>
      </c>
      <c r="AG24" s="46">
        <f>SUMPRODUCT(AE25:AE$605, $I24:$I$604) / $I24</f>
        <v>0</v>
      </c>
      <c r="AI24" s="46">
        <f t="shared" si="8"/>
        <v>-47000</v>
      </c>
      <c r="AJ24" s="46">
        <f>IF(E24&gt;Mat_Year,0,  -SUM($AD$5:AD24))</f>
        <v>-9306</v>
      </c>
      <c r="AK24" s="24">
        <f t="shared" si="34"/>
        <v>-0.25733854122511307</v>
      </c>
      <c r="AL24" s="79">
        <f t="shared" si="35"/>
        <v>0</v>
      </c>
      <c r="AM24" s="24">
        <f t="shared" si="36"/>
        <v>-0.25746600000000003</v>
      </c>
      <c r="AN24" s="79">
        <f t="shared" si="37"/>
        <v>-0.25733854122511307</v>
      </c>
      <c r="AO24" s="15">
        <f t="shared" si="38"/>
        <v>-6766.6570271918945</v>
      </c>
      <c r="AP24" s="46">
        <f>SUMPRODUCT(AN25:AN$605, $I25:$I$605) / $I24</f>
        <v>-6763.3071875440728</v>
      </c>
      <c r="AR24" s="46">
        <v>0</v>
      </c>
      <c r="AS24" s="46">
        <v>0</v>
      </c>
      <c r="AT24" s="46">
        <v>0</v>
      </c>
      <c r="AU24" s="95">
        <f t="shared" si="9"/>
        <v>-1.7803277030846043</v>
      </c>
      <c r="AV24" s="47">
        <f t="shared" si="10"/>
        <v>0</v>
      </c>
      <c r="AW24" s="96">
        <f t="shared" si="59"/>
        <v>-1.7803277030846043</v>
      </c>
      <c r="AX24" s="95">
        <f t="shared" si="11"/>
        <v>-20.414424328703461</v>
      </c>
      <c r="AY24" s="11">
        <f t="shared" si="12"/>
        <v>0</v>
      </c>
      <c r="AZ24" s="96">
        <f t="shared" si="60"/>
        <v>-20.414424328703461</v>
      </c>
      <c r="BA24" s="95">
        <f t="shared" si="61"/>
        <v>-1.7794463502538131</v>
      </c>
      <c r="BB24" s="64">
        <f t="shared" si="62"/>
        <v>-5.6451946880496521E-4</v>
      </c>
      <c r="BC24" s="95">
        <f t="shared" si="63"/>
        <v>-1.7803277030846043</v>
      </c>
      <c r="BD24" s="96">
        <f t="shared" si="64"/>
        <v>-5.64799073094129E-4</v>
      </c>
      <c r="BE24" s="96">
        <f t="shared" si="65"/>
        <v>-1.7794463502538131</v>
      </c>
      <c r="BF24" s="96">
        <f t="shared" si="66"/>
        <v>-5.6451946880496521E-4</v>
      </c>
      <c r="BG24" s="15">
        <f t="shared" si="47"/>
        <v>-290.58688090237445</v>
      </c>
      <c r="BH24" s="46">
        <f>(SUMPRODUCT(BE25:BE$605,$I24:$I$604)+SUMPRODUCT(BF25:BF$605,$I25:$I$605)) / $I24</f>
        <v>-290.44302560560504</v>
      </c>
      <c r="BJ24" s="46">
        <f t="shared" si="48"/>
        <v>-1.7794463502538131</v>
      </c>
      <c r="BK24" s="46">
        <f t="shared" si="49"/>
        <v>-0.25790306069391805</v>
      </c>
      <c r="BM24" s="49">
        <f t="shared" si="50"/>
        <v>7057.4391639111291</v>
      </c>
      <c r="BN24" s="46">
        <f t="shared" si="51"/>
        <v>7053.7502131496703</v>
      </c>
      <c r="BP24" s="46">
        <f>Reserve!BX24</f>
        <v>9698.6309675155135</v>
      </c>
      <c r="BQ24" s="46">
        <f t="shared" si="13"/>
        <v>9693.5614555775737</v>
      </c>
      <c r="BR24" s="15">
        <f t="shared" si="52"/>
        <v>-15.225606828780656</v>
      </c>
      <c r="BT24" s="49">
        <f t="shared" si="53"/>
        <v>23.227153658163189</v>
      </c>
      <c r="BU24" s="46">
        <f t="shared" si="54"/>
        <v>23.215655034852226</v>
      </c>
      <c r="BV24" s="46">
        <f>SUMPRODUCT(BU25:BU$605, $I25:$I$605) / $I24</f>
        <v>3415.5102042336007</v>
      </c>
      <c r="BX24" s="46">
        <f>-BZ24*Others!$Q$43</f>
        <v>-1.5238908915517031</v>
      </c>
      <c r="BZ24" s="50">
        <f t="shared" si="0"/>
        <v>5.9526987951238404</v>
      </c>
      <c r="CA24" s="46">
        <f t="shared" si="55"/>
        <v>4.4288079035721371</v>
      </c>
      <c r="CB24" s="46">
        <f t="shared" si="14"/>
        <v>4.4288079035721371</v>
      </c>
      <c r="CD24" s="46">
        <f>SUMPRODUCT(BZ25:BZ$605, $I25:$I$605) / $I24</f>
        <v>2639.8112424278984</v>
      </c>
      <c r="CE24" s="46">
        <f>SUMPRODUCT(CA25:CA$605, $I25:$I$605) / $I24</f>
        <v>1964.0195643663531</v>
      </c>
      <c r="CF24" s="46">
        <f>SUMPRODUCT(CB25:CB$605, $I25:$I$605) / $I24</f>
        <v>1964.0195643663531</v>
      </c>
      <c r="CH24" s="46">
        <f t="shared" si="15"/>
        <v>37301.369032484487</v>
      </c>
      <c r="CI24" s="46">
        <f t="shared" si="16"/>
        <v>0</v>
      </c>
      <c r="CK24" s="46">
        <f>NPV((1+CK$3)^(1/12)-1,$CB$6:$CB24)+$CB$5</f>
        <v>-638.00690591293642</v>
      </c>
      <c r="CL24" s="46">
        <f>NPV((1+CL$3)^(1/12)-1,$CB$6:$CB24)+$CB$5</f>
        <v>-639.23634064650832</v>
      </c>
      <c r="CM24" s="46">
        <f>NPV((1+CM$3)^(1/12)-1,$CB$6:$CB24)+$CB$5</f>
        <v>-642.10553961188623</v>
      </c>
      <c r="CN24" s="46">
        <f>NPV((1+CN$3)^(1/12)-1,$CB$6:$CB24)+$CB$5</f>
        <v>-642.10553961188623</v>
      </c>
    </row>
    <row r="25" spans="1:92" x14ac:dyDescent="0.25">
      <c r="A25" s="61">
        <f t="shared" si="1"/>
        <v>1.6666666666666661</v>
      </c>
      <c r="B25" s="32">
        <f t="shared" si="56"/>
        <v>8</v>
      </c>
      <c r="C25" s="62">
        <f t="shared" si="17"/>
        <v>2</v>
      </c>
      <c r="D25" s="64">
        <f t="shared" si="18"/>
        <v>2.1666666666666661</v>
      </c>
      <c r="E25" s="28">
        <f t="shared" si="2"/>
        <v>2</v>
      </c>
      <c r="G25" s="68">
        <f>INDEX(Others!$D$11:$E$60, MATCH(C25, Others!$A$11:$A$60, 0), MATCH(G$3, Others!$D$10:$E$10, 0))</f>
        <v>2.9172929570659312E-2</v>
      </c>
      <c r="H25" s="16">
        <f t="shared" si="57"/>
        <v>2.3991649580110685E-3</v>
      </c>
      <c r="I25" s="69">
        <f t="shared" si="58"/>
        <v>0.95588126241557803</v>
      </c>
      <c r="K25" s="80">
        <f>INDEX(Mortality!$B$7:$F$32, MATCH( E25,Mortality!$A$7:$A$32, 0), MATCH( K$3,Mortality!$B$6:$F$6,0))</f>
        <v>0.33200000000000002</v>
      </c>
      <c r="L25" s="11">
        <f t="shared" si="3"/>
        <v>0</v>
      </c>
      <c r="M25" s="80">
        <f t="shared" si="21"/>
        <v>0.33200000000000002</v>
      </c>
      <c r="N25" s="76">
        <f>INDEX(Myopia!$H:$H, MATCH(E25, Myopia!$A:$A, 0)) * Trend_Factor^(A25)</f>
        <v>0</v>
      </c>
      <c r="O25" s="11">
        <f t="shared" si="4"/>
        <v>0</v>
      </c>
      <c r="P25" s="80">
        <f t="shared" si="22"/>
        <v>0</v>
      </c>
      <c r="Q25" s="76">
        <f>VLOOKUP(C25,Others!$L$10:$M$61,2)</f>
        <v>0</v>
      </c>
      <c r="R25" s="11">
        <f t="shared" si="5"/>
        <v>0</v>
      </c>
      <c r="S25" s="80">
        <f t="shared" si="23"/>
        <v>0</v>
      </c>
      <c r="T25" s="78">
        <f t="shared" si="24"/>
        <v>2.7666666666666667E-5</v>
      </c>
      <c r="U25" s="81">
        <f t="shared" si="25"/>
        <v>0</v>
      </c>
      <c r="V25" s="81">
        <f t="shared" si="26"/>
        <v>0</v>
      </c>
      <c r="W25" s="77">
        <f t="shared" si="6"/>
        <v>0.99947729613025604</v>
      </c>
      <c r="X25" s="82">
        <f t="shared" si="27"/>
        <v>2.7652205192937083E-5</v>
      </c>
      <c r="Y25" s="82">
        <f t="shared" si="28"/>
        <v>0</v>
      </c>
      <c r="Z25" s="82">
        <f t="shared" si="29"/>
        <v>0</v>
      </c>
      <c r="AA25" s="82">
        <f t="shared" si="30"/>
        <v>0.99944964392506308</v>
      </c>
      <c r="AC25" s="46">
        <f t="shared" si="7"/>
        <v>0</v>
      </c>
      <c r="AD25" s="15">
        <f t="shared" si="31"/>
        <v>0</v>
      </c>
      <c r="AE25" s="46">
        <f t="shared" si="32"/>
        <v>0</v>
      </c>
      <c r="AF25" s="15">
        <f t="shared" si="33"/>
        <v>0</v>
      </c>
      <c r="AG25" s="46">
        <f>SUMPRODUCT(AE26:AE$605, $I25:$I$604) / $I25</f>
        <v>0</v>
      </c>
      <c r="AI25" s="46">
        <f t="shared" si="8"/>
        <v>-47000</v>
      </c>
      <c r="AJ25" s="46">
        <f>IF(E25&gt;Mat_Year,0,  -SUM($AD$5:AD25))</f>
        <v>-9306</v>
      </c>
      <c r="AK25" s="24">
        <f t="shared" si="34"/>
        <v>-0.2573314215254725</v>
      </c>
      <c r="AL25" s="79">
        <f t="shared" si="35"/>
        <v>0</v>
      </c>
      <c r="AM25" s="24">
        <f t="shared" si="36"/>
        <v>-0.25746600000000003</v>
      </c>
      <c r="AN25" s="79">
        <f t="shared" si="37"/>
        <v>-0.2573314215254725</v>
      </c>
      <c r="AO25" s="15">
        <f t="shared" si="38"/>
        <v>-6782.8215528005985</v>
      </c>
      <c r="AP25" s="46">
        <f>SUMPRODUCT(AN26:AN$605, $I26:$I$605) / $I25</f>
        <v>-6779.2761457271672</v>
      </c>
      <c r="AR25" s="46">
        <v>0</v>
      </c>
      <c r="AS25" s="46">
        <v>0</v>
      </c>
      <c r="AT25" s="46">
        <v>0</v>
      </c>
      <c r="AU25" s="95">
        <f t="shared" si="9"/>
        <v>-1.7823182848470029</v>
      </c>
      <c r="AV25" s="47">
        <f t="shared" si="10"/>
        <v>0</v>
      </c>
      <c r="AW25" s="96">
        <f t="shared" si="59"/>
        <v>-1.7823182848470029</v>
      </c>
      <c r="AX25" s="95">
        <f t="shared" si="11"/>
        <v>-20.437249666245631</v>
      </c>
      <c r="AY25" s="11">
        <f t="shared" si="12"/>
        <v>0</v>
      </c>
      <c r="AZ25" s="96">
        <f t="shared" si="60"/>
        <v>-20.437249666245631</v>
      </c>
      <c r="BA25" s="95">
        <f t="shared" si="61"/>
        <v>-1.781386660182398</v>
      </c>
      <c r="BB25" s="64">
        <f t="shared" si="62"/>
        <v>-5.6513502135030914E-4</v>
      </c>
      <c r="BC25" s="95">
        <f t="shared" si="63"/>
        <v>-1.7823182848470029</v>
      </c>
      <c r="BD25" s="96">
        <f t="shared" si="64"/>
        <v>-5.6543057409946243E-4</v>
      </c>
      <c r="BE25" s="96">
        <f t="shared" si="65"/>
        <v>-1.781386660182398</v>
      </c>
      <c r="BF25" s="96">
        <f t="shared" si="66"/>
        <v>-5.6513502135030914E-4</v>
      </c>
      <c r="BG25" s="15">
        <f t="shared" si="47"/>
        <v>-289.50494605489405</v>
      </c>
      <c r="BH25" s="46">
        <f>(SUMPRODUCT(BE26:BE$605,$I25:$I$604)+SUMPRODUCT(BF26:BF$605,$I26:$I$605)) / $I25</f>
        <v>-289.35362069928112</v>
      </c>
      <c r="BJ25" s="46">
        <f t="shared" si="48"/>
        <v>-1.781386660182398</v>
      </c>
      <c r="BK25" s="46">
        <f t="shared" si="49"/>
        <v>-0.25789655654682281</v>
      </c>
      <c r="BM25" s="49">
        <f t="shared" si="50"/>
        <v>7072.5221719689107</v>
      </c>
      <c r="BN25" s="46">
        <f t="shared" si="51"/>
        <v>7068.6297664264412</v>
      </c>
      <c r="BP25" s="46">
        <f>Reserve!BX25</f>
        <v>9714.1570636602992</v>
      </c>
      <c r="BQ25" s="46">
        <f t="shared" si="13"/>
        <v>9708.8108183074219</v>
      </c>
      <c r="BR25" s="15">
        <f t="shared" si="52"/>
        <v>-15.249362729848144</v>
      </c>
      <c r="BT25" s="49">
        <f t="shared" si="53"/>
        <v>23.264339482371174</v>
      </c>
      <c r="BU25" s="46">
        <f t="shared" si="54"/>
        <v>23.252179122096702</v>
      </c>
      <c r="BV25" s="46">
        <f>SUMPRODUCT(BU26:BU$605, $I26:$I$605) / $I25</f>
        <v>3400.4523975072307</v>
      </c>
      <c r="BX25" s="46">
        <f>-BZ25*Others!$Q$43</f>
        <v>-1.5266644929329505</v>
      </c>
      <c r="BZ25" s="50">
        <f t="shared" si="0"/>
        <v>5.9635331755193377</v>
      </c>
      <c r="CA25" s="46">
        <f t="shared" si="55"/>
        <v>4.436868682586387</v>
      </c>
      <c r="CB25" s="46">
        <f t="shared" si="14"/>
        <v>4.436868682586387</v>
      </c>
      <c r="CD25" s="46">
        <f>SUMPRODUCT(BZ26:BZ$605, $I26:$I$605) / $I25</f>
        <v>2640.1810518809757</v>
      </c>
      <c r="CE25" s="46">
        <f>SUMPRODUCT(CA26:CA$605, $I26:$I$605) / $I25</f>
        <v>1964.2947025994426</v>
      </c>
      <c r="CF25" s="46">
        <f>SUMPRODUCT(CB26:CB$605, $I26:$I$605) / $I25</f>
        <v>1964.2947025994426</v>
      </c>
      <c r="CH25" s="46">
        <f t="shared" si="15"/>
        <v>37285.842936339701</v>
      </c>
      <c r="CI25" s="46">
        <f t="shared" si="16"/>
        <v>0</v>
      </c>
      <c r="CK25" s="46">
        <f>NPV((1+CK$3)^(1/12)-1,$CB$6:$CB25)+$CB$5</f>
        <v>-633.78332128421641</v>
      </c>
      <c r="CL25" s="46">
        <f>NPV((1+CL$3)^(1/12)-1,$CB$6:$CB25)+$CB$5</f>
        <v>-635.14598494161339</v>
      </c>
      <c r="CM25" s="46">
        <f>NPV((1+CM$3)^(1/12)-1,$CB$6:$CB25)+$CB$5</f>
        <v>-638.32034017723754</v>
      </c>
      <c r="CN25" s="46">
        <f>NPV((1+CN$3)^(1/12)-1,$CB$6:$CB25)+$CB$5</f>
        <v>-638.32034017723754</v>
      </c>
    </row>
    <row r="26" spans="1:92" x14ac:dyDescent="0.25">
      <c r="A26" s="61">
        <f t="shared" si="1"/>
        <v>1.7499999999999993</v>
      </c>
      <c r="B26" s="32">
        <f t="shared" si="56"/>
        <v>9</v>
      </c>
      <c r="C26" s="62">
        <f t="shared" si="17"/>
        <v>2</v>
      </c>
      <c r="D26" s="64">
        <f t="shared" si="18"/>
        <v>2.2499999999999991</v>
      </c>
      <c r="E26" s="28">
        <f t="shared" si="2"/>
        <v>2</v>
      </c>
      <c r="G26" s="68">
        <f>INDEX(Others!$D$11:$E$60, MATCH(C26, Others!$A$11:$A$60, 0), MATCH(G$3, Others!$D$10:$E$10, 0))</f>
        <v>2.9172929570659312E-2</v>
      </c>
      <c r="H26" s="16">
        <f t="shared" si="57"/>
        <v>2.3991649580110685E-3</v>
      </c>
      <c r="I26" s="69">
        <f t="shared" si="58"/>
        <v>0.95359343446342393</v>
      </c>
      <c r="K26" s="80">
        <f>INDEX(Mortality!$B$7:$F$32, MATCH( E26,Mortality!$A$7:$A$32, 0), MATCH( K$3,Mortality!$B$6:$F$6,0))</f>
        <v>0.33200000000000002</v>
      </c>
      <c r="L26" s="11">
        <f t="shared" si="3"/>
        <v>0</v>
      </c>
      <c r="M26" s="80">
        <f t="shared" si="21"/>
        <v>0.33200000000000002</v>
      </c>
      <c r="N26" s="76">
        <f>INDEX(Myopia!$H:$H, MATCH(E26, Myopia!$A:$A, 0)) * Trend_Factor^(A26)</f>
        <v>0</v>
      </c>
      <c r="O26" s="11">
        <f t="shared" si="4"/>
        <v>0</v>
      </c>
      <c r="P26" s="80">
        <f t="shared" si="22"/>
        <v>0</v>
      </c>
      <c r="Q26" s="76">
        <f>VLOOKUP(C26,Others!$L$10:$M$61,2)</f>
        <v>0</v>
      </c>
      <c r="R26" s="11">
        <f t="shared" si="5"/>
        <v>0</v>
      </c>
      <c r="S26" s="80">
        <f t="shared" si="23"/>
        <v>0</v>
      </c>
      <c r="T26" s="78">
        <f t="shared" si="24"/>
        <v>2.7666666666666667E-5</v>
      </c>
      <c r="U26" s="81">
        <f t="shared" si="25"/>
        <v>0</v>
      </c>
      <c r="V26" s="81">
        <f t="shared" si="26"/>
        <v>0</v>
      </c>
      <c r="W26" s="77">
        <f t="shared" si="6"/>
        <v>0.99944964392506308</v>
      </c>
      <c r="X26" s="82">
        <f t="shared" si="27"/>
        <v>2.7651440148593411E-5</v>
      </c>
      <c r="Y26" s="82">
        <f t="shared" si="28"/>
        <v>0</v>
      </c>
      <c r="Z26" s="82">
        <f t="shared" si="29"/>
        <v>0</v>
      </c>
      <c r="AA26" s="82">
        <f t="shared" si="30"/>
        <v>0.99942199248491448</v>
      </c>
      <c r="AC26" s="46">
        <f t="shared" si="7"/>
        <v>0</v>
      </c>
      <c r="AD26" s="15">
        <f t="shared" si="31"/>
        <v>0</v>
      </c>
      <c r="AE26" s="46">
        <f t="shared" si="32"/>
        <v>0</v>
      </c>
      <c r="AF26" s="15">
        <f t="shared" si="33"/>
        <v>0</v>
      </c>
      <c r="AG26" s="46">
        <f>SUMPRODUCT(AE27:AE$605, $I26:$I$604) / $I26</f>
        <v>0</v>
      </c>
      <c r="AI26" s="46">
        <f t="shared" si="8"/>
        <v>-47000</v>
      </c>
      <c r="AJ26" s="46">
        <f>IF(E26&gt;Mat_Year,0,  -SUM($AD$5:AD26))</f>
        <v>-9306</v>
      </c>
      <c r="AK26" s="24">
        <f t="shared" si="34"/>
        <v>-0.25732430202281031</v>
      </c>
      <c r="AL26" s="79">
        <f t="shared" si="35"/>
        <v>0</v>
      </c>
      <c r="AM26" s="24">
        <f t="shared" si="36"/>
        <v>-0.25746600000000003</v>
      </c>
      <c r="AN26" s="79">
        <f t="shared" si="37"/>
        <v>-0.25732430202281031</v>
      </c>
      <c r="AO26" s="15">
        <f t="shared" si="38"/>
        <v>-6799.0253080766042</v>
      </c>
      <c r="AP26" s="46">
        <f>SUMPRODUCT(AN27:AN$605, $I27:$I$605) / $I26</f>
        <v>-6795.2834231946545</v>
      </c>
      <c r="AR26" s="46">
        <v>0</v>
      </c>
      <c r="AS26" s="46">
        <v>0</v>
      </c>
      <c r="AT26" s="46">
        <v>0</v>
      </c>
      <c r="AU26" s="95">
        <f t="shared" si="9"/>
        <v>-1.784311092275916</v>
      </c>
      <c r="AV26" s="47">
        <f t="shared" si="10"/>
        <v>0</v>
      </c>
      <c r="AW26" s="96">
        <f t="shared" si="59"/>
        <v>-1.784311092275916</v>
      </c>
      <c r="AX26" s="95">
        <f t="shared" si="11"/>
        <v>-20.460100524763835</v>
      </c>
      <c r="AY26" s="11">
        <f t="shared" si="12"/>
        <v>0</v>
      </c>
      <c r="AZ26" s="96">
        <f t="shared" si="60"/>
        <v>-20.460100524763835</v>
      </c>
      <c r="BA26" s="95">
        <f t="shared" si="61"/>
        <v>-1.7833290858267046</v>
      </c>
      <c r="BB26" s="64">
        <f t="shared" si="62"/>
        <v>-5.6575124509471186E-4</v>
      </c>
      <c r="BC26" s="95">
        <f t="shared" si="63"/>
        <v>-1.784311092275916</v>
      </c>
      <c r="BD26" s="96">
        <f t="shared" si="64"/>
        <v>-5.6606278118513274E-4</v>
      </c>
      <c r="BE26" s="96">
        <f t="shared" si="65"/>
        <v>-1.7833290858267046</v>
      </c>
      <c r="BF26" s="96">
        <f t="shared" si="66"/>
        <v>-5.6575124509471186E-4</v>
      </c>
      <c r="BG26" s="15">
        <f t="shared" si="47"/>
        <v>-288.41838724035466</v>
      </c>
      <c r="BH26" s="46">
        <f>(SUMPRODUCT(BE27:BE$605,$I26:$I$604)+SUMPRODUCT(BF27:BF$605,$I27:$I$605)) / $I26</f>
        <v>-288.25965442881341</v>
      </c>
      <c r="BJ26" s="46">
        <f t="shared" si="48"/>
        <v>-1.7833290858267046</v>
      </c>
      <c r="BK26" s="46">
        <f t="shared" si="49"/>
        <v>-0.25789005326790504</v>
      </c>
      <c r="BM26" s="49">
        <f t="shared" si="50"/>
        <v>7087.6397866843827</v>
      </c>
      <c r="BN26" s="46">
        <f t="shared" si="51"/>
        <v>7083.5430776234598</v>
      </c>
      <c r="BP26" s="46">
        <f>Reserve!BX26</f>
        <v>9729.7078168993994</v>
      </c>
      <c r="BQ26" s="46">
        <f t="shared" si="13"/>
        <v>9724.083972661645</v>
      </c>
      <c r="BR26" s="15">
        <f t="shared" si="52"/>
        <v>-15.273154354223152</v>
      </c>
      <c r="BT26" s="49">
        <f t="shared" si="53"/>
        <v>23.301584367102706</v>
      </c>
      <c r="BU26" s="46">
        <f t="shared" si="54"/>
        <v>23.288760198590616</v>
      </c>
      <c r="BV26" s="46">
        <f>SUMPRODUCT(BU27:BU$605, $I27:$I$605) / $I26</f>
        <v>3385.3218835421244</v>
      </c>
      <c r="BX26" s="46">
        <f>-BZ26*Others!$Q$43</f>
        <v>-1.5294429965498513</v>
      </c>
      <c r="BZ26" s="50">
        <f t="shared" si="0"/>
        <v>5.9743867052728561</v>
      </c>
      <c r="CA26" s="46">
        <f t="shared" si="55"/>
        <v>4.444943708723005</v>
      </c>
      <c r="CB26" s="46">
        <f t="shared" si="14"/>
        <v>4.444943708723005</v>
      </c>
      <c r="CD26" s="46">
        <f>SUMPRODUCT(BZ27:BZ$605, $I27:$I$605) / $I26</f>
        <v>2640.5408950381807</v>
      </c>
      <c r="CE26" s="46">
        <f>SUMPRODUCT(CA27:CA$605, $I27:$I$605) / $I26</f>
        <v>1964.5624259084032</v>
      </c>
      <c r="CF26" s="46">
        <f>SUMPRODUCT(CB27:CB$605, $I27:$I$605) / $I26</f>
        <v>1964.5624259084032</v>
      </c>
      <c r="CH26" s="46">
        <f t="shared" si="15"/>
        <v>37270.292183100602</v>
      </c>
      <c r="CI26" s="46">
        <f t="shared" si="16"/>
        <v>0</v>
      </c>
      <c r="CK26" s="46">
        <f>NPV((1+CK$3)^(1/12)-1,$CB$6:$CB26)+$CB$5</f>
        <v>-629.56245958635736</v>
      </c>
      <c r="CL26" s="46">
        <f>NPV((1+CL$3)^(1/12)-1,$CB$6:$CB26)+$CB$5</f>
        <v>-631.0648120618489</v>
      </c>
      <c r="CM26" s="46">
        <f>NPV((1+CM$3)^(1/12)-1,$CB$6:$CB26)+$CB$5</f>
        <v>-634.55825116954077</v>
      </c>
      <c r="CN26" s="46">
        <f>NPV((1+CN$3)^(1/12)-1,$CB$6:$CB26)+$CB$5</f>
        <v>-634.55825116954077</v>
      </c>
    </row>
    <row r="27" spans="1:92" x14ac:dyDescent="0.25">
      <c r="A27" s="61">
        <f t="shared" si="1"/>
        <v>1.8333333333333326</v>
      </c>
      <c r="B27" s="32">
        <f t="shared" si="56"/>
        <v>10</v>
      </c>
      <c r="C27" s="62">
        <f t="shared" si="17"/>
        <v>2</v>
      </c>
      <c r="D27" s="64">
        <f t="shared" si="18"/>
        <v>2.3333333333333326</v>
      </c>
      <c r="E27" s="28">
        <f t="shared" si="2"/>
        <v>2</v>
      </c>
      <c r="G27" s="68">
        <f>INDEX(Others!$D$11:$E$60, MATCH(C27, Others!$A$11:$A$60, 0), MATCH(G$3, Others!$D$10:$E$10, 0))</f>
        <v>2.9172929570659312E-2</v>
      </c>
      <c r="H27" s="16">
        <f t="shared" si="57"/>
        <v>2.3991649580110685E-3</v>
      </c>
      <c r="I27" s="69">
        <f t="shared" si="58"/>
        <v>0.95131108225072036</v>
      </c>
      <c r="K27" s="80">
        <f>INDEX(Mortality!$B$7:$F$32, MATCH( E27,Mortality!$A$7:$A$32, 0), MATCH( K$3,Mortality!$B$6:$F$6,0))</f>
        <v>0.33200000000000002</v>
      </c>
      <c r="L27" s="11">
        <f t="shared" si="3"/>
        <v>0</v>
      </c>
      <c r="M27" s="80">
        <f t="shared" si="21"/>
        <v>0.33200000000000002</v>
      </c>
      <c r="N27" s="76">
        <f>INDEX(Myopia!$H:$H, MATCH(E27, Myopia!$A:$A, 0)) * Trend_Factor^(A27)</f>
        <v>0</v>
      </c>
      <c r="O27" s="11">
        <f t="shared" si="4"/>
        <v>0</v>
      </c>
      <c r="P27" s="80">
        <f t="shared" si="22"/>
        <v>0</v>
      </c>
      <c r="Q27" s="76">
        <f>VLOOKUP(C27,Others!$L$10:$M$61,2)</f>
        <v>0</v>
      </c>
      <c r="R27" s="11">
        <f t="shared" si="5"/>
        <v>0</v>
      </c>
      <c r="S27" s="80">
        <f t="shared" si="23"/>
        <v>0</v>
      </c>
      <c r="T27" s="78">
        <f t="shared" si="24"/>
        <v>2.7666666666666667E-5</v>
      </c>
      <c r="U27" s="81">
        <f t="shared" si="25"/>
        <v>0</v>
      </c>
      <c r="V27" s="81">
        <f t="shared" si="26"/>
        <v>0</v>
      </c>
      <c r="W27" s="77">
        <f t="shared" si="6"/>
        <v>0.99942199248491448</v>
      </c>
      <c r="X27" s="82">
        <f t="shared" si="27"/>
        <v>2.7650675125415968E-5</v>
      </c>
      <c r="Y27" s="82">
        <f t="shared" si="28"/>
        <v>0</v>
      </c>
      <c r="Z27" s="82">
        <f t="shared" si="29"/>
        <v>0</v>
      </c>
      <c r="AA27" s="82">
        <f t="shared" si="30"/>
        <v>0.99939434180978903</v>
      </c>
      <c r="AC27" s="46">
        <f t="shared" si="7"/>
        <v>0</v>
      </c>
      <c r="AD27" s="15">
        <f t="shared" si="31"/>
        <v>0</v>
      </c>
      <c r="AE27" s="46">
        <f t="shared" si="32"/>
        <v>0</v>
      </c>
      <c r="AF27" s="15">
        <f t="shared" si="33"/>
        <v>0</v>
      </c>
      <c r="AG27" s="46">
        <f>SUMPRODUCT(AE28:AE$605, $I27:$I$604) / $I27</f>
        <v>0</v>
      </c>
      <c r="AI27" s="46">
        <f t="shared" si="8"/>
        <v>-47000</v>
      </c>
      <c r="AJ27" s="46">
        <f>IF(E27&gt;Mat_Year,0,  -SUM($AD$5:AD27))</f>
        <v>-9306</v>
      </c>
      <c r="AK27" s="24">
        <f t="shared" si="34"/>
        <v>-0.25731718271712101</v>
      </c>
      <c r="AL27" s="79">
        <f t="shared" si="35"/>
        <v>0</v>
      </c>
      <c r="AM27" s="24">
        <f t="shared" si="36"/>
        <v>-0.25746600000000003</v>
      </c>
      <c r="AN27" s="79">
        <f t="shared" si="37"/>
        <v>-0.25731718271712101</v>
      </c>
      <c r="AO27" s="15">
        <f t="shared" si="38"/>
        <v>-6815.2683882263391</v>
      </c>
      <c r="AP27" s="46">
        <f>SUMPRODUCT(AN28:AN$605, $I28:$I$605) / $I27</f>
        <v>-6811.3291118806192</v>
      </c>
      <c r="AR27" s="46">
        <v>0</v>
      </c>
      <c r="AS27" s="46">
        <v>0</v>
      </c>
      <c r="AT27" s="46">
        <v>0</v>
      </c>
      <c r="AU27" s="95">
        <f t="shared" si="9"/>
        <v>-1.7863061278598571</v>
      </c>
      <c r="AV27" s="47">
        <f t="shared" si="10"/>
        <v>0</v>
      </c>
      <c r="AW27" s="96">
        <f t="shared" si="59"/>
        <v>-1.7863061278598571</v>
      </c>
      <c r="AX27" s="95">
        <f t="shared" si="11"/>
        <v>-20.482976932793026</v>
      </c>
      <c r="AY27" s="11">
        <f t="shared" si="12"/>
        <v>0</v>
      </c>
      <c r="AZ27" s="96">
        <f t="shared" si="60"/>
        <v>-20.482976932793026</v>
      </c>
      <c r="BA27" s="95">
        <f t="shared" si="61"/>
        <v>-1.7852736294937108</v>
      </c>
      <c r="BB27" s="64">
        <f t="shared" si="62"/>
        <v>-5.6636814077004919E-4</v>
      </c>
      <c r="BC27" s="95">
        <f t="shared" si="63"/>
        <v>-1.7863061278598571</v>
      </c>
      <c r="BD27" s="96">
        <f t="shared" si="64"/>
        <v>-5.6669569514060706E-4</v>
      </c>
      <c r="BE27" s="96">
        <f t="shared" si="65"/>
        <v>-1.7852736294937108</v>
      </c>
      <c r="BF27" s="96">
        <f t="shared" si="66"/>
        <v>-5.6636814077004919E-4</v>
      </c>
      <c r="BG27" s="15">
        <f t="shared" si="47"/>
        <v>-287.32719100264859</v>
      </c>
      <c r="BH27" s="46">
        <f>(SUMPRODUCT(BE28:BE$605,$I27:$I$604)+SUMPRODUCT(BF28:BF$605,$I28:$I$605)) / $I27</f>
        <v>-287.16111372696065</v>
      </c>
      <c r="BJ27" s="46">
        <f t="shared" ref="BJ27:BJ90" si="67">SUM(AE27,BE27)</f>
        <v>-1.7852736294937108</v>
      </c>
      <c r="BK27" s="46">
        <f t="shared" ref="BK27:BK90" si="68">SUM(AN27,BF27)</f>
        <v>-0.25788355085789105</v>
      </c>
      <c r="BM27" s="49">
        <f t="shared" si="50"/>
        <v>7102.7920898101311</v>
      </c>
      <c r="BN27" s="46">
        <f t="shared" ref="BN27:BN90" si="69">MAX(BN28/(1+H28) - (BJ28 + BK28/(1+H28)),0)</f>
        <v>7098.490225607572</v>
      </c>
      <c r="BP27" s="46">
        <f>Reserve!BX27</f>
        <v>9745.2832650397104</v>
      </c>
      <c r="BQ27" s="46">
        <f t="shared" si="13"/>
        <v>9739.3809544143132</v>
      </c>
      <c r="BR27" s="15">
        <f t="shared" si="52"/>
        <v>-15.296981752668216</v>
      </c>
      <c r="BT27" s="49">
        <f t="shared" si="53"/>
        <v>23.338888402925171</v>
      </c>
      <c r="BU27" s="46">
        <f t="shared" si="54"/>
        <v>23.32539835003454</v>
      </c>
      <c r="BV27" s="46">
        <f>SUMPRODUCT(BU28:BU$605, $I28:$I$605) / $I27</f>
        <v>3370.118430826672</v>
      </c>
      <c r="BX27" s="46">
        <f>-BZ27*Others!$Q$43</f>
        <v>-1.5322264107557686</v>
      </c>
      <c r="BZ27" s="50">
        <f t="shared" si="0"/>
        <v>5.9852594170147206</v>
      </c>
      <c r="CA27" s="46">
        <f t="shared" si="55"/>
        <v>4.453033006258952</v>
      </c>
      <c r="CB27" s="46">
        <f t="shared" si="14"/>
        <v>4.453033006258952</v>
      </c>
      <c r="CD27" s="46">
        <f>SUMPRODUCT(BZ28:BZ$605, $I28:$I$605) / $I27</f>
        <v>2640.8907288067371</v>
      </c>
      <c r="CE27" s="46">
        <f>SUMPRODUCT(CA28:CA$605, $I28:$I$605) / $I27</f>
        <v>1964.8227022322089</v>
      </c>
      <c r="CF27" s="46">
        <f>SUMPRODUCT(CB28:CB$605, $I28:$I$605) / $I27</f>
        <v>1964.8227022322089</v>
      </c>
      <c r="CH27" s="46">
        <f t="shared" si="15"/>
        <v>37254.71673496029</v>
      </c>
      <c r="CI27" s="46">
        <f t="shared" si="16"/>
        <v>0</v>
      </c>
      <c r="CK27" s="46">
        <f>NPV((1+CK$3)^(1/12)-1,$CB$6:$CB27)+$CB$5</f>
        <v>-625.34431946648817</v>
      </c>
      <c r="CL27" s="46">
        <f>NPV((1+CL$3)^(1/12)-1,$CB$6:$CB27)+$CB$5</f>
        <v>-626.99280178047104</v>
      </c>
      <c r="CM27" s="46">
        <f>NPV((1+CM$3)^(1/12)-1,$CB$6:$CB27)+$CB$5</f>
        <v>-630.8191318456187</v>
      </c>
      <c r="CN27" s="46">
        <f>NPV((1+CN$3)^(1/12)-1,$CB$6:$CB27)+$CB$5</f>
        <v>-630.8191318456187</v>
      </c>
    </row>
    <row r="28" spans="1:92" x14ac:dyDescent="0.25">
      <c r="A28" s="61">
        <f t="shared" si="1"/>
        <v>1.9166666666666659</v>
      </c>
      <c r="B28" s="32">
        <f t="shared" si="56"/>
        <v>11</v>
      </c>
      <c r="C28" s="62">
        <f t="shared" si="17"/>
        <v>2</v>
      </c>
      <c r="D28" s="64">
        <f t="shared" si="18"/>
        <v>2.4166666666666661</v>
      </c>
      <c r="E28" s="28">
        <f t="shared" si="2"/>
        <v>2</v>
      </c>
      <c r="G28" s="68">
        <f>INDEX(Others!$D$11:$E$60, MATCH(C28, Others!$A$11:$A$60, 0), MATCH(G$3, Others!$D$10:$E$10, 0))</f>
        <v>2.9172929570659312E-2</v>
      </c>
      <c r="H28" s="16">
        <f t="shared" si="57"/>
        <v>2.3991649580110685E-3</v>
      </c>
      <c r="I28" s="69">
        <f t="shared" si="58"/>
        <v>0.94903419267170808</v>
      </c>
      <c r="K28" s="80">
        <f>INDEX(Mortality!$B$7:$F$32, MATCH( E28,Mortality!$A$7:$A$32, 0), MATCH( K$3,Mortality!$B$6:$F$6,0))</f>
        <v>0.33200000000000002</v>
      </c>
      <c r="L28" s="11">
        <f t="shared" si="3"/>
        <v>0</v>
      </c>
      <c r="M28" s="80">
        <f t="shared" si="21"/>
        <v>0.33200000000000002</v>
      </c>
      <c r="N28" s="76">
        <f>INDEX(Myopia!$H:$H, MATCH(E28, Myopia!$A:$A, 0)) * Trend_Factor^(A28)</f>
        <v>0</v>
      </c>
      <c r="O28" s="11">
        <f t="shared" si="4"/>
        <v>0</v>
      </c>
      <c r="P28" s="80">
        <f t="shared" si="22"/>
        <v>0</v>
      </c>
      <c r="Q28" s="76">
        <f>VLOOKUP(C28,Others!$L$10:$M$61,2)</f>
        <v>0</v>
      </c>
      <c r="R28" s="11">
        <f t="shared" si="5"/>
        <v>0</v>
      </c>
      <c r="S28" s="80">
        <f t="shared" si="23"/>
        <v>0</v>
      </c>
      <c r="T28" s="78">
        <f t="shared" si="24"/>
        <v>2.7666666666666667E-5</v>
      </c>
      <c r="U28" s="81">
        <f t="shared" si="25"/>
        <v>0</v>
      </c>
      <c r="V28" s="81">
        <f t="shared" si="26"/>
        <v>0</v>
      </c>
      <c r="W28" s="77">
        <f t="shared" si="6"/>
        <v>0.99939434180978903</v>
      </c>
      <c r="X28" s="82">
        <f t="shared" si="27"/>
        <v>2.7649910123404164E-5</v>
      </c>
      <c r="Y28" s="82">
        <f t="shared" si="28"/>
        <v>0</v>
      </c>
      <c r="Z28" s="82">
        <f t="shared" si="29"/>
        <v>0</v>
      </c>
      <c r="AA28" s="82">
        <f t="shared" si="30"/>
        <v>0.99936669189966565</v>
      </c>
      <c r="AC28" s="46">
        <f t="shared" si="7"/>
        <v>0</v>
      </c>
      <c r="AD28" s="15">
        <f t="shared" si="31"/>
        <v>0</v>
      </c>
      <c r="AE28" s="46">
        <f t="shared" si="32"/>
        <v>0</v>
      </c>
      <c r="AF28" s="15">
        <f t="shared" si="33"/>
        <v>0</v>
      </c>
      <c r="AG28" s="46">
        <f>SUMPRODUCT(AE29:AE$605, $I28:$I$604) / $I28</f>
        <v>0</v>
      </c>
      <c r="AI28" s="46">
        <f t="shared" si="8"/>
        <v>-47000</v>
      </c>
      <c r="AJ28" s="46">
        <f>IF(E28&gt;Mat_Year,0,  -SUM($AD$5:AD28))</f>
        <v>-9306</v>
      </c>
      <c r="AK28" s="24">
        <f t="shared" si="34"/>
        <v>-0.25731006360839914</v>
      </c>
      <c r="AL28" s="79">
        <f t="shared" si="35"/>
        <v>0</v>
      </c>
      <c r="AM28" s="24">
        <f t="shared" si="36"/>
        <v>-0.25746599999999997</v>
      </c>
      <c r="AN28" s="79">
        <f t="shared" si="37"/>
        <v>-0.25731006360839914</v>
      </c>
      <c r="AO28" s="15">
        <f t="shared" si="38"/>
        <v>-6831.5508886872922</v>
      </c>
      <c r="AP28" s="46">
        <f>SUMPRODUCT(AN29:AN$605, $I29:$I$605) / $I28</f>
        <v>-6827.4133039397157</v>
      </c>
      <c r="AR28" s="46">
        <v>0</v>
      </c>
      <c r="AS28" s="46">
        <v>0</v>
      </c>
      <c r="AT28" s="46">
        <v>0</v>
      </c>
      <c r="AU28" s="95">
        <f t="shared" si="9"/>
        <v>-1.7883033940901236</v>
      </c>
      <c r="AV28" s="47">
        <f t="shared" si="10"/>
        <v>0</v>
      </c>
      <c r="AW28" s="96">
        <f t="shared" si="59"/>
        <v>-1.7883033940901236</v>
      </c>
      <c r="AX28" s="95">
        <f t="shared" si="11"/>
        <v>-20.505878918900081</v>
      </c>
      <c r="AY28" s="11">
        <f t="shared" si="12"/>
        <v>0</v>
      </c>
      <c r="AZ28" s="96">
        <f t="shared" si="60"/>
        <v>-20.505878918900081</v>
      </c>
      <c r="BA28" s="95">
        <f t="shared" si="61"/>
        <v>-1.7872202934929109</v>
      </c>
      <c r="BB28" s="64">
        <f t="shared" si="62"/>
        <v>-5.6698570910899537E-4</v>
      </c>
      <c r="BC28" s="95">
        <f t="shared" si="63"/>
        <v>-1.7883033940901236</v>
      </c>
      <c r="BD28" s="96">
        <f t="shared" si="64"/>
        <v>-5.673293167562356E-4</v>
      </c>
      <c r="BE28" s="96">
        <f t="shared" si="65"/>
        <v>-1.7872202934929109</v>
      </c>
      <c r="BF28" s="96">
        <f t="shared" si="66"/>
        <v>-5.6698570910899537E-4</v>
      </c>
      <c r="BG28" s="15">
        <f t="shared" si="47"/>
        <v>-286.2313438505135</v>
      </c>
      <c r="BH28" s="46">
        <f>(SUMPRODUCT(BE29:BE$605,$I28:$I$604)+SUMPRODUCT(BF29:BF$605,$I29:$I$605)) / $I28</f>
        <v>-286.05798549281536</v>
      </c>
      <c r="BJ28" s="46">
        <f t="shared" si="67"/>
        <v>-1.7872202934929109</v>
      </c>
      <c r="BK28" s="46">
        <f t="shared" si="68"/>
        <v>-0.25787704931750816</v>
      </c>
      <c r="BM28" s="49">
        <f t="shared" si="50"/>
        <v>7117.979163294649</v>
      </c>
      <c r="BN28" s="46">
        <f t="shared" si="69"/>
        <v>7113.471289432523</v>
      </c>
      <c r="BP28" s="46">
        <f>Reserve!BX28</f>
        <v>9760.8834459430727</v>
      </c>
      <c r="BQ28" s="46">
        <f t="shared" si="13"/>
        <v>9754.7017993903373</v>
      </c>
      <c r="BR28" s="15">
        <f t="shared" si="52"/>
        <v>-15.320844976024091</v>
      </c>
      <c r="BT28" s="49">
        <f t="shared" si="53"/>
        <v>23.376251680537575</v>
      </c>
      <c r="BU28" s="46">
        <f t="shared" si="54"/>
        <v>23.362093662250825</v>
      </c>
      <c r="BV28" s="46">
        <f>SUMPRODUCT(BU29:BU$605, $I29:$I$605) / $I28</f>
        <v>3354.841807208008</v>
      </c>
      <c r="BX28" s="46">
        <f>-BZ28*Others!$Q$43</f>
        <v>-1.5350147439145767</v>
      </c>
      <c r="BZ28" s="50">
        <f t="shared" si="0"/>
        <v>5.9961513434163152</v>
      </c>
      <c r="CA28" s="46">
        <f t="shared" si="55"/>
        <v>4.4611365995017387</v>
      </c>
      <c r="CB28" s="46">
        <f t="shared" si="14"/>
        <v>4.4611365995017387</v>
      </c>
      <c r="CD28" s="46">
        <f>SUMPRODUCT(BZ29:BZ$605, $I29:$I$605) / $I28</f>
        <v>2641.2305099578102</v>
      </c>
      <c r="CE28" s="46">
        <f>SUMPRODUCT(CA29:CA$605, $I29:$I$605) / $I28</f>
        <v>1965.0754994086071</v>
      </c>
      <c r="CF28" s="46">
        <f>SUMPRODUCT(CB29:CB$605, $I29:$I$605) / $I28</f>
        <v>1965.0754994086071</v>
      </c>
      <c r="CH28" s="46">
        <f t="shared" si="15"/>
        <v>37239.116554056927</v>
      </c>
      <c r="CI28" s="46">
        <f t="shared" si="16"/>
        <v>0</v>
      </c>
      <c r="CK28" s="46">
        <f>NPV((1+CK$3)^(1/12)-1,$CB$6:$CB28)+$CB$5</f>
        <v>-621.12889957220295</v>
      </c>
      <c r="CL28" s="46">
        <f>NPV((1+CL$3)^(1/12)-1,$CB$6:$CB28)+$CB$5</f>
        <v>-622.92993391450841</v>
      </c>
      <c r="CM28" s="46">
        <f>NPV((1+CM$3)^(1/12)-1,$CB$6:$CB28)+$CB$5</f>
        <v>-627.10284231733885</v>
      </c>
      <c r="CN28" s="46">
        <f>NPV((1+CN$3)^(1/12)-1,$CB$6:$CB28)+$CB$5</f>
        <v>-627.10284231733885</v>
      </c>
    </row>
    <row r="29" spans="1:92" x14ac:dyDescent="0.25">
      <c r="A29" s="61">
        <f t="shared" si="1"/>
        <v>1.9999999999999991</v>
      </c>
      <c r="B29" s="32">
        <f t="shared" si="56"/>
        <v>12</v>
      </c>
      <c r="C29" s="62">
        <f t="shared" si="17"/>
        <v>2</v>
      </c>
      <c r="D29" s="64">
        <f t="shared" si="18"/>
        <v>2.4999999999999991</v>
      </c>
      <c r="E29" s="28">
        <f t="shared" si="2"/>
        <v>2</v>
      </c>
      <c r="G29" s="68">
        <f>INDEX(Others!$D$11:$E$60, MATCH(C29, Others!$A$11:$A$60, 0), MATCH(G$3, Others!$D$10:$E$10, 0))</f>
        <v>2.9172929570659312E-2</v>
      </c>
      <c r="H29" s="16">
        <f t="shared" si="57"/>
        <v>2.3991649580110685E-3</v>
      </c>
      <c r="I29" s="69">
        <f t="shared" si="58"/>
        <v>0.94676275265199528</v>
      </c>
      <c r="K29" s="80">
        <f>INDEX(Mortality!$B$7:$F$32, MATCH( E29,Mortality!$A$7:$A$32, 0), MATCH( K$3,Mortality!$B$6:$F$6,0))</f>
        <v>0.33200000000000002</v>
      </c>
      <c r="L29" s="11">
        <f t="shared" si="3"/>
        <v>0</v>
      </c>
      <c r="M29" s="80">
        <f t="shared" si="21"/>
        <v>0.33200000000000002</v>
      </c>
      <c r="N29" s="76">
        <f>INDEX(Myopia!$H:$H, MATCH(E29, Myopia!$A:$A, 0)) * Trend_Factor^(A29)</f>
        <v>0</v>
      </c>
      <c r="O29" s="11">
        <f t="shared" si="4"/>
        <v>0</v>
      </c>
      <c r="P29" s="80">
        <f t="shared" si="22"/>
        <v>0</v>
      </c>
      <c r="Q29" s="76">
        <f>VLOOKUP(C29,Others!$L$10:$M$61,2)</f>
        <v>0</v>
      </c>
      <c r="R29" s="11">
        <f t="shared" si="5"/>
        <v>0</v>
      </c>
      <c r="S29" s="80">
        <f t="shared" si="23"/>
        <v>0</v>
      </c>
      <c r="T29" s="78">
        <f t="shared" si="24"/>
        <v>2.7666666666666667E-5</v>
      </c>
      <c r="U29" s="81">
        <f t="shared" si="25"/>
        <v>0</v>
      </c>
      <c r="V29" s="81">
        <f t="shared" si="26"/>
        <v>0</v>
      </c>
      <c r="W29" s="77">
        <f t="shared" si="6"/>
        <v>0.99936669189966565</v>
      </c>
      <c r="X29" s="82">
        <f t="shared" si="27"/>
        <v>2.7649145142557416E-5</v>
      </c>
      <c r="Y29" s="82">
        <f t="shared" si="28"/>
        <v>0</v>
      </c>
      <c r="Z29" s="82">
        <f t="shared" si="29"/>
        <v>0</v>
      </c>
      <c r="AA29" s="82">
        <f t="shared" si="30"/>
        <v>0.99933904275452312</v>
      </c>
      <c r="AC29" s="46">
        <f t="shared" si="7"/>
        <v>0</v>
      </c>
      <c r="AD29" s="15">
        <f t="shared" si="31"/>
        <v>0</v>
      </c>
      <c r="AE29" s="46">
        <f t="shared" si="32"/>
        <v>0</v>
      </c>
      <c r="AF29" s="15">
        <f t="shared" si="33"/>
        <v>0</v>
      </c>
      <c r="AG29" s="46">
        <f>SUMPRODUCT(AE30:AE$605, $I29:$I$604) / $I29</f>
        <v>0</v>
      </c>
      <c r="AI29" s="46">
        <f t="shared" si="8"/>
        <v>-47000</v>
      </c>
      <c r="AJ29" s="46">
        <f>IF(E29&gt;Mat_Year,0,  -SUM($AD$5:AD29))</f>
        <v>-9306</v>
      </c>
      <c r="AK29" s="24">
        <f t="shared" si="34"/>
        <v>-0.25730294469663934</v>
      </c>
      <c r="AL29" s="79">
        <f t="shared" si="35"/>
        <v>0</v>
      </c>
      <c r="AM29" s="24">
        <f t="shared" si="36"/>
        <v>-0.25746600000000003</v>
      </c>
      <c r="AN29" s="79">
        <f t="shared" si="37"/>
        <v>-0.25730294469663934</v>
      </c>
      <c r="AO29" s="15">
        <f t="shared" si="38"/>
        <v>-6847.8729051285673</v>
      </c>
      <c r="AP29" s="46">
        <f>SUMPRODUCT(AN30:AN$605, $I30:$I$605) / $I29</f>
        <v>-6843.5360917476892</v>
      </c>
      <c r="AR29" s="46">
        <v>0</v>
      </c>
      <c r="AS29" s="46">
        <v>0</v>
      </c>
      <c r="AT29" s="46">
        <v>0</v>
      </c>
      <c r="AU29" s="95">
        <f t="shared" si="9"/>
        <v>-1.7903028934607976</v>
      </c>
      <c r="AV29" s="47">
        <f t="shared" si="10"/>
        <v>0</v>
      </c>
      <c r="AW29" s="96">
        <f t="shared" si="59"/>
        <v>-1.7903028934607976</v>
      </c>
      <c r="AX29" s="95">
        <f t="shared" si="11"/>
        <v>-20.528806511683811</v>
      </c>
      <c r="AY29" s="11">
        <f t="shared" si="12"/>
        <v>0</v>
      </c>
      <c r="AZ29" s="96">
        <f t="shared" si="60"/>
        <v>-20.528806511683811</v>
      </c>
      <c r="BA29" s="95">
        <f t="shared" si="61"/>
        <v>-1.7891690801363169</v>
      </c>
      <c r="BB29" s="64">
        <f t="shared" si="62"/>
        <v>-5.6760395084502345E-4</v>
      </c>
      <c r="BC29" s="95">
        <f t="shared" si="63"/>
        <v>-1.7903028934607976</v>
      </c>
      <c r="BD29" s="96">
        <f t="shared" si="64"/>
        <v>-5.6796364682325207E-4</v>
      </c>
      <c r="BE29" s="96">
        <f t="shared" si="65"/>
        <v>-1.7891690801363169</v>
      </c>
      <c r="BF29" s="96">
        <f t="shared" si="66"/>
        <v>-5.6760395084502345E-4</v>
      </c>
      <c r="BG29" s="15">
        <f t="shared" si="47"/>
        <v>-285.13083225744452</v>
      </c>
      <c r="BH29" s="46">
        <f>(SUMPRODUCT(BE30:BE$605,$I29:$I$604)+SUMPRODUCT(BF30:BF$605,$I30:$I$605)) / $I29</f>
        <v>-284.9502565917208</v>
      </c>
      <c r="BJ29" s="46">
        <f t="shared" si="67"/>
        <v>-1.7891690801363169</v>
      </c>
      <c r="BK29" s="46">
        <f t="shared" si="68"/>
        <v>-0.25787054864748438</v>
      </c>
      <c r="BM29" s="49">
        <f t="shared" si="50"/>
        <v>7133.2010892828066</v>
      </c>
      <c r="BN29" s="46">
        <f t="shared" si="69"/>
        <v>7128.486348339402</v>
      </c>
      <c r="BP29" s="46">
        <f>Reserve!BX29</f>
        <v>9776.5083975263387</v>
      </c>
      <c r="BQ29" s="46">
        <f t="shared" si="13"/>
        <v>9770.0465434655289</v>
      </c>
      <c r="BR29" s="15">
        <f t="shared" si="52"/>
        <v>-15.344744075191556</v>
      </c>
      <c r="BT29" s="49">
        <f t="shared" si="53"/>
        <v>23.413674290770729</v>
      </c>
      <c r="BU29" s="46">
        <f t="shared" si="54"/>
        <v>23.398846221183792</v>
      </c>
      <c r="BV29" s="46">
        <f>SUMPRODUCT(BU30:BU$605, $I30:$I$605) / $I29</f>
        <v>3339.491779890348</v>
      </c>
      <c r="BX29" s="46">
        <f>-BZ29*Others!$Q$43</f>
        <v>-1.5378080044053595</v>
      </c>
      <c r="BZ29" s="50">
        <f t="shared" si="0"/>
        <v>6.0070625172084355</v>
      </c>
      <c r="CA29" s="46">
        <f t="shared" si="55"/>
        <v>4.4692545128030758</v>
      </c>
      <c r="CB29" s="46">
        <f t="shared" si="14"/>
        <v>4.4692545128030758</v>
      </c>
      <c r="CD29" s="46">
        <f>SUMPRODUCT(BZ30:BZ$605, $I30:$I$605) / $I29</f>
        <v>2641.5601951261219</v>
      </c>
      <c r="CE29" s="46">
        <f>SUMPRODUCT(CA30:CA$605, $I30:$I$605) / $I29</f>
        <v>1965.3207851738314</v>
      </c>
      <c r="CF29" s="46">
        <f>SUMPRODUCT(CB30:CB$605, $I30:$I$605) / $I29</f>
        <v>1965.3207851738314</v>
      </c>
      <c r="CH29" s="46">
        <f t="shared" si="15"/>
        <v>37223.491602473659</v>
      </c>
      <c r="CI29" s="46">
        <f t="shared" si="16"/>
        <v>0</v>
      </c>
      <c r="CK29" s="46">
        <f>NPV((1+CK$3)^(1/12)-1,$CB$6:$CB29)+$CB$5</f>
        <v>-616.91619855155716</v>
      </c>
      <c r="CL29" s="46">
        <f>NPV((1+CL$3)^(1/12)-1,$CB$6:$CB29)+$CB$5</f>
        <v>-618.87618832466433</v>
      </c>
      <c r="CM29" s="46">
        <f>NPV((1+CM$3)^(1/12)-1,$CB$6:$CB29)+$CB$5</f>
        <v>-623.40924354642721</v>
      </c>
      <c r="CN29" s="46">
        <f>NPV((1+CN$3)^(1/12)-1,$CB$6:$CB29)+$CB$5</f>
        <v>-623.40924354642721</v>
      </c>
    </row>
    <row r="30" spans="1:92" x14ac:dyDescent="0.25">
      <c r="A30" s="61">
        <f t="shared" si="1"/>
        <v>2.0833333333333326</v>
      </c>
      <c r="B30" s="32">
        <f t="shared" si="56"/>
        <v>1</v>
      </c>
      <c r="C30" s="62">
        <f t="shared" si="17"/>
        <v>3</v>
      </c>
      <c r="D30" s="64">
        <f t="shared" si="18"/>
        <v>2.5833333333333326</v>
      </c>
      <c r="E30" s="28">
        <f t="shared" si="2"/>
        <v>2</v>
      </c>
      <c r="G30" s="68">
        <f>INDEX(Others!$D$11:$E$60, MATCH(C30, Others!$A$11:$A$60, 0), MATCH(G$3, Others!$D$10:$E$10, 0))</f>
        <v>3.205696486422438E-2</v>
      </c>
      <c r="H30" s="16">
        <f t="shared" si="57"/>
        <v>2.6329488081202612E-3</v>
      </c>
      <c r="I30" s="69">
        <f t="shared" si="58"/>
        <v>0.94427652091172476</v>
      </c>
      <c r="K30" s="80">
        <f>INDEX(Mortality!$B$7:$F$32, MATCH( E30,Mortality!$A$7:$A$32, 0), MATCH( K$3,Mortality!$B$6:$F$6,0))</f>
        <v>0.33200000000000002</v>
      </c>
      <c r="L30" s="11">
        <f t="shared" si="3"/>
        <v>0</v>
      </c>
      <c r="M30" s="80">
        <f t="shared" si="21"/>
        <v>0.33200000000000002</v>
      </c>
      <c r="N30" s="76">
        <f>INDEX(Myopia!$H:$H, MATCH(E30, Myopia!$A:$A, 0)) * Trend_Factor^(A30)</f>
        <v>0</v>
      </c>
      <c r="O30" s="11">
        <f t="shared" si="4"/>
        <v>0</v>
      </c>
      <c r="P30" s="80">
        <f t="shared" si="22"/>
        <v>0</v>
      </c>
      <c r="Q30" s="76">
        <f>VLOOKUP(C30,Others!$L$10:$M$61,2)</f>
        <v>0</v>
      </c>
      <c r="R30" s="11">
        <f t="shared" si="5"/>
        <v>0</v>
      </c>
      <c r="S30" s="80">
        <f t="shared" si="23"/>
        <v>0</v>
      </c>
      <c r="T30" s="78">
        <f t="shared" si="24"/>
        <v>2.7666666666666667E-5</v>
      </c>
      <c r="U30" s="81">
        <f t="shared" si="25"/>
        <v>0</v>
      </c>
      <c r="V30" s="81">
        <f t="shared" si="26"/>
        <v>0</v>
      </c>
      <c r="W30" s="77">
        <f t="shared" si="6"/>
        <v>0.99933904275452312</v>
      </c>
      <c r="X30" s="82">
        <f t="shared" si="27"/>
        <v>2.7648380182875141E-5</v>
      </c>
      <c r="Y30" s="82">
        <f t="shared" si="28"/>
        <v>0</v>
      </c>
      <c r="Z30" s="82">
        <f t="shared" si="29"/>
        <v>0</v>
      </c>
      <c r="AA30" s="82">
        <f t="shared" si="30"/>
        <v>0.99931139437434024</v>
      </c>
      <c r="AC30" s="46">
        <f t="shared" si="7"/>
        <v>0</v>
      </c>
      <c r="AD30" s="15">
        <f t="shared" si="31"/>
        <v>0</v>
      </c>
      <c r="AE30" s="46">
        <f t="shared" si="32"/>
        <v>0</v>
      </c>
      <c r="AF30" s="15">
        <f t="shared" si="33"/>
        <v>0</v>
      </c>
      <c r="AG30" s="46">
        <f>SUMPRODUCT(AE31:AE$605, $I30:$I$604) / $I30</f>
        <v>0</v>
      </c>
      <c r="AI30" s="46">
        <f t="shared" si="8"/>
        <v>-47000</v>
      </c>
      <c r="AJ30" s="46">
        <f>IF(E30&gt;Mat_Year,0,  -SUM($AD$5:AD30))</f>
        <v>-9306</v>
      </c>
      <c r="AK30" s="24">
        <f t="shared" si="34"/>
        <v>-0.25729582598183609</v>
      </c>
      <c r="AL30" s="79">
        <f t="shared" si="35"/>
        <v>0</v>
      </c>
      <c r="AM30" s="24">
        <f t="shared" si="36"/>
        <v>-0.25746600000000003</v>
      </c>
      <c r="AN30" s="79">
        <f t="shared" si="37"/>
        <v>-0.25729582598183609</v>
      </c>
      <c r="AO30" s="15">
        <f t="shared" si="38"/>
        <v>-6865.8354998376726</v>
      </c>
      <c r="AP30" s="46">
        <f>SUMPRODUCT(AN31:AN$605, $I31:$I$605) / $I30</f>
        <v>-6861.2974761178029</v>
      </c>
      <c r="AR30" s="46">
        <v>0</v>
      </c>
      <c r="AS30" s="46">
        <v>0</v>
      </c>
      <c r="AT30" s="46">
        <v>0</v>
      </c>
      <c r="AU30" s="95">
        <f t="shared" si="9"/>
        <v>-1.7923046284687503</v>
      </c>
      <c r="AV30" s="47">
        <f t="shared" si="10"/>
        <v>0</v>
      </c>
      <c r="AW30" s="96">
        <f t="shared" si="59"/>
        <v>-1.7923046284687503</v>
      </c>
      <c r="AX30" s="95">
        <f t="shared" si="11"/>
        <v>-20.551759739775001</v>
      </c>
      <c r="AY30" s="11">
        <f t="shared" si="12"/>
        <v>0</v>
      </c>
      <c r="AZ30" s="96">
        <f t="shared" si="60"/>
        <v>-20.551759739775001</v>
      </c>
      <c r="BA30" s="95">
        <f t="shared" si="61"/>
        <v>-1.7911199917384621</v>
      </c>
      <c r="BB30" s="64">
        <f t="shared" si="62"/>
        <v>-5.6822286671240633E-4</v>
      </c>
      <c r="BC30" s="95">
        <f t="shared" si="63"/>
        <v>-1.7923046284687503</v>
      </c>
      <c r="BD30" s="96">
        <f t="shared" si="64"/>
        <v>-5.6859868613377503E-4</v>
      </c>
      <c r="BE30" s="96">
        <f t="shared" si="65"/>
        <v>-1.7911199917384621</v>
      </c>
      <c r="BF30" s="96">
        <f t="shared" si="66"/>
        <v>-5.6822286671240633E-4</v>
      </c>
      <c r="BG30" s="15">
        <f t="shared" si="47"/>
        <v>-284.09188447776165</v>
      </c>
      <c r="BH30" s="46">
        <f>(SUMPRODUCT(BE31:BE$605,$I30:$I$604)+SUMPRODUCT(BF31:BF$605,$I31:$I$605)) / $I30</f>
        <v>-283.90411188833491</v>
      </c>
      <c r="BJ30" s="46">
        <f t="shared" si="67"/>
        <v>-1.7911199917384621</v>
      </c>
      <c r="BK30" s="46">
        <f t="shared" si="68"/>
        <v>-0.25786404884854852</v>
      </c>
      <c r="BM30" s="49">
        <f t="shared" si="50"/>
        <v>7150.1252044460825</v>
      </c>
      <c r="BN30" s="46">
        <f t="shared" si="69"/>
        <v>7145.201588006129</v>
      </c>
      <c r="BP30" s="46">
        <f>Reserve!BX30</f>
        <v>9793.8838026567191</v>
      </c>
      <c r="BQ30" s="46">
        <f t="shared" si="13"/>
        <v>9787.1396791731513</v>
      </c>
      <c r="BR30" s="15">
        <f t="shared" si="52"/>
        <v>-17.093135707622423</v>
      </c>
      <c r="BT30" s="49">
        <f t="shared" si="53"/>
        <v>25.736327086509387</v>
      </c>
      <c r="BU30" s="46">
        <f t="shared" si="54"/>
        <v>25.719316474649595</v>
      </c>
      <c r="BV30" s="46">
        <f>SUMPRODUCT(BU31:BU$605, $I31:$I$605) / $I30</f>
        <v>3322.5651743172884</v>
      </c>
      <c r="BX30" s="46">
        <f>-BZ30*Others!$Q$43</f>
        <v>-1.683762361968681</v>
      </c>
      <c r="BZ30" s="50">
        <f t="shared" si="0"/>
        <v>6.5771967264401603</v>
      </c>
      <c r="CA30" s="46">
        <f t="shared" si="55"/>
        <v>4.8934343644714797</v>
      </c>
      <c r="CB30" s="46">
        <f t="shared" si="14"/>
        <v>4.8934343644714797</v>
      </c>
      <c r="CD30" s="46">
        <f>SUMPRODUCT(BZ31:BZ$605, $I31:$I$605) / $I30</f>
        <v>2641.9380911670173</v>
      </c>
      <c r="CE30" s="46">
        <f>SUMPRODUCT(CA31:CA$605, $I31:$I$605) / $I30</f>
        <v>1965.6019398282574</v>
      </c>
      <c r="CF30" s="46">
        <f>SUMPRODUCT(CB31:CB$605, $I31:$I$605) / $I30</f>
        <v>1965.6019398282574</v>
      </c>
      <c r="CH30" s="46">
        <f t="shared" si="15"/>
        <v>37206.116197343283</v>
      </c>
      <c r="CI30" s="46">
        <f t="shared" si="16"/>
        <v>0</v>
      </c>
      <c r="CK30" s="46">
        <f>NPV((1+CK$3)^(1/12)-1,$CB$6:$CB30)+$CB$5</f>
        <v>-612.31501509766099</v>
      </c>
      <c r="CL30" s="46">
        <f>NPV((1+CL$3)^(1/12)-1,$CB$6:$CB30)+$CB$5</f>
        <v>-614.45570868641835</v>
      </c>
      <c r="CM30" s="46">
        <f>NPV((1+CM$3)^(1/12)-1,$CB$6:$CB30)+$CB$5</f>
        <v>-619.3970764981002</v>
      </c>
      <c r="CN30" s="46">
        <f>NPV((1+CN$3)^(1/12)-1,$CB$6:$CB30)+$CB$5</f>
        <v>-619.3970764981002</v>
      </c>
    </row>
    <row r="31" spans="1:92" x14ac:dyDescent="0.25">
      <c r="A31" s="61">
        <f t="shared" si="1"/>
        <v>2.1666666666666661</v>
      </c>
      <c r="B31" s="32">
        <f t="shared" si="56"/>
        <v>2</v>
      </c>
      <c r="C31" s="62">
        <f t="shared" si="17"/>
        <v>3</v>
      </c>
      <c r="D31" s="64">
        <f t="shared" si="18"/>
        <v>2.6666666666666661</v>
      </c>
      <c r="E31" s="28">
        <f t="shared" si="2"/>
        <v>2</v>
      </c>
      <c r="G31" s="68">
        <f>INDEX(Others!$D$11:$E$60, MATCH(C31, Others!$A$11:$A$60, 0), MATCH(G$3, Others!$D$10:$E$10, 0))</f>
        <v>3.205696486422438E-2</v>
      </c>
      <c r="H31" s="16">
        <f t="shared" si="57"/>
        <v>2.6329488081202612E-3</v>
      </c>
      <c r="I31" s="69">
        <f t="shared" si="58"/>
        <v>0.94179681810201166</v>
      </c>
      <c r="K31" s="80">
        <f>INDEX(Mortality!$B$7:$F$32, MATCH( E31,Mortality!$A$7:$A$32, 0), MATCH( K$3,Mortality!$B$6:$F$6,0))</f>
        <v>0.33200000000000002</v>
      </c>
      <c r="L31" s="11">
        <f t="shared" si="3"/>
        <v>0</v>
      </c>
      <c r="M31" s="80">
        <f t="shared" si="21"/>
        <v>0.33200000000000002</v>
      </c>
      <c r="N31" s="76">
        <f>INDEX(Myopia!$H:$H, MATCH(E31, Myopia!$A:$A, 0)) * Trend_Factor^(A31)</f>
        <v>0</v>
      </c>
      <c r="O31" s="11">
        <f t="shared" si="4"/>
        <v>0</v>
      </c>
      <c r="P31" s="80">
        <f t="shared" si="22"/>
        <v>0</v>
      </c>
      <c r="Q31" s="76">
        <f>VLOOKUP(C31,Others!$L$10:$M$61,2)</f>
        <v>0</v>
      </c>
      <c r="R31" s="11">
        <f t="shared" si="5"/>
        <v>0</v>
      </c>
      <c r="S31" s="80">
        <f t="shared" si="23"/>
        <v>0</v>
      </c>
      <c r="T31" s="78">
        <f t="shared" si="24"/>
        <v>2.7666666666666667E-5</v>
      </c>
      <c r="U31" s="81">
        <f t="shared" si="25"/>
        <v>0</v>
      </c>
      <c r="V31" s="81">
        <f t="shared" si="26"/>
        <v>0</v>
      </c>
      <c r="W31" s="77">
        <f t="shared" si="6"/>
        <v>0.99931139437434024</v>
      </c>
      <c r="X31" s="82">
        <f t="shared" si="27"/>
        <v>2.7647615244356747E-5</v>
      </c>
      <c r="Y31" s="82">
        <f t="shared" si="28"/>
        <v>0</v>
      </c>
      <c r="Z31" s="82">
        <f t="shared" si="29"/>
        <v>0</v>
      </c>
      <c r="AA31" s="82">
        <f t="shared" si="30"/>
        <v>0.99928374675909593</v>
      </c>
      <c r="AC31" s="46">
        <f t="shared" si="7"/>
        <v>0</v>
      </c>
      <c r="AD31" s="15">
        <f t="shared" si="31"/>
        <v>0</v>
      </c>
      <c r="AE31" s="46">
        <f t="shared" si="32"/>
        <v>0</v>
      </c>
      <c r="AF31" s="15">
        <f t="shared" si="33"/>
        <v>0</v>
      </c>
      <c r="AG31" s="46">
        <f>SUMPRODUCT(AE32:AE$605, $I31:$I$604) / $I31</f>
        <v>0</v>
      </c>
      <c r="AI31" s="46">
        <f t="shared" si="8"/>
        <v>-47000</v>
      </c>
      <c r="AJ31" s="46">
        <f>IF(E31&gt;Mat_Year,0,  -SUM($AD$5:AD31))</f>
        <v>-9306</v>
      </c>
      <c r="AK31" s="24">
        <f t="shared" si="34"/>
        <v>-0.25728870746398391</v>
      </c>
      <c r="AL31" s="79">
        <f t="shared" si="35"/>
        <v>0</v>
      </c>
      <c r="AM31" s="24">
        <f t="shared" si="36"/>
        <v>-0.25746600000000003</v>
      </c>
      <c r="AN31" s="79">
        <f t="shared" si="37"/>
        <v>-0.25728870746398391</v>
      </c>
      <c r="AO31" s="15">
        <f t="shared" si="38"/>
        <v>-6883.8458874264988</v>
      </c>
      <c r="AP31" s="46">
        <f>SUMPRODUCT(AN32:AN$605, $I32:$I$605) / $I31</f>
        <v>-6879.1056324222418</v>
      </c>
      <c r="AR31" s="46">
        <v>0</v>
      </c>
      <c r="AS31" s="46">
        <v>0</v>
      </c>
      <c r="AT31" s="46">
        <v>0</v>
      </c>
      <c r="AU31" s="95">
        <f t="shared" si="9"/>
        <v>-1.7943086016136445</v>
      </c>
      <c r="AV31" s="47">
        <f t="shared" si="10"/>
        <v>0</v>
      </c>
      <c r="AW31" s="96">
        <f t="shared" si="59"/>
        <v>-1.7943086016136445</v>
      </c>
      <c r="AX31" s="95">
        <f t="shared" si="11"/>
        <v>-20.574738631836453</v>
      </c>
      <c r="AY31" s="11">
        <f t="shared" si="12"/>
        <v>0</v>
      </c>
      <c r="AZ31" s="96">
        <f t="shared" si="60"/>
        <v>-20.574738631836453</v>
      </c>
      <c r="BA31" s="95">
        <f t="shared" si="61"/>
        <v>-1.7930730306164036</v>
      </c>
      <c r="BB31" s="64">
        <f t="shared" si="62"/>
        <v>-5.6884245744621726E-4</v>
      </c>
      <c r="BC31" s="95">
        <f t="shared" si="63"/>
        <v>-1.7943086016136445</v>
      </c>
      <c r="BD31" s="96">
        <f t="shared" si="64"/>
        <v>-5.6923443548080859E-4</v>
      </c>
      <c r="BE31" s="96">
        <f t="shared" si="65"/>
        <v>-1.7930730306164036</v>
      </c>
      <c r="BF31" s="96">
        <f t="shared" si="66"/>
        <v>-5.6884245744621726E-4</v>
      </c>
      <c r="BG31" s="15">
        <f t="shared" si="47"/>
        <v>-283.04816249580637</v>
      </c>
      <c r="BH31" s="46">
        <f>(SUMPRODUCT(BE32:BE$605,$I31:$I$604)+SUMPRODUCT(BF32:BF$605,$I32:$I$605)) / $I31</f>
        <v>-282.85325393877912</v>
      </c>
      <c r="BJ31" s="46">
        <f t="shared" si="67"/>
        <v>-1.7930730306164036</v>
      </c>
      <c r="BK31" s="46">
        <f t="shared" si="68"/>
        <v>-0.25785754992143012</v>
      </c>
      <c r="BM31" s="49">
        <f t="shared" si="50"/>
        <v>7167.0923394770207</v>
      </c>
      <c r="BN31" s="46">
        <f t="shared" si="69"/>
        <v>7161.9588863610115</v>
      </c>
      <c r="BP31" s="46">
        <f>Reserve!BX31</f>
        <v>9811.2902915992345</v>
      </c>
      <c r="BQ31" s="46">
        <f t="shared" si="13"/>
        <v>9804.2629231304254</v>
      </c>
      <c r="BR31" s="15">
        <f t="shared" si="52"/>
        <v>-17.123243957274099</v>
      </c>
      <c r="BT31" s="49">
        <f t="shared" si="53"/>
        <v>25.782070362379319</v>
      </c>
      <c r="BU31" s="46">
        <f t="shared" si="54"/>
        <v>25.76431668368663</v>
      </c>
      <c r="BV31" s="46">
        <f>SUMPRODUCT(BU32:BU$605, $I32:$I$605) / $I31</f>
        <v>3305.5490016492226</v>
      </c>
      <c r="BX31" s="46">
        <f>-BZ31*Others!$Q$43</f>
        <v>-1.6870763893439225</v>
      </c>
      <c r="BZ31" s="50">
        <f t="shared" si="0"/>
        <v>6.5901421458746974</v>
      </c>
      <c r="CA31" s="46">
        <f t="shared" si="55"/>
        <v>4.9030657565307747</v>
      </c>
      <c r="CB31" s="46">
        <f t="shared" si="14"/>
        <v>4.9030657565307747</v>
      </c>
      <c r="CD31" s="46">
        <f>SUMPRODUCT(BZ32:BZ$605, $I32:$I$605) / $I31</f>
        <v>2642.3040367694084</v>
      </c>
      <c r="CE31" s="46">
        <f>SUMPRODUCT(CA32:CA$605, $I32:$I$605) / $I31</f>
        <v>1965.8742033564361</v>
      </c>
      <c r="CF31" s="46">
        <f>SUMPRODUCT(CB32:CB$605, $I32:$I$605) / $I31</f>
        <v>1965.8742033564361</v>
      </c>
      <c r="CH31" s="46">
        <f t="shared" si="15"/>
        <v>37188.709708400769</v>
      </c>
      <c r="CI31" s="46">
        <f t="shared" si="16"/>
        <v>0</v>
      </c>
      <c r="CK31" s="46">
        <f>NPV((1+CK$3)^(1/12)-1,$CB$6:$CB31)+$CB$5</f>
        <v>-607.71611758989241</v>
      </c>
      <c r="CL31" s="46">
        <f>NPV((1+CL$3)^(1/12)-1,$CB$6:$CB31)+$CB$5</f>
        <v>-610.04450034741751</v>
      </c>
      <c r="CM31" s="46">
        <f>NPV((1+CM$3)^(1/12)-1,$CB$6:$CB31)+$CB$5</f>
        <v>-615.40881554518126</v>
      </c>
      <c r="CN31" s="46">
        <f>NPV((1+CN$3)^(1/12)-1,$CB$6:$CB31)+$CB$5</f>
        <v>-615.40881554518126</v>
      </c>
    </row>
    <row r="32" spans="1:92" x14ac:dyDescent="0.25">
      <c r="A32" s="61">
        <f t="shared" si="1"/>
        <v>2.2499999999999996</v>
      </c>
      <c r="B32" s="32">
        <f t="shared" si="56"/>
        <v>3</v>
      </c>
      <c r="C32" s="62">
        <f t="shared" si="17"/>
        <v>3</v>
      </c>
      <c r="D32" s="64">
        <f t="shared" si="18"/>
        <v>2.7499999999999996</v>
      </c>
      <c r="E32" s="28">
        <f t="shared" si="2"/>
        <v>2</v>
      </c>
      <c r="G32" s="68">
        <f>INDEX(Others!$D$11:$E$60, MATCH(C32, Others!$A$11:$A$60, 0), MATCH(G$3, Others!$D$10:$E$10, 0))</f>
        <v>3.205696486422438E-2</v>
      </c>
      <c r="H32" s="16">
        <f t="shared" si="57"/>
        <v>2.6329488081202612E-3</v>
      </c>
      <c r="I32" s="69">
        <f t="shared" si="58"/>
        <v>0.93932362707765837</v>
      </c>
      <c r="K32" s="80">
        <f>INDEX(Mortality!$B$7:$F$32, MATCH( E32,Mortality!$A$7:$A$32, 0), MATCH( K$3,Mortality!$B$6:$F$6,0))</f>
        <v>0.33200000000000002</v>
      </c>
      <c r="L32" s="11">
        <f t="shared" si="3"/>
        <v>0</v>
      </c>
      <c r="M32" s="80">
        <f t="shared" si="21"/>
        <v>0.33200000000000002</v>
      </c>
      <c r="N32" s="76">
        <f>INDEX(Myopia!$H:$H, MATCH(E32, Myopia!$A:$A, 0)) * Trend_Factor^(A32)</f>
        <v>0</v>
      </c>
      <c r="O32" s="11">
        <f t="shared" si="4"/>
        <v>0</v>
      </c>
      <c r="P32" s="80">
        <f t="shared" si="22"/>
        <v>0</v>
      </c>
      <c r="Q32" s="76">
        <f>VLOOKUP(C32,Others!$L$10:$M$61,2)</f>
        <v>0</v>
      </c>
      <c r="R32" s="11">
        <f t="shared" si="5"/>
        <v>0</v>
      </c>
      <c r="S32" s="80">
        <f t="shared" si="23"/>
        <v>0</v>
      </c>
      <c r="T32" s="78">
        <f t="shared" si="24"/>
        <v>2.7666666666666667E-5</v>
      </c>
      <c r="U32" s="81">
        <f t="shared" si="25"/>
        <v>0</v>
      </c>
      <c r="V32" s="81">
        <f t="shared" si="26"/>
        <v>0</v>
      </c>
      <c r="W32" s="77">
        <f t="shared" si="6"/>
        <v>0.99928374675909593</v>
      </c>
      <c r="X32" s="82">
        <f t="shared" si="27"/>
        <v>2.7646850327001655E-5</v>
      </c>
      <c r="Y32" s="82">
        <f t="shared" si="28"/>
        <v>0</v>
      </c>
      <c r="Z32" s="82">
        <f t="shared" si="29"/>
        <v>0</v>
      </c>
      <c r="AA32" s="82">
        <f t="shared" si="30"/>
        <v>0.99925609990876896</v>
      </c>
      <c r="AC32" s="46">
        <f t="shared" si="7"/>
        <v>0</v>
      </c>
      <c r="AD32" s="15">
        <f t="shared" si="31"/>
        <v>0</v>
      </c>
      <c r="AE32" s="46">
        <f t="shared" si="32"/>
        <v>0</v>
      </c>
      <c r="AF32" s="15">
        <f t="shared" si="33"/>
        <v>0</v>
      </c>
      <c r="AG32" s="46">
        <f>SUMPRODUCT(AE33:AE$605, $I32:$I$604) / $I32</f>
        <v>0</v>
      </c>
      <c r="AI32" s="46">
        <f t="shared" si="8"/>
        <v>-47000</v>
      </c>
      <c r="AJ32" s="46">
        <f>IF(E32&gt;Mat_Year,0,  -SUM($AD$5:AD32))</f>
        <v>-9306</v>
      </c>
      <c r="AK32" s="24">
        <f t="shared" si="34"/>
        <v>-0.25728158914307742</v>
      </c>
      <c r="AL32" s="79">
        <f t="shared" si="35"/>
        <v>0</v>
      </c>
      <c r="AM32" s="24">
        <f t="shared" si="36"/>
        <v>-0.25746600000000003</v>
      </c>
      <c r="AN32" s="79">
        <f t="shared" si="37"/>
        <v>-0.25728158914307742</v>
      </c>
      <c r="AO32" s="15">
        <f t="shared" si="38"/>
        <v>-6901.9041950570363</v>
      </c>
      <c r="AP32" s="46">
        <f>SUMPRODUCT(AN33:AN$605, $I33:$I$605) / $I32</f>
        <v>-6896.9606838089176</v>
      </c>
      <c r="AR32" s="46">
        <v>0</v>
      </c>
      <c r="AS32" s="46">
        <v>0</v>
      </c>
      <c r="AT32" s="46">
        <v>0</v>
      </c>
      <c r="AU32" s="95">
        <f t="shared" si="9"/>
        <v>-1.7963148153979376</v>
      </c>
      <c r="AV32" s="47">
        <f t="shared" si="10"/>
        <v>0</v>
      </c>
      <c r="AW32" s="96">
        <f t="shared" si="59"/>
        <v>-1.7963148153979376</v>
      </c>
      <c r="AX32" s="95">
        <f t="shared" si="11"/>
        <v>-20.597743216563018</v>
      </c>
      <c r="AY32" s="11">
        <f t="shared" si="12"/>
        <v>0</v>
      </c>
      <c r="AZ32" s="96">
        <f t="shared" si="60"/>
        <v>-20.597743216563018</v>
      </c>
      <c r="BA32" s="95">
        <f t="shared" si="61"/>
        <v>-1.7950281990897248</v>
      </c>
      <c r="BB32" s="64">
        <f t="shared" si="62"/>
        <v>-5.6946272378233134E-4</v>
      </c>
      <c r="BC32" s="95">
        <f t="shared" si="63"/>
        <v>-1.7963148153979376</v>
      </c>
      <c r="BD32" s="96">
        <f t="shared" si="64"/>
        <v>-5.6987089565824342E-4</v>
      </c>
      <c r="BE32" s="96">
        <f t="shared" si="65"/>
        <v>-1.7950281990897248</v>
      </c>
      <c r="BF32" s="96">
        <f t="shared" si="66"/>
        <v>-5.6946272378233134E-4</v>
      </c>
      <c r="BG32" s="15">
        <f t="shared" si="47"/>
        <v>-281.99965136166082</v>
      </c>
      <c r="BH32" s="46">
        <f>(SUMPRODUCT(BE33:BE$605,$I32:$I$604)+SUMPRODUCT(BF33:BF$605,$I33:$I$605)) / $I32</f>
        <v>-281.79766819743924</v>
      </c>
      <c r="BJ32" s="46">
        <f t="shared" si="67"/>
        <v>-1.7950281990897248</v>
      </c>
      <c r="BK32" s="46">
        <f t="shared" si="68"/>
        <v>-0.25785105186685975</v>
      </c>
      <c r="BM32" s="49">
        <f t="shared" si="50"/>
        <v>7184.1026065908045</v>
      </c>
      <c r="BN32" s="46">
        <f t="shared" si="69"/>
        <v>7178.7583520063481</v>
      </c>
      <c r="BP32" s="46">
        <f>Reserve!BX32</f>
        <v>9828.7279193811446</v>
      </c>
      <c r="BQ32" s="46">
        <f t="shared" si="13"/>
        <v>9821.4163277852313</v>
      </c>
      <c r="BR32" s="15">
        <f t="shared" si="52"/>
        <v>-17.153404654805854</v>
      </c>
      <c r="BT32" s="49">
        <f t="shared" si="53"/>
        <v>25.827895474435884</v>
      </c>
      <c r="BU32" s="46">
        <f t="shared" si="54"/>
        <v>25.809396160596588</v>
      </c>
      <c r="BV32" s="46">
        <f>SUMPRODUCT(BU33:BU$605, $I33:$I$605) / $I32</f>
        <v>3288.4429467927012</v>
      </c>
      <c r="BX32" s="46">
        <f>-BZ32*Others!$Q$43</f>
        <v>-1.6903967372375419</v>
      </c>
      <c r="BZ32" s="50">
        <f t="shared" si="0"/>
        <v>6.6031122548341479</v>
      </c>
      <c r="CA32" s="46">
        <f t="shared" si="55"/>
        <v>4.912715517596606</v>
      </c>
      <c r="CB32" s="46">
        <f t="shared" si="14"/>
        <v>4.912715517596606</v>
      </c>
      <c r="CD32" s="46">
        <f>SUMPRODUCT(BZ33:BZ$605, $I33:$I$605) / $I32</f>
        <v>2642.6579757788777</v>
      </c>
      <c r="CE32" s="46">
        <f>SUMPRODUCT(CA33:CA$605, $I33:$I$605) / $I32</f>
        <v>1966.1375339794808</v>
      </c>
      <c r="CF32" s="46">
        <f>SUMPRODUCT(CB33:CB$605, $I33:$I$605) / $I32</f>
        <v>1966.1375339794808</v>
      </c>
      <c r="CH32" s="46">
        <f t="shared" si="15"/>
        <v>37171.272080618859</v>
      </c>
      <c r="CI32" s="46">
        <f t="shared" si="16"/>
        <v>0</v>
      </c>
      <c r="CK32" s="46">
        <f>NPV((1+CK$3)^(1/12)-1,$CB$6:$CB32)+$CB$5</f>
        <v>-603.11950544249953</v>
      </c>
      <c r="CL32" s="46">
        <f>NPV((1+CL$3)^(1/12)-1,$CB$6:$CB32)+$CB$5</f>
        <v>-605.64254438914531</v>
      </c>
      <c r="CM32" s="46">
        <f>NPV((1+CM$3)^(1/12)-1,$CB$6:$CB32)+$CB$5</f>
        <v>-611.44431871991401</v>
      </c>
      <c r="CN32" s="46">
        <f>NPV((1+CN$3)^(1/12)-1,$CB$6:$CB32)+$CB$5</f>
        <v>-611.44431871991401</v>
      </c>
    </row>
    <row r="33" spans="1:92" x14ac:dyDescent="0.25">
      <c r="A33" s="61">
        <f t="shared" si="1"/>
        <v>2.333333333333333</v>
      </c>
      <c r="B33" s="32">
        <f t="shared" si="56"/>
        <v>4</v>
      </c>
      <c r="C33" s="62">
        <f t="shared" si="17"/>
        <v>3</v>
      </c>
      <c r="D33" s="64">
        <f t="shared" si="18"/>
        <v>2.833333333333333</v>
      </c>
      <c r="E33" s="28">
        <f t="shared" si="2"/>
        <v>2</v>
      </c>
      <c r="G33" s="68">
        <f>INDEX(Others!$D$11:$E$60, MATCH(C33, Others!$A$11:$A$60, 0), MATCH(G$3, Others!$D$10:$E$10, 0))</f>
        <v>3.205696486422438E-2</v>
      </c>
      <c r="H33" s="16">
        <f t="shared" si="57"/>
        <v>2.6329488081202612E-3</v>
      </c>
      <c r="I33" s="69">
        <f t="shared" si="58"/>
        <v>0.9368569307384913</v>
      </c>
      <c r="K33" s="80">
        <f>INDEX(Mortality!$B$7:$F$32, MATCH( E33,Mortality!$A$7:$A$32, 0), MATCH( K$3,Mortality!$B$6:$F$6,0))</f>
        <v>0.33200000000000002</v>
      </c>
      <c r="L33" s="11">
        <f t="shared" si="3"/>
        <v>0</v>
      </c>
      <c r="M33" s="80">
        <f t="shared" si="21"/>
        <v>0.33200000000000002</v>
      </c>
      <c r="N33" s="76">
        <f>INDEX(Myopia!$H:$H, MATCH(E33, Myopia!$A:$A, 0)) * Trend_Factor^(A33)</f>
        <v>0</v>
      </c>
      <c r="O33" s="11">
        <f t="shared" si="4"/>
        <v>0</v>
      </c>
      <c r="P33" s="80">
        <f t="shared" si="22"/>
        <v>0</v>
      </c>
      <c r="Q33" s="76">
        <f>VLOOKUP(C33,Others!$L$10:$M$61,2)</f>
        <v>0</v>
      </c>
      <c r="R33" s="11">
        <f t="shared" si="5"/>
        <v>0</v>
      </c>
      <c r="S33" s="80">
        <f t="shared" si="23"/>
        <v>0</v>
      </c>
      <c r="T33" s="78">
        <f t="shared" si="24"/>
        <v>2.7666666666666667E-5</v>
      </c>
      <c r="U33" s="81">
        <f t="shared" si="25"/>
        <v>0</v>
      </c>
      <c r="V33" s="81">
        <f t="shared" si="26"/>
        <v>0</v>
      </c>
      <c r="W33" s="77">
        <f t="shared" si="6"/>
        <v>0.99925609990876896</v>
      </c>
      <c r="X33" s="82">
        <f t="shared" si="27"/>
        <v>2.7646085430809277E-5</v>
      </c>
      <c r="Y33" s="82">
        <f t="shared" si="28"/>
        <v>0</v>
      </c>
      <c r="Z33" s="82">
        <f t="shared" si="29"/>
        <v>0</v>
      </c>
      <c r="AA33" s="82">
        <f t="shared" si="30"/>
        <v>0.99922845382333814</v>
      </c>
      <c r="AC33" s="46">
        <f t="shared" si="7"/>
        <v>0</v>
      </c>
      <c r="AD33" s="15">
        <f t="shared" si="31"/>
        <v>0</v>
      </c>
      <c r="AE33" s="46">
        <f t="shared" si="32"/>
        <v>0</v>
      </c>
      <c r="AF33" s="15">
        <f t="shared" si="33"/>
        <v>0</v>
      </c>
      <c r="AG33" s="46">
        <f>SUMPRODUCT(AE34:AE$605, $I33:$I$604) / $I33</f>
        <v>0</v>
      </c>
      <c r="AI33" s="46">
        <f t="shared" si="8"/>
        <v>-47000</v>
      </c>
      <c r="AJ33" s="46">
        <f>IF(E33&gt;Mat_Year,0,  -SUM($AD$5:AD33))</f>
        <v>-9306</v>
      </c>
      <c r="AK33" s="24">
        <f t="shared" si="34"/>
        <v>-0.25727447101911111</v>
      </c>
      <c r="AL33" s="79">
        <f t="shared" si="35"/>
        <v>0</v>
      </c>
      <c r="AM33" s="24">
        <f t="shared" si="36"/>
        <v>-0.25746599999999997</v>
      </c>
      <c r="AN33" s="79">
        <f t="shared" si="37"/>
        <v>-0.25727447101911111</v>
      </c>
      <c r="AO33" s="15">
        <f t="shared" si="38"/>
        <v>-6920.0105502296219</v>
      </c>
      <c r="AP33" s="46">
        <f>SUMPRODUCT(AN34:AN$605, $I34:$I$605) / $I33</f>
        <v>-6914.862753749986</v>
      </c>
      <c r="AR33" s="46">
        <v>0</v>
      </c>
      <c r="AS33" s="46">
        <v>0</v>
      </c>
      <c r="AT33" s="46">
        <v>0</v>
      </c>
      <c r="AU33" s="95">
        <f t="shared" si="9"/>
        <v>-1.7983232723268852</v>
      </c>
      <c r="AV33" s="47">
        <f t="shared" si="10"/>
        <v>0</v>
      </c>
      <c r="AW33" s="96">
        <f t="shared" si="59"/>
        <v>-1.7983232723268852</v>
      </c>
      <c r="AX33" s="95">
        <f t="shared" si="11"/>
        <v>-20.620773522681613</v>
      </c>
      <c r="AY33" s="11">
        <f t="shared" si="12"/>
        <v>0</v>
      </c>
      <c r="AZ33" s="96">
        <f t="shared" si="60"/>
        <v>-20.620773522681613</v>
      </c>
      <c r="BA33" s="95">
        <f t="shared" si="61"/>
        <v>-1.7969854994805383</v>
      </c>
      <c r="BB33" s="64">
        <f t="shared" si="62"/>
        <v>-5.700836664574258E-4</v>
      </c>
      <c r="BC33" s="95">
        <f t="shared" si="63"/>
        <v>-1.7983232723268852</v>
      </c>
      <c r="BD33" s="96">
        <f t="shared" si="64"/>
        <v>-5.7050806746085792E-4</v>
      </c>
      <c r="BE33" s="96">
        <f t="shared" si="65"/>
        <v>-1.7969854994805383</v>
      </c>
      <c r="BF33" s="96">
        <f t="shared" si="66"/>
        <v>-5.700836664574258E-4</v>
      </c>
      <c r="BG33" s="15">
        <f t="shared" si="47"/>
        <v>-280.94633608311796</v>
      </c>
      <c r="BH33" s="46">
        <f>(SUMPRODUCT(BE34:BE$605,$I33:$I$604)+SUMPRODUCT(BF34:BF$605,$I34:$I$605)) / $I33</f>
        <v>-280.73734007807468</v>
      </c>
      <c r="BJ33" s="46">
        <f t="shared" si="67"/>
        <v>-1.7969854994805383</v>
      </c>
      <c r="BK33" s="46">
        <f t="shared" si="68"/>
        <v>-0.25784455468556855</v>
      </c>
      <c r="BM33" s="49">
        <f t="shared" si="50"/>
        <v>7201.1561182986698</v>
      </c>
      <c r="BN33" s="46">
        <f t="shared" si="69"/>
        <v>7195.6000938280513</v>
      </c>
      <c r="BP33" s="46">
        <f>Reserve!BX33</f>
        <v>9846.1967411258684</v>
      </c>
      <c r="BQ33" s="46">
        <f t="shared" si="13"/>
        <v>9838.5999456755926</v>
      </c>
      <c r="BR33" s="15">
        <f t="shared" si="52"/>
        <v>-17.183617890361347</v>
      </c>
      <c r="BT33" s="49">
        <f t="shared" si="53"/>
        <v>25.873802567556428</v>
      </c>
      <c r="BU33" s="46">
        <f t="shared" si="54"/>
        <v>25.854555043465929</v>
      </c>
      <c r="BV33" s="46">
        <f>SUMPRODUCT(BU34:BU$605, $I34:$I$605) / $I33</f>
        <v>3271.246693686564</v>
      </c>
      <c r="BX33" s="46">
        <f>-BZ33*Others!$Q$43</f>
        <v>-1.6937234173282496</v>
      </c>
      <c r="BZ33" s="50">
        <f t="shared" si="0"/>
        <v>6.6161070989384747</v>
      </c>
      <c r="CA33" s="46">
        <f t="shared" si="55"/>
        <v>4.9223836816102251</v>
      </c>
      <c r="CB33" s="46">
        <f t="shared" si="14"/>
        <v>4.9223836816102251</v>
      </c>
      <c r="CD33" s="46">
        <f>SUMPRODUCT(BZ34:BZ$605, $I34:$I$605) / $I33</f>
        <v>2642.9998518475354</v>
      </c>
      <c r="CE33" s="46">
        <f>SUMPRODUCT(CA34:CA$605, $I34:$I$605) / $I33</f>
        <v>1966.3918897745625</v>
      </c>
      <c r="CF33" s="46">
        <f>SUMPRODUCT(CB34:CB$605, $I34:$I$605) / $I33</f>
        <v>1966.3918897745625</v>
      </c>
      <c r="CH33" s="46">
        <f t="shared" si="15"/>
        <v>37153.803258874133</v>
      </c>
      <c r="CI33" s="46">
        <f t="shared" si="16"/>
        <v>0</v>
      </c>
      <c r="CK33" s="46">
        <f>NPV((1+CK$3)^(1/12)-1,$CB$6:$CB33)+$CB$5</f>
        <v>-598.52517806938135</v>
      </c>
      <c r="CL33" s="46">
        <f>NPV((1+CL$3)^(1/12)-1,$CB$6:$CB33)+$CB$5</f>
        <v>-601.24982193046515</v>
      </c>
      <c r="CM33" s="46">
        <f>NPV((1+CM$3)^(1/12)-1,$CB$6:$CB33)+$CB$5</f>
        <v>-607.50344489470933</v>
      </c>
      <c r="CN33" s="46">
        <f>NPV((1+CN$3)^(1/12)-1,$CB$6:$CB33)+$CB$5</f>
        <v>-607.50344489470933</v>
      </c>
    </row>
    <row r="34" spans="1:92" x14ac:dyDescent="0.25">
      <c r="A34" s="61">
        <f t="shared" si="1"/>
        <v>2.4166666666666665</v>
      </c>
      <c r="B34" s="32">
        <f t="shared" si="56"/>
        <v>5</v>
      </c>
      <c r="C34" s="62">
        <f t="shared" si="17"/>
        <v>3</v>
      </c>
      <c r="D34" s="64">
        <f t="shared" si="18"/>
        <v>2.9166666666666665</v>
      </c>
      <c r="E34" s="28">
        <f t="shared" si="2"/>
        <v>2</v>
      </c>
      <c r="G34" s="68">
        <f>INDEX(Others!$D$11:$E$60, MATCH(C34, Others!$A$11:$A$60, 0), MATCH(G$3, Others!$D$10:$E$10, 0))</f>
        <v>3.205696486422438E-2</v>
      </c>
      <c r="H34" s="16">
        <f t="shared" si="57"/>
        <v>2.6329488081202612E-3</v>
      </c>
      <c r="I34" s="69">
        <f t="shared" si="58"/>
        <v>0.93439671202924246</v>
      </c>
      <c r="K34" s="80">
        <f>INDEX(Mortality!$B$7:$F$32, MATCH( E34,Mortality!$A$7:$A$32, 0), MATCH( K$3,Mortality!$B$6:$F$6,0))</f>
        <v>0.33200000000000002</v>
      </c>
      <c r="L34" s="11">
        <f t="shared" si="3"/>
        <v>0</v>
      </c>
      <c r="M34" s="80">
        <f t="shared" si="21"/>
        <v>0.33200000000000002</v>
      </c>
      <c r="N34" s="76">
        <f>INDEX(Myopia!$H:$H, MATCH(E34, Myopia!$A:$A, 0)) * Trend_Factor^(A34)</f>
        <v>0</v>
      </c>
      <c r="O34" s="11">
        <f t="shared" si="4"/>
        <v>0</v>
      </c>
      <c r="P34" s="80">
        <f t="shared" si="22"/>
        <v>0</v>
      </c>
      <c r="Q34" s="76">
        <f>VLOOKUP(C34,Others!$L$10:$M$61,2)</f>
        <v>0</v>
      </c>
      <c r="R34" s="11">
        <f t="shared" si="5"/>
        <v>0</v>
      </c>
      <c r="S34" s="80">
        <f t="shared" si="23"/>
        <v>0</v>
      </c>
      <c r="T34" s="78">
        <f t="shared" si="24"/>
        <v>2.7666666666666667E-5</v>
      </c>
      <c r="U34" s="81">
        <f t="shared" si="25"/>
        <v>0</v>
      </c>
      <c r="V34" s="81">
        <f t="shared" si="26"/>
        <v>0</v>
      </c>
      <c r="W34" s="77">
        <f t="shared" si="6"/>
        <v>0.99922845382333814</v>
      </c>
      <c r="X34" s="82">
        <f t="shared" si="27"/>
        <v>2.7645320555779021E-5</v>
      </c>
      <c r="Y34" s="82">
        <f t="shared" si="28"/>
        <v>0</v>
      </c>
      <c r="Z34" s="82">
        <f t="shared" si="29"/>
        <v>0</v>
      </c>
      <c r="AA34" s="82">
        <f t="shared" si="30"/>
        <v>0.99920080850278237</v>
      </c>
      <c r="AC34" s="46">
        <f t="shared" si="7"/>
        <v>0</v>
      </c>
      <c r="AD34" s="15">
        <f t="shared" si="31"/>
        <v>0</v>
      </c>
      <c r="AE34" s="46">
        <f t="shared" si="32"/>
        <v>0</v>
      </c>
      <c r="AF34" s="15">
        <f t="shared" si="33"/>
        <v>0</v>
      </c>
      <c r="AG34" s="46">
        <f>SUMPRODUCT(AE35:AE$605, $I34:$I$604) / $I34</f>
        <v>0</v>
      </c>
      <c r="AI34" s="46">
        <f t="shared" si="8"/>
        <v>-47000</v>
      </c>
      <c r="AJ34" s="46">
        <f>IF(E34&gt;Mat_Year,0,  -SUM($AD$5:AD34))</f>
        <v>-9306</v>
      </c>
      <c r="AK34" s="24">
        <f t="shared" si="34"/>
        <v>-0.25726735309207954</v>
      </c>
      <c r="AL34" s="79">
        <f t="shared" si="35"/>
        <v>0</v>
      </c>
      <c r="AM34" s="24">
        <f t="shared" si="36"/>
        <v>-0.25746599999999997</v>
      </c>
      <c r="AN34" s="79">
        <f t="shared" si="37"/>
        <v>-0.25726735309207954</v>
      </c>
      <c r="AO34" s="15">
        <f t="shared" si="38"/>
        <v>-6938.1650807838223</v>
      </c>
      <c r="AP34" s="46">
        <f>SUMPRODUCT(AN35:AN$605, $I35:$I$605) / $I34</f>
        <v>-6932.8119660426946</v>
      </c>
      <c r="AR34" s="46">
        <v>0</v>
      </c>
      <c r="AS34" s="46">
        <v>0</v>
      </c>
      <c r="AT34" s="46">
        <v>0</v>
      </c>
      <c r="AU34" s="95">
        <f t="shared" si="9"/>
        <v>-1.8003339749085439</v>
      </c>
      <c r="AV34" s="47">
        <f t="shared" si="10"/>
        <v>0</v>
      </c>
      <c r="AW34" s="96">
        <f t="shared" si="59"/>
        <v>-1.8003339749085439</v>
      </c>
      <c r="AX34" s="95">
        <f t="shared" si="11"/>
        <v>-20.643829578951301</v>
      </c>
      <c r="AY34" s="11">
        <f t="shared" si="12"/>
        <v>0</v>
      </c>
      <c r="AZ34" s="96">
        <f t="shared" si="60"/>
        <v>-20.643829578951301</v>
      </c>
      <c r="BA34" s="95">
        <f t="shared" si="61"/>
        <v>-1.7989449341134887</v>
      </c>
      <c r="BB34" s="64">
        <f t="shared" si="62"/>
        <v>-5.7070528620898134E-4</v>
      </c>
      <c r="BC34" s="95">
        <f t="shared" si="63"/>
        <v>-1.8003339749085439</v>
      </c>
      <c r="BD34" s="96">
        <f t="shared" si="64"/>
        <v>-5.7114595168431925E-4</v>
      </c>
      <c r="BE34" s="96">
        <f t="shared" si="65"/>
        <v>-1.7989449341134887</v>
      </c>
      <c r="BF34" s="96">
        <f t="shared" si="66"/>
        <v>-5.7070528620898134E-4</v>
      </c>
      <c r="BG34" s="15">
        <f t="shared" si="47"/>
        <v>-279.88820162556522</v>
      </c>
      <c r="BH34" s="46">
        <f>(SUMPRODUCT(BE35:BE$605,$I34:$I$604)+SUMPRODUCT(BF35:BF$605,$I35:$I$605)) / $I34</f>
        <v>-279.67225495370826</v>
      </c>
      <c r="BJ34" s="46">
        <f t="shared" si="67"/>
        <v>-1.7989449341134887</v>
      </c>
      <c r="BK34" s="46">
        <f t="shared" si="68"/>
        <v>-0.25783805837828855</v>
      </c>
      <c r="BM34" s="49">
        <f t="shared" si="50"/>
        <v>7218.2529874086977</v>
      </c>
      <c r="BN34" s="46">
        <f t="shared" si="69"/>
        <v>7212.4842209963945</v>
      </c>
      <c r="BP34" s="46">
        <f>Reserve!BX34</f>
        <v>9863.6968120531274</v>
      </c>
      <c r="BQ34" s="46">
        <f t="shared" si="13"/>
        <v>9855.8138294298024</v>
      </c>
      <c r="BR34" s="15">
        <f t="shared" si="52"/>
        <v>-17.213883754209746</v>
      </c>
      <c r="BT34" s="49">
        <f t="shared" si="53"/>
        <v>25.919791786871507</v>
      </c>
      <c r="BU34" s="46">
        <f t="shared" si="54"/>
        <v>25.899793470618473</v>
      </c>
      <c r="BV34" s="46">
        <f>SUMPRODUCT(BU35:BU$605, $I35:$I$605) / $I34</f>
        <v>3253.9599252991547</v>
      </c>
      <c r="BX34" s="46">
        <f>-BZ34*Others!$Q$43</f>
        <v>-1.6970564413227394</v>
      </c>
      <c r="BZ34" s="50">
        <f t="shared" si="0"/>
        <v>6.6291267239169507</v>
      </c>
      <c r="CA34" s="46">
        <f t="shared" si="55"/>
        <v>4.9320702825942115</v>
      </c>
      <c r="CB34" s="46">
        <f t="shared" si="14"/>
        <v>4.9320702825942115</v>
      </c>
      <c r="CD34" s="46">
        <f>SUMPRODUCT(BZ35:BZ$605, $I35:$I$605) / $I34</f>
        <v>2643.3296084334029</v>
      </c>
      <c r="CE34" s="46">
        <f>SUMPRODUCT(CA35:CA$605, $I35:$I$605) / $I34</f>
        <v>1966.6372286744477</v>
      </c>
      <c r="CF34" s="46">
        <f>SUMPRODUCT(CB35:CB$605, $I35:$I$605) / $I34</f>
        <v>1966.6372286744477</v>
      </c>
      <c r="CH34" s="46">
        <f t="shared" si="15"/>
        <v>37136.303187946876</v>
      </c>
      <c r="CI34" s="46">
        <f t="shared" si="16"/>
        <v>0</v>
      </c>
      <c r="CK34" s="46">
        <f>NPV((1+CK$3)^(1/12)-1,$CB$6:$CB34)+$CB$5</f>
        <v>-593.93313488406875</v>
      </c>
      <c r="CL34" s="46">
        <f>NPV((1+CL$3)^(1/12)-1,$CB$6:$CB34)+$CB$5</f>
        <v>-596.86631412753081</v>
      </c>
      <c r="CM34" s="46">
        <f>NPV((1+CM$3)^(1/12)-1,$CB$6:$CB34)+$CB$5</f>
        <v>-603.58605377717595</v>
      </c>
      <c r="CN34" s="46">
        <f>NPV((1+CN$3)^(1/12)-1,$CB$6:$CB34)+$CB$5</f>
        <v>-603.58605377717595</v>
      </c>
    </row>
    <row r="35" spans="1:92" x14ac:dyDescent="0.25">
      <c r="A35" s="61">
        <f t="shared" si="1"/>
        <v>2.5</v>
      </c>
      <c r="B35" s="32">
        <f t="shared" si="56"/>
        <v>6</v>
      </c>
      <c r="C35" s="62">
        <f t="shared" si="17"/>
        <v>3</v>
      </c>
      <c r="D35" s="64">
        <f t="shared" si="18"/>
        <v>3</v>
      </c>
      <c r="E35" s="28">
        <f t="shared" si="2"/>
        <v>3</v>
      </c>
      <c r="G35" s="68">
        <f>INDEX(Others!$D$11:$E$60, MATCH(C35, Others!$A$11:$A$60, 0), MATCH(G$3, Others!$D$10:$E$10, 0))</f>
        <v>3.205696486422438E-2</v>
      </c>
      <c r="H35" s="16">
        <f t="shared" si="57"/>
        <v>2.6329488081202612E-3</v>
      </c>
      <c r="I35" s="69">
        <f t="shared" si="58"/>
        <v>0.93194295393943161</v>
      </c>
      <c r="K35" s="80">
        <f>INDEX(Mortality!$B$7:$F$32, MATCH( E35,Mortality!$A$7:$A$32, 0), MATCH( K$3,Mortality!$B$6:$F$6,0))</f>
        <v>0.33399999999999996</v>
      </c>
      <c r="L35" s="11">
        <f t="shared" si="3"/>
        <v>0</v>
      </c>
      <c r="M35" s="80">
        <f t="shared" si="21"/>
        <v>0.33399999999999996</v>
      </c>
      <c r="N35" s="76">
        <f>INDEX(Myopia!$H:$H, MATCH(E35, Myopia!$A:$A, 0)) * Trend_Factor^(A35)</f>
        <v>6.1697654661969237</v>
      </c>
      <c r="O35" s="11">
        <f t="shared" si="4"/>
        <v>0</v>
      </c>
      <c r="P35" s="80">
        <f t="shared" si="22"/>
        <v>6.1697654661969237</v>
      </c>
      <c r="Q35" s="76">
        <f>VLOOKUP(C35,Others!$L$10:$M$61,2)</f>
        <v>0</v>
      </c>
      <c r="R35" s="11">
        <f t="shared" si="5"/>
        <v>0</v>
      </c>
      <c r="S35" s="80">
        <f t="shared" si="23"/>
        <v>0</v>
      </c>
      <c r="T35" s="78">
        <f t="shared" si="24"/>
        <v>2.7833333333333333E-5</v>
      </c>
      <c r="U35" s="81">
        <f t="shared" si="25"/>
        <v>5.1414712218307698E-4</v>
      </c>
      <c r="V35" s="81">
        <f t="shared" si="26"/>
        <v>0</v>
      </c>
      <c r="W35" s="77">
        <f t="shared" si="6"/>
        <v>0.99920080850278237</v>
      </c>
      <c r="X35" s="82">
        <f t="shared" si="27"/>
        <v>2.7803939674263346E-5</v>
      </c>
      <c r="Y35" s="82">
        <f t="shared" si="28"/>
        <v>5.1372907067897861E-4</v>
      </c>
      <c r="Z35" s="82">
        <f t="shared" si="29"/>
        <v>0</v>
      </c>
      <c r="AA35" s="82">
        <f t="shared" si="30"/>
        <v>0.99865927549242917</v>
      </c>
      <c r="AC35" s="46">
        <f t="shared" si="7"/>
        <v>0</v>
      </c>
      <c r="AD35" s="15">
        <f t="shared" si="31"/>
        <v>0</v>
      </c>
      <c r="AE35" s="46">
        <f t="shared" si="32"/>
        <v>0</v>
      </c>
      <c r="AF35" s="15">
        <f t="shared" si="33"/>
        <v>0</v>
      </c>
      <c r="AG35" s="46">
        <f>SUMPRODUCT(AE36:AE$605, $I35:$I$604) / $I35</f>
        <v>0</v>
      </c>
      <c r="AI35" s="46">
        <f t="shared" si="8"/>
        <v>-47000</v>
      </c>
      <c r="AJ35" s="46">
        <f>IF(E35&gt;Mat_Year,0,  -SUM($AD$5:AD35))</f>
        <v>-9306</v>
      </c>
      <c r="AK35" s="24">
        <f t="shared" si="34"/>
        <v>-0.25874346260869469</v>
      </c>
      <c r="AL35" s="79">
        <f t="shared" si="35"/>
        <v>-24.145266321911993</v>
      </c>
      <c r="AM35" s="24">
        <f t="shared" si="36"/>
        <v>-24.423528861118545</v>
      </c>
      <c r="AN35" s="79">
        <f t="shared" si="37"/>
        <v>-24.404009784520689</v>
      </c>
      <c r="AO35" s="15">
        <f t="shared" si="38"/>
        <v>-6932.2018520382317</v>
      </c>
      <c r="AP35" s="46">
        <f>SUMPRODUCT(AN36:AN$605, $I36:$I$605) / $I35</f>
        <v>-6926.6616952610866</v>
      </c>
      <c r="AR35" s="46">
        <v>0</v>
      </c>
      <c r="AS35" s="46">
        <v>0</v>
      </c>
      <c r="AT35" s="46">
        <v>0</v>
      </c>
      <c r="AU35" s="95">
        <f t="shared" si="9"/>
        <v>-1.802346925653775</v>
      </c>
      <c r="AV35" s="47">
        <f t="shared" si="10"/>
        <v>0</v>
      </c>
      <c r="AW35" s="96">
        <f t="shared" si="59"/>
        <v>-1.802346925653775</v>
      </c>
      <c r="AX35" s="95">
        <f t="shared" si="11"/>
        <v>-20.666911414163284</v>
      </c>
      <c r="AY35" s="11">
        <f t="shared" si="12"/>
        <v>0</v>
      </c>
      <c r="AZ35" s="96">
        <f t="shared" si="60"/>
        <v>-20.666911414163284</v>
      </c>
      <c r="BA35" s="95">
        <f t="shared" si="61"/>
        <v>-1.800906505315756</v>
      </c>
      <c r="BB35" s="64">
        <f t="shared" si="62"/>
        <v>-1.119181475281562E-2</v>
      </c>
      <c r="BC35" s="95">
        <f t="shared" si="63"/>
        <v>-1.802346925653775</v>
      </c>
      <c r="BD35" s="96">
        <f t="shared" si="64"/>
        <v>-1.1200766310012903E-2</v>
      </c>
      <c r="BE35" s="96">
        <f t="shared" si="65"/>
        <v>-1.800906505315756</v>
      </c>
      <c r="BF35" s="96">
        <f t="shared" si="66"/>
        <v>-1.119181475281562E-2</v>
      </c>
      <c r="BG35" s="15">
        <f t="shared" si="47"/>
        <v>-278.81460393010866</v>
      </c>
      <c r="BH35" s="46">
        <f>(SUMPRODUCT(BE36:BE$605,$I35:$I$604)+SUMPRODUCT(BF36:BF$605,$I36:$I$605)) / $I35</f>
        <v>-278.59177766934761</v>
      </c>
      <c r="BJ35" s="46">
        <f t="shared" si="67"/>
        <v>-1.800906505315756</v>
      </c>
      <c r="BK35" s="46">
        <f t="shared" si="68"/>
        <v>-24.415201599273505</v>
      </c>
      <c r="BM35" s="49">
        <f t="shared" si="50"/>
        <v>7214.9267019800991</v>
      </c>
      <c r="BN35" s="46">
        <f t="shared" si="69"/>
        <v>7205.2534729304271</v>
      </c>
      <c r="BP35" s="46">
        <f>Reserve!BX35</f>
        <v>9856.3858632379888</v>
      </c>
      <c r="BQ35" s="46">
        <f t="shared" si="13"/>
        <v>9843.1711651550704</v>
      </c>
      <c r="BR35" s="15">
        <f t="shared" si="52"/>
        <v>12.642664274731942</v>
      </c>
      <c r="BT35" s="49">
        <f t="shared" si="53"/>
        <v>25.965863277765184</v>
      </c>
      <c r="BU35" s="46">
        <f t="shared" si="54"/>
        <v>25.945111580615677</v>
      </c>
      <c r="BV35" s="46">
        <f>SUMPRODUCT(BU36:BU$605, $I36:$I$605) / $I35</f>
        <v>3236.5823236255264</v>
      </c>
      <c r="BX35" s="46">
        <f>-BZ35*Others!$Q$43</f>
        <v>-3.16714694419414</v>
      </c>
      <c r="BZ35" s="50">
        <f t="shared" si="0"/>
        <v>12.371667750758359</v>
      </c>
      <c r="CA35" s="46">
        <f t="shared" si="55"/>
        <v>9.2045208065642186</v>
      </c>
      <c r="CB35" s="46">
        <f t="shared" si="14"/>
        <v>9.2045208065642186</v>
      </c>
      <c r="CD35" s="46">
        <f>SUMPRODUCT(BZ36:BZ$605, $I36:$I$605) / $I35</f>
        <v>2637.9176922246374</v>
      </c>
      <c r="CE35" s="46">
        <f>SUMPRODUCT(CA36:CA$605, $I36:$I$605) / $I35</f>
        <v>1962.6107630151266</v>
      </c>
      <c r="CF35" s="46">
        <f>SUMPRODUCT(CB36:CB$605, $I36:$I$605) / $I35</f>
        <v>1962.6107630151266</v>
      </c>
      <c r="CH35" s="46">
        <f t="shared" si="15"/>
        <v>37143.614136762015</v>
      </c>
      <c r="CI35" s="46">
        <f t="shared" si="16"/>
        <v>0</v>
      </c>
      <c r="CK35" s="46">
        <f>NPV((1+CK$3)^(1/12)-1,$CB$6:$CB35)+$CB$5</f>
        <v>-585.3842765164751</v>
      </c>
      <c r="CL35" s="46">
        <f>NPV((1+CL$3)^(1/12)-1,$CB$6:$CB35)+$CB$5</f>
        <v>-588.71874720999585</v>
      </c>
      <c r="CM35" s="46">
        <f>NPV((1+CM$3)^(1/12)-1,$CB$6:$CB35)+$CB$5</f>
        <v>-596.33302382594309</v>
      </c>
      <c r="CN35" s="46">
        <f>NPV((1+CN$3)^(1/12)-1,$CB$6:$CB35)+$CB$5</f>
        <v>-596.33302382594309</v>
      </c>
    </row>
    <row r="36" spans="1:92" x14ac:dyDescent="0.25">
      <c r="A36" s="61">
        <f t="shared" si="1"/>
        <v>2.5833333333333335</v>
      </c>
      <c r="B36" s="32">
        <f t="shared" si="56"/>
        <v>7</v>
      </c>
      <c r="C36" s="62">
        <f t="shared" si="17"/>
        <v>3</v>
      </c>
      <c r="D36" s="64">
        <f t="shared" si="18"/>
        <v>3.0833333333333335</v>
      </c>
      <c r="E36" s="28">
        <f t="shared" si="2"/>
        <v>3</v>
      </c>
      <c r="G36" s="68">
        <f>INDEX(Others!$D$11:$E$60, MATCH(C36, Others!$A$11:$A$60, 0), MATCH(G$3, Others!$D$10:$E$10, 0))</f>
        <v>3.205696486422438E-2</v>
      </c>
      <c r="H36" s="16">
        <f t="shared" si="57"/>
        <v>2.6329488081202612E-3</v>
      </c>
      <c r="I36" s="69">
        <f t="shared" si="58"/>
        <v>0.92949563950324854</v>
      </c>
      <c r="K36" s="80">
        <f>INDEX(Mortality!$B$7:$F$32, MATCH( E36,Mortality!$A$7:$A$32, 0), MATCH( K$3,Mortality!$B$6:$F$6,0))</f>
        <v>0.33399999999999996</v>
      </c>
      <c r="L36" s="11">
        <f t="shared" si="3"/>
        <v>0</v>
      </c>
      <c r="M36" s="80">
        <f t="shared" si="21"/>
        <v>0.33399999999999996</v>
      </c>
      <c r="N36" s="76">
        <f>INDEX(Myopia!$H:$H, MATCH(E36, Myopia!$A:$A, 0)) * Trend_Factor^(A36)</f>
        <v>6.1697654661969237</v>
      </c>
      <c r="O36" s="11">
        <f t="shared" si="4"/>
        <v>0</v>
      </c>
      <c r="P36" s="80">
        <f t="shared" si="22"/>
        <v>6.1697654661969237</v>
      </c>
      <c r="Q36" s="76">
        <f>VLOOKUP(C36,Others!$L$10:$M$61,2)</f>
        <v>0</v>
      </c>
      <c r="R36" s="11">
        <f t="shared" si="5"/>
        <v>0</v>
      </c>
      <c r="S36" s="80">
        <f t="shared" si="23"/>
        <v>0</v>
      </c>
      <c r="T36" s="78">
        <f t="shared" si="24"/>
        <v>2.7833333333333333E-5</v>
      </c>
      <c r="U36" s="81">
        <f t="shared" si="25"/>
        <v>5.1414712218307698E-4</v>
      </c>
      <c r="V36" s="81">
        <f t="shared" si="26"/>
        <v>0</v>
      </c>
      <c r="W36" s="77">
        <f t="shared" si="6"/>
        <v>0.99865927549242917</v>
      </c>
      <c r="X36" s="82">
        <f t="shared" si="27"/>
        <v>2.7788870880259823E-5</v>
      </c>
      <c r="Y36" s="82">
        <f t="shared" si="28"/>
        <v>5.1345064691492304E-4</v>
      </c>
      <c r="Z36" s="82">
        <f t="shared" si="29"/>
        <v>0</v>
      </c>
      <c r="AA36" s="82">
        <f t="shared" si="30"/>
        <v>0.998118035974634</v>
      </c>
      <c r="AC36" s="46">
        <f t="shared" si="7"/>
        <v>0</v>
      </c>
      <c r="AD36" s="15">
        <f t="shared" si="31"/>
        <v>0</v>
      </c>
      <c r="AE36" s="46">
        <f t="shared" si="32"/>
        <v>0</v>
      </c>
      <c r="AF36" s="15">
        <f t="shared" si="33"/>
        <v>0</v>
      </c>
      <c r="AG36" s="46">
        <f>SUMPRODUCT(AE37:AE$605, $I36:$I$604) / $I36</f>
        <v>0</v>
      </c>
      <c r="AI36" s="46">
        <f t="shared" si="8"/>
        <v>-47000</v>
      </c>
      <c r="AJ36" s="46">
        <f>IF(E36&gt;Mat_Year,0,  -SUM($AD$5:AD36))</f>
        <v>-9306</v>
      </c>
      <c r="AK36" s="24">
        <f t="shared" si="34"/>
        <v>-0.25860323241169791</v>
      </c>
      <c r="AL36" s="79">
        <f t="shared" si="35"/>
        <v>-24.132180405001382</v>
      </c>
      <c r="AM36" s="24">
        <f t="shared" si="36"/>
        <v>-24.423528861118545</v>
      </c>
      <c r="AN36" s="79">
        <f t="shared" si="37"/>
        <v>-24.39078363741308</v>
      </c>
      <c r="AO36" s="15">
        <f t="shared" si="38"/>
        <v>-6929.7994091789005</v>
      </c>
      <c r="AP36" s="46">
        <f>SUMPRODUCT(AN37:AN$605, $I37:$I$605) / $I36</f>
        <v>-6920.5084572784644</v>
      </c>
      <c r="AR36" s="46">
        <v>0</v>
      </c>
      <c r="AS36" s="46">
        <v>0</v>
      </c>
      <c r="AT36" s="46">
        <v>0</v>
      </c>
      <c r="AU36" s="95">
        <f t="shared" si="9"/>
        <v>-1.8043621270762467</v>
      </c>
      <c r="AV36" s="47">
        <f t="shared" si="10"/>
        <v>0</v>
      </c>
      <c r="AW36" s="96">
        <f t="shared" si="59"/>
        <v>-1.8043621270762467</v>
      </c>
      <c r="AX36" s="95">
        <f t="shared" si="11"/>
        <v>-20.690019057140958</v>
      </c>
      <c r="AY36" s="11">
        <f t="shared" si="12"/>
        <v>0</v>
      </c>
      <c r="AZ36" s="96">
        <f t="shared" si="60"/>
        <v>-20.690019057140958</v>
      </c>
      <c r="BA36" s="95">
        <f t="shared" si="61"/>
        <v>-1.8019429745519429</v>
      </c>
      <c r="BB36" s="64">
        <f t="shared" si="62"/>
        <v>-1.1198255937660115E-2</v>
      </c>
      <c r="BC36" s="95">
        <f t="shared" si="63"/>
        <v>-1.8043621270762467</v>
      </c>
      <c r="BD36" s="96">
        <f t="shared" si="64"/>
        <v>-1.1213289870199587E-2</v>
      </c>
      <c r="BE36" s="96">
        <f t="shared" si="65"/>
        <v>-1.8019429745519429</v>
      </c>
      <c r="BF36" s="96">
        <f t="shared" si="66"/>
        <v>-1.1198255937660115E-2</v>
      </c>
      <c r="BG36" s="15">
        <f t="shared" si="47"/>
        <v>-277.8799703906833</v>
      </c>
      <c r="BH36" s="46">
        <f>(SUMPRODUCT(BE37:BE$605,$I36:$I$604)+SUMPRODUCT(BF37:BF$605,$I37:$I$605)) / $I36</f>
        <v>-277.50740990421747</v>
      </c>
      <c r="BJ36" s="46">
        <f t="shared" si="67"/>
        <v>-1.8019429745519429</v>
      </c>
      <c r="BK36" s="46">
        <f t="shared" si="68"/>
        <v>-24.40198189335074</v>
      </c>
      <c r="BM36" s="49">
        <f t="shared" si="50"/>
        <v>7211.5878160181883</v>
      </c>
      <c r="BN36" s="46">
        <f t="shared" si="69"/>
        <v>7198.0158671826739</v>
      </c>
      <c r="BP36" s="46">
        <f>Reserve!BX36</f>
        <v>9849.0513155378176</v>
      </c>
      <c r="BQ36" s="46">
        <f t="shared" si="13"/>
        <v>9830.515755277991</v>
      </c>
      <c r="BR36" s="15">
        <f t="shared" si="52"/>
        <v>12.655409877079364</v>
      </c>
      <c r="BT36" s="49">
        <f t="shared" si="53"/>
        <v>25.946608617873949</v>
      </c>
      <c r="BU36" s="46">
        <f t="shared" si="54"/>
        <v>25.911821363811615</v>
      </c>
      <c r="BV36" s="46">
        <f>SUMPRODUCT(BU37:BU$605, $I37:$I$605) / $I36</f>
        <v>3219.1922578330882</v>
      </c>
      <c r="BX36" s="46">
        <f>-BZ36*Others!$Q$43</f>
        <v>-3.1650064314850042</v>
      </c>
      <c r="BZ36" s="50">
        <f t="shared" si="0"/>
        <v>12.363306372988298</v>
      </c>
      <c r="CA36" s="46">
        <f t="shared" si="55"/>
        <v>9.1982999415032936</v>
      </c>
      <c r="CB36" s="46">
        <f t="shared" si="14"/>
        <v>9.1982999415032936</v>
      </c>
      <c r="CD36" s="46">
        <f>SUMPRODUCT(BZ37:BZ$605, $I37:$I$605) / $I36</f>
        <v>2632.4998880953121</v>
      </c>
      <c r="CE36" s="46">
        <f>SUMPRODUCT(CA37:CA$605, $I37:$I$605) / $I36</f>
        <v>1958.5799167429082</v>
      </c>
      <c r="CF36" s="46">
        <f>SUMPRODUCT(CB37:CB$605, $I37:$I$605) / $I36</f>
        <v>1958.5799167429082</v>
      </c>
      <c r="CH36" s="46">
        <f t="shared" si="15"/>
        <v>37150.948684462186</v>
      </c>
      <c r="CI36" s="46">
        <f t="shared" si="16"/>
        <v>0</v>
      </c>
      <c r="CK36" s="46">
        <f>NPV((1+CK$3)^(1/12)-1,$CB$6:$CB36)+$CB$5</f>
        <v>-576.86221359140836</v>
      </c>
      <c r="CL36" s="46">
        <f>NPV((1+CL$3)^(1/12)-1,$CB$6:$CB36)+$CB$5</f>
        <v>-580.60972398082185</v>
      </c>
      <c r="CM36" s="46">
        <f>NPV((1+CM$3)^(1/12)-1,$CB$6:$CB36)+$CB$5</f>
        <v>-589.14223617737014</v>
      </c>
      <c r="CN36" s="46">
        <f>NPV((1+CN$3)^(1/12)-1,$CB$6:$CB36)+$CB$5</f>
        <v>-589.14223617737014</v>
      </c>
    </row>
    <row r="37" spans="1:92" x14ac:dyDescent="0.25">
      <c r="A37" s="61">
        <f t="shared" si="1"/>
        <v>2.666666666666667</v>
      </c>
      <c r="B37" s="32">
        <f t="shared" si="56"/>
        <v>8</v>
      </c>
      <c r="C37" s="62">
        <f t="shared" si="17"/>
        <v>3</v>
      </c>
      <c r="D37" s="64">
        <f t="shared" si="18"/>
        <v>3.166666666666667</v>
      </c>
      <c r="E37" s="28">
        <f t="shared" si="2"/>
        <v>3</v>
      </c>
      <c r="G37" s="68">
        <f>INDEX(Others!$D$11:$E$60, MATCH(C37, Others!$A$11:$A$60, 0), MATCH(G$3, Others!$D$10:$E$10, 0))</f>
        <v>3.205696486422438E-2</v>
      </c>
      <c r="H37" s="16">
        <f t="shared" si="57"/>
        <v>2.6329488081202612E-3</v>
      </c>
      <c r="I37" s="69">
        <f t="shared" si="58"/>
        <v>0.92705475179943597</v>
      </c>
      <c r="K37" s="80">
        <f>INDEX(Mortality!$B$7:$F$32, MATCH( E37,Mortality!$A$7:$A$32, 0), MATCH( K$3,Mortality!$B$6:$F$6,0))</f>
        <v>0.33399999999999996</v>
      </c>
      <c r="L37" s="11">
        <f t="shared" si="3"/>
        <v>0</v>
      </c>
      <c r="M37" s="80">
        <f t="shared" si="21"/>
        <v>0.33399999999999996</v>
      </c>
      <c r="N37" s="76">
        <f>INDEX(Myopia!$H:$H, MATCH(E37, Myopia!$A:$A, 0)) * Trend_Factor^(A37)</f>
        <v>6.1697654661969237</v>
      </c>
      <c r="O37" s="11">
        <f t="shared" si="4"/>
        <v>0</v>
      </c>
      <c r="P37" s="80">
        <f t="shared" si="22"/>
        <v>6.1697654661969237</v>
      </c>
      <c r="Q37" s="76">
        <f>VLOOKUP(C37,Others!$L$10:$M$61,2)</f>
        <v>0</v>
      </c>
      <c r="R37" s="11">
        <f t="shared" si="5"/>
        <v>0</v>
      </c>
      <c r="S37" s="80">
        <f t="shared" si="23"/>
        <v>0</v>
      </c>
      <c r="T37" s="78">
        <f t="shared" si="24"/>
        <v>2.7833333333333333E-5</v>
      </c>
      <c r="U37" s="81">
        <f t="shared" si="25"/>
        <v>5.1414712218307698E-4</v>
      </c>
      <c r="V37" s="81">
        <f t="shared" si="26"/>
        <v>0</v>
      </c>
      <c r="W37" s="77">
        <f t="shared" si="6"/>
        <v>0.998118035974634</v>
      </c>
      <c r="X37" s="82">
        <f t="shared" si="27"/>
        <v>2.7773810253032494E-5</v>
      </c>
      <c r="Y37" s="82">
        <f t="shared" si="28"/>
        <v>5.1317237404712151E-4</v>
      </c>
      <c r="Z37" s="82">
        <f t="shared" si="29"/>
        <v>0</v>
      </c>
      <c r="AA37" s="82">
        <f t="shared" si="30"/>
        <v>0.99757708979033388</v>
      </c>
      <c r="AC37" s="46">
        <f t="shared" si="7"/>
        <v>0</v>
      </c>
      <c r="AD37" s="15">
        <f t="shared" si="31"/>
        <v>0</v>
      </c>
      <c r="AE37" s="46">
        <f t="shared" si="32"/>
        <v>0</v>
      </c>
      <c r="AF37" s="15">
        <f t="shared" si="33"/>
        <v>0</v>
      </c>
      <c r="AG37" s="46">
        <f>SUMPRODUCT(AE38:AE$605, $I37:$I$604) / $I37</f>
        <v>0</v>
      </c>
      <c r="AI37" s="46">
        <f t="shared" si="8"/>
        <v>-47000</v>
      </c>
      <c r="AJ37" s="46">
        <f>IF(E37&gt;Mat_Year,0,  -SUM($AD$5:AD37))</f>
        <v>-9306</v>
      </c>
      <c r="AK37" s="24">
        <f t="shared" si="34"/>
        <v>-0.25846307821472042</v>
      </c>
      <c r="AL37" s="79">
        <f t="shared" si="35"/>
        <v>-24.119101580214711</v>
      </c>
      <c r="AM37" s="24">
        <f t="shared" si="36"/>
        <v>-24.423528861118545</v>
      </c>
      <c r="AN37" s="79">
        <f t="shared" si="37"/>
        <v>-24.377564658429431</v>
      </c>
      <c r="AO37" s="15">
        <f t="shared" si="38"/>
        <v>-6927.3893346316945</v>
      </c>
      <c r="AP37" s="46">
        <f>SUMPRODUCT(AN38:AN$605, $I38:$I$605) / $I37</f>
        <v>-6914.3522371142135</v>
      </c>
      <c r="AR37" s="46">
        <v>0</v>
      </c>
      <c r="AS37" s="46">
        <v>0</v>
      </c>
      <c r="AT37" s="46">
        <v>0</v>
      </c>
      <c r="AU37" s="95">
        <f t="shared" si="9"/>
        <v>-1.8063795816924377</v>
      </c>
      <c r="AV37" s="47">
        <f t="shared" si="10"/>
        <v>0</v>
      </c>
      <c r="AW37" s="96">
        <f t="shared" si="59"/>
        <v>-1.8063795816924377</v>
      </c>
      <c r="AX37" s="95">
        <f t="shared" si="11"/>
        <v>-20.713152536739948</v>
      </c>
      <c r="AY37" s="11">
        <f t="shared" si="12"/>
        <v>0</v>
      </c>
      <c r="AZ37" s="96">
        <f t="shared" si="60"/>
        <v>-20.713152536739948</v>
      </c>
      <c r="BA37" s="95">
        <f t="shared" si="61"/>
        <v>-1.802980040303537</v>
      </c>
      <c r="BB37" s="64">
        <f t="shared" si="62"/>
        <v>-1.1204700829576529E-2</v>
      </c>
      <c r="BC37" s="95">
        <f t="shared" si="63"/>
        <v>-1.8063795816924377</v>
      </c>
      <c r="BD37" s="96">
        <f t="shared" si="64"/>
        <v>-1.1225827432960326E-2</v>
      </c>
      <c r="BE37" s="96">
        <f t="shared" si="65"/>
        <v>-1.802980040303537</v>
      </c>
      <c r="BF37" s="96">
        <f t="shared" si="66"/>
        <v>-1.1204700829576529E-2</v>
      </c>
      <c r="BG37" s="15">
        <f t="shared" si="47"/>
        <v>-276.94033255613158</v>
      </c>
      <c r="BH37" s="46">
        <f>(SUMPRODUCT(BE38:BE$605,$I37:$I$604)+SUMPRODUCT(BF38:BF$605,$I38:$I$605)) / $I37</f>
        <v>-276.41914081308806</v>
      </c>
      <c r="BJ37" s="46">
        <f t="shared" si="67"/>
        <v>-1.802980040303537</v>
      </c>
      <c r="BK37" s="46">
        <f t="shared" si="68"/>
        <v>-24.388769359259008</v>
      </c>
      <c r="BM37" s="49">
        <f t="shared" si="50"/>
        <v>7208.2362872212871</v>
      </c>
      <c r="BN37" s="46">
        <f t="shared" si="69"/>
        <v>7190.7713779272926</v>
      </c>
      <c r="BP37" s="46">
        <f>Reserve!BX37</f>
        <v>9841.6930979082299</v>
      </c>
      <c r="BQ37" s="46">
        <f t="shared" si="13"/>
        <v>9817.847559220907</v>
      </c>
      <c r="BR37" s="15">
        <f t="shared" si="52"/>
        <v>12.66819605708406</v>
      </c>
      <c r="BT37" s="49">
        <f t="shared" si="53"/>
        <v>25.927291817393954</v>
      </c>
      <c r="BU37" s="46">
        <f t="shared" si="54"/>
        <v>25.878497586918453</v>
      </c>
      <c r="BV37" s="46">
        <f>SUMPRODUCT(BU38:BU$605, $I38:$I$605) / $I37</f>
        <v>3201.7897286645407</v>
      </c>
      <c r="BX37" s="46">
        <f>-BZ37*Others!$Q$43</f>
        <v>-3.1628657265766313</v>
      </c>
      <c r="BZ37" s="50">
        <f t="shared" si="0"/>
        <v>12.354944244439967</v>
      </c>
      <c r="CA37" s="46">
        <f t="shared" si="55"/>
        <v>9.1920785178633349</v>
      </c>
      <c r="CB37" s="46">
        <f t="shared" si="14"/>
        <v>9.1920785178633349</v>
      </c>
      <c r="CD37" s="46">
        <f>SUMPRODUCT(BZ38:BZ$605, $I38:$I$605) / $I37</f>
        <v>2627.0761812936089</v>
      </c>
      <c r="CE37" s="46">
        <f>SUMPRODUCT(CA38:CA$605, $I38:$I$605) / $I37</f>
        <v>1954.5446788824411</v>
      </c>
      <c r="CF37" s="46">
        <f>SUMPRODUCT(CB38:CB$605, $I38:$I$605) / $I37</f>
        <v>1954.5446788824411</v>
      </c>
      <c r="CH37" s="46">
        <f t="shared" si="15"/>
        <v>37158.306902091768</v>
      </c>
      <c r="CI37" s="46">
        <f t="shared" si="16"/>
        <v>0</v>
      </c>
      <c r="CK37" s="46">
        <f>NPV((1+CK$3)^(1/12)-1,$CB$6:$CB37)+$CB$5</f>
        <v>-568.36686652347123</v>
      </c>
      <c r="CL37" s="46">
        <f>NPV((1+CL$3)^(1/12)-1,$CB$6:$CB37)+$CB$5</f>
        <v>-572.539066283284</v>
      </c>
      <c r="CM37" s="46">
        <f>NPV((1+CM$3)^(1/12)-1,$CB$6:$CB37)+$CB$5</f>
        <v>-582.01316038946334</v>
      </c>
      <c r="CN37" s="46">
        <f>NPV((1+CN$3)^(1/12)-1,$CB$6:$CB37)+$CB$5</f>
        <v>-582.01316038946334</v>
      </c>
    </row>
    <row r="38" spans="1:92" x14ac:dyDescent="0.25">
      <c r="A38" s="61">
        <f t="shared" si="1"/>
        <v>2.7500000000000004</v>
      </c>
      <c r="B38" s="32">
        <f t="shared" si="56"/>
        <v>9</v>
      </c>
      <c r="C38" s="62">
        <f t="shared" si="17"/>
        <v>3</v>
      </c>
      <c r="D38" s="64">
        <f t="shared" si="18"/>
        <v>3.2500000000000004</v>
      </c>
      <c r="E38" s="28">
        <f t="shared" si="2"/>
        <v>3</v>
      </c>
      <c r="G38" s="68">
        <f>INDEX(Others!$D$11:$E$60, MATCH(C38, Others!$A$11:$A$60, 0), MATCH(G$3, Others!$D$10:$E$10, 0))</f>
        <v>3.205696486422438E-2</v>
      </c>
      <c r="H38" s="16">
        <f t="shared" si="57"/>
        <v>2.6329488081202612E-3</v>
      </c>
      <c r="I38" s="69">
        <f t="shared" si="58"/>
        <v>0.92462027395117241</v>
      </c>
      <c r="K38" s="80">
        <f>INDEX(Mortality!$B$7:$F$32, MATCH( E38,Mortality!$A$7:$A$32, 0), MATCH( K$3,Mortality!$B$6:$F$6,0))</f>
        <v>0.33399999999999996</v>
      </c>
      <c r="L38" s="11">
        <f t="shared" si="3"/>
        <v>0</v>
      </c>
      <c r="M38" s="80">
        <f t="shared" si="21"/>
        <v>0.33399999999999996</v>
      </c>
      <c r="N38" s="76">
        <f>INDEX(Myopia!$H:$H, MATCH(E38, Myopia!$A:$A, 0)) * Trend_Factor^(A38)</f>
        <v>6.1697654661969237</v>
      </c>
      <c r="O38" s="11">
        <f t="shared" si="4"/>
        <v>0</v>
      </c>
      <c r="P38" s="80">
        <f t="shared" si="22"/>
        <v>6.1697654661969237</v>
      </c>
      <c r="Q38" s="76">
        <f>VLOOKUP(C38,Others!$L$10:$M$61,2)</f>
        <v>0</v>
      </c>
      <c r="R38" s="11">
        <f t="shared" si="5"/>
        <v>0</v>
      </c>
      <c r="S38" s="80">
        <f t="shared" si="23"/>
        <v>0</v>
      </c>
      <c r="T38" s="78">
        <f t="shared" si="24"/>
        <v>2.7833333333333333E-5</v>
      </c>
      <c r="U38" s="81">
        <f t="shared" si="25"/>
        <v>5.1414712218307698E-4</v>
      </c>
      <c r="V38" s="81">
        <f t="shared" si="26"/>
        <v>0</v>
      </c>
      <c r="W38" s="77">
        <f t="shared" si="6"/>
        <v>0.99757708979033388</v>
      </c>
      <c r="X38" s="82">
        <f t="shared" si="27"/>
        <v>2.7758757788155252E-5</v>
      </c>
      <c r="Y38" s="82">
        <f t="shared" si="28"/>
        <v>5.1289425199379341E-4</v>
      </c>
      <c r="Z38" s="82">
        <f t="shared" si="29"/>
        <v>0</v>
      </c>
      <c r="AA38" s="82">
        <f t="shared" si="30"/>
        <v>0.99703643678055198</v>
      </c>
      <c r="AC38" s="46">
        <f t="shared" si="7"/>
        <v>0</v>
      </c>
      <c r="AD38" s="15">
        <f t="shared" si="31"/>
        <v>0</v>
      </c>
      <c r="AE38" s="46">
        <f t="shared" si="32"/>
        <v>0</v>
      </c>
      <c r="AF38" s="15">
        <f t="shared" si="33"/>
        <v>0</v>
      </c>
      <c r="AG38" s="46">
        <f>SUMPRODUCT(AE39:AE$605, $I38:$I$604) / $I38</f>
        <v>0</v>
      </c>
      <c r="AI38" s="46">
        <f t="shared" si="8"/>
        <v>-47000</v>
      </c>
      <c r="AJ38" s="46">
        <f>IF(E38&gt;Mat_Year,0,  -SUM($AD$5:AD38))</f>
        <v>-9306</v>
      </c>
      <c r="AK38" s="24">
        <f t="shared" si="34"/>
        <v>-0.25832299997657276</v>
      </c>
      <c r="AL38" s="79">
        <f t="shared" si="35"/>
        <v>-24.106029843708292</v>
      </c>
      <c r="AM38" s="24">
        <f t="shared" si="36"/>
        <v>-24.423528861118545</v>
      </c>
      <c r="AN38" s="79">
        <f t="shared" si="37"/>
        <v>-24.364352843684866</v>
      </c>
      <c r="AO38" s="15">
        <f t="shared" si="38"/>
        <v>-6924.971604153513</v>
      </c>
      <c r="AP38" s="46">
        <f>SUMPRODUCT(AN39:AN$605, $I39:$I$605) / $I38</f>
        <v>-6908.1930197521615</v>
      </c>
      <c r="AR38" s="46">
        <v>0</v>
      </c>
      <c r="AS38" s="46">
        <v>0</v>
      </c>
      <c r="AT38" s="46">
        <v>0</v>
      </c>
      <c r="AU38" s="95">
        <f t="shared" si="9"/>
        <v>-1.808399292021641</v>
      </c>
      <c r="AV38" s="47">
        <f t="shared" si="10"/>
        <v>0</v>
      </c>
      <c r="AW38" s="96">
        <f t="shared" si="59"/>
        <v>-1.808399292021641</v>
      </c>
      <c r="AX38" s="95">
        <f t="shared" si="11"/>
        <v>-20.736311881848145</v>
      </c>
      <c r="AY38" s="11">
        <f t="shared" si="12"/>
        <v>0</v>
      </c>
      <c r="AZ38" s="96">
        <f t="shared" si="60"/>
        <v>-20.736311881848145</v>
      </c>
      <c r="BA38" s="95">
        <f t="shared" si="61"/>
        <v>-1.8040177029138487</v>
      </c>
      <c r="BB38" s="64">
        <f t="shared" si="62"/>
        <v>-1.1211149430698383E-2</v>
      </c>
      <c r="BC38" s="95">
        <f t="shared" si="63"/>
        <v>-1.808399292021641</v>
      </c>
      <c r="BD38" s="96">
        <f t="shared" si="64"/>
        <v>-1.1238379013951383E-2</v>
      </c>
      <c r="BE38" s="96">
        <f t="shared" si="65"/>
        <v>-1.8040177029138487</v>
      </c>
      <c r="BF38" s="96">
        <f t="shared" si="66"/>
        <v>-1.1211149430698383E-2</v>
      </c>
      <c r="BG38" s="15">
        <f t="shared" si="47"/>
        <v>-275.99567225395606</v>
      </c>
      <c r="BH38" s="46">
        <f>(SUMPRODUCT(BE39:BE$605,$I38:$I$604)+SUMPRODUCT(BF39:BF$605,$I39:$I$605)) / $I38</f>
        <v>-275.32695952182826</v>
      </c>
      <c r="BJ38" s="46">
        <f t="shared" si="67"/>
        <v>-1.8040177029138487</v>
      </c>
      <c r="BK38" s="46">
        <f t="shared" si="68"/>
        <v>-24.375563993115566</v>
      </c>
      <c r="BM38" s="49">
        <f t="shared" si="50"/>
        <v>7204.8720731508001</v>
      </c>
      <c r="BN38" s="46">
        <f t="shared" si="69"/>
        <v>7183.5199792739822</v>
      </c>
      <c r="BP38" s="46">
        <f>Reserve!BX38</f>
        <v>9834.3111390992271</v>
      </c>
      <c r="BQ38" s="46">
        <f t="shared" si="13"/>
        <v>9805.166536318784</v>
      </c>
      <c r="BR38" s="15">
        <f t="shared" si="52"/>
        <v>12.681022902123004</v>
      </c>
      <c r="BT38" s="49">
        <f t="shared" si="53"/>
        <v>25.907912689262339</v>
      </c>
      <c r="BU38" s="46">
        <f t="shared" si="54"/>
        <v>25.845140143096387</v>
      </c>
      <c r="BV38" s="46">
        <f>SUMPRODUCT(BU39:BU$605, $I39:$I$605) / $I38</f>
        <v>3184.3747369713833</v>
      </c>
      <c r="BX38" s="46">
        <f>-BZ38*Others!$Q$43</f>
        <v>-3.1607248253926339</v>
      </c>
      <c r="BZ38" s="50">
        <f t="shared" si="0"/>
        <v>12.346581349189975</v>
      </c>
      <c r="CA38" s="46">
        <f t="shared" si="55"/>
        <v>9.1858565237973409</v>
      </c>
      <c r="CB38" s="46">
        <f t="shared" si="14"/>
        <v>9.1858565237973409</v>
      </c>
      <c r="CD38" s="46">
        <f>SUMPRODUCT(BZ39:BZ$605, $I39:$I$605) / $I38</f>
        <v>2621.6465570447967</v>
      </c>
      <c r="CE38" s="46">
        <f>SUMPRODUCT(CA39:CA$605, $I39:$I$605) / $I38</f>
        <v>1950.5050384413255</v>
      </c>
      <c r="CF38" s="46">
        <f>SUMPRODUCT(CB39:CB$605, $I39:$I$605) / $I38</f>
        <v>1950.5050384413255</v>
      </c>
      <c r="CH38" s="46">
        <f t="shared" si="15"/>
        <v>37165.688860900773</v>
      </c>
      <c r="CI38" s="46">
        <f t="shared" si="16"/>
        <v>0</v>
      </c>
      <c r="CK38" s="46">
        <f>NPV((1+CK$3)^(1/12)-1,$CB$6:$CB38)+$CB$5</f>
        <v>-559.89815596632911</v>
      </c>
      <c r="CL38" s="46">
        <f>NPV((1+CL$3)^(1/12)-1,$CB$6:$CB38)+$CB$5</f>
        <v>-564.50659678021611</v>
      </c>
      <c r="CM38" s="46">
        <f>NPV((1+CM$3)^(1/12)-1,$CB$6:$CB38)+$CB$5</f>
        <v>-574.94527052320757</v>
      </c>
      <c r="CN38" s="46">
        <f>NPV((1+CN$3)^(1/12)-1,$CB$6:$CB38)+$CB$5</f>
        <v>-574.94527052320757</v>
      </c>
    </row>
    <row r="39" spans="1:92" x14ac:dyDescent="0.25">
      <c r="A39" s="61">
        <f t="shared" si="1"/>
        <v>2.8333333333333339</v>
      </c>
      <c r="B39" s="32">
        <f t="shared" si="56"/>
        <v>10</v>
      </c>
      <c r="C39" s="62">
        <f t="shared" si="17"/>
        <v>3</v>
      </c>
      <c r="D39" s="64">
        <f t="shared" si="18"/>
        <v>3.3333333333333339</v>
      </c>
      <c r="E39" s="28">
        <f t="shared" si="2"/>
        <v>3</v>
      </c>
      <c r="G39" s="68">
        <f>INDEX(Others!$D$11:$E$60, MATCH(C39, Others!$A$11:$A$60, 0), MATCH(G$3, Others!$D$10:$E$10, 0))</f>
        <v>3.205696486422438E-2</v>
      </c>
      <c r="H39" s="16">
        <f t="shared" si="57"/>
        <v>2.6329488081202612E-3</v>
      </c>
      <c r="I39" s="69">
        <f t="shared" si="58"/>
        <v>0.92219218912595546</v>
      </c>
      <c r="K39" s="80">
        <f>INDEX(Mortality!$B$7:$F$32, MATCH( E39,Mortality!$A$7:$A$32, 0), MATCH( K$3,Mortality!$B$6:$F$6,0))</f>
        <v>0.33399999999999996</v>
      </c>
      <c r="L39" s="11">
        <f t="shared" si="3"/>
        <v>0</v>
      </c>
      <c r="M39" s="80">
        <f t="shared" si="21"/>
        <v>0.33399999999999996</v>
      </c>
      <c r="N39" s="76">
        <f>INDEX(Myopia!$H:$H, MATCH(E39, Myopia!$A:$A, 0)) * Trend_Factor^(A39)</f>
        <v>6.1697654661969237</v>
      </c>
      <c r="O39" s="11">
        <f t="shared" si="4"/>
        <v>0</v>
      </c>
      <c r="P39" s="80">
        <f t="shared" si="22"/>
        <v>6.1697654661969237</v>
      </c>
      <c r="Q39" s="76">
        <f>VLOOKUP(C39,Others!$L$10:$M$61,2)</f>
        <v>0</v>
      </c>
      <c r="R39" s="11">
        <f t="shared" si="5"/>
        <v>0</v>
      </c>
      <c r="S39" s="80">
        <f t="shared" si="23"/>
        <v>0</v>
      </c>
      <c r="T39" s="78">
        <f t="shared" si="24"/>
        <v>2.7833333333333333E-5</v>
      </c>
      <c r="U39" s="81">
        <f t="shared" si="25"/>
        <v>5.1414712218307698E-4</v>
      </c>
      <c r="V39" s="81">
        <f t="shared" si="26"/>
        <v>0</v>
      </c>
      <c r="W39" s="77">
        <f t="shared" si="6"/>
        <v>0.99703643678055198</v>
      </c>
      <c r="X39" s="82">
        <f t="shared" si="27"/>
        <v>2.7743713481204366E-5</v>
      </c>
      <c r="Y39" s="82">
        <f t="shared" si="28"/>
        <v>5.1261628067320259E-4</v>
      </c>
      <c r="Z39" s="82">
        <f t="shared" si="29"/>
        <v>0</v>
      </c>
      <c r="AA39" s="82">
        <f t="shared" si="30"/>
        <v>0.99649607678639762</v>
      </c>
      <c r="AC39" s="46">
        <f t="shared" si="7"/>
        <v>0</v>
      </c>
      <c r="AD39" s="15">
        <f t="shared" si="31"/>
        <v>0</v>
      </c>
      <c r="AE39" s="46">
        <f t="shared" si="32"/>
        <v>0</v>
      </c>
      <c r="AF39" s="15">
        <f t="shared" si="33"/>
        <v>0</v>
      </c>
      <c r="AG39" s="46">
        <f>SUMPRODUCT(AE40:AE$605, $I39:$I$604) / $I39</f>
        <v>0</v>
      </c>
      <c r="AI39" s="46">
        <f t="shared" si="8"/>
        <v>-47000</v>
      </c>
      <c r="AJ39" s="46">
        <f>IF(E39&gt;Mat_Year,0,  -SUM($AD$5:AD39))</f>
        <v>-9306</v>
      </c>
      <c r="AK39" s="24">
        <f t="shared" si="34"/>
        <v>-0.25818299765608782</v>
      </c>
      <c r="AL39" s="79">
        <f t="shared" si="35"/>
        <v>-24.09296519164052</v>
      </c>
      <c r="AM39" s="24">
        <f t="shared" si="36"/>
        <v>-24.423528861118548</v>
      </c>
      <c r="AN39" s="79">
        <f t="shared" si="37"/>
        <v>-24.351148189296609</v>
      </c>
      <c r="AO39" s="15">
        <f t="shared" si="38"/>
        <v>-6922.5461934242458</v>
      </c>
      <c r="AP39" s="46">
        <f>SUMPRODUCT(AN40:AN$605, $I40:$I$605) / $I39</f>
        <v>-6902.030790140484</v>
      </c>
      <c r="AR39" s="46">
        <v>0</v>
      </c>
      <c r="AS39" s="46">
        <v>0</v>
      </c>
      <c r="AT39" s="46">
        <v>0</v>
      </c>
      <c r="AU39" s="95">
        <f t="shared" si="9"/>
        <v>-1.8104212605859651</v>
      </c>
      <c r="AV39" s="47">
        <f t="shared" si="10"/>
        <v>0</v>
      </c>
      <c r="AW39" s="96">
        <f t="shared" si="59"/>
        <v>-1.8104212605859651</v>
      </c>
      <c r="AX39" s="95">
        <f t="shared" si="11"/>
        <v>-20.759497121385731</v>
      </c>
      <c r="AY39" s="11">
        <f t="shared" si="12"/>
        <v>0</v>
      </c>
      <c r="AZ39" s="96">
        <f t="shared" si="60"/>
        <v>-20.759497121385731</v>
      </c>
      <c r="BA39" s="95">
        <f t="shared" si="61"/>
        <v>-1.8050559627263858</v>
      </c>
      <c r="BB39" s="64">
        <f t="shared" si="62"/>
        <v>-1.1217601743160421E-2</v>
      </c>
      <c r="BC39" s="95">
        <f t="shared" si="63"/>
        <v>-1.8104212605859651</v>
      </c>
      <c r="BD39" s="96">
        <f t="shared" si="64"/>
        <v>-1.1250944628846517E-2</v>
      </c>
      <c r="BE39" s="96">
        <f t="shared" si="65"/>
        <v>-1.8050559627263858</v>
      </c>
      <c r="BF39" s="96">
        <f t="shared" si="66"/>
        <v>-1.1217601743160421E-2</v>
      </c>
      <c r="BG39" s="15">
        <f t="shared" si="47"/>
        <v>-275.04597125138736</v>
      </c>
      <c r="BH39" s="46">
        <f>(SUMPRODUCT(BE40:BE$605,$I39:$I$604)+SUMPRODUCT(BF40:BF$605,$I40:$I$605)) / $I39</f>
        <v>-274.23085512732939</v>
      </c>
      <c r="BJ39" s="46">
        <f t="shared" si="67"/>
        <v>-1.8050559627263858</v>
      </c>
      <c r="BK39" s="46">
        <f t="shared" si="68"/>
        <v>-24.362365791039768</v>
      </c>
      <c r="BM39" s="49">
        <f t="shared" si="50"/>
        <v>7201.4951312307721</v>
      </c>
      <c r="BN39" s="46">
        <f t="shared" si="69"/>
        <v>7176.2616452678085</v>
      </c>
      <c r="BP39" s="46">
        <f>Reserve!BX39</f>
        <v>9826.9053676546209</v>
      </c>
      <c r="BQ39" s="46">
        <f t="shared" si="13"/>
        <v>9792.4726458190216</v>
      </c>
      <c r="BR39" s="15">
        <f t="shared" si="52"/>
        <v>12.693890499762347</v>
      </c>
      <c r="BT39" s="49">
        <f t="shared" si="53"/>
        <v>25.888471045874862</v>
      </c>
      <c r="BU39" s="46">
        <f t="shared" si="54"/>
        <v>25.811748925275563</v>
      </c>
      <c r="BV39" s="46">
        <f>SUMPRODUCT(BU40:BU$605, $I40:$I$605) / $I39</f>
        <v>3166.9472837144244</v>
      </c>
      <c r="BX39" s="46">
        <f>-BZ39*Others!$Q$43</f>
        <v>-3.1585837238455698</v>
      </c>
      <c r="BZ39" s="50">
        <f t="shared" si="0"/>
        <v>12.338217671271757</v>
      </c>
      <c r="CA39" s="46">
        <f t="shared" si="55"/>
        <v>9.1796339474261863</v>
      </c>
      <c r="CB39" s="46">
        <f t="shared" si="14"/>
        <v>9.1796339474261863</v>
      </c>
      <c r="CD39" s="46">
        <f>SUMPRODUCT(BZ40:BZ$605, $I40:$I$605) / $I39</f>
        <v>2616.2110005512086</v>
      </c>
      <c r="CE39" s="46">
        <f>SUMPRODUCT(CA40:CA$605, $I40:$I$605) / $I39</f>
        <v>1946.4609844100958</v>
      </c>
      <c r="CF39" s="46">
        <f>SUMPRODUCT(CB40:CB$605, $I40:$I$605) / $I39</f>
        <v>1946.4609844100958</v>
      </c>
      <c r="CH39" s="46">
        <f t="shared" si="15"/>
        <v>37173.094632345383</v>
      </c>
      <c r="CI39" s="46">
        <f t="shared" si="16"/>
        <v>0</v>
      </c>
      <c r="CK39" s="46">
        <f>NPV((1+CK$3)^(1/12)-1,$CB$6:$CB39)+$CB$5</f>
        <v>-551.45600281199381</v>
      </c>
      <c r="CL39" s="46">
        <f>NPV((1+CL$3)^(1/12)-1,$CB$6:$CB39)+$CB$5</f>
        <v>-556.51213895024557</v>
      </c>
      <c r="CM39" s="46">
        <f>NPV((1+CM$3)^(1/12)-1,$CB$6:$CB39)+$CB$5</f>
        <v>-567.9380451044243</v>
      </c>
      <c r="CN39" s="46">
        <f>NPV((1+CN$3)^(1/12)-1,$CB$6:$CB39)+$CB$5</f>
        <v>-567.9380451044243</v>
      </c>
    </row>
    <row r="40" spans="1:92" x14ac:dyDescent="0.25">
      <c r="A40" s="61">
        <f t="shared" si="1"/>
        <v>2.9166666666666674</v>
      </c>
      <c r="B40" s="32">
        <f t="shared" si="56"/>
        <v>11</v>
      </c>
      <c r="C40" s="62">
        <f t="shared" si="17"/>
        <v>3</v>
      </c>
      <c r="D40" s="64">
        <f t="shared" si="18"/>
        <v>3.4166666666666674</v>
      </c>
      <c r="E40" s="28">
        <f t="shared" si="2"/>
        <v>3</v>
      </c>
      <c r="G40" s="68">
        <f>INDEX(Others!$D$11:$E$60, MATCH(C40, Others!$A$11:$A$60, 0), MATCH(G$3, Others!$D$10:$E$10, 0))</f>
        <v>3.205696486422438E-2</v>
      </c>
      <c r="H40" s="16">
        <f t="shared" si="57"/>
        <v>2.6329488081202612E-3</v>
      </c>
      <c r="I40" s="69">
        <f t="shared" si="58"/>
        <v>0.91977048053548538</v>
      </c>
      <c r="K40" s="80">
        <f>INDEX(Mortality!$B$7:$F$32, MATCH( E40,Mortality!$A$7:$A$32, 0), MATCH( K$3,Mortality!$B$6:$F$6,0))</f>
        <v>0.33399999999999996</v>
      </c>
      <c r="L40" s="11">
        <f t="shared" si="3"/>
        <v>0</v>
      </c>
      <c r="M40" s="80">
        <f t="shared" si="21"/>
        <v>0.33399999999999996</v>
      </c>
      <c r="N40" s="76">
        <f>INDEX(Myopia!$H:$H, MATCH(E40, Myopia!$A:$A, 0)) * Trend_Factor^(A40)</f>
        <v>6.1697654661969237</v>
      </c>
      <c r="O40" s="11">
        <f t="shared" si="4"/>
        <v>0</v>
      </c>
      <c r="P40" s="80">
        <f t="shared" si="22"/>
        <v>6.1697654661969237</v>
      </c>
      <c r="Q40" s="76">
        <f>VLOOKUP(C40,Others!$L$10:$M$61,2)</f>
        <v>0</v>
      </c>
      <c r="R40" s="11">
        <f t="shared" si="5"/>
        <v>0</v>
      </c>
      <c r="S40" s="80">
        <f t="shared" si="23"/>
        <v>0</v>
      </c>
      <c r="T40" s="78">
        <f t="shared" si="24"/>
        <v>2.7833333333333333E-5</v>
      </c>
      <c r="U40" s="81">
        <f t="shared" si="25"/>
        <v>5.1414712218307698E-4</v>
      </c>
      <c r="V40" s="81">
        <f t="shared" si="26"/>
        <v>0</v>
      </c>
      <c r="W40" s="77">
        <f t="shared" si="6"/>
        <v>0.99649607678639762</v>
      </c>
      <c r="X40" s="82">
        <f t="shared" si="27"/>
        <v>2.772867732775853E-5</v>
      </c>
      <c r="Y40" s="82">
        <f t="shared" si="28"/>
        <v>5.1233846000365668E-4</v>
      </c>
      <c r="Z40" s="82">
        <f t="shared" si="29"/>
        <v>0</v>
      </c>
      <c r="AA40" s="82">
        <f t="shared" si="30"/>
        <v>0.99595600964906617</v>
      </c>
      <c r="AC40" s="46">
        <f t="shared" si="7"/>
        <v>0</v>
      </c>
      <c r="AD40" s="15">
        <f t="shared" si="31"/>
        <v>0</v>
      </c>
      <c r="AE40" s="46">
        <f t="shared" si="32"/>
        <v>0</v>
      </c>
      <c r="AF40" s="15">
        <f t="shared" si="33"/>
        <v>0</v>
      </c>
      <c r="AG40" s="46">
        <f>SUMPRODUCT(AE41:AE$605, $I40:$I$604) / $I40</f>
        <v>0</v>
      </c>
      <c r="AI40" s="46">
        <f t="shared" si="8"/>
        <v>-47000</v>
      </c>
      <c r="AJ40" s="46">
        <f>IF(E40&gt;Mat_Year,0,  -SUM($AD$5:AD40))</f>
        <v>-9306</v>
      </c>
      <c r="AK40" s="24">
        <f t="shared" si="34"/>
        <v>-0.25804307121212089</v>
      </c>
      <c r="AL40" s="79">
        <f t="shared" si="35"/>
        <v>-24.079907620171863</v>
      </c>
      <c r="AM40" s="24">
        <f t="shared" si="36"/>
        <v>-24.423528861118545</v>
      </c>
      <c r="AN40" s="79">
        <f t="shared" si="37"/>
        <v>-24.337950691383984</v>
      </c>
      <c r="AO40" s="15">
        <f t="shared" si="38"/>
        <v>-6920.113078046531</v>
      </c>
      <c r="AP40" s="46">
        <f>SUMPRODUCT(AN41:AN$605, $I41:$I$605) / $I40</f>
        <v>-6895.8655331916107</v>
      </c>
      <c r="AR40" s="46">
        <v>0</v>
      </c>
      <c r="AS40" s="46">
        <v>0</v>
      </c>
      <c r="AT40" s="46">
        <v>0</v>
      </c>
      <c r="AU40" s="95">
        <f t="shared" si="9"/>
        <v>-1.8124454899103402</v>
      </c>
      <c r="AV40" s="47">
        <f t="shared" si="10"/>
        <v>0</v>
      </c>
      <c r="AW40" s="96">
        <f t="shared" si="59"/>
        <v>-1.8124454899103402</v>
      </c>
      <c r="AX40" s="95">
        <f t="shared" si="11"/>
        <v>-20.782708284305233</v>
      </c>
      <c r="AY40" s="11">
        <f t="shared" si="12"/>
        <v>0</v>
      </c>
      <c r="AZ40" s="96">
        <f t="shared" si="60"/>
        <v>-20.782708284305233</v>
      </c>
      <c r="BA40" s="95">
        <f t="shared" si="61"/>
        <v>-1.8060948200848543</v>
      </c>
      <c r="BB40" s="64">
        <f t="shared" si="62"/>
        <v>-1.1224057769098615E-2</v>
      </c>
      <c r="BC40" s="95">
        <f t="shared" si="63"/>
        <v>-1.8124454899103402</v>
      </c>
      <c r="BD40" s="96">
        <f t="shared" si="64"/>
        <v>-1.1263524293337013E-2</v>
      </c>
      <c r="BE40" s="96">
        <f t="shared" si="65"/>
        <v>-1.8060948200848543</v>
      </c>
      <c r="BF40" s="96">
        <f t="shared" si="66"/>
        <v>-1.1224057769098615E-2</v>
      </c>
      <c r="BG40" s="15">
        <f t="shared" si="47"/>
        <v>-274.09121125519027</v>
      </c>
      <c r="BH40" s="46">
        <f>(SUMPRODUCT(BE41:BE$605,$I40:$I$604)+SUMPRODUCT(BF41:BF$605,$I41:$I$605)) / $I40</f>
        <v>-273.13081669742883</v>
      </c>
      <c r="BJ40" s="46">
        <f t="shared" si="67"/>
        <v>-1.8060948200848543</v>
      </c>
      <c r="BK40" s="46">
        <f t="shared" si="68"/>
        <v>-24.349174749153082</v>
      </c>
      <c r="BM40" s="49">
        <f t="shared" si="50"/>
        <v>7198.1054187474529</v>
      </c>
      <c r="BN40" s="46">
        <f t="shared" si="69"/>
        <v>7168.9963498890338</v>
      </c>
      <c r="BP40" s="46">
        <f>Reserve!BX40</f>
        <v>9819.4757119114438</v>
      </c>
      <c r="BQ40" s="46">
        <f t="shared" si="13"/>
        <v>9779.7658468812442</v>
      </c>
      <c r="BR40" s="15">
        <f t="shared" si="52"/>
        <v>12.706798937777421</v>
      </c>
      <c r="BT40" s="49">
        <f t="shared" si="53"/>
        <v>25.868966699084385</v>
      </c>
      <c r="BU40" s="46">
        <f t="shared" si="54"/>
        <v>25.778323826155557</v>
      </c>
      <c r="BV40" s="46">
        <f>SUMPRODUCT(BU41:BU$605, $I41:$I$605) / $I40</f>
        <v>3149.507369964304</v>
      </c>
      <c r="BX40" s="46">
        <f>-BZ40*Others!$Q$43</f>
        <v>-3.1564424178419306</v>
      </c>
      <c r="BZ40" s="50">
        <f t="shared" si="0"/>
        <v>12.32985319469504</v>
      </c>
      <c r="CA40" s="46">
        <f t="shared" si="55"/>
        <v>9.1734107768531103</v>
      </c>
      <c r="CB40" s="46">
        <f t="shared" si="14"/>
        <v>9.1734107768531103</v>
      </c>
      <c r="CD40" s="46">
        <f>SUMPRODUCT(BZ41:BZ$605, $I41:$I$605) / $I40</f>
        <v>2610.7694969922054</v>
      </c>
      <c r="CE40" s="46">
        <f>SUMPRODUCT(CA41:CA$605, $I41:$I$605) / $I40</f>
        <v>1942.4125057621975</v>
      </c>
      <c r="CF40" s="46">
        <f>SUMPRODUCT(CB41:CB$605, $I41:$I$605) / $I40</f>
        <v>1942.4125057621975</v>
      </c>
      <c r="CH40" s="46">
        <f t="shared" si="15"/>
        <v>37180.524288088556</v>
      </c>
      <c r="CI40" s="46">
        <f t="shared" si="16"/>
        <v>0</v>
      </c>
      <c r="CK40" s="46">
        <f>NPV((1+CK$3)^(1/12)-1,$CB$6:$CB40)+$CB$5</f>
        <v>-543.04032819009751</v>
      </c>
      <c r="CL40" s="46">
        <f>NPV((1+CL$3)^(1/12)-1,$CB$6:$CB40)+$CB$5</f>
        <v>-548.55551708403129</v>
      </c>
      <c r="CM40" s="46">
        <f>NPV((1+CM$3)^(1/12)-1,$CB$6:$CB40)+$CB$5</f>
        <v>-560.9909670859422</v>
      </c>
      <c r="CN40" s="46">
        <f>NPV((1+CN$3)^(1/12)-1,$CB$6:$CB40)+$CB$5</f>
        <v>-560.9909670859422</v>
      </c>
    </row>
    <row r="41" spans="1:92" x14ac:dyDescent="0.25">
      <c r="A41" s="61">
        <f t="shared" si="1"/>
        <v>3.0000000000000009</v>
      </c>
      <c r="B41" s="32">
        <f t="shared" si="56"/>
        <v>12</v>
      </c>
      <c r="C41" s="62">
        <f t="shared" si="17"/>
        <v>3</v>
      </c>
      <c r="D41" s="64">
        <f t="shared" si="18"/>
        <v>3.5000000000000009</v>
      </c>
      <c r="E41" s="28">
        <f t="shared" si="2"/>
        <v>3</v>
      </c>
      <c r="G41" s="68">
        <f>INDEX(Others!$D$11:$E$60, MATCH(C41, Others!$A$11:$A$60, 0), MATCH(G$3, Others!$D$10:$E$10, 0))</f>
        <v>3.205696486422438E-2</v>
      </c>
      <c r="H41" s="16">
        <f t="shared" si="57"/>
        <v>2.6329488081202612E-3</v>
      </c>
      <c r="I41" s="69">
        <f t="shared" si="58"/>
        <v>0.91735513143554914</v>
      </c>
      <c r="K41" s="80">
        <f>INDEX(Mortality!$B$7:$F$32, MATCH( E41,Mortality!$A$7:$A$32, 0), MATCH( K$3,Mortality!$B$6:$F$6,0))</f>
        <v>0.33399999999999996</v>
      </c>
      <c r="L41" s="11">
        <f t="shared" si="3"/>
        <v>0</v>
      </c>
      <c r="M41" s="80">
        <f t="shared" si="21"/>
        <v>0.33399999999999996</v>
      </c>
      <c r="N41" s="76">
        <f>INDEX(Myopia!$H:$H, MATCH(E41, Myopia!$A:$A, 0)) * Trend_Factor^(A41)</f>
        <v>6.1697654661969237</v>
      </c>
      <c r="O41" s="11">
        <f t="shared" si="4"/>
        <v>0</v>
      </c>
      <c r="P41" s="80">
        <f t="shared" si="22"/>
        <v>6.1697654661969237</v>
      </c>
      <c r="Q41" s="76">
        <f>VLOOKUP(C41,Others!$L$10:$M$61,2)</f>
        <v>0</v>
      </c>
      <c r="R41" s="11">
        <f t="shared" si="5"/>
        <v>0</v>
      </c>
      <c r="S41" s="80">
        <f t="shared" si="23"/>
        <v>0</v>
      </c>
      <c r="T41" s="78">
        <f t="shared" si="24"/>
        <v>2.7833333333333333E-5</v>
      </c>
      <c r="U41" s="81">
        <f t="shared" si="25"/>
        <v>5.1414712218307698E-4</v>
      </c>
      <c r="V41" s="81">
        <f t="shared" si="26"/>
        <v>0</v>
      </c>
      <c r="W41" s="77">
        <f t="shared" si="6"/>
        <v>0.99595600964906617</v>
      </c>
      <c r="X41" s="82">
        <f t="shared" si="27"/>
        <v>2.7713649323398811E-5</v>
      </c>
      <c r="Y41" s="82">
        <f t="shared" si="28"/>
        <v>5.12060789903508E-4</v>
      </c>
      <c r="Z41" s="82">
        <f t="shared" si="29"/>
        <v>0</v>
      </c>
      <c r="AA41" s="82">
        <f t="shared" si="30"/>
        <v>0.99541623520983924</v>
      </c>
      <c r="AC41" s="46">
        <f t="shared" si="7"/>
        <v>0</v>
      </c>
      <c r="AD41" s="15">
        <f t="shared" si="31"/>
        <v>0</v>
      </c>
      <c r="AE41" s="46">
        <f t="shared" si="32"/>
        <v>0</v>
      </c>
      <c r="AF41" s="15">
        <f t="shared" si="33"/>
        <v>0</v>
      </c>
      <c r="AG41" s="46">
        <f>SUMPRODUCT(AE42:AE$605, $I41:$I$604) / $I41</f>
        <v>0</v>
      </c>
      <c r="AI41" s="46">
        <f t="shared" si="8"/>
        <v>-47000</v>
      </c>
      <c r="AJ41" s="46">
        <f>IF(E41&gt;Mat_Year,0,  -SUM($AD$5:AD41))</f>
        <v>-9306</v>
      </c>
      <c r="AK41" s="24">
        <f t="shared" si="34"/>
        <v>-0.25790322060354937</v>
      </c>
      <c r="AL41" s="79">
        <f t="shared" si="35"/>
        <v>-24.066857125464875</v>
      </c>
      <c r="AM41" s="24">
        <f t="shared" si="36"/>
        <v>-24.423528861118541</v>
      </c>
      <c r="AN41" s="79">
        <f t="shared" si="37"/>
        <v>-24.324760346068423</v>
      </c>
      <c r="AO41" s="15">
        <f t="shared" si="38"/>
        <v>-6917.672233545497</v>
      </c>
      <c r="AP41" s="46">
        <f>SUMPRODUCT(AN42:AN$605, $I42:$I$605) / $I41</f>
        <v>-6889.6972337821162</v>
      </c>
      <c r="AR41" s="46">
        <v>0</v>
      </c>
      <c r="AS41" s="46">
        <v>0</v>
      </c>
      <c r="AT41" s="46">
        <v>0</v>
      </c>
      <c r="AU41" s="95">
        <f t="shared" si="9"/>
        <v>-1.8144719825225188</v>
      </c>
      <c r="AV41" s="47">
        <f t="shared" si="10"/>
        <v>0</v>
      </c>
      <c r="AW41" s="96">
        <f t="shared" si="59"/>
        <v>-1.8144719825225188</v>
      </c>
      <c r="AX41" s="95">
        <f t="shared" si="11"/>
        <v>-20.805945399591547</v>
      </c>
      <c r="AY41" s="11">
        <f t="shared" si="12"/>
        <v>0</v>
      </c>
      <c r="AZ41" s="96">
        <f t="shared" si="60"/>
        <v>-20.805945399591547</v>
      </c>
      <c r="BA41" s="95">
        <f t="shared" si="61"/>
        <v>-1.8071342753331581</v>
      </c>
      <c r="BB41" s="64">
        <f t="shared" si="62"/>
        <v>-1.1230517510650169E-2</v>
      </c>
      <c r="BC41" s="95">
        <f t="shared" si="63"/>
        <v>-1.8144719825225188</v>
      </c>
      <c r="BD41" s="96">
        <f t="shared" si="64"/>
        <v>-1.1276118023131705E-2</v>
      </c>
      <c r="BE41" s="96">
        <f t="shared" si="65"/>
        <v>-1.8071342753331581</v>
      </c>
      <c r="BF41" s="96">
        <f t="shared" si="66"/>
        <v>-1.1230517510650169E-2</v>
      </c>
      <c r="BG41" s="15">
        <f t="shared" si="47"/>
        <v>-273.13137391146842</v>
      </c>
      <c r="BH41" s="46">
        <f>(SUMPRODUCT(BE42:BE$605,$I41:$I$604)+SUMPRODUCT(BF42:BF$605,$I42:$I$605)) / $I41</f>
        <v>-272.02683327083315</v>
      </c>
      <c r="BJ41" s="46">
        <f t="shared" si="67"/>
        <v>-1.8071342753331581</v>
      </c>
      <c r="BK41" s="46">
        <f t="shared" si="68"/>
        <v>-24.335990863579074</v>
      </c>
      <c r="BM41" s="49">
        <f t="shared" si="50"/>
        <v>7194.7028928488526</v>
      </c>
      <c r="BN41" s="46">
        <f t="shared" si="69"/>
        <v>7161.7240670529445</v>
      </c>
      <c r="BP41" s="46">
        <f>Reserve!BX41</f>
        <v>9812.0220999993653</v>
      </c>
      <c r="BQ41" s="46">
        <f t="shared" si="13"/>
        <v>9767.0460985771097</v>
      </c>
      <c r="BR41" s="15">
        <f t="shared" si="52"/>
        <v>12.719748304134555</v>
      </c>
      <c r="BT41" s="49">
        <f t="shared" si="53"/>
        <v>25.849399460199336</v>
      </c>
      <c r="BU41" s="46">
        <f t="shared" si="54"/>
        <v>25.744864738204857</v>
      </c>
      <c r="BV41" s="46">
        <f>SUMPRODUCT(BU42:BU$605, $I42:$I$605) / $I41</f>
        <v>3132.054996902013</v>
      </c>
      <c r="BX41" s="46">
        <f>-BZ41*Others!$Q$43</f>
        <v>-3.1543009032773579</v>
      </c>
      <c r="BZ41" s="50">
        <f t="shared" si="0"/>
        <v>12.32148790342718</v>
      </c>
      <c r="CA41" s="46">
        <f t="shared" si="55"/>
        <v>9.1671870001498217</v>
      </c>
      <c r="CB41" s="46">
        <f t="shared" si="14"/>
        <v>9.1671870001498217</v>
      </c>
      <c r="CD41" s="46">
        <f>SUMPRODUCT(BZ42:BZ$605, $I42:$I$605) / $I41</f>
        <v>2605.3220315241601</v>
      </c>
      <c r="CE41" s="46">
        <f>SUMPRODUCT(CA42:CA$605, $I42:$I$605) / $I41</f>
        <v>1938.3595914539726</v>
      </c>
      <c r="CF41" s="46">
        <f>SUMPRODUCT(CB42:CB$605, $I42:$I$605) / $I41</f>
        <v>1938.3595914539726</v>
      </c>
      <c r="CH41" s="46">
        <f t="shared" si="15"/>
        <v>37187.977900000638</v>
      </c>
      <c r="CI41" s="46">
        <f t="shared" si="16"/>
        <v>0</v>
      </c>
      <c r="CK41" s="46">
        <f>NPV((1+CK$3)^(1/12)-1,$CB$6:$CB41)+$CB$5</f>
        <v>-534.65105346717974</v>
      </c>
      <c r="CL41" s="46">
        <f>NPV((1+CL$3)^(1/12)-1,$CB$6:$CB41)+$CB$5</f>
        <v>-540.63655628053289</v>
      </c>
      <c r="CM41" s="46">
        <f>NPV((1+CM$3)^(1/12)-1,$CB$6:$CB41)+$CB$5</f>
        <v>-554.10352381009716</v>
      </c>
      <c r="CN41" s="46">
        <f>NPV((1+CN$3)^(1/12)-1,$CB$6:$CB41)+$CB$5</f>
        <v>-554.10352381009716</v>
      </c>
    </row>
    <row r="42" spans="1:92" x14ac:dyDescent="0.25">
      <c r="A42" s="61">
        <f t="shared" si="1"/>
        <v>3.0833333333333344</v>
      </c>
      <c r="B42" s="32">
        <f t="shared" si="56"/>
        <v>1</v>
      </c>
      <c r="C42" s="62">
        <f t="shared" si="17"/>
        <v>4</v>
      </c>
      <c r="D42" s="64">
        <f t="shared" si="18"/>
        <v>3.5833333333333344</v>
      </c>
      <c r="E42" s="28">
        <f t="shared" si="2"/>
        <v>3</v>
      </c>
      <c r="G42" s="68">
        <f>INDEX(Others!$D$11:$E$60, MATCH(C42, Others!$A$11:$A$60, 0), MATCH(G$3, Others!$D$10:$E$10, 0))</f>
        <v>3.4943009325520524E-2</v>
      </c>
      <c r="H42" s="16">
        <f t="shared" si="57"/>
        <v>2.866296808335056E-3</v>
      </c>
      <c r="I42" s="69">
        <f t="shared" si="58"/>
        <v>0.9147332344850666</v>
      </c>
      <c r="K42" s="80">
        <f>INDEX(Mortality!$B$7:$F$32, MATCH( E42,Mortality!$A$7:$A$32, 0), MATCH( K$3,Mortality!$B$6:$F$6,0))</f>
        <v>0.33399999999999996</v>
      </c>
      <c r="L42" s="11">
        <f t="shared" si="3"/>
        <v>0</v>
      </c>
      <c r="M42" s="80">
        <f t="shared" si="21"/>
        <v>0.33399999999999996</v>
      </c>
      <c r="N42" s="76">
        <f>INDEX(Myopia!$H:$H, MATCH(E42, Myopia!$A:$A, 0)) * Trend_Factor^(A42)</f>
        <v>6.1697654661969237</v>
      </c>
      <c r="O42" s="11">
        <f t="shared" si="4"/>
        <v>0</v>
      </c>
      <c r="P42" s="80">
        <f t="shared" si="22"/>
        <v>6.1697654661969237</v>
      </c>
      <c r="Q42" s="76">
        <f>VLOOKUP(C42,Others!$L$10:$M$61,2)</f>
        <v>0</v>
      </c>
      <c r="R42" s="11">
        <f t="shared" si="5"/>
        <v>0</v>
      </c>
      <c r="S42" s="80">
        <f t="shared" si="23"/>
        <v>0</v>
      </c>
      <c r="T42" s="78">
        <f t="shared" si="24"/>
        <v>2.7833333333333333E-5</v>
      </c>
      <c r="U42" s="81">
        <f t="shared" si="25"/>
        <v>5.1414712218307698E-4</v>
      </c>
      <c r="V42" s="81">
        <f t="shared" si="26"/>
        <v>0</v>
      </c>
      <c r="W42" s="77">
        <f t="shared" si="6"/>
        <v>0.99541623520983924</v>
      </c>
      <c r="X42" s="82">
        <f t="shared" si="27"/>
        <v>2.769862946370868E-5</v>
      </c>
      <c r="Y42" s="82">
        <f t="shared" si="28"/>
        <v>5.117832702911532E-4</v>
      </c>
      <c r="Z42" s="82">
        <f t="shared" si="29"/>
        <v>0</v>
      </c>
      <c r="AA42" s="82">
        <f t="shared" si="30"/>
        <v>0.99487675331008441</v>
      </c>
      <c r="AC42" s="46">
        <f t="shared" si="7"/>
        <v>0</v>
      </c>
      <c r="AD42" s="15">
        <f t="shared" si="31"/>
        <v>0</v>
      </c>
      <c r="AE42" s="46">
        <f t="shared" si="32"/>
        <v>0</v>
      </c>
      <c r="AF42" s="15">
        <f t="shared" si="33"/>
        <v>0</v>
      </c>
      <c r="AG42" s="46">
        <f>SUMPRODUCT(AE43:AE$605, $I42:$I$604) / $I42</f>
        <v>0</v>
      </c>
      <c r="AI42" s="46">
        <f t="shared" si="8"/>
        <v>-47000</v>
      </c>
      <c r="AJ42" s="46">
        <f>IF(E42&gt;Mat_Year,0,  -SUM($AD$5:AD42))</f>
        <v>-9306</v>
      </c>
      <c r="AK42" s="24">
        <f t="shared" si="34"/>
        <v>-0.25776344578927296</v>
      </c>
      <c r="AL42" s="79">
        <f t="shared" si="35"/>
        <v>-24.053813703684202</v>
      </c>
      <c r="AM42" s="24">
        <f t="shared" si="36"/>
        <v>-24.423528861118545</v>
      </c>
      <c r="AN42" s="79">
        <f t="shared" si="37"/>
        <v>-24.311577149473475</v>
      </c>
      <c r="AO42" s="15">
        <f t="shared" si="38"/>
        <v>-6916.8387356800586</v>
      </c>
      <c r="AP42" s="46">
        <f>SUMPRODUCT(AN43:AN$605, $I43:$I$605) / $I42</f>
        <v>-6885.1335738242278</v>
      </c>
      <c r="AR42" s="46">
        <v>0</v>
      </c>
      <c r="AS42" s="46">
        <v>0</v>
      </c>
      <c r="AT42" s="46">
        <v>0</v>
      </c>
      <c r="AU42" s="95">
        <f t="shared" si="9"/>
        <v>-1.8165007409530787</v>
      </c>
      <c r="AV42" s="47">
        <f t="shared" si="10"/>
        <v>0</v>
      </c>
      <c r="AW42" s="96">
        <f t="shared" si="59"/>
        <v>-1.8165007409530787</v>
      </c>
      <c r="AX42" s="95">
        <f t="shared" si="11"/>
        <v>-20.829208496261966</v>
      </c>
      <c r="AY42" s="11">
        <f t="shared" si="12"/>
        <v>0</v>
      </c>
      <c r="AZ42" s="96">
        <f t="shared" si="60"/>
        <v>-20.829208496261966</v>
      </c>
      <c r="BA42" s="95">
        <f t="shared" si="61"/>
        <v>-1.8081743288153971</v>
      </c>
      <c r="BB42" s="64">
        <f t="shared" si="62"/>
        <v>-1.1236980969953514E-2</v>
      </c>
      <c r="BC42" s="95">
        <f t="shared" si="63"/>
        <v>-1.8165007409530787</v>
      </c>
      <c r="BD42" s="96">
        <f t="shared" si="64"/>
        <v>-1.1288725833956985E-2</v>
      </c>
      <c r="BE42" s="96">
        <f t="shared" si="65"/>
        <v>-1.8081743288153971</v>
      </c>
      <c r="BF42" s="96">
        <f t="shared" si="66"/>
        <v>-1.1236980969953514E-2</v>
      </c>
      <c r="BG42" s="15">
        <f t="shared" si="47"/>
        <v>-272.22978614931009</v>
      </c>
      <c r="BH42" s="46">
        <f>(SUMPRODUCT(BE43:BE$605,$I42:$I$604)+SUMPRODUCT(BF43:BF$605,$I43:$I$605)) / $I42</f>
        <v>-270.98194884072586</v>
      </c>
      <c r="BJ42" s="46">
        <f t="shared" si="67"/>
        <v>-1.8081743288153971</v>
      </c>
      <c r="BK42" s="46">
        <f t="shared" si="68"/>
        <v>-24.32281413044343</v>
      </c>
      <c r="BM42" s="49">
        <f t="shared" si="50"/>
        <v>7192.9668663536668</v>
      </c>
      <c r="BN42" s="46">
        <f t="shared" si="69"/>
        <v>7156.115522664948</v>
      </c>
      <c r="BP42" s="46">
        <f>Reserve!BX42</f>
        <v>9806.2753763657201</v>
      </c>
      <c r="BQ42" s="46">
        <f t="shared" si="13"/>
        <v>9756.0354085033541</v>
      </c>
      <c r="BR42" s="15">
        <f t="shared" si="52"/>
        <v>11.010690073755541</v>
      </c>
      <c r="BT42" s="49">
        <f t="shared" si="53"/>
        <v>28.118960998265084</v>
      </c>
      <c r="BU42" s="46">
        <f t="shared" si="54"/>
        <v>27.990070294905333</v>
      </c>
      <c r="BV42" s="46">
        <f>SUMPRODUCT(BU43:BU$605, $I43:$I$605) / $I42</f>
        <v>3113.0423258482579</v>
      </c>
      <c r="BX42" s="46">
        <f>-BZ42*Others!$Q$43</f>
        <v>-3.294661608806924</v>
      </c>
      <c r="BZ42" s="50">
        <f t="shared" si="0"/>
        <v>12.869771909402047</v>
      </c>
      <c r="CA42" s="46">
        <f t="shared" si="55"/>
        <v>9.5751103005951226</v>
      </c>
      <c r="CB42" s="46">
        <f t="shared" si="14"/>
        <v>9.5751103005951226</v>
      </c>
      <c r="CD42" s="46">
        <f>SUMPRODUCT(BZ43:BZ$605, $I43:$I$605) / $I42</f>
        <v>2599.9198858384011</v>
      </c>
      <c r="CE42" s="46">
        <f>SUMPRODUCT(CA43:CA$605, $I43:$I$605) / $I42</f>
        <v>1934.3403950637673</v>
      </c>
      <c r="CF42" s="46">
        <f>SUMPRODUCT(CB43:CB$605, $I43:$I$605) / $I42</f>
        <v>1934.3403950637673</v>
      </c>
      <c r="CH42" s="46">
        <f t="shared" si="15"/>
        <v>37193.724623634276</v>
      </c>
      <c r="CI42" s="46">
        <f t="shared" si="16"/>
        <v>0</v>
      </c>
      <c r="CK42" s="46">
        <f>NPV((1+CK$3)^(1/12)-1,$CB$6:$CB42)+$CB$5</f>
        <v>-525.91002886296394</v>
      </c>
      <c r="CL42" s="46">
        <f>NPV((1+CL$3)^(1/12)-1,$CB$6:$CB42)+$CB$5</f>
        <v>-532.39877772234115</v>
      </c>
      <c r="CM42" s="46">
        <f>NPV((1+CM$3)^(1/12)-1,$CB$6:$CB42)+$CB$5</f>
        <v>-546.96651324547963</v>
      </c>
      <c r="CN42" s="46">
        <f>NPV((1+CN$3)^(1/12)-1,$CB$6:$CB42)+$CB$5</f>
        <v>-546.96651324547963</v>
      </c>
    </row>
    <row r="43" spans="1:92" x14ac:dyDescent="0.25">
      <c r="A43" s="61">
        <f t="shared" si="1"/>
        <v>3.1666666666666679</v>
      </c>
      <c r="B43" s="32">
        <f t="shared" si="56"/>
        <v>2</v>
      </c>
      <c r="C43" s="62">
        <f t="shared" si="17"/>
        <v>4</v>
      </c>
      <c r="D43" s="64">
        <f t="shared" si="18"/>
        <v>3.6666666666666679</v>
      </c>
      <c r="E43" s="28">
        <f t="shared" si="2"/>
        <v>3</v>
      </c>
      <c r="G43" s="68">
        <f>INDEX(Others!$D$11:$E$60, MATCH(C43, Others!$A$11:$A$60, 0), MATCH(G$3, Others!$D$10:$E$10, 0))</f>
        <v>3.4943009325520524E-2</v>
      </c>
      <c r="H43" s="16">
        <f t="shared" si="57"/>
        <v>2.866296808335056E-3</v>
      </c>
      <c r="I43" s="69">
        <f t="shared" si="58"/>
        <v>0.91211883119040327</v>
      </c>
      <c r="K43" s="80">
        <f>INDEX(Mortality!$B$7:$F$32, MATCH( E43,Mortality!$A$7:$A$32, 0), MATCH( K$3,Mortality!$B$6:$F$6,0))</f>
        <v>0.33399999999999996</v>
      </c>
      <c r="L43" s="11">
        <f t="shared" si="3"/>
        <v>0</v>
      </c>
      <c r="M43" s="80">
        <f t="shared" si="21"/>
        <v>0.33399999999999996</v>
      </c>
      <c r="N43" s="76">
        <f>INDEX(Myopia!$H:$H, MATCH(E43, Myopia!$A:$A, 0)) * Trend_Factor^(A43)</f>
        <v>6.1697654661969237</v>
      </c>
      <c r="O43" s="11">
        <f t="shared" si="4"/>
        <v>0</v>
      </c>
      <c r="P43" s="80">
        <f t="shared" si="22"/>
        <v>6.1697654661969237</v>
      </c>
      <c r="Q43" s="76">
        <f>VLOOKUP(C43,Others!$L$10:$M$61,2)</f>
        <v>0</v>
      </c>
      <c r="R43" s="11">
        <f t="shared" si="5"/>
        <v>0</v>
      </c>
      <c r="S43" s="80">
        <f t="shared" si="23"/>
        <v>0</v>
      </c>
      <c r="T43" s="78">
        <f t="shared" si="24"/>
        <v>2.7833333333333333E-5</v>
      </c>
      <c r="U43" s="81">
        <f t="shared" si="25"/>
        <v>5.1414712218307698E-4</v>
      </c>
      <c r="V43" s="81">
        <f t="shared" si="26"/>
        <v>0</v>
      </c>
      <c r="W43" s="77">
        <f t="shared" si="6"/>
        <v>0.99487675331008441</v>
      </c>
      <c r="X43" s="82">
        <f t="shared" si="27"/>
        <v>2.768361774427401E-5</v>
      </c>
      <c r="Y43" s="82">
        <f t="shared" si="28"/>
        <v>5.1150590108503297E-4</v>
      </c>
      <c r="Z43" s="82">
        <f t="shared" si="29"/>
        <v>0</v>
      </c>
      <c r="AA43" s="82">
        <f t="shared" si="30"/>
        <v>0.99433756379125515</v>
      </c>
      <c r="AC43" s="46">
        <f t="shared" si="7"/>
        <v>0</v>
      </c>
      <c r="AD43" s="15">
        <f t="shared" si="31"/>
        <v>0</v>
      </c>
      <c r="AE43" s="46">
        <f t="shared" si="32"/>
        <v>0</v>
      </c>
      <c r="AF43" s="15">
        <f t="shared" si="33"/>
        <v>0</v>
      </c>
      <c r="AG43" s="46">
        <f>SUMPRODUCT(AE44:AE$605, $I43:$I$604) / $I43</f>
        <v>0</v>
      </c>
      <c r="AI43" s="46">
        <f t="shared" si="8"/>
        <v>-47000</v>
      </c>
      <c r="AJ43" s="46">
        <f>IF(E43&gt;Mat_Year,0,  -SUM($AD$5:AD43))</f>
        <v>-9306</v>
      </c>
      <c r="AK43" s="24">
        <f t="shared" si="34"/>
        <v>-0.25762374672821392</v>
      </c>
      <c r="AL43" s="79">
        <f t="shared" si="35"/>
        <v>-24.040777350996549</v>
      </c>
      <c r="AM43" s="24">
        <f t="shared" si="36"/>
        <v>-24.423528861118548</v>
      </c>
      <c r="AN43" s="79">
        <f t="shared" si="37"/>
        <v>-24.298401097724764</v>
      </c>
      <c r="AO43" s="15">
        <f t="shared" si="38"/>
        <v>-6916.0023954942799</v>
      </c>
      <c r="AP43" s="46">
        <f>SUMPRODUCT(AN44:AN$605, $I44:$I$605) / $I43</f>
        <v>-6880.5700091141152</v>
      </c>
      <c r="AR43" s="46">
        <v>0</v>
      </c>
      <c r="AS43" s="46">
        <v>0</v>
      </c>
      <c r="AT43" s="46">
        <v>0</v>
      </c>
      <c r="AU43" s="95">
        <f t="shared" si="9"/>
        <v>-1.8185317677354291</v>
      </c>
      <c r="AV43" s="47">
        <f t="shared" si="10"/>
        <v>0</v>
      </c>
      <c r="AW43" s="96">
        <f t="shared" si="59"/>
        <v>-1.8185317677354291</v>
      </c>
      <c r="AX43" s="95">
        <f t="shared" si="11"/>
        <v>-20.852497603366249</v>
      </c>
      <c r="AY43" s="11">
        <f t="shared" si="12"/>
        <v>0</v>
      </c>
      <c r="AZ43" s="96">
        <f t="shared" si="60"/>
        <v>-20.852497603366249</v>
      </c>
      <c r="BA43" s="95">
        <f t="shared" si="61"/>
        <v>-1.8092149808758722</v>
      </c>
      <c r="BB43" s="64">
        <f t="shared" si="62"/>
        <v>-1.1243448149148325E-2</v>
      </c>
      <c r="BC43" s="95">
        <f t="shared" si="63"/>
        <v>-1.8185317677354291</v>
      </c>
      <c r="BD43" s="96">
        <f t="shared" si="64"/>
        <v>-1.1301347741556842E-2</v>
      </c>
      <c r="BE43" s="96">
        <f t="shared" si="65"/>
        <v>-1.8092149808758722</v>
      </c>
      <c r="BF43" s="96">
        <f t="shared" si="66"/>
        <v>-1.1243448149148325E-2</v>
      </c>
      <c r="BG43" s="15">
        <f t="shared" si="47"/>
        <v>-271.32307440248434</v>
      </c>
      <c r="BH43" s="46">
        <f>(SUMPRODUCT(BE44:BE$605,$I43:$I$604)+SUMPRODUCT(BF44:BF$605,$I44:$I$605)) / $I43</f>
        <v>-269.93301935965411</v>
      </c>
      <c r="BJ43" s="46">
        <f t="shared" si="67"/>
        <v>-1.8092149808758722</v>
      </c>
      <c r="BK43" s="46">
        <f t="shared" si="68"/>
        <v>-24.309644545873912</v>
      </c>
      <c r="BM43" s="49">
        <f t="shared" si="50"/>
        <v>7191.2228692336676</v>
      </c>
      <c r="BN43" s="46">
        <f t="shared" si="69"/>
        <v>7150.503028473765</v>
      </c>
      <c r="BP43" s="46">
        <f>Reserve!BX43</f>
        <v>9800.5081834222201</v>
      </c>
      <c r="BQ43" s="46">
        <f t="shared" si="13"/>
        <v>9745.0134310203102</v>
      </c>
      <c r="BR43" s="15">
        <f t="shared" si="52"/>
        <v>11.021977483043884</v>
      </c>
      <c r="BT43" s="49">
        <f t="shared" si="53"/>
        <v>28.102483361129995</v>
      </c>
      <c r="BU43" s="46">
        <f t="shared" si="54"/>
        <v>27.958507406271679</v>
      </c>
      <c r="BV43" s="46">
        <f>SUMPRODUCT(BU44:BU$605, $I44:$I$605) / $I43</f>
        <v>3094.006721724777</v>
      </c>
      <c r="BX43" s="46">
        <f>-BZ43*Others!$Q$43</f>
        <v>-3.2925760928168395</v>
      </c>
      <c r="BZ43" s="50">
        <f t="shared" si="0"/>
        <v>12.861625362565778</v>
      </c>
      <c r="CA43" s="46">
        <f t="shared" si="55"/>
        <v>9.5690492697489393</v>
      </c>
      <c r="CB43" s="46">
        <f t="shared" si="14"/>
        <v>9.5690492697489393</v>
      </c>
      <c r="CD43" s="46">
        <f>SUMPRODUCT(BZ44:BZ$605, $I44:$I$605) / $I43</f>
        <v>2594.5104025465403</v>
      </c>
      <c r="CE43" s="46">
        <f>SUMPRODUCT(CA44:CA$605, $I44:$I$605) / $I43</f>
        <v>1930.3157394946234</v>
      </c>
      <c r="CF43" s="46">
        <f>SUMPRODUCT(CB44:CB$605, $I44:$I$605) / $I43</f>
        <v>1930.3157394946234</v>
      </c>
      <c r="CH43" s="46">
        <f t="shared" si="15"/>
        <v>37199.491816577778</v>
      </c>
      <c r="CI43" s="46">
        <f t="shared" si="16"/>
        <v>0</v>
      </c>
      <c r="CK43" s="46">
        <f>NPV((1+CK$3)^(1/12)-1,$CB$6:$CB43)+$CB$5</f>
        <v>-517.19602839052675</v>
      </c>
      <c r="CL43" s="46">
        <f>NPV((1+CL$3)^(1/12)-1,$CB$6:$CB43)+$CB$5</f>
        <v>-524.19961805735147</v>
      </c>
      <c r="CM43" s="46">
        <f>NPV((1+CM$3)^(1/12)-1,$CB$6:$CB43)+$CB$5</f>
        <v>-539.89044595241296</v>
      </c>
      <c r="CN43" s="46">
        <f>NPV((1+CN$3)^(1/12)-1,$CB$6:$CB43)+$CB$5</f>
        <v>-539.89044595241296</v>
      </c>
    </row>
    <row r="44" spans="1:92" x14ac:dyDescent="0.25">
      <c r="A44" s="61">
        <f t="shared" si="1"/>
        <v>3.2500000000000013</v>
      </c>
      <c r="B44" s="32">
        <f t="shared" si="56"/>
        <v>3</v>
      </c>
      <c r="C44" s="62">
        <f t="shared" si="17"/>
        <v>4</v>
      </c>
      <c r="D44" s="64">
        <f t="shared" si="18"/>
        <v>3.7500000000000013</v>
      </c>
      <c r="E44" s="28">
        <f t="shared" si="2"/>
        <v>3</v>
      </c>
      <c r="G44" s="68">
        <f>INDEX(Others!$D$11:$E$60, MATCH(C44, Others!$A$11:$A$60, 0), MATCH(G$3, Others!$D$10:$E$10, 0))</f>
        <v>3.4943009325520524E-2</v>
      </c>
      <c r="H44" s="16">
        <f t="shared" si="57"/>
        <v>2.866296808335056E-3</v>
      </c>
      <c r="I44" s="69">
        <f t="shared" si="58"/>
        <v>0.9095119001339067</v>
      </c>
      <c r="K44" s="80">
        <f>INDEX(Mortality!$B$7:$F$32, MATCH( E44,Mortality!$A$7:$A$32, 0), MATCH( K$3,Mortality!$B$6:$F$6,0))</f>
        <v>0.33399999999999996</v>
      </c>
      <c r="L44" s="11">
        <f t="shared" si="3"/>
        <v>0</v>
      </c>
      <c r="M44" s="80">
        <f t="shared" si="21"/>
        <v>0.33399999999999996</v>
      </c>
      <c r="N44" s="76">
        <f>INDEX(Myopia!$H:$H, MATCH(E44, Myopia!$A:$A, 0)) * Trend_Factor^(A44)</f>
        <v>6.1697654661969237</v>
      </c>
      <c r="O44" s="11">
        <f t="shared" si="4"/>
        <v>0</v>
      </c>
      <c r="P44" s="80">
        <f t="shared" si="22"/>
        <v>6.1697654661969237</v>
      </c>
      <c r="Q44" s="76">
        <f>VLOOKUP(C44,Others!$L$10:$M$61,2)</f>
        <v>0</v>
      </c>
      <c r="R44" s="11">
        <f t="shared" si="5"/>
        <v>0</v>
      </c>
      <c r="S44" s="80">
        <f t="shared" si="23"/>
        <v>0</v>
      </c>
      <c r="T44" s="78">
        <f t="shared" si="24"/>
        <v>2.7833333333333333E-5</v>
      </c>
      <c r="U44" s="81">
        <f t="shared" si="25"/>
        <v>5.1414712218307698E-4</v>
      </c>
      <c r="V44" s="81">
        <f t="shared" si="26"/>
        <v>0</v>
      </c>
      <c r="W44" s="77">
        <f t="shared" si="6"/>
        <v>0.99433756379125515</v>
      </c>
      <c r="X44" s="82">
        <f t="shared" si="27"/>
        <v>2.7668614160683054E-5</v>
      </c>
      <c r="Y44" s="82">
        <f t="shared" si="28"/>
        <v>5.1122868220363209E-4</v>
      </c>
      <c r="Z44" s="82">
        <f t="shared" si="29"/>
        <v>0</v>
      </c>
      <c r="AA44" s="82">
        <f t="shared" si="30"/>
        <v>0.99379866649489079</v>
      </c>
      <c r="AC44" s="46">
        <f t="shared" si="7"/>
        <v>0</v>
      </c>
      <c r="AD44" s="15">
        <f t="shared" si="31"/>
        <v>0</v>
      </c>
      <c r="AE44" s="46">
        <f t="shared" si="32"/>
        <v>0</v>
      </c>
      <c r="AF44" s="15">
        <f t="shared" si="33"/>
        <v>0</v>
      </c>
      <c r="AG44" s="46">
        <f>SUMPRODUCT(AE45:AE$605, $I44:$I$604) / $I44</f>
        <v>0</v>
      </c>
      <c r="AI44" s="46">
        <f t="shared" si="8"/>
        <v>-47000</v>
      </c>
      <c r="AJ44" s="46">
        <f>IF(E44&gt;Mat_Year,0,  -SUM($AD$5:AD44))</f>
        <v>-9306</v>
      </c>
      <c r="AK44" s="24">
        <f t="shared" si="34"/>
        <v>-0.25748412337931648</v>
      </c>
      <c r="AL44" s="79">
        <f t="shared" si="35"/>
        <v>-24.027748063570709</v>
      </c>
      <c r="AM44" s="24">
        <f t="shared" si="36"/>
        <v>-24.423528861118548</v>
      </c>
      <c r="AN44" s="79">
        <f t="shared" si="37"/>
        <v>-24.285232186950026</v>
      </c>
      <c r="AO44" s="15">
        <f t="shared" si="38"/>
        <v>-6915.1632032955358</v>
      </c>
      <c r="AP44" s="46">
        <f>SUMPRODUCT(AN45:AN$605, $I45:$I$605) / $I44</f>
        <v>-6876.0065327838156</v>
      </c>
      <c r="AR44" s="46">
        <v>0</v>
      </c>
      <c r="AS44" s="46">
        <v>0</v>
      </c>
      <c r="AT44" s="46">
        <v>0</v>
      </c>
      <c r="AU44" s="95">
        <f t="shared" si="9"/>
        <v>-1.8205650654058101</v>
      </c>
      <c r="AV44" s="47">
        <f t="shared" si="10"/>
        <v>0</v>
      </c>
      <c r="AW44" s="96">
        <f t="shared" si="59"/>
        <v>-1.8205650654058101</v>
      </c>
      <c r="AX44" s="95">
        <f t="shared" si="11"/>
        <v>-20.875812749986618</v>
      </c>
      <c r="AY44" s="11">
        <f t="shared" si="12"/>
        <v>0</v>
      </c>
      <c r="AZ44" s="96">
        <f t="shared" si="60"/>
        <v>-20.875812749986618</v>
      </c>
      <c r="BA44" s="95">
        <f t="shared" si="61"/>
        <v>-1.8102562318590802</v>
      </c>
      <c r="BB44" s="64">
        <f t="shared" si="62"/>
        <v>-1.1249919050375487E-2</v>
      </c>
      <c r="BC44" s="95">
        <f t="shared" si="63"/>
        <v>-1.8205650654058101</v>
      </c>
      <c r="BD44" s="96">
        <f t="shared" si="64"/>
        <v>-1.1313983761692847E-2</v>
      </c>
      <c r="BE44" s="96">
        <f t="shared" si="65"/>
        <v>-1.8102562318590802</v>
      </c>
      <c r="BF44" s="96">
        <f t="shared" si="66"/>
        <v>-1.1249919050375487E-2</v>
      </c>
      <c r="BG44" s="15">
        <f t="shared" si="47"/>
        <v>-270.4112189061247</v>
      </c>
      <c r="BH44" s="46">
        <f>(SUMPRODUCT(BE45:BE$605,$I44:$I$604)+SUMPRODUCT(BF45:BF$605,$I45:$I$605)) / $I44</f>
        <v>-268.88003262893983</v>
      </c>
      <c r="BJ44" s="46">
        <f t="shared" si="67"/>
        <v>-1.8102562318590802</v>
      </c>
      <c r="BK44" s="46">
        <f t="shared" si="68"/>
        <v>-24.296482106000401</v>
      </c>
      <c r="BM44" s="49">
        <f t="shared" si="50"/>
        <v>7189.4708720153858</v>
      </c>
      <c r="BN44" s="46">
        <f t="shared" si="69"/>
        <v>7144.8865654127503</v>
      </c>
      <c r="BP44" s="46">
        <f>Reserve!BX44</f>
        <v>9794.7204548063419</v>
      </c>
      <c r="BQ44" s="46">
        <f t="shared" si="13"/>
        <v>9733.9801266767736</v>
      </c>
      <c r="BR44" s="15">
        <f t="shared" si="52"/>
        <v>11.033304343536656</v>
      </c>
      <c r="BT44" s="49">
        <f t="shared" si="53"/>
        <v>28.085947046368368</v>
      </c>
      <c r="BU44" s="46">
        <f t="shared" si="54"/>
        <v>27.926912162856119</v>
      </c>
      <c r="BV44" s="46">
        <f>SUMPRODUCT(BU45:BU$605, $I45:$I$605) / $I44</f>
        <v>3074.9481511533681</v>
      </c>
      <c r="BX44" s="46">
        <f>-BZ44*Others!$Q$43</f>
        <v>-3.290490411144523</v>
      </c>
      <c r="BZ44" s="50">
        <f t="shared" si="0"/>
        <v>12.853478168533293</v>
      </c>
      <c r="CA44" s="46">
        <f t="shared" si="55"/>
        <v>9.56298775738877</v>
      </c>
      <c r="CB44" s="46">
        <f t="shared" si="14"/>
        <v>9.56298775738877</v>
      </c>
      <c r="CD44" s="46">
        <f>SUMPRODUCT(BZ45:BZ$605, $I45:$I$605) / $I44</f>
        <v>2589.0935612640187</v>
      </c>
      <c r="CE44" s="46">
        <f>SUMPRODUCT(CA45:CA$605, $I45:$I$605) / $I44</f>
        <v>1926.2856095804268</v>
      </c>
      <c r="CF44" s="46">
        <f>SUMPRODUCT(CB45:CB$605, $I45:$I$605) / $I44</f>
        <v>1926.2856095804268</v>
      </c>
      <c r="CH44" s="46">
        <f t="shared" si="15"/>
        <v>37205.279545193654</v>
      </c>
      <c r="CI44" s="46">
        <f t="shared" si="16"/>
        <v>0</v>
      </c>
      <c r="CK44" s="46">
        <f>NPV((1+CK$3)^(1/12)-1,$CB$6:$CB44)+$CB$5</f>
        <v>-508.50897242350072</v>
      </c>
      <c r="CL44" s="46">
        <f>NPV((1+CL$3)^(1/12)-1,$CB$6:$CB44)+$CB$5</f>
        <v>-516.0388999242615</v>
      </c>
      <c r="CM44" s="46">
        <f>NPV((1+CM$3)^(1/12)-1,$CB$6:$CB44)+$CB$5</f>
        <v>-532.87480470130345</v>
      </c>
      <c r="CN44" s="46">
        <f>NPV((1+CN$3)^(1/12)-1,$CB$6:$CB44)+$CB$5</f>
        <v>-532.87480470130345</v>
      </c>
    </row>
    <row r="45" spans="1:92" x14ac:dyDescent="0.25">
      <c r="A45" s="61">
        <f t="shared" si="1"/>
        <v>3.3333333333333348</v>
      </c>
      <c r="B45" s="32">
        <f t="shared" si="56"/>
        <v>4</v>
      </c>
      <c r="C45" s="62">
        <f t="shared" si="17"/>
        <v>4</v>
      </c>
      <c r="D45" s="64">
        <f t="shared" si="18"/>
        <v>3.8333333333333348</v>
      </c>
      <c r="E45" s="28">
        <f t="shared" si="2"/>
        <v>3</v>
      </c>
      <c r="G45" s="68">
        <f>INDEX(Others!$D$11:$E$60, MATCH(C45, Others!$A$11:$A$60, 0), MATCH(G$3, Others!$D$10:$E$10, 0))</f>
        <v>3.4943009325520524E-2</v>
      </c>
      <c r="H45" s="16">
        <f t="shared" si="57"/>
        <v>2.866296808335056E-3</v>
      </c>
      <c r="I45" s="69">
        <f t="shared" si="58"/>
        <v>0.90691241995913841</v>
      </c>
      <c r="K45" s="80">
        <f>INDEX(Mortality!$B$7:$F$32, MATCH( E45,Mortality!$A$7:$A$32, 0), MATCH( K$3,Mortality!$B$6:$F$6,0))</f>
        <v>0.33399999999999996</v>
      </c>
      <c r="L45" s="11">
        <f t="shared" si="3"/>
        <v>0</v>
      </c>
      <c r="M45" s="80">
        <f t="shared" si="21"/>
        <v>0.33399999999999996</v>
      </c>
      <c r="N45" s="76">
        <f>INDEX(Myopia!$H:$H, MATCH(E45, Myopia!$A:$A, 0)) * Trend_Factor^(A45)</f>
        <v>6.1697654661969237</v>
      </c>
      <c r="O45" s="11">
        <f t="shared" si="4"/>
        <v>0</v>
      </c>
      <c r="P45" s="80">
        <f t="shared" si="22"/>
        <v>6.1697654661969237</v>
      </c>
      <c r="Q45" s="76">
        <f>VLOOKUP(C45,Others!$L$10:$M$61,2)</f>
        <v>0</v>
      </c>
      <c r="R45" s="11">
        <f t="shared" si="5"/>
        <v>0</v>
      </c>
      <c r="S45" s="80">
        <f t="shared" si="23"/>
        <v>0</v>
      </c>
      <c r="T45" s="78">
        <f t="shared" si="24"/>
        <v>2.7833333333333333E-5</v>
      </c>
      <c r="U45" s="81">
        <f t="shared" si="25"/>
        <v>5.1414712218307698E-4</v>
      </c>
      <c r="V45" s="81">
        <f t="shared" si="26"/>
        <v>0</v>
      </c>
      <c r="W45" s="77">
        <f t="shared" si="6"/>
        <v>0.99379866649489079</v>
      </c>
      <c r="X45" s="82">
        <f t="shared" si="27"/>
        <v>2.7653618708526453E-5</v>
      </c>
      <c r="Y45" s="82">
        <f t="shared" si="28"/>
        <v>5.1095161356547961E-4</v>
      </c>
      <c r="Z45" s="82">
        <f t="shared" si="29"/>
        <v>0</v>
      </c>
      <c r="AA45" s="82">
        <f t="shared" si="30"/>
        <v>0.99326006126261679</v>
      </c>
      <c r="AC45" s="46">
        <f t="shared" si="7"/>
        <v>0</v>
      </c>
      <c r="AD45" s="15">
        <f t="shared" si="31"/>
        <v>0</v>
      </c>
      <c r="AE45" s="46">
        <f t="shared" si="32"/>
        <v>0</v>
      </c>
      <c r="AF45" s="15">
        <f t="shared" si="33"/>
        <v>0</v>
      </c>
      <c r="AG45" s="46">
        <f>SUMPRODUCT(AE46:AE$605, $I45:$I$604) / $I45</f>
        <v>0</v>
      </c>
      <c r="AI45" s="46">
        <f t="shared" si="8"/>
        <v>-47000</v>
      </c>
      <c r="AJ45" s="46">
        <f>IF(E45&gt;Mat_Year,0,  -SUM($AD$5:AD45))</f>
        <v>-9306</v>
      </c>
      <c r="AK45" s="24">
        <f t="shared" si="34"/>
        <v>-0.25734457570154717</v>
      </c>
      <c r="AL45" s="79">
        <f t="shared" si="35"/>
        <v>-24.01472583757754</v>
      </c>
      <c r="AM45" s="24">
        <f t="shared" si="36"/>
        <v>-24.423528861118545</v>
      </c>
      <c r="AN45" s="79">
        <f t="shared" si="37"/>
        <v>-24.272070413279089</v>
      </c>
      <c r="AO45" s="15">
        <f t="shared" si="38"/>
        <v>-6914.3211493581457</v>
      </c>
      <c r="AP45" s="46">
        <f>SUMPRODUCT(AN46:AN$605, $I46:$I$605) / $I45</f>
        <v>-6871.4431379495454</v>
      </c>
      <c r="AR45" s="46">
        <v>0</v>
      </c>
      <c r="AS45" s="46">
        <v>0</v>
      </c>
      <c r="AT45" s="46">
        <v>0</v>
      </c>
      <c r="AU45" s="95">
        <f t="shared" si="9"/>
        <v>-1.8226006365032983</v>
      </c>
      <c r="AV45" s="47">
        <f t="shared" si="10"/>
        <v>0</v>
      </c>
      <c r="AW45" s="96">
        <f t="shared" si="59"/>
        <v>-1.8226006365032983</v>
      </c>
      <c r="AX45" s="95">
        <f t="shared" si="11"/>
        <v>-20.899153965237819</v>
      </c>
      <c r="AY45" s="11">
        <f t="shared" si="12"/>
        <v>0</v>
      </c>
      <c r="AZ45" s="96">
        <f t="shared" si="60"/>
        <v>-20.899153965237819</v>
      </c>
      <c r="BA45" s="95">
        <f t="shared" si="61"/>
        <v>-1.8112980821097171</v>
      </c>
      <c r="BB45" s="64">
        <f t="shared" si="62"/>
        <v>-1.125639367577713E-2</v>
      </c>
      <c r="BC45" s="95">
        <f t="shared" si="63"/>
        <v>-1.8226006365032983</v>
      </c>
      <c r="BD45" s="96">
        <f t="shared" si="64"/>
        <v>-1.1326633910144214E-2</v>
      </c>
      <c r="BE45" s="96">
        <f t="shared" si="65"/>
        <v>-1.8112980821097171</v>
      </c>
      <c r="BF45" s="96">
        <f t="shared" si="66"/>
        <v>-1.125639367577713E-2</v>
      </c>
      <c r="BG45" s="15">
        <f t="shared" si="47"/>
        <v>-269.49419982540184</v>
      </c>
      <c r="BH45" s="46">
        <f>(SUMPRODUCT(BE46:BE$605,$I45:$I$604)+SUMPRODUCT(BF46:BF$605,$I46:$I$605)) / $I45</f>
        <v>-267.82297641459195</v>
      </c>
      <c r="BJ45" s="46">
        <f t="shared" si="67"/>
        <v>-1.8112980821097171</v>
      </c>
      <c r="BK45" s="46">
        <f t="shared" si="68"/>
        <v>-24.283326806954864</v>
      </c>
      <c r="BM45" s="49">
        <f t="shared" si="50"/>
        <v>7187.7108451222821</v>
      </c>
      <c r="BN45" s="46">
        <f t="shared" si="69"/>
        <v>7139.2661143641326</v>
      </c>
      <c r="BP45" s="46">
        <f>Reserve!BX45</f>
        <v>9788.9121239505967</v>
      </c>
      <c r="BQ45" s="46">
        <f t="shared" si="13"/>
        <v>9722.9354559295425</v>
      </c>
      <c r="BR45" s="15">
        <f t="shared" si="52"/>
        <v>11.044670747231066</v>
      </c>
      <c r="BT45" s="49">
        <f t="shared" si="53"/>
        <v>28.069351863758229</v>
      </c>
      <c r="BU45" s="46">
        <f t="shared" si="54"/>
        <v>27.895284451578807</v>
      </c>
      <c r="BV45" s="46">
        <f>SUMPRODUCT(BU46:BU$605, $I46:$I$605) / $I45</f>
        <v>3055.8665807732355</v>
      </c>
      <c r="BX45" s="46">
        <f>-BZ45*Others!$Q$43</f>
        <v>-3.2884045592947944</v>
      </c>
      <c r="BZ45" s="50">
        <f t="shared" si="0"/>
        <v>12.84533030974529</v>
      </c>
      <c r="CA45" s="46">
        <f t="shared" si="55"/>
        <v>9.5569257504504961</v>
      </c>
      <c r="CB45" s="46">
        <f t="shared" si="14"/>
        <v>9.5569257504504961</v>
      </c>
      <c r="CD45" s="46">
        <f>SUMPRODUCT(BZ46:BZ$605, $I46:$I$605) / $I45</f>
        <v>2583.6693415654045</v>
      </c>
      <c r="CE45" s="46">
        <f>SUMPRODUCT(CA46:CA$605, $I46:$I$605) / $I45</f>
        <v>1922.2499901246588</v>
      </c>
      <c r="CF45" s="46">
        <f>SUMPRODUCT(CB46:CB$605, $I46:$I$605) / $I45</f>
        <v>1922.2499901246588</v>
      </c>
      <c r="CH45" s="46">
        <f t="shared" si="15"/>
        <v>37211.087876049402</v>
      </c>
      <c r="CI45" s="46">
        <f t="shared" si="16"/>
        <v>0</v>
      </c>
      <c r="CK45" s="46">
        <f>NPV((1+CK$3)^(1/12)-1,$CB$6:$CB45)+$CB$5</f>
        <v>-499.84878157450805</v>
      </c>
      <c r="CL45" s="46">
        <f>NPV((1+CL$3)^(1/12)-1,$CB$6:$CB45)+$CB$5</f>
        <v>-507.91644677470083</v>
      </c>
      <c r="CM45" s="46">
        <f>NPV((1+CM$3)^(1/12)-1,$CB$6:$CB45)+$CB$5</f>
        <v>-525.91907663881284</v>
      </c>
      <c r="CN45" s="46">
        <f>NPV((1+CN$3)^(1/12)-1,$CB$6:$CB45)+$CB$5</f>
        <v>-525.91907663881284</v>
      </c>
    </row>
    <row r="46" spans="1:92" x14ac:dyDescent="0.25">
      <c r="A46" s="61">
        <f t="shared" si="1"/>
        <v>3.4166666666666683</v>
      </c>
      <c r="B46" s="32">
        <f t="shared" si="56"/>
        <v>5</v>
      </c>
      <c r="C46" s="62">
        <f t="shared" si="17"/>
        <v>4</v>
      </c>
      <c r="D46" s="64">
        <f t="shared" si="18"/>
        <v>3.9166666666666683</v>
      </c>
      <c r="E46" s="28">
        <f t="shared" si="2"/>
        <v>3</v>
      </c>
      <c r="G46" s="68">
        <f>INDEX(Others!$D$11:$E$60, MATCH(C46, Others!$A$11:$A$60, 0), MATCH(G$3, Others!$D$10:$E$10, 0))</f>
        <v>3.4943009325520524E-2</v>
      </c>
      <c r="H46" s="16">
        <f t="shared" si="57"/>
        <v>2.866296808335056E-3</v>
      </c>
      <c r="I46" s="69">
        <f t="shared" si="58"/>
        <v>0.90432036937069882</v>
      </c>
      <c r="K46" s="80">
        <f>INDEX(Mortality!$B$7:$F$32, MATCH( E46,Mortality!$A$7:$A$32, 0), MATCH( K$3,Mortality!$B$6:$F$6,0))</f>
        <v>0.33399999999999996</v>
      </c>
      <c r="L46" s="11">
        <f t="shared" si="3"/>
        <v>0</v>
      </c>
      <c r="M46" s="80">
        <f t="shared" si="21"/>
        <v>0.33399999999999996</v>
      </c>
      <c r="N46" s="76">
        <f>INDEX(Myopia!$H:$H, MATCH(E46, Myopia!$A:$A, 0)) * Trend_Factor^(A46)</f>
        <v>6.1697654661969237</v>
      </c>
      <c r="O46" s="11">
        <f t="shared" si="4"/>
        <v>0</v>
      </c>
      <c r="P46" s="80">
        <f t="shared" si="22"/>
        <v>6.1697654661969237</v>
      </c>
      <c r="Q46" s="76">
        <f>VLOOKUP(C46,Others!$L$10:$M$61,2)</f>
        <v>0</v>
      </c>
      <c r="R46" s="11">
        <f t="shared" si="5"/>
        <v>0</v>
      </c>
      <c r="S46" s="80">
        <f t="shared" si="23"/>
        <v>0</v>
      </c>
      <c r="T46" s="78">
        <f t="shared" si="24"/>
        <v>2.7833333333333333E-5</v>
      </c>
      <c r="U46" s="81">
        <f t="shared" si="25"/>
        <v>5.1414712218307698E-4</v>
      </c>
      <c r="V46" s="81">
        <f t="shared" si="26"/>
        <v>0</v>
      </c>
      <c r="W46" s="77">
        <f t="shared" si="6"/>
        <v>0.99326006126261679</v>
      </c>
      <c r="X46" s="82">
        <f t="shared" si="27"/>
        <v>2.7638631383397254E-5</v>
      </c>
      <c r="Y46" s="82">
        <f t="shared" si="28"/>
        <v>5.1067469508914891E-4</v>
      </c>
      <c r="Z46" s="82">
        <f t="shared" si="29"/>
        <v>0</v>
      </c>
      <c r="AA46" s="82">
        <f t="shared" si="30"/>
        <v>0.99272174793614421</v>
      </c>
      <c r="AC46" s="46">
        <f t="shared" si="7"/>
        <v>0</v>
      </c>
      <c r="AD46" s="15">
        <f t="shared" si="31"/>
        <v>0</v>
      </c>
      <c r="AE46" s="46">
        <f t="shared" si="32"/>
        <v>0</v>
      </c>
      <c r="AF46" s="15">
        <f t="shared" si="33"/>
        <v>0</v>
      </c>
      <c r="AG46" s="46">
        <f>SUMPRODUCT(AE47:AE$605, $I46:$I$604) / $I46</f>
        <v>0</v>
      </c>
      <c r="AI46" s="46">
        <f t="shared" si="8"/>
        <v>-47000</v>
      </c>
      <c r="AJ46" s="46">
        <f>IF(E46&gt;Mat_Year,0,  -SUM($AD$5:AD46))</f>
        <v>-9306</v>
      </c>
      <c r="AK46" s="24">
        <f t="shared" si="34"/>
        <v>-0.25720510365389487</v>
      </c>
      <c r="AL46" s="79">
        <f t="shared" si="35"/>
        <v>-24.00171066919</v>
      </c>
      <c r="AM46" s="24">
        <f t="shared" si="36"/>
        <v>-24.423528861118545</v>
      </c>
      <c r="AN46" s="79">
        <f t="shared" si="37"/>
        <v>-24.258915772843896</v>
      </c>
      <c r="AO46" s="15">
        <f t="shared" si="38"/>
        <v>-6913.4762239232587</v>
      </c>
      <c r="AP46" s="46">
        <f>SUMPRODUCT(AN47:AN$605, $I47:$I$605) / $I46</f>
        <v>-6866.8798177116605</v>
      </c>
      <c r="AR46" s="46">
        <v>0</v>
      </c>
      <c r="AS46" s="46">
        <v>0</v>
      </c>
      <c r="AT46" s="46">
        <v>0</v>
      </c>
      <c r="AU46" s="95">
        <f t="shared" si="9"/>
        <v>-1.8246384835698097</v>
      </c>
      <c r="AV46" s="47">
        <f t="shared" si="10"/>
        <v>0</v>
      </c>
      <c r="AW46" s="96">
        <f t="shared" si="59"/>
        <v>-1.8246384835698097</v>
      </c>
      <c r="AX46" s="95">
        <f t="shared" si="11"/>
        <v>-20.922521278267148</v>
      </c>
      <c r="AY46" s="11">
        <f t="shared" si="12"/>
        <v>0</v>
      </c>
      <c r="AZ46" s="96">
        <f t="shared" si="60"/>
        <v>-20.922521278267148</v>
      </c>
      <c r="BA46" s="95">
        <f t="shared" si="61"/>
        <v>-1.8123405319726773</v>
      </c>
      <c r="BB46" s="64">
        <f t="shared" si="62"/>
        <v>-1.1262872027496616E-2</v>
      </c>
      <c r="BC46" s="95">
        <f t="shared" si="63"/>
        <v>-1.8246384835698097</v>
      </c>
      <c r="BD46" s="96">
        <f t="shared" si="64"/>
        <v>-1.1339298202707786E-2</v>
      </c>
      <c r="BE46" s="96">
        <f t="shared" si="65"/>
        <v>-1.8123405319726773</v>
      </c>
      <c r="BF46" s="96">
        <f t="shared" si="66"/>
        <v>-1.1262872027496616E-2</v>
      </c>
      <c r="BG46" s="15">
        <f t="shared" si="47"/>
        <v>-268.57199725528255</v>
      </c>
      <c r="BH46" s="46">
        <f>(SUMPRODUCT(BE47:BE$605,$I46:$I$604)+SUMPRODUCT(BF47:BF$605,$I47:$I$605)) / $I46</f>
        <v>-266.76183844720532</v>
      </c>
      <c r="BJ46" s="46">
        <f t="shared" si="67"/>
        <v>-1.8123405319726773</v>
      </c>
      <c r="BK46" s="46">
        <f t="shared" si="68"/>
        <v>-24.270178644871393</v>
      </c>
      <c r="BM46" s="49">
        <f t="shared" si="50"/>
        <v>7185.9427588743902</v>
      </c>
      <c r="BN46" s="46">
        <f t="shared" si="69"/>
        <v>7133.641656158863</v>
      </c>
      <c r="BP46" s="46">
        <f>Reserve!BX46</f>
        <v>9783.083124081917</v>
      </c>
      <c r="BQ46" s="46">
        <f t="shared" si="13"/>
        <v>9711.8793791431945</v>
      </c>
      <c r="BR46" s="15">
        <f t="shared" si="52"/>
        <v>11.056076786348058</v>
      </c>
      <c r="BT46" s="49">
        <f t="shared" si="53"/>
        <v>28.052697622490108</v>
      </c>
      <c r="BU46" s="46">
        <f t="shared" si="54"/>
        <v>27.86362415909619</v>
      </c>
      <c r="BV46" s="46">
        <f>SUMPRODUCT(BU47:BU$605, $I47:$I$605) / $I46</f>
        <v>3036.7619772413077</v>
      </c>
      <c r="BX46" s="46">
        <f>-BZ46*Others!$Q$43</f>
        <v>-3.2863185327616455</v>
      </c>
      <c r="BZ46" s="50">
        <f t="shared" si="0"/>
        <v>12.837181768600178</v>
      </c>
      <c r="CA46" s="46">
        <f t="shared" si="55"/>
        <v>9.5508632358385324</v>
      </c>
      <c r="CB46" s="46">
        <f t="shared" si="14"/>
        <v>9.5508632358385324</v>
      </c>
      <c r="CD46" s="46">
        <f>SUMPRODUCT(BZ47:BZ$605, $I47:$I$605) / $I46</f>
        <v>2578.2377229843264</v>
      </c>
      <c r="CE46" s="46">
        <f>SUMPRODUCT(CA47:CA$605, $I47:$I$605) / $I46</f>
        <v>1918.2088659003364</v>
      </c>
      <c r="CF46" s="46">
        <f>SUMPRODUCT(CB47:CB$605, $I47:$I$605) / $I46</f>
        <v>1918.2088659003364</v>
      </c>
      <c r="CH46" s="46">
        <f t="shared" si="15"/>
        <v>37216.916875918083</v>
      </c>
      <c r="CI46" s="46">
        <f t="shared" si="16"/>
        <v>0</v>
      </c>
      <c r="CK46" s="46">
        <f>NPV((1+CK$3)^(1/12)-1,$CB$6:$CB46)+$CB$5</f>
        <v>-491.21537669444012</v>
      </c>
      <c r="CL46" s="46">
        <f>NPV((1+CL$3)^(1/12)-1,$CB$6:$CB46)+$CB$5</f>
        <v>-499.83208286949764</v>
      </c>
      <c r="CM46" s="46">
        <f>NPV((1+CM$3)^(1/12)-1,$CB$6:$CB46)+$CB$5</f>
        <v>-519.02275325088203</v>
      </c>
      <c r="CN46" s="46">
        <f>NPV((1+CN$3)^(1/12)-1,$CB$6:$CB46)+$CB$5</f>
        <v>-519.02275325088203</v>
      </c>
    </row>
    <row r="47" spans="1:92" x14ac:dyDescent="0.25">
      <c r="A47" s="61">
        <f t="shared" si="1"/>
        <v>3.5000000000000018</v>
      </c>
      <c r="B47" s="32">
        <f t="shared" si="56"/>
        <v>6</v>
      </c>
      <c r="C47" s="62">
        <f t="shared" si="17"/>
        <v>4</v>
      </c>
      <c r="D47" s="64">
        <f t="shared" si="18"/>
        <v>4.0000000000000018</v>
      </c>
      <c r="E47" s="28">
        <f t="shared" si="2"/>
        <v>4</v>
      </c>
      <c r="G47" s="68">
        <f>INDEX(Others!$D$11:$E$60, MATCH(C47, Others!$A$11:$A$60, 0), MATCH(G$3, Others!$D$10:$E$10, 0))</f>
        <v>3.4943009325520524E-2</v>
      </c>
      <c r="H47" s="16">
        <f t="shared" si="57"/>
        <v>2.866296808335056E-3</v>
      </c>
      <c r="I47" s="69">
        <f t="shared" si="58"/>
        <v>0.90173572713405281</v>
      </c>
      <c r="K47" s="80">
        <f>INDEX(Mortality!$B$7:$F$32, MATCH( E47,Mortality!$A$7:$A$32, 0), MATCH( K$3,Mortality!$B$6:$F$6,0))</f>
        <v>0.33599999999999997</v>
      </c>
      <c r="L47" s="11">
        <f t="shared" si="3"/>
        <v>0</v>
      </c>
      <c r="M47" s="80">
        <f t="shared" si="21"/>
        <v>0.33599999999999997</v>
      </c>
      <c r="N47" s="76">
        <f>INDEX(Myopia!$H:$H, MATCH(E47, Myopia!$A:$A, 0)) * Trend_Factor^(A47)</f>
        <v>6.1319328784822247</v>
      </c>
      <c r="O47" s="11">
        <f t="shared" si="4"/>
        <v>0</v>
      </c>
      <c r="P47" s="80">
        <f t="shared" si="22"/>
        <v>6.1319328784822247</v>
      </c>
      <c r="Q47" s="76">
        <f>VLOOKUP(C47,Others!$L$10:$M$61,2)</f>
        <v>0</v>
      </c>
      <c r="R47" s="11">
        <f t="shared" si="5"/>
        <v>0</v>
      </c>
      <c r="S47" s="80">
        <f t="shared" si="23"/>
        <v>0</v>
      </c>
      <c r="T47" s="78">
        <f t="shared" si="24"/>
        <v>2.8E-5</v>
      </c>
      <c r="U47" s="81">
        <f t="shared" si="25"/>
        <v>5.1099440654018538E-4</v>
      </c>
      <c r="V47" s="81">
        <f t="shared" si="26"/>
        <v>0</v>
      </c>
      <c r="W47" s="77">
        <f t="shared" si="6"/>
        <v>0.99272174793614421</v>
      </c>
      <c r="X47" s="82">
        <f t="shared" si="27"/>
        <v>2.7789107088565793E-5</v>
      </c>
      <c r="Y47" s="82">
        <f t="shared" si="28"/>
        <v>5.0726815859251928E-4</v>
      </c>
      <c r="Z47" s="82">
        <f t="shared" si="29"/>
        <v>0</v>
      </c>
      <c r="AA47" s="82">
        <f t="shared" si="30"/>
        <v>0.99218669067046317</v>
      </c>
      <c r="AC47" s="46">
        <f t="shared" si="7"/>
        <v>0</v>
      </c>
      <c r="AD47" s="15">
        <f t="shared" si="31"/>
        <v>0</v>
      </c>
      <c r="AE47" s="46">
        <f t="shared" si="32"/>
        <v>0</v>
      </c>
      <c r="AF47" s="15">
        <f t="shared" si="33"/>
        <v>0</v>
      </c>
      <c r="AG47" s="46">
        <f>SUMPRODUCT(AE48:AE$605, $I47:$I$604) / $I47</f>
        <v>0</v>
      </c>
      <c r="AI47" s="46">
        <f t="shared" si="8"/>
        <v>-47000</v>
      </c>
      <c r="AJ47" s="46">
        <f>IF(E47&gt;Mat_Year,0,  -SUM($AD$5:AD47))</f>
        <v>-9306</v>
      </c>
      <c r="AK47" s="24">
        <f t="shared" si="34"/>
        <v>-0.25860543056619328</v>
      </c>
      <c r="AL47" s="79">
        <f t="shared" si="35"/>
        <v>-23.841603453848407</v>
      </c>
      <c r="AM47" s="24">
        <f t="shared" si="36"/>
        <v>-24.276902298673949</v>
      </c>
      <c r="AN47" s="79">
        <f t="shared" si="37"/>
        <v>-24.100208884414599</v>
      </c>
      <c r="AO47" s="15">
        <f t="shared" si="38"/>
        <v>-6912.7750437611985</v>
      </c>
      <c r="AP47" s="46">
        <f>SUMPRODUCT(AN48:AN$605, $I48:$I$605) / $I47</f>
        <v>-6862.4621245319731</v>
      </c>
      <c r="AR47" s="46">
        <v>0</v>
      </c>
      <c r="AS47" s="46">
        <v>0</v>
      </c>
      <c r="AT47" s="46">
        <v>0</v>
      </c>
      <c r="AU47" s="95">
        <f t="shared" si="9"/>
        <v>-1.8266786091501013</v>
      </c>
      <c r="AV47" s="47">
        <f t="shared" si="10"/>
        <v>0</v>
      </c>
      <c r="AW47" s="96">
        <f t="shared" si="59"/>
        <v>-1.8266786091501013</v>
      </c>
      <c r="AX47" s="95">
        <f t="shared" si="11"/>
        <v>-20.945914718254492</v>
      </c>
      <c r="AY47" s="11">
        <f t="shared" si="12"/>
        <v>0</v>
      </c>
      <c r="AZ47" s="96">
        <f t="shared" si="60"/>
        <v>-20.945914718254492</v>
      </c>
      <c r="BA47" s="95">
        <f t="shared" si="61"/>
        <v>-1.8133835817930533</v>
      </c>
      <c r="BB47" s="64">
        <f t="shared" si="62"/>
        <v>-1.1207263856338445E-2</v>
      </c>
      <c r="BC47" s="95">
        <f t="shared" si="63"/>
        <v>-1.8266786091501013</v>
      </c>
      <c r="BD47" s="96">
        <f t="shared" si="64"/>
        <v>-1.128943118213961E-2</v>
      </c>
      <c r="BE47" s="96">
        <f t="shared" si="65"/>
        <v>-1.8133835817930533</v>
      </c>
      <c r="BF47" s="96">
        <f t="shared" si="66"/>
        <v>-1.1207263856338445E-2</v>
      </c>
      <c r="BG47" s="15">
        <f t="shared" si="47"/>
        <v>-267.64465376576061</v>
      </c>
      <c r="BH47" s="46">
        <f>(SUMPRODUCT(BE48:BE$605,$I47:$I$604)+SUMPRODUCT(BF48:BF$605,$I48:$I$605)) / $I47</f>
        <v>-265.69666851210997</v>
      </c>
      <c r="BJ47" s="46">
        <f t="shared" si="67"/>
        <v>-1.8133835817930533</v>
      </c>
      <c r="BK47" s="46">
        <f t="shared" si="68"/>
        <v>-24.111416148270937</v>
      </c>
      <c r="BM47" s="49">
        <f t="shared" si="50"/>
        <v>7184.2918878777509</v>
      </c>
      <c r="BN47" s="46">
        <f t="shared" si="69"/>
        <v>7128.1587930440801</v>
      </c>
      <c r="BP47" s="46">
        <f>Reserve!BX47</f>
        <v>9777.3862366494031</v>
      </c>
      <c r="BQ47" s="46">
        <f t="shared" si="13"/>
        <v>9700.9924935481049</v>
      </c>
      <c r="BR47" s="15">
        <f t="shared" si="52"/>
        <v>10.886885595089552</v>
      </c>
      <c r="BT47" s="49">
        <f t="shared" si="53"/>
        <v>28.035984131165286</v>
      </c>
      <c r="BU47" s="46">
        <f t="shared" si="54"/>
        <v>27.831931171800402</v>
      </c>
      <c r="BV47" s="46">
        <f>SUMPRODUCT(BU48:BU$605, $I48:$I$605) / $I47</f>
        <v>3017.6343072325467</v>
      </c>
      <c r="BX47" s="46">
        <f>-BZ47*Others!$Q$43</f>
        <v>-3.2752683614274467</v>
      </c>
      <c r="BZ47" s="50">
        <f t="shared" si="0"/>
        <v>12.794017036825963</v>
      </c>
      <c r="CA47" s="46">
        <f t="shared" si="55"/>
        <v>9.5187486753985162</v>
      </c>
      <c r="CB47" s="46">
        <f t="shared" si="14"/>
        <v>9.5187486753985162</v>
      </c>
      <c r="CD47" s="46">
        <f>SUMPRODUCT(BZ48:BZ$605, $I48:$I$605) / $I47</f>
        <v>2572.8337005040194</v>
      </c>
      <c r="CE47" s="46">
        <f>SUMPRODUCT(CA48:CA$605, $I48:$I$605) / $I47</f>
        <v>1914.1882731749884</v>
      </c>
      <c r="CF47" s="46">
        <f>SUMPRODUCT(CB48:CB$605, $I48:$I$605) / $I47</f>
        <v>1914.1882731749884</v>
      </c>
      <c r="CH47" s="46">
        <f t="shared" si="15"/>
        <v>37222.6137633506</v>
      </c>
      <c r="CI47" s="46">
        <f t="shared" si="16"/>
        <v>0</v>
      </c>
      <c r="CK47" s="46">
        <f>NPV((1+CK$3)^(1/12)-1,$CB$6:$CB47)+$CB$5</f>
        <v>-482.6321699453091</v>
      </c>
      <c r="CL47" s="46">
        <f>NPV((1+CL$3)^(1/12)-1,$CB$6:$CB47)+$CB$5</f>
        <v>-491.80759521010873</v>
      </c>
      <c r="CM47" s="46">
        <f>NPV((1+CM$3)^(1/12)-1,$CB$6:$CB47)+$CB$5</f>
        <v>-512.20399235048865</v>
      </c>
      <c r="CN47" s="46">
        <f>NPV((1+CN$3)^(1/12)-1,$CB$6:$CB47)+$CB$5</f>
        <v>-512.20399235048865</v>
      </c>
    </row>
    <row r="48" spans="1:92" x14ac:dyDescent="0.25">
      <c r="A48" s="61">
        <f t="shared" si="1"/>
        <v>3.5833333333333353</v>
      </c>
      <c r="B48" s="32">
        <f t="shared" si="56"/>
        <v>7</v>
      </c>
      <c r="C48" s="62">
        <f t="shared" si="17"/>
        <v>4</v>
      </c>
      <c r="D48" s="64">
        <f t="shared" si="18"/>
        <v>4.0833333333333357</v>
      </c>
      <c r="E48" s="28">
        <f t="shared" si="2"/>
        <v>4</v>
      </c>
      <c r="G48" s="68">
        <f>INDEX(Others!$D$11:$E$60, MATCH(C48, Others!$A$11:$A$60, 0), MATCH(G$3, Others!$D$10:$E$10, 0))</f>
        <v>3.4943009325520524E-2</v>
      </c>
      <c r="H48" s="16">
        <f t="shared" si="57"/>
        <v>2.866296808335056E-3</v>
      </c>
      <c r="I48" s="69">
        <f t="shared" si="58"/>
        <v>0.89915847207535582</v>
      </c>
      <c r="K48" s="80">
        <f>INDEX(Mortality!$B$7:$F$32, MATCH( E48,Mortality!$A$7:$A$32, 0), MATCH( K$3,Mortality!$B$6:$F$6,0))</f>
        <v>0.33599999999999997</v>
      </c>
      <c r="L48" s="11">
        <f t="shared" si="3"/>
        <v>0</v>
      </c>
      <c r="M48" s="80">
        <f t="shared" si="21"/>
        <v>0.33599999999999997</v>
      </c>
      <c r="N48" s="76">
        <f>INDEX(Myopia!$H:$H, MATCH(E48, Myopia!$A:$A, 0)) * Trend_Factor^(A48)</f>
        <v>6.1319328784822247</v>
      </c>
      <c r="O48" s="11">
        <f t="shared" si="4"/>
        <v>0</v>
      </c>
      <c r="P48" s="80">
        <f t="shared" si="22"/>
        <v>6.1319328784822247</v>
      </c>
      <c r="Q48" s="76">
        <f>VLOOKUP(C48,Others!$L$10:$M$61,2)</f>
        <v>0</v>
      </c>
      <c r="R48" s="11">
        <f t="shared" si="5"/>
        <v>0</v>
      </c>
      <c r="S48" s="80">
        <f t="shared" si="23"/>
        <v>0</v>
      </c>
      <c r="T48" s="78">
        <f t="shared" si="24"/>
        <v>2.8E-5</v>
      </c>
      <c r="U48" s="81">
        <f t="shared" si="25"/>
        <v>5.1099440654018538E-4</v>
      </c>
      <c r="V48" s="81">
        <f t="shared" si="26"/>
        <v>0</v>
      </c>
      <c r="W48" s="77">
        <f t="shared" si="6"/>
        <v>0.99218669067046317</v>
      </c>
      <c r="X48" s="82">
        <f t="shared" si="27"/>
        <v>2.7774129312884499E-5</v>
      </c>
      <c r="Y48" s="82">
        <f t="shared" si="28"/>
        <v>5.0699475115033538E-4</v>
      </c>
      <c r="Z48" s="82">
        <f t="shared" si="29"/>
        <v>0</v>
      </c>
      <c r="AA48" s="82">
        <f t="shared" si="30"/>
        <v>0.99165192178999995</v>
      </c>
      <c r="AC48" s="46">
        <f t="shared" si="7"/>
        <v>0</v>
      </c>
      <c r="AD48" s="15">
        <f t="shared" si="31"/>
        <v>0</v>
      </c>
      <c r="AE48" s="46">
        <f t="shared" si="32"/>
        <v>0</v>
      </c>
      <c r="AF48" s="15">
        <f t="shared" si="33"/>
        <v>0</v>
      </c>
      <c r="AG48" s="46">
        <f>SUMPRODUCT(AE49:AE$605, $I48:$I$604) / $I48</f>
        <v>0</v>
      </c>
      <c r="AI48" s="46">
        <f t="shared" si="8"/>
        <v>-47000</v>
      </c>
      <c r="AJ48" s="46">
        <f>IF(E48&gt;Mat_Year,0,  -SUM($AD$5:AD48))</f>
        <v>-9306</v>
      </c>
      <c r="AK48" s="24">
        <f t="shared" si="34"/>
        <v>-0.25846604738570317</v>
      </c>
      <c r="AL48" s="79">
        <f t="shared" si="35"/>
        <v>-23.828753304065764</v>
      </c>
      <c r="AM48" s="24">
        <f t="shared" si="36"/>
        <v>-24.276902298673949</v>
      </c>
      <c r="AN48" s="79">
        <f t="shared" si="37"/>
        <v>-24.087219351451466</v>
      </c>
      <c r="AO48" s="15">
        <f t="shared" si="38"/>
        <v>-6912.0507490693217</v>
      </c>
      <c r="AP48" s="46">
        <f>SUMPRODUCT(AN49:AN$605, $I49:$I$605) / $I48</f>
        <v>-6858.0447584653866</v>
      </c>
      <c r="AR48" s="46">
        <v>0</v>
      </c>
      <c r="AS48" s="46">
        <v>0</v>
      </c>
      <c r="AT48" s="46">
        <v>0</v>
      </c>
      <c r="AU48" s="95">
        <f t="shared" si="9"/>
        <v>-1.8287210157917761</v>
      </c>
      <c r="AV48" s="47">
        <f t="shared" si="10"/>
        <v>0</v>
      </c>
      <c r="AW48" s="96">
        <f t="shared" si="59"/>
        <v>-1.8287210157917761</v>
      </c>
      <c r="AX48" s="95">
        <f t="shared" si="11"/>
        <v>-20.969334314412365</v>
      </c>
      <c r="AY48" s="11">
        <f t="shared" si="12"/>
        <v>0</v>
      </c>
      <c r="AZ48" s="96">
        <f t="shared" si="60"/>
        <v>-20.969334314412365</v>
      </c>
      <c r="BA48" s="95">
        <f t="shared" si="61"/>
        <v>-1.8144326528179702</v>
      </c>
      <c r="BB48" s="64">
        <f t="shared" si="62"/>
        <v>-1.1213747435377279E-2</v>
      </c>
      <c r="BC48" s="95">
        <f t="shared" si="63"/>
        <v>-1.8287210157917761</v>
      </c>
      <c r="BD48" s="96">
        <f t="shared" si="64"/>
        <v>-1.1302053878388217E-2</v>
      </c>
      <c r="BE48" s="96">
        <f t="shared" si="65"/>
        <v>-1.8144326528179702</v>
      </c>
      <c r="BF48" s="96">
        <f t="shared" si="66"/>
        <v>-1.1213747435377279E-2</v>
      </c>
      <c r="BG48" s="15">
        <f t="shared" si="47"/>
        <v>-266.71128469124733</v>
      </c>
      <c r="BH48" s="46">
        <f>(SUMPRODUCT(BE49:BE$605,$I48:$I$604)+SUMPRODUCT(BF49:BF$605,$I49:$I$605)) / $I48</f>
        <v>-264.62738692227646</v>
      </c>
      <c r="BJ48" s="46">
        <f t="shared" si="67"/>
        <v>-1.8144326528179702</v>
      </c>
      <c r="BK48" s="46">
        <f t="shared" si="68"/>
        <v>-24.098433098886844</v>
      </c>
      <c r="BM48" s="49">
        <f t="shared" si="50"/>
        <v>7182.6333301817722</v>
      </c>
      <c r="BN48" s="46">
        <f t="shared" si="69"/>
        <v>7122.6721453876617</v>
      </c>
      <c r="BP48" s="46">
        <f>Reserve!BX48</f>
        <v>9771.6690057968608</v>
      </c>
      <c r="BQ48" s="46">
        <f t="shared" si="13"/>
        <v>9690.094348694236</v>
      </c>
      <c r="BR48" s="15">
        <f t="shared" si="52"/>
        <v>10.898144853868871</v>
      </c>
      <c r="BT48" s="49">
        <f t="shared" si="53"/>
        <v>28.019649306756389</v>
      </c>
      <c r="BU48" s="46">
        <f t="shared" si="54"/>
        <v>27.800723119417558</v>
      </c>
      <c r="BV48" s="46">
        <f>SUMPRODUCT(BU49:BU$605, $I49:$I$605) / $I48</f>
        <v>2998.4830196966723</v>
      </c>
      <c r="BX48" s="46">
        <f>-BZ48*Others!$Q$43</f>
        <v>-3.2732165687248935</v>
      </c>
      <c r="BZ48" s="50">
        <f t="shared" si="0"/>
        <v>12.786002221581615</v>
      </c>
      <c r="CA48" s="46">
        <f t="shared" si="55"/>
        <v>9.5127856528567207</v>
      </c>
      <c r="CB48" s="46">
        <f t="shared" si="14"/>
        <v>9.5127856528567207</v>
      </c>
      <c r="CD48" s="46">
        <f>SUMPRODUCT(BZ49:BZ$605, $I49:$I$605) / $I48</f>
        <v>2567.4222033065694</v>
      </c>
      <c r="CE48" s="46">
        <f>SUMPRODUCT(CA49:CA$605, $I49:$I$605) / $I48</f>
        <v>1910.1621192600851</v>
      </c>
      <c r="CF48" s="46">
        <f>SUMPRODUCT(CB49:CB$605, $I49:$I$605) / $I48</f>
        <v>1910.1621192600851</v>
      </c>
      <c r="CH48" s="46">
        <f t="shared" si="15"/>
        <v>37228.330994203141</v>
      </c>
      <c r="CI48" s="46">
        <f t="shared" si="16"/>
        <v>0</v>
      </c>
      <c r="CK48" s="46">
        <f>NPV((1+CK$3)^(1/12)-1,$CB$6:$CB48)+$CB$5</f>
        <v>-474.07544334440661</v>
      </c>
      <c r="CL48" s="46">
        <f>NPV((1+CL$3)^(1/12)-1,$CB$6:$CB48)+$CB$5</f>
        <v>-483.82067419791986</v>
      </c>
      <c r="CM48" s="46">
        <f>NPV((1+CM$3)^(1/12)-1,$CB$6:$CB48)+$CB$5</f>
        <v>-505.4434128747256</v>
      </c>
      <c r="CN48" s="46">
        <f>NPV((1+CN$3)^(1/12)-1,$CB$6:$CB48)+$CB$5</f>
        <v>-505.4434128747256</v>
      </c>
    </row>
    <row r="49" spans="1:92" x14ac:dyDescent="0.25">
      <c r="A49" s="61">
        <f t="shared" si="1"/>
        <v>3.6666666666666687</v>
      </c>
      <c r="B49" s="32">
        <f t="shared" si="56"/>
        <v>8</v>
      </c>
      <c r="C49" s="62">
        <f t="shared" si="17"/>
        <v>4</v>
      </c>
      <c r="D49" s="64">
        <f t="shared" si="18"/>
        <v>4.1666666666666687</v>
      </c>
      <c r="E49" s="28">
        <f t="shared" si="2"/>
        <v>4</v>
      </c>
      <c r="G49" s="68">
        <f>INDEX(Others!$D$11:$E$60, MATCH(C49, Others!$A$11:$A$60, 0), MATCH(G$3, Others!$D$10:$E$10, 0))</f>
        <v>3.4943009325520524E-2</v>
      </c>
      <c r="H49" s="16">
        <f t="shared" si="57"/>
        <v>2.866296808335056E-3</v>
      </c>
      <c r="I49" s="69">
        <f t="shared" si="58"/>
        <v>0.89658858308128031</v>
      </c>
      <c r="K49" s="80">
        <f>INDEX(Mortality!$B$7:$F$32, MATCH( E49,Mortality!$A$7:$A$32, 0), MATCH( K$3,Mortality!$B$6:$F$6,0))</f>
        <v>0.33599999999999997</v>
      </c>
      <c r="L49" s="11">
        <f t="shared" si="3"/>
        <v>0</v>
      </c>
      <c r="M49" s="80">
        <f t="shared" si="21"/>
        <v>0.33599999999999997</v>
      </c>
      <c r="N49" s="76">
        <f>INDEX(Myopia!$H:$H, MATCH(E49, Myopia!$A:$A, 0)) * Trend_Factor^(A49)</f>
        <v>6.1319328784822247</v>
      </c>
      <c r="O49" s="11">
        <f t="shared" si="4"/>
        <v>0</v>
      </c>
      <c r="P49" s="80">
        <f t="shared" si="22"/>
        <v>6.1319328784822247</v>
      </c>
      <c r="Q49" s="76">
        <f>VLOOKUP(C49,Others!$L$10:$M$61,2)</f>
        <v>0</v>
      </c>
      <c r="R49" s="11">
        <f t="shared" si="5"/>
        <v>0</v>
      </c>
      <c r="S49" s="80">
        <f t="shared" si="23"/>
        <v>0</v>
      </c>
      <c r="T49" s="78">
        <f t="shared" si="24"/>
        <v>2.8E-5</v>
      </c>
      <c r="U49" s="81">
        <f t="shared" si="25"/>
        <v>5.1099440654018538E-4</v>
      </c>
      <c r="V49" s="81">
        <f t="shared" si="26"/>
        <v>0</v>
      </c>
      <c r="W49" s="77">
        <f t="shared" si="6"/>
        <v>0.99165192178999995</v>
      </c>
      <c r="X49" s="82">
        <f t="shared" si="27"/>
        <v>2.7759159609926224E-5</v>
      </c>
      <c r="Y49" s="82">
        <f t="shared" si="28"/>
        <v>5.0672149106932162E-4</v>
      </c>
      <c r="Z49" s="82">
        <f t="shared" si="29"/>
        <v>0</v>
      </c>
      <c r="AA49" s="82">
        <f t="shared" si="30"/>
        <v>0.99111744113932065</v>
      </c>
      <c r="AC49" s="46">
        <f t="shared" si="7"/>
        <v>0</v>
      </c>
      <c r="AD49" s="15">
        <f t="shared" si="31"/>
        <v>0</v>
      </c>
      <c r="AE49" s="46">
        <f t="shared" si="32"/>
        <v>0</v>
      </c>
      <c r="AF49" s="15">
        <f t="shared" si="33"/>
        <v>0</v>
      </c>
      <c r="AG49" s="46">
        <f>SUMPRODUCT(AE50:AE$605, $I49:$I$604) / $I49</f>
        <v>0</v>
      </c>
      <c r="AI49" s="46">
        <f t="shared" si="8"/>
        <v>-47000</v>
      </c>
      <c r="AJ49" s="46">
        <f>IF(E49&gt;Mat_Year,0,  -SUM($AD$5:AD49))</f>
        <v>-9306</v>
      </c>
      <c r="AK49" s="24">
        <f t="shared" si="34"/>
        <v>-0.25832673932997346</v>
      </c>
      <c r="AL49" s="79">
        <f t="shared" si="35"/>
        <v>-23.815910080258117</v>
      </c>
      <c r="AM49" s="24">
        <f t="shared" si="36"/>
        <v>-24.276902298673949</v>
      </c>
      <c r="AN49" s="79">
        <f t="shared" si="37"/>
        <v>-24.074236819588091</v>
      </c>
      <c r="AO49" s="15">
        <f t="shared" si="38"/>
        <v>-6911.3239866233898</v>
      </c>
      <c r="AP49" s="46">
        <f>SUMPRODUCT(AN50:AN$605, $I50:$I$605) / $I49</f>
        <v>-6853.627713448408</v>
      </c>
      <c r="AR49" s="46">
        <v>0</v>
      </c>
      <c r="AS49" s="46">
        <v>0</v>
      </c>
      <c r="AT49" s="46">
        <v>0</v>
      </c>
      <c r="AU49" s="95">
        <f t="shared" si="9"/>
        <v>-1.830765706045286</v>
      </c>
      <c r="AV49" s="47">
        <f t="shared" si="10"/>
        <v>0</v>
      </c>
      <c r="AW49" s="96">
        <f t="shared" si="59"/>
        <v>-1.830765706045286</v>
      </c>
      <c r="AX49" s="95">
        <f t="shared" si="11"/>
        <v>-20.992780095985943</v>
      </c>
      <c r="AY49" s="11">
        <f t="shared" si="12"/>
        <v>0</v>
      </c>
      <c r="AZ49" s="96">
        <f t="shared" si="60"/>
        <v>-20.992780095985943</v>
      </c>
      <c r="BA49" s="95">
        <f t="shared" si="61"/>
        <v>-1.815482330747034</v>
      </c>
      <c r="BB49" s="64">
        <f t="shared" si="62"/>
        <v>-1.1220234765268929E-2</v>
      </c>
      <c r="BC49" s="95">
        <f t="shared" si="63"/>
        <v>-1.830765706045286</v>
      </c>
      <c r="BD49" s="96">
        <f t="shared" si="64"/>
        <v>-1.131469068805477E-2</v>
      </c>
      <c r="BE49" s="96">
        <f t="shared" si="65"/>
        <v>-1.815482330747034</v>
      </c>
      <c r="BF49" s="96">
        <f t="shared" si="66"/>
        <v>-1.1220234765268929E-2</v>
      </c>
      <c r="BG49" s="15">
        <f t="shared" si="47"/>
        <v>-265.77267233481911</v>
      </c>
      <c r="BH49" s="46">
        <f>(SUMPRODUCT(BE50:BE$605,$I49:$I$604)+SUMPRODUCT(BF50:BF$605,$I50:$I$605)) / $I49</f>
        <v>-263.55398128008733</v>
      </c>
      <c r="BJ49" s="46">
        <f t="shared" si="67"/>
        <v>-1.815482330747034</v>
      </c>
      <c r="BK49" s="46">
        <f t="shared" si="68"/>
        <v>-24.085457054353359</v>
      </c>
      <c r="BM49" s="49">
        <f t="shared" si="50"/>
        <v>7180.9670572914838</v>
      </c>
      <c r="BN49" s="46">
        <f t="shared" si="69"/>
        <v>7117.1816947284924</v>
      </c>
      <c r="BP49" s="46">
        <f>Reserve!BX49</f>
        <v>9765.9313655260521</v>
      </c>
      <c r="BQ49" s="46">
        <f t="shared" si="13"/>
        <v>9679.1849053424121</v>
      </c>
      <c r="BR49" s="15">
        <f t="shared" si="52"/>
        <v>10.909443351823938</v>
      </c>
      <c r="BT49" s="49">
        <f t="shared" si="53"/>
        <v>28.003256165522089</v>
      </c>
      <c r="BU49" s="46">
        <f t="shared" si="54"/>
        <v>27.769482792917643</v>
      </c>
      <c r="BV49" s="46">
        <f>SUMPRODUCT(BU50:BU$605, $I50:$I$605) / $I49</f>
        <v>2979.3080792129581</v>
      </c>
      <c r="BX49" s="46">
        <f>-BZ49*Others!$Q$43</f>
        <v>-3.2711646104681442</v>
      </c>
      <c r="BZ49" s="50">
        <f t="shared" si="0"/>
        <v>12.777986759641188</v>
      </c>
      <c r="CA49" s="46">
        <f t="shared" si="55"/>
        <v>9.5068221491730434</v>
      </c>
      <c r="CB49" s="46">
        <f t="shared" si="14"/>
        <v>9.5068221491730434</v>
      </c>
      <c r="CD49" s="46">
        <f>SUMPRODUCT(BZ50:BZ$605, $I50:$I$605) / $I49</f>
        <v>2562.0032106139142</v>
      </c>
      <c r="CE49" s="46">
        <f>SUMPRODUCT(CA50:CA$605, $I50:$I$605) / $I49</f>
        <v>1906.1303886967498</v>
      </c>
      <c r="CF49" s="46">
        <f>SUMPRODUCT(CB50:CB$605, $I50:$I$605) / $I49</f>
        <v>1906.1303886967498</v>
      </c>
      <c r="CH49" s="46">
        <f t="shared" si="15"/>
        <v>37234.068634473952</v>
      </c>
      <c r="CI49" s="46">
        <f t="shared" si="16"/>
        <v>0</v>
      </c>
      <c r="CK49" s="46">
        <f>NPV((1+CK$3)^(1/12)-1,$CB$6:$CB49)+$CB$5</f>
        <v>-465.54511898108842</v>
      </c>
      <c r="CL49" s="46">
        <f>NPV((1+CL$3)^(1/12)-1,$CB$6:$CB49)+$CB$5</f>
        <v>-475.87114749058594</v>
      </c>
      <c r="CM49" s="46">
        <f>NPV((1+CM$3)^(1/12)-1,$CB$6:$CB49)+$CB$5</f>
        <v>-498.74052136064086</v>
      </c>
      <c r="CN49" s="46">
        <f>NPV((1+CN$3)^(1/12)-1,$CB$6:$CB49)+$CB$5</f>
        <v>-498.74052136064086</v>
      </c>
    </row>
    <row r="50" spans="1:92" x14ac:dyDescent="0.25">
      <c r="A50" s="61">
        <f t="shared" si="1"/>
        <v>3.7500000000000022</v>
      </c>
      <c r="B50" s="32">
        <f t="shared" si="56"/>
        <v>9</v>
      </c>
      <c r="C50" s="62">
        <f t="shared" si="17"/>
        <v>4</v>
      </c>
      <c r="D50" s="64">
        <f t="shared" si="18"/>
        <v>4.2500000000000018</v>
      </c>
      <c r="E50" s="28">
        <f t="shared" si="2"/>
        <v>4</v>
      </c>
      <c r="G50" s="68">
        <f>INDEX(Others!$D$11:$E$60, MATCH(C50, Others!$A$11:$A$60, 0), MATCH(G$3, Others!$D$10:$E$10, 0))</f>
        <v>3.4943009325520524E-2</v>
      </c>
      <c r="H50" s="16">
        <f t="shared" si="57"/>
        <v>2.866296808335056E-3</v>
      </c>
      <c r="I50" s="69">
        <f t="shared" si="58"/>
        <v>0.89402603909884282</v>
      </c>
      <c r="K50" s="80">
        <f>INDEX(Mortality!$B$7:$F$32, MATCH( E50,Mortality!$A$7:$A$32, 0), MATCH( K$3,Mortality!$B$6:$F$6,0))</f>
        <v>0.33599999999999997</v>
      </c>
      <c r="L50" s="11">
        <f t="shared" si="3"/>
        <v>0</v>
      </c>
      <c r="M50" s="80">
        <f t="shared" si="21"/>
        <v>0.33599999999999997</v>
      </c>
      <c r="N50" s="76">
        <f>INDEX(Myopia!$H:$H, MATCH(E50, Myopia!$A:$A, 0)) * Trend_Factor^(A50)</f>
        <v>6.1319328784822247</v>
      </c>
      <c r="O50" s="11">
        <f t="shared" si="4"/>
        <v>0</v>
      </c>
      <c r="P50" s="80">
        <f t="shared" si="22"/>
        <v>6.1319328784822247</v>
      </c>
      <c r="Q50" s="76">
        <f>VLOOKUP(C50,Others!$L$10:$M$61,2)</f>
        <v>0</v>
      </c>
      <c r="R50" s="11">
        <f t="shared" si="5"/>
        <v>0</v>
      </c>
      <c r="S50" s="80">
        <f t="shared" si="23"/>
        <v>0</v>
      </c>
      <c r="T50" s="78">
        <f t="shared" si="24"/>
        <v>2.8E-5</v>
      </c>
      <c r="U50" s="81">
        <f t="shared" si="25"/>
        <v>5.1099440654018538E-4</v>
      </c>
      <c r="V50" s="81">
        <f t="shared" si="26"/>
        <v>0</v>
      </c>
      <c r="W50" s="77">
        <f t="shared" si="6"/>
        <v>0.99111744113932065</v>
      </c>
      <c r="X50" s="82">
        <f t="shared" si="27"/>
        <v>2.7744197975339922E-5</v>
      </c>
      <c r="Y50" s="82">
        <f t="shared" si="28"/>
        <v>5.0644837827005325E-4</v>
      </c>
      <c r="Z50" s="82">
        <f t="shared" si="29"/>
        <v>0</v>
      </c>
      <c r="AA50" s="82">
        <f t="shared" si="30"/>
        <v>0.99058324856307522</v>
      </c>
      <c r="AC50" s="46">
        <f t="shared" si="7"/>
        <v>0</v>
      </c>
      <c r="AD50" s="15">
        <f t="shared" si="31"/>
        <v>0</v>
      </c>
      <c r="AE50" s="46">
        <f t="shared" si="32"/>
        <v>0</v>
      </c>
      <c r="AF50" s="15">
        <f t="shared" si="33"/>
        <v>0</v>
      </c>
      <c r="AG50" s="46">
        <f>SUMPRODUCT(AE51:AE$605, $I50:$I$604) / $I50</f>
        <v>0</v>
      </c>
      <c r="AI50" s="46">
        <f t="shared" si="8"/>
        <v>-47000</v>
      </c>
      <c r="AJ50" s="46">
        <f>IF(E50&gt;Mat_Year,0,  -SUM($AD$5:AD50))</f>
        <v>-9306</v>
      </c>
      <c r="AK50" s="24">
        <f t="shared" si="34"/>
        <v>-0.25818750635851334</v>
      </c>
      <c r="AL50" s="79">
        <f t="shared" si="35"/>
        <v>-23.803073778692504</v>
      </c>
      <c r="AM50" s="24">
        <f t="shared" si="36"/>
        <v>-24.276902298673949</v>
      </c>
      <c r="AN50" s="79">
        <f t="shared" si="37"/>
        <v>-24.061261285051017</v>
      </c>
      <c r="AO50" s="15">
        <f t="shared" si="38"/>
        <v>-6910.5947480154791</v>
      </c>
      <c r="AP50" s="46">
        <f>SUMPRODUCT(AN51:AN$605, $I51:$I$605) / $I50</f>
        <v>-6849.2109834039302</v>
      </c>
      <c r="AR50" s="46">
        <v>0</v>
      </c>
      <c r="AS50" s="46">
        <v>0</v>
      </c>
      <c r="AT50" s="46">
        <v>0</v>
      </c>
      <c r="AU50" s="95">
        <f t="shared" si="9"/>
        <v>-1.832812682463933</v>
      </c>
      <c r="AV50" s="47">
        <f t="shared" si="10"/>
        <v>0</v>
      </c>
      <c r="AW50" s="96">
        <f t="shared" si="59"/>
        <v>-1.832812682463933</v>
      </c>
      <c r="AX50" s="95">
        <f t="shared" si="11"/>
        <v>-21.016252092253097</v>
      </c>
      <c r="AY50" s="11">
        <f t="shared" si="12"/>
        <v>0</v>
      </c>
      <c r="AZ50" s="96">
        <f t="shared" si="60"/>
        <v>-21.016252092253097</v>
      </c>
      <c r="BA50" s="95">
        <f t="shared" si="61"/>
        <v>-1.8165326159313475</v>
      </c>
      <c r="BB50" s="64">
        <f t="shared" si="62"/>
        <v>-1.1226725848183317E-2</v>
      </c>
      <c r="BC50" s="95">
        <f t="shared" si="63"/>
        <v>-1.832812682463933</v>
      </c>
      <c r="BD50" s="96">
        <f t="shared" si="64"/>
        <v>-1.1327341626919452E-2</v>
      </c>
      <c r="BE50" s="96">
        <f t="shared" si="65"/>
        <v>-1.8165326159313475</v>
      </c>
      <c r="BF50" s="96">
        <f t="shared" si="66"/>
        <v>-1.1226725848183317E-2</v>
      </c>
      <c r="BG50" s="15">
        <f t="shared" si="47"/>
        <v>-264.82879652517335</v>
      </c>
      <c r="BH50" s="46">
        <f>(SUMPRODUCT(BE51:BE$605,$I50:$I$604)+SUMPRODUCT(BF51:BF$605,$I51:$I$605)) / $I50</f>
        <v>-262.4764391520356</v>
      </c>
      <c r="BJ50" s="46">
        <f t="shared" si="67"/>
        <v>-1.8165326159313475</v>
      </c>
      <c r="BK50" s="46">
        <f t="shared" si="68"/>
        <v>-24.0724880108992</v>
      </c>
      <c r="BM50" s="49">
        <f t="shared" si="50"/>
        <v>7179.2930406122523</v>
      </c>
      <c r="BN50" s="46">
        <f t="shared" si="69"/>
        <v>7111.6874225559632</v>
      </c>
      <c r="BP50" s="46">
        <f>Reserve!BX50</f>
        <v>9760.1732496349541</v>
      </c>
      <c r="BQ50" s="46">
        <f t="shared" si="13"/>
        <v>9668.2641241618203</v>
      </c>
      <c r="BR50" s="15">
        <f t="shared" si="52"/>
        <v>10.920781180591803</v>
      </c>
      <c r="BT50" s="49">
        <f t="shared" si="53"/>
        <v>27.986804518284515</v>
      </c>
      <c r="BU50" s="46">
        <f t="shared" si="54"/>
        <v>27.738210079828526</v>
      </c>
      <c r="BV50" s="46">
        <f>SUMPRODUCT(BU51:BU$605, $I51:$I$605) / $I50</f>
        <v>2960.1094503716245</v>
      </c>
      <c r="BX50" s="46">
        <f>-BZ50*Others!$Q$43</f>
        <v>-3.2691124821989845</v>
      </c>
      <c r="BZ50" s="50">
        <f t="shared" si="0"/>
        <v>12.769970633589782</v>
      </c>
      <c r="CA50" s="46">
        <f t="shared" si="55"/>
        <v>9.5008581513907977</v>
      </c>
      <c r="CB50" s="46">
        <f t="shared" si="14"/>
        <v>9.5008581513907977</v>
      </c>
      <c r="CD50" s="46">
        <f>SUMPRODUCT(BZ51:BZ$605, $I51:$I$605) / $I50</f>
        <v>2556.5767016058512</v>
      </c>
      <c r="CE50" s="46">
        <f>SUMPRODUCT(CA51:CA$605, $I51:$I$605) / $I50</f>
        <v>1902.093065994751</v>
      </c>
      <c r="CF50" s="46">
        <f>SUMPRODUCT(CB51:CB$605, $I51:$I$605) / $I50</f>
        <v>1902.093065994751</v>
      </c>
      <c r="CH50" s="46">
        <f t="shared" si="15"/>
        <v>37239.826750365042</v>
      </c>
      <c r="CI50" s="46">
        <f t="shared" si="16"/>
        <v>0</v>
      </c>
      <c r="CK50" s="46">
        <f>NPV((1+CK$3)^(1/12)-1,$CB$6:$CB50)+$CB$5</f>
        <v>-457.04111917832398</v>
      </c>
      <c r="CL50" s="46">
        <f>NPV((1+CL$3)^(1/12)-1,$CB$6:$CB50)+$CB$5</f>
        <v>-467.95884353501049</v>
      </c>
      <c r="CM50" s="46">
        <f>NPV((1+CM$3)^(1/12)-1,$CB$6:$CB50)+$CB$5</f>
        <v>-492.09482851801476</v>
      </c>
      <c r="CN50" s="46">
        <f>NPV((1+CN$3)^(1/12)-1,$CB$6:$CB50)+$CB$5</f>
        <v>-492.09482851801476</v>
      </c>
    </row>
    <row r="51" spans="1:92" x14ac:dyDescent="0.25">
      <c r="A51" s="61">
        <f t="shared" si="1"/>
        <v>3.8333333333333357</v>
      </c>
      <c r="B51" s="32">
        <f t="shared" si="56"/>
        <v>10</v>
      </c>
      <c r="C51" s="62">
        <f t="shared" si="17"/>
        <v>4</v>
      </c>
      <c r="D51" s="64">
        <f t="shared" si="18"/>
        <v>4.3333333333333357</v>
      </c>
      <c r="E51" s="28">
        <f t="shared" si="2"/>
        <v>4</v>
      </c>
      <c r="G51" s="68">
        <f>INDEX(Others!$D$11:$E$60, MATCH(C51, Others!$A$11:$A$60, 0), MATCH(G$3, Others!$D$10:$E$10, 0))</f>
        <v>3.4943009325520524E-2</v>
      </c>
      <c r="H51" s="16">
        <f t="shared" si="57"/>
        <v>2.866296808335056E-3</v>
      </c>
      <c r="I51" s="69">
        <f t="shared" si="58"/>
        <v>0.89147081913523163</v>
      </c>
      <c r="K51" s="80">
        <f>INDEX(Mortality!$B$7:$F$32, MATCH( E51,Mortality!$A$7:$A$32, 0), MATCH( K$3,Mortality!$B$6:$F$6,0))</f>
        <v>0.33599999999999997</v>
      </c>
      <c r="L51" s="11">
        <f t="shared" si="3"/>
        <v>0</v>
      </c>
      <c r="M51" s="80">
        <f t="shared" si="21"/>
        <v>0.33599999999999997</v>
      </c>
      <c r="N51" s="76">
        <f>INDEX(Myopia!$H:$H, MATCH(E51, Myopia!$A:$A, 0)) * Trend_Factor^(A51)</f>
        <v>6.1319328784822247</v>
      </c>
      <c r="O51" s="11">
        <f t="shared" si="4"/>
        <v>0</v>
      </c>
      <c r="P51" s="80">
        <f t="shared" si="22"/>
        <v>6.1319328784822247</v>
      </c>
      <c r="Q51" s="76">
        <f>VLOOKUP(C51,Others!$L$10:$M$61,2)</f>
        <v>0</v>
      </c>
      <c r="R51" s="11">
        <f t="shared" si="5"/>
        <v>0</v>
      </c>
      <c r="S51" s="80">
        <f t="shared" si="23"/>
        <v>0</v>
      </c>
      <c r="T51" s="78">
        <f t="shared" si="24"/>
        <v>2.8E-5</v>
      </c>
      <c r="U51" s="81">
        <f t="shared" si="25"/>
        <v>5.1099440654018538E-4</v>
      </c>
      <c r="V51" s="81">
        <f t="shared" si="26"/>
        <v>0</v>
      </c>
      <c r="W51" s="77">
        <f t="shared" si="6"/>
        <v>0.99058324856307522</v>
      </c>
      <c r="X51" s="82">
        <f t="shared" si="27"/>
        <v>2.7729244404776912E-5</v>
      </c>
      <c r="Y51" s="82">
        <f t="shared" si="28"/>
        <v>5.0617541267314835E-4</v>
      </c>
      <c r="Z51" s="82">
        <f t="shared" si="29"/>
        <v>0</v>
      </c>
      <c r="AA51" s="82">
        <f t="shared" si="30"/>
        <v>0.9900493439059973</v>
      </c>
      <c r="AC51" s="46">
        <f t="shared" si="7"/>
        <v>0</v>
      </c>
      <c r="AD51" s="15">
        <f t="shared" si="31"/>
        <v>0</v>
      </c>
      <c r="AE51" s="46">
        <f t="shared" si="32"/>
        <v>0</v>
      </c>
      <c r="AF51" s="15">
        <f t="shared" si="33"/>
        <v>0</v>
      </c>
      <c r="AG51" s="46">
        <f>SUMPRODUCT(AE52:AE$605, $I51:$I$604) / $I51</f>
        <v>0</v>
      </c>
      <c r="AI51" s="46">
        <f t="shared" si="8"/>
        <v>-47000</v>
      </c>
      <c r="AJ51" s="46">
        <f>IF(E51&gt;Mat_Year,0,  -SUM($AD$5:AD51))</f>
        <v>-9306</v>
      </c>
      <c r="AK51" s="24">
        <f t="shared" si="34"/>
        <v>-0.25804834843085395</v>
      </c>
      <c r="AL51" s="79">
        <f t="shared" si="35"/>
        <v>-23.790244395637973</v>
      </c>
      <c r="AM51" s="24">
        <f t="shared" si="36"/>
        <v>-24.276902298673949</v>
      </c>
      <c r="AN51" s="79">
        <f t="shared" si="37"/>
        <v>-24.048292744068828</v>
      </c>
      <c r="AO51" s="15">
        <f t="shared" si="38"/>
        <v>-6909.8630248090294</v>
      </c>
      <c r="AP51" s="46">
        <f>SUMPRODUCT(AN52:AN$605, $I52:$I$605) / $I51</f>
        <v>-6844.7945622412053</v>
      </c>
      <c r="AR51" s="46">
        <v>0</v>
      </c>
      <c r="AS51" s="46">
        <v>0</v>
      </c>
      <c r="AT51" s="46">
        <v>0</v>
      </c>
      <c r="AU51" s="95">
        <f t="shared" si="9"/>
        <v>-1.8348619476038761</v>
      </c>
      <c r="AV51" s="47">
        <f t="shared" si="10"/>
        <v>0</v>
      </c>
      <c r="AW51" s="96">
        <f t="shared" si="59"/>
        <v>-1.8348619476038761</v>
      </c>
      <c r="AX51" s="95">
        <f t="shared" si="11"/>
        <v>-21.039750332524441</v>
      </c>
      <c r="AY51" s="11">
        <f t="shared" si="12"/>
        <v>0</v>
      </c>
      <c r="AZ51" s="96">
        <f t="shared" si="60"/>
        <v>-21.039750332524441</v>
      </c>
      <c r="BA51" s="95">
        <f t="shared" si="61"/>
        <v>-1.8175835087222187</v>
      </c>
      <c r="BB51" s="64">
        <f t="shared" si="62"/>
        <v>-1.1233220686291626E-2</v>
      </c>
      <c r="BC51" s="95">
        <f t="shared" si="63"/>
        <v>-1.8348619476038761</v>
      </c>
      <c r="BD51" s="96">
        <f t="shared" si="64"/>
        <v>-1.1340006710780101E-2</v>
      </c>
      <c r="BE51" s="96">
        <f t="shared" si="65"/>
        <v>-1.8175835087222187</v>
      </c>
      <c r="BF51" s="96">
        <f t="shared" si="66"/>
        <v>-1.1233220686291626E-2</v>
      </c>
      <c r="BG51" s="15">
        <f t="shared" si="47"/>
        <v>-263.87963701970233</v>
      </c>
      <c r="BH51" s="46">
        <f>(SUMPRODUCT(BE52:BE$605,$I51:$I$604)+SUMPRODUCT(BF52:BF$605,$I52:$I$605)) / $I51</f>
        <v>-261.39474806862188</v>
      </c>
      <c r="BJ51" s="46">
        <f t="shared" si="67"/>
        <v>-1.8175835087222187</v>
      </c>
      <c r="BK51" s="46">
        <f t="shared" si="68"/>
        <v>-24.059525964755121</v>
      </c>
      <c r="BM51" s="49">
        <f t="shared" si="50"/>
        <v>7177.6112514494425</v>
      </c>
      <c r="BN51" s="46">
        <f t="shared" si="69"/>
        <v>7106.1893103098246</v>
      </c>
      <c r="BP51" s="46">
        <f>Reserve!BX51</f>
        <v>9754.3945917171059</v>
      </c>
      <c r="BQ51" s="46">
        <f t="shared" si="13"/>
        <v>9657.3319657297288</v>
      </c>
      <c r="BR51" s="15">
        <f t="shared" si="52"/>
        <v>10.932158432091455</v>
      </c>
      <c r="BT51" s="49">
        <f t="shared" si="53"/>
        <v>27.970294175281712</v>
      </c>
      <c r="BU51" s="46">
        <f t="shared" si="54"/>
        <v>27.706904867415417</v>
      </c>
      <c r="BV51" s="46">
        <f>SUMPRODUCT(BU52:BU$605, $I52:$I$605) / $I51</f>
        <v>2940.8870977741321</v>
      </c>
      <c r="BX51" s="46">
        <f>-BZ51*Others!$Q$43</f>
        <v>-3.2670601794635603</v>
      </c>
      <c r="BZ51" s="50">
        <f t="shared" si="0"/>
        <v>12.761953826029533</v>
      </c>
      <c r="CA51" s="46">
        <f t="shared" si="55"/>
        <v>9.4948936465659735</v>
      </c>
      <c r="CB51" s="46">
        <f t="shared" si="14"/>
        <v>9.4948936465659735</v>
      </c>
      <c r="CD51" s="46">
        <f>SUMPRODUCT(BZ52:BZ$605, $I52:$I$605) / $I51</f>
        <v>2551.1426554198988</v>
      </c>
      <c r="CE51" s="46">
        <f>SUMPRODUCT(CA52:CA$605, $I52:$I$605) / $I51</f>
        <v>1898.0501356324021</v>
      </c>
      <c r="CF51" s="46">
        <f>SUMPRODUCT(CB52:CB$605, $I52:$I$605) / $I51</f>
        <v>1898.0501356324021</v>
      </c>
      <c r="CH51" s="46">
        <f t="shared" si="15"/>
        <v>37245.605408282892</v>
      </c>
      <c r="CI51" s="46">
        <f t="shared" si="16"/>
        <v>0</v>
      </c>
      <c r="CK51" s="46">
        <f>NPV((1+CK$3)^(1/12)-1,$CB$6:$CB51)+$CB$5</f>
        <v>-448.56336649195208</v>
      </c>
      <c r="CL51" s="46">
        <f>NPV((1+CL$3)^(1/12)-1,$CB$6:$CB51)+$CB$5</f>
        <v>-460.08359156368635</v>
      </c>
      <c r="CM51" s="46">
        <f>NPV((1+CM$3)^(1/12)-1,$CB$6:$CB51)+$CB$5</f>
        <v>-485.50584919409073</v>
      </c>
      <c r="CN51" s="46">
        <f>NPV((1+CN$3)^(1/12)-1,$CB$6:$CB51)+$CB$5</f>
        <v>-485.50584919409073</v>
      </c>
    </row>
    <row r="52" spans="1:92" x14ac:dyDescent="0.25">
      <c r="A52" s="61">
        <f t="shared" si="1"/>
        <v>3.9166666666666692</v>
      </c>
      <c r="B52" s="32">
        <f t="shared" si="56"/>
        <v>11</v>
      </c>
      <c r="C52" s="62">
        <f t="shared" si="17"/>
        <v>4</v>
      </c>
      <c r="D52" s="64">
        <f t="shared" si="18"/>
        <v>4.4166666666666696</v>
      </c>
      <c r="E52" s="28">
        <f t="shared" si="2"/>
        <v>4</v>
      </c>
      <c r="G52" s="68">
        <f>INDEX(Others!$D$11:$E$60, MATCH(C52, Others!$A$11:$A$60, 0), MATCH(G$3, Others!$D$10:$E$10, 0))</f>
        <v>3.4943009325520524E-2</v>
      </c>
      <c r="H52" s="16">
        <f t="shared" si="57"/>
        <v>2.866296808335056E-3</v>
      </c>
      <c r="I52" s="69">
        <f t="shared" si="58"/>
        <v>0.8889229022576346</v>
      </c>
      <c r="K52" s="80">
        <f>INDEX(Mortality!$B$7:$F$32, MATCH( E52,Mortality!$A$7:$A$32, 0), MATCH( K$3,Mortality!$B$6:$F$6,0))</f>
        <v>0.33599999999999997</v>
      </c>
      <c r="L52" s="11">
        <f t="shared" si="3"/>
        <v>0</v>
      </c>
      <c r="M52" s="80">
        <f t="shared" si="21"/>
        <v>0.33599999999999997</v>
      </c>
      <c r="N52" s="76">
        <f>INDEX(Myopia!$H:$H, MATCH(E52, Myopia!$A:$A, 0)) * Trend_Factor^(A52)</f>
        <v>6.1319328784822247</v>
      </c>
      <c r="O52" s="11">
        <f t="shared" si="4"/>
        <v>0</v>
      </c>
      <c r="P52" s="80">
        <f t="shared" si="22"/>
        <v>6.1319328784822247</v>
      </c>
      <c r="Q52" s="76">
        <f>VLOOKUP(C52,Others!$L$10:$M$61,2)</f>
        <v>0</v>
      </c>
      <c r="R52" s="11">
        <f t="shared" si="5"/>
        <v>0</v>
      </c>
      <c r="S52" s="80">
        <f t="shared" si="23"/>
        <v>0</v>
      </c>
      <c r="T52" s="78">
        <f t="shared" si="24"/>
        <v>2.8E-5</v>
      </c>
      <c r="U52" s="81">
        <f t="shared" si="25"/>
        <v>5.1099440654018538E-4</v>
      </c>
      <c r="V52" s="81">
        <f t="shared" si="26"/>
        <v>0</v>
      </c>
      <c r="W52" s="77">
        <f t="shared" si="6"/>
        <v>0.9900493439059973</v>
      </c>
      <c r="X52" s="82">
        <f t="shared" si="27"/>
        <v>2.7714298893890835E-5</v>
      </c>
      <c r="Y52" s="82">
        <f t="shared" si="28"/>
        <v>5.0590259419926794E-4</v>
      </c>
      <c r="Z52" s="82">
        <f t="shared" si="29"/>
        <v>0</v>
      </c>
      <c r="AA52" s="82">
        <f t="shared" si="30"/>
        <v>0.98951572701290413</v>
      </c>
      <c r="AC52" s="46">
        <f t="shared" si="7"/>
        <v>0</v>
      </c>
      <c r="AD52" s="15">
        <f t="shared" si="31"/>
        <v>0</v>
      </c>
      <c r="AE52" s="46">
        <f t="shared" si="32"/>
        <v>0</v>
      </c>
      <c r="AF52" s="15">
        <f t="shared" si="33"/>
        <v>0</v>
      </c>
      <c r="AG52" s="46">
        <f>SUMPRODUCT(AE53:AE$605, $I52:$I$604) / $I52</f>
        <v>0</v>
      </c>
      <c r="AI52" s="46">
        <f t="shared" si="8"/>
        <v>-47000</v>
      </c>
      <c r="AJ52" s="46">
        <f>IF(E52&gt;Mat_Year,0,  -SUM($AD$5:AD52))</f>
        <v>-9306</v>
      </c>
      <c r="AK52" s="24">
        <f t="shared" si="34"/>
        <v>-0.25790926550654814</v>
      </c>
      <c r="AL52" s="79">
        <f t="shared" si="35"/>
        <v>-23.777421927365594</v>
      </c>
      <c r="AM52" s="24">
        <f t="shared" si="36"/>
        <v>-24.276902298673949</v>
      </c>
      <c r="AN52" s="79">
        <f t="shared" si="37"/>
        <v>-24.035331192872142</v>
      </c>
      <c r="AO52" s="15">
        <f t="shared" si="38"/>
        <v>-6909.1288085387314</v>
      </c>
      <c r="AP52" s="46">
        <f>SUMPRODUCT(AN53:AN$605, $I53:$I$605) / $I52</f>
        <v>-6840.3784438557959</v>
      </c>
      <c r="AR52" s="46">
        <v>0</v>
      </c>
      <c r="AS52" s="46">
        <v>0</v>
      </c>
      <c r="AT52" s="46">
        <v>0</v>
      </c>
      <c r="AU52" s="95">
        <f t="shared" si="9"/>
        <v>-1.8369135040241302</v>
      </c>
      <c r="AV52" s="47">
        <f t="shared" si="10"/>
        <v>0</v>
      </c>
      <c r="AW52" s="96">
        <f t="shared" si="59"/>
        <v>-1.8369135040241302</v>
      </c>
      <c r="AX52" s="95">
        <f t="shared" si="11"/>
        <v>-21.063274846143358</v>
      </c>
      <c r="AY52" s="11">
        <f t="shared" si="12"/>
        <v>0</v>
      </c>
      <c r="AZ52" s="96">
        <f t="shared" si="60"/>
        <v>-21.063274846143358</v>
      </c>
      <c r="BA52" s="95">
        <f t="shared" si="61"/>
        <v>-1.8186350094711567</v>
      </c>
      <c r="BB52" s="64">
        <f t="shared" si="62"/>
        <v>-1.12397192817663E-2</v>
      </c>
      <c r="BC52" s="95">
        <f t="shared" si="63"/>
        <v>-1.8369135040241302</v>
      </c>
      <c r="BD52" s="96">
        <f t="shared" si="64"/>
        <v>-1.1352685955452219E-2</v>
      </c>
      <c r="BE52" s="96">
        <f t="shared" si="65"/>
        <v>-1.8186350094711567</v>
      </c>
      <c r="BF52" s="96">
        <f t="shared" si="66"/>
        <v>-1.12397192817663E-2</v>
      </c>
      <c r="BG52" s="15">
        <f t="shared" si="47"/>
        <v>-262.9251735042472</v>
      </c>
      <c r="BH52" s="46">
        <f>(SUMPRODUCT(BE53:BE$605,$I52:$I$604)+SUMPRODUCT(BF53:BF$605,$I53:$I$605)) / $I52</f>
        <v>-260.30889552425043</v>
      </c>
      <c r="BJ52" s="46">
        <f t="shared" si="67"/>
        <v>-1.8186350094711567</v>
      </c>
      <c r="BK52" s="46">
        <f t="shared" si="68"/>
        <v>-24.046570912153907</v>
      </c>
      <c r="BM52" s="49">
        <f t="shared" si="50"/>
        <v>7175.9216610080657</v>
      </c>
      <c r="BN52" s="46">
        <f t="shared" si="69"/>
        <v>7100.6873393800424</v>
      </c>
      <c r="BP52" s="46">
        <f>Reserve!BX52</f>
        <v>9748.595325161019</v>
      </c>
      <c r="BQ52" s="46">
        <f t="shared" si="13"/>
        <v>9646.388390531305</v>
      </c>
      <c r="BR52" s="15">
        <f t="shared" si="52"/>
        <v>10.943575198423787</v>
      </c>
      <c r="BT52" s="49">
        <f t="shared" si="53"/>
        <v>27.9537249461657</v>
      </c>
      <c r="BU52" s="46">
        <f t="shared" si="54"/>
        <v>27.675567042680061</v>
      </c>
      <c r="BV52" s="46">
        <f>SUMPRODUCT(BU53:BU$605, $I53:$I$605) / $I52</f>
        <v>2921.6409860334757</v>
      </c>
      <c r="BX52" s="46">
        <f>-BZ52*Others!$Q$43</f>
        <v>-3.2650076977865692</v>
      </c>
      <c r="BZ52" s="50">
        <f t="shared" si="0"/>
        <v>12.753936319478786</v>
      </c>
      <c r="CA52" s="46">
        <f t="shared" si="55"/>
        <v>9.4889286216922173</v>
      </c>
      <c r="CB52" s="46">
        <f t="shared" si="14"/>
        <v>9.4889286216922173</v>
      </c>
      <c r="CD52" s="46">
        <f>SUMPRODUCT(BZ53:BZ$605, $I53:$I$605) / $I52</f>
        <v>2545.7010511512572</v>
      </c>
      <c r="CE52" s="46">
        <f>SUMPRODUCT(CA53:CA$605, $I53:$I$605) / $I52</f>
        <v>1894.0015820565332</v>
      </c>
      <c r="CF52" s="46">
        <f>SUMPRODUCT(CB53:CB$605, $I53:$I$605) / $I52</f>
        <v>1894.0015820565332</v>
      </c>
      <c r="CH52" s="46">
        <f t="shared" si="15"/>
        <v>37251.404674838981</v>
      </c>
      <c r="CI52" s="46">
        <f t="shared" si="16"/>
        <v>0</v>
      </c>
      <c r="CK52" s="46">
        <f>NPV((1+CK$3)^(1/12)-1,$CB$6:$CB52)+$CB$5</f>
        <v>-440.11178371000705</v>
      </c>
      <c r="CL52" s="46">
        <f>NPV((1+CL$3)^(1/12)-1,$CB$6:$CB52)+$CB$5</f>
        <v>-452.24522159111632</v>
      </c>
      <c r="CM52" s="46">
        <f>NPV((1+CM$3)^(1/12)-1,$CB$6:$CB52)+$CB$5</f>
        <v>-478.97310233865642</v>
      </c>
      <c r="CN52" s="46">
        <f>NPV((1+CN$3)^(1/12)-1,$CB$6:$CB52)+$CB$5</f>
        <v>-478.97310233865642</v>
      </c>
    </row>
    <row r="53" spans="1:92" x14ac:dyDescent="0.25">
      <c r="A53" s="61">
        <f t="shared" si="1"/>
        <v>4.0000000000000027</v>
      </c>
      <c r="B53" s="32">
        <f t="shared" si="56"/>
        <v>12</v>
      </c>
      <c r="C53" s="62">
        <f t="shared" si="17"/>
        <v>4</v>
      </c>
      <c r="D53" s="64">
        <f t="shared" si="18"/>
        <v>4.5000000000000027</v>
      </c>
      <c r="E53" s="28">
        <f t="shared" si="2"/>
        <v>4</v>
      </c>
      <c r="G53" s="68">
        <f>INDEX(Others!$D$11:$E$60, MATCH(C53, Others!$A$11:$A$60, 0), MATCH(G$3, Others!$D$10:$E$10, 0))</f>
        <v>3.4943009325520524E-2</v>
      </c>
      <c r="H53" s="16">
        <f t="shared" si="57"/>
        <v>2.866296808335056E-3</v>
      </c>
      <c r="I53" s="69">
        <f t="shared" si="58"/>
        <v>0.88638226759306782</v>
      </c>
      <c r="K53" s="80">
        <f>INDEX(Mortality!$B$7:$F$32, MATCH( E53,Mortality!$A$7:$A$32, 0), MATCH( K$3,Mortality!$B$6:$F$6,0))</f>
        <v>0.33599999999999997</v>
      </c>
      <c r="L53" s="11">
        <f t="shared" si="3"/>
        <v>0</v>
      </c>
      <c r="M53" s="80">
        <f t="shared" si="21"/>
        <v>0.33599999999999997</v>
      </c>
      <c r="N53" s="76">
        <f>INDEX(Myopia!$H:$H, MATCH(E53, Myopia!$A:$A, 0)) * Trend_Factor^(A53)</f>
        <v>6.1319328784822247</v>
      </c>
      <c r="O53" s="11">
        <f t="shared" si="4"/>
        <v>0</v>
      </c>
      <c r="P53" s="80">
        <f t="shared" si="22"/>
        <v>6.1319328784822247</v>
      </c>
      <c r="Q53" s="76">
        <f>VLOOKUP(C53,Others!$L$10:$M$61,2)</f>
        <v>0</v>
      </c>
      <c r="R53" s="11">
        <f t="shared" si="5"/>
        <v>0</v>
      </c>
      <c r="S53" s="80">
        <f t="shared" si="23"/>
        <v>0</v>
      </c>
      <c r="T53" s="78">
        <f t="shared" si="24"/>
        <v>2.8E-5</v>
      </c>
      <c r="U53" s="81">
        <f t="shared" si="25"/>
        <v>5.1099440654018538E-4</v>
      </c>
      <c r="V53" s="81">
        <f t="shared" si="26"/>
        <v>0</v>
      </c>
      <c r="W53" s="77">
        <f t="shared" si="6"/>
        <v>0.98951572701290413</v>
      </c>
      <c r="X53" s="82">
        <f t="shared" si="27"/>
        <v>2.7699361438337695E-5</v>
      </c>
      <c r="Y53" s="82">
        <f t="shared" si="28"/>
        <v>5.0562992276911541E-4</v>
      </c>
      <c r="Z53" s="82">
        <f t="shared" si="29"/>
        <v>0</v>
      </c>
      <c r="AA53" s="82">
        <f t="shared" si="30"/>
        <v>0.98898239772869667</v>
      </c>
      <c r="AC53" s="46">
        <f t="shared" si="7"/>
        <v>0</v>
      </c>
      <c r="AD53" s="15">
        <f t="shared" si="31"/>
        <v>0</v>
      </c>
      <c r="AE53" s="46">
        <f t="shared" si="32"/>
        <v>0</v>
      </c>
      <c r="AF53" s="15">
        <f t="shared" si="33"/>
        <v>0</v>
      </c>
      <c r="AG53" s="46">
        <f>SUMPRODUCT(AE54:AE$605, $I53:$I$604) / $I53</f>
        <v>0</v>
      </c>
      <c r="AI53" s="46">
        <f t="shared" si="8"/>
        <v>-47000</v>
      </c>
      <c r="AJ53" s="46">
        <f>IF(E53&gt;Mat_Year,0,  -SUM($AD$5:AD53))</f>
        <v>-9306</v>
      </c>
      <c r="AK53" s="24">
        <f t="shared" si="34"/>
        <v>-0.25777025754517058</v>
      </c>
      <c r="AL53" s="79">
        <f t="shared" si="35"/>
        <v>-23.764606370148424</v>
      </c>
      <c r="AM53" s="24">
        <f t="shared" si="36"/>
        <v>-24.276902298673949</v>
      </c>
      <c r="AN53" s="79">
        <f t="shared" si="37"/>
        <v>-24.022376627693596</v>
      </c>
      <c r="AO53" s="15">
        <f t="shared" si="38"/>
        <v>-6908.3920907104311</v>
      </c>
      <c r="AP53" s="46">
        <f>SUMPRODUCT(AN54:AN$605, $I54:$I$605) / $I53</f>
        <v>-6835.9626221295293</v>
      </c>
      <c r="AR53" s="46">
        <v>0</v>
      </c>
      <c r="AS53" s="46">
        <v>0</v>
      </c>
      <c r="AT53" s="46">
        <v>0</v>
      </c>
      <c r="AU53" s="95">
        <f t="shared" si="9"/>
        <v>-1.838967354286573</v>
      </c>
      <c r="AV53" s="47">
        <f t="shared" si="10"/>
        <v>0</v>
      </c>
      <c r="AW53" s="96">
        <f t="shared" si="59"/>
        <v>-1.838967354286573</v>
      </c>
      <c r="AX53" s="95">
        <f t="shared" si="11"/>
        <v>-21.086825662486032</v>
      </c>
      <c r="AY53" s="11">
        <f t="shared" si="12"/>
        <v>0</v>
      </c>
      <c r="AZ53" s="96">
        <f t="shared" si="60"/>
        <v>-21.086825662486032</v>
      </c>
      <c r="BA53" s="95">
        <f t="shared" si="61"/>
        <v>-1.8196871185298751</v>
      </c>
      <c r="BB53" s="64">
        <f t="shared" si="62"/>
        <v>-1.1246221636781028E-2</v>
      </c>
      <c r="BC53" s="95">
        <f t="shared" si="63"/>
        <v>-1.838967354286573</v>
      </c>
      <c r="BD53" s="96">
        <f t="shared" si="64"/>
        <v>-1.1365379376768984E-2</v>
      </c>
      <c r="BE53" s="96">
        <f t="shared" si="65"/>
        <v>-1.8196871185298751</v>
      </c>
      <c r="BF53" s="96">
        <f t="shared" si="66"/>
        <v>-1.1246221636781028E-2</v>
      </c>
      <c r="BG53" s="15">
        <f t="shared" si="47"/>
        <v>-261.96538559285136</v>
      </c>
      <c r="BH53" s="46">
        <f>(SUMPRODUCT(BE54:BE$605,$I53:$I$604)+SUMPRODUCT(BF54:BF$605,$I54:$I$605)) / $I53</f>
        <v>-259.21886897712608</v>
      </c>
      <c r="BJ53" s="46">
        <f t="shared" si="67"/>
        <v>-1.8196871185298751</v>
      </c>
      <c r="BK53" s="46">
        <f t="shared" si="68"/>
        <v>-24.033622849330378</v>
      </c>
      <c r="BM53" s="49">
        <f t="shared" si="50"/>
        <v>7174.2242403924392</v>
      </c>
      <c r="BN53" s="46">
        <f t="shared" si="69"/>
        <v>7095.1814911066522</v>
      </c>
      <c r="BP53" s="46">
        <f>Reserve!BX53</f>
        <v>9742.7753831495593</v>
      </c>
      <c r="BQ53" s="46">
        <f t="shared" si="13"/>
        <v>9635.4333589593734</v>
      </c>
      <c r="BR53" s="15">
        <f t="shared" si="52"/>
        <v>10.955031571931613</v>
      </c>
      <c r="BT53" s="49">
        <f t="shared" si="53"/>
        <v>27.937096640000853</v>
      </c>
      <c r="BU53" s="46">
        <f t="shared" si="54"/>
        <v>27.644196492360205</v>
      </c>
      <c r="BV53" s="46">
        <f>SUMPRODUCT(BU54:BU$605, $I54:$I$605) / $I53</f>
        <v>2902.3710797744839</v>
      </c>
      <c r="BX53" s="46">
        <f>-BZ53*Others!$Q$43</f>
        <v>-3.2629550326864809</v>
      </c>
      <c r="BZ53" s="50">
        <f t="shared" si="0"/>
        <v>12.745918096431566</v>
      </c>
      <c r="CA53" s="46">
        <f t="shared" si="55"/>
        <v>9.4829630637450855</v>
      </c>
      <c r="CB53" s="46">
        <f t="shared" si="14"/>
        <v>9.4829630637450855</v>
      </c>
      <c r="CD53" s="46">
        <f>SUMPRODUCT(BZ54:BZ$605, $I54:$I$605) / $I53</f>
        <v>2540.2518678527153</v>
      </c>
      <c r="CE53" s="46">
        <f>SUMPRODUCT(CA54:CA$605, $I54:$I$605) / $I53</f>
        <v>1889.9473896824181</v>
      </c>
      <c r="CF53" s="46">
        <f>SUMPRODUCT(CB54:CB$605, $I54:$I$605) / $I53</f>
        <v>1889.9473896824181</v>
      </c>
      <c r="CH53" s="46">
        <f t="shared" si="15"/>
        <v>37257.224616850443</v>
      </c>
      <c r="CI53" s="46">
        <f t="shared" si="16"/>
        <v>0</v>
      </c>
      <c r="CK53" s="46">
        <f>NPV((1+CK$3)^(1/12)-1,$CB$6:$CB53)+$CB$5</f>
        <v>-431.68629385200671</v>
      </c>
      <c r="CL53" s="46">
        <f>NPV((1+CL$3)^(1/12)-1,$CB$6:$CB53)+$CB$5</f>
        <v>-444.44356441021324</v>
      </c>
      <c r="CM53" s="46">
        <f>NPV((1+CM$3)^(1/12)-1,$CB$6:$CB53)+$CB$5</f>
        <v>-472.49611096938855</v>
      </c>
      <c r="CN53" s="46">
        <f>NPV((1+CN$3)^(1/12)-1,$CB$6:$CB53)+$CB$5</f>
        <v>-472.49611096938855</v>
      </c>
    </row>
    <row r="54" spans="1:92" x14ac:dyDescent="0.25">
      <c r="A54" s="61">
        <f t="shared" si="1"/>
        <v>4.0833333333333357</v>
      </c>
      <c r="B54" s="32">
        <f t="shared" si="56"/>
        <v>1</v>
      </c>
      <c r="C54" s="62">
        <f t="shared" si="17"/>
        <v>5</v>
      </c>
      <c r="D54" s="64">
        <f t="shared" si="18"/>
        <v>4.5833333333333357</v>
      </c>
      <c r="E54" s="28">
        <f t="shared" si="2"/>
        <v>4</v>
      </c>
      <c r="G54" s="68">
        <f>INDEX(Others!$D$11:$E$60, MATCH(C54, Others!$A$11:$A$60, 0), MATCH(G$3, Others!$D$10:$E$10, 0))</f>
        <v>3.7831057328246098E-2</v>
      </c>
      <c r="H54" s="16">
        <f t="shared" si="57"/>
        <v>3.099210455032253E-3</v>
      </c>
      <c r="I54" s="69">
        <f t="shared" si="58"/>
        <v>0.88364366989281296</v>
      </c>
      <c r="K54" s="80">
        <f>INDEX(Mortality!$B$7:$F$32, MATCH( E54,Mortality!$A$7:$A$32, 0), MATCH( K$3,Mortality!$B$6:$F$6,0))</f>
        <v>0.33599999999999997</v>
      </c>
      <c r="L54" s="11">
        <f t="shared" si="3"/>
        <v>0</v>
      </c>
      <c r="M54" s="80">
        <f t="shared" si="21"/>
        <v>0.33599999999999997</v>
      </c>
      <c r="N54" s="76">
        <f>INDEX(Myopia!$H:$H, MATCH(E54, Myopia!$A:$A, 0)) * Trend_Factor^(A54)</f>
        <v>6.1319328784822247</v>
      </c>
      <c r="O54" s="11">
        <f t="shared" si="4"/>
        <v>0</v>
      </c>
      <c r="P54" s="80">
        <f t="shared" si="22"/>
        <v>6.1319328784822247</v>
      </c>
      <c r="Q54" s="76">
        <f>VLOOKUP(C54,Others!$L$10:$M$61,2)</f>
        <v>0</v>
      </c>
      <c r="R54" s="11">
        <f t="shared" si="5"/>
        <v>0</v>
      </c>
      <c r="S54" s="80">
        <f t="shared" si="23"/>
        <v>0</v>
      </c>
      <c r="T54" s="78">
        <f t="shared" si="24"/>
        <v>2.8E-5</v>
      </c>
      <c r="U54" s="81">
        <f t="shared" si="25"/>
        <v>5.1099440654018538E-4</v>
      </c>
      <c r="V54" s="81">
        <f t="shared" si="26"/>
        <v>0</v>
      </c>
      <c r="W54" s="77">
        <f t="shared" si="6"/>
        <v>0.98898239772869667</v>
      </c>
      <c r="X54" s="82">
        <f t="shared" si="27"/>
        <v>2.7684432033775821E-5</v>
      </c>
      <c r="Y54" s="82">
        <f t="shared" si="28"/>
        <v>5.0535739830343733E-4</v>
      </c>
      <c r="Z54" s="82">
        <f t="shared" si="29"/>
        <v>0</v>
      </c>
      <c r="AA54" s="82">
        <f t="shared" si="30"/>
        <v>0.98844935589835947</v>
      </c>
      <c r="AC54" s="46">
        <f t="shared" si="7"/>
        <v>0</v>
      </c>
      <c r="AD54" s="15">
        <f t="shared" si="31"/>
        <v>0</v>
      </c>
      <c r="AE54" s="46">
        <f t="shared" si="32"/>
        <v>0</v>
      </c>
      <c r="AF54" s="15">
        <f t="shared" si="33"/>
        <v>0</v>
      </c>
      <c r="AG54" s="46">
        <f>SUMPRODUCT(AE55:AE$605, $I54:$I$604) / $I54</f>
        <v>0</v>
      </c>
      <c r="AI54" s="46">
        <f t="shared" si="8"/>
        <v>-47000</v>
      </c>
      <c r="AJ54" s="46">
        <f>IF(E54&gt;Mat_Year,0,  -SUM($AD$5:AD54))</f>
        <v>-9306</v>
      </c>
      <c r="AK54" s="24">
        <f t="shared" si="34"/>
        <v>-0.25763132450631782</v>
      </c>
      <c r="AL54" s="79">
        <f t="shared" si="35"/>
        <v>-23.751797720261553</v>
      </c>
      <c r="AM54" s="24">
        <f t="shared" si="36"/>
        <v>-24.276902298673949</v>
      </c>
      <c r="AN54" s="79">
        <f t="shared" si="37"/>
        <v>-24.00942904476787</v>
      </c>
      <c r="AO54" s="15">
        <f t="shared" si="38"/>
        <v>-6909.2627893140534</v>
      </c>
      <c r="AP54" s="46">
        <f>SUMPRODUCT(AN55:AN$605, $I55:$I$605) / $I54</f>
        <v>-6833.1392799134755</v>
      </c>
      <c r="AR54" s="46">
        <v>0</v>
      </c>
      <c r="AS54" s="46">
        <v>0</v>
      </c>
      <c r="AT54" s="46">
        <v>0</v>
      </c>
      <c r="AU54" s="95">
        <f t="shared" si="9"/>
        <v>-1.8410235009559455</v>
      </c>
      <c r="AV54" s="47">
        <f t="shared" si="10"/>
        <v>0</v>
      </c>
      <c r="AW54" s="96">
        <f t="shared" si="59"/>
        <v>-1.8410235009559455</v>
      </c>
      <c r="AX54" s="95">
        <f t="shared" si="11"/>
        <v>-21.110402810961507</v>
      </c>
      <c r="AY54" s="11">
        <f t="shared" si="12"/>
        <v>0</v>
      </c>
      <c r="AZ54" s="96">
        <f t="shared" si="60"/>
        <v>-21.110402810961507</v>
      </c>
      <c r="BA54" s="95">
        <f t="shared" si="61"/>
        <v>-1.8207398362502905</v>
      </c>
      <c r="BB54" s="64">
        <f t="shared" si="62"/>
        <v>-1.1252727753510772E-2</v>
      </c>
      <c r="BC54" s="95">
        <f t="shared" si="63"/>
        <v>-1.8410235009559455</v>
      </c>
      <c r="BD54" s="96">
        <f t="shared" si="64"/>
        <v>-1.1378086990581286E-2</v>
      </c>
      <c r="BE54" s="96">
        <f t="shared" si="65"/>
        <v>-1.8207398362502905</v>
      </c>
      <c r="BF54" s="96">
        <f t="shared" si="66"/>
        <v>-1.1252727753510772E-2</v>
      </c>
      <c r="BG54" s="15">
        <f t="shared" si="47"/>
        <v>-261.06087224505706</v>
      </c>
      <c r="BH54" s="46">
        <f>(SUMPRODUCT(BE55:BE$605,$I54:$I$604)+SUMPRODUCT(BF55:BF$605,$I55:$I$605)) / $I54</f>
        <v>-258.18460738606149</v>
      </c>
      <c r="BJ54" s="46">
        <f t="shared" si="67"/>
        <v>-1.8207398362502905</v>
      </c>
      <c r="BK54" s="46">
        <f t="shared" si="68"/>
        <v>-24.020681772521382</v>
      </c>
      <c r="BM54" s="49">
        <f t="shared" si="50"/>
        <v>7174.1904074129643</v>
      </c>
      <c r="BN54" s="46">
        <f t="shared" si="69"/>
        <v>7091.3238872995335</v>
      </c>
      <c r="BP54" s="46">
        <f>Reserve!BX54</f>
        <v>9738.6512515588365</v>
      </c>
      <c r="BQ54" s="46">
        <f t="shared" si="13"/>
        <v>9626.1635569220834</v>
      </c>
      <c r="BR54" s="15">
        <f t="shared" si="52"/>
        <v>9.2698020372899919</v>
      </c>
      <c r="BT54" s="49">
        <f t="shared" si="53"/>
        <v>30.18920560920586</v>
      </c>
      <c r="BU54" s="46">
        <f t="shared" si="54"/>
        <v>29.856592948917029</v>
      </c>
      <c r="BV54" s="46">
        <f>SUMPRODUCT(BU55:BU$605, $I55:$I$605) / $I54</f>
        <v>2881.5095456203871</v>
      </c>
      <c r="BX54" s="46">
        <f>-BZ54*Others!$Q$43</f>
        <v>-3.4009531846234498</v>
      </c>
      <c r="BZ54" s="50">
        <f t="shared" si="0"/>
        <v>13.28497337743535</v>
      </c>
      <c r="CA54" s="46">
        <f t="shared" si="55"/>
        <v>9.8840201928118994</v>
      </c>
      <c r="CB54" s="46">
        <f t="shared" si="14"/>
        <v>9.8840201928118994</v>
      </c>
      <c r="CD54" s="46">
        <f>SUMPRODUCT(BZ55:BZ$605, $I55:$I$605) / $I54</f>
        <v>2534.8396696225441</v>
      </c>
      <c r="CE54" s="46">
        <f>SUMPRODUCT(CA55:CA$605, $I55:$I$605) / $I54</f>
        <v>1885.920714199171</v>
      </c>
      <c r="CF54" s="46">
        <f>SUMPRODUCT(CB55:CB$605, $I55:$I$605) / $I54</f>
        <v>1885.920714199171</v>
      </c>
      <c r="CH54" s="46">
        <f t="shared" si="15"/>
        <v>37261.34874844116</v>
      </c>
      <c r="CI54" s="46">
        <f t="shared" si="16"/>
        <v>0</v>
      </c>
      <c r="CK54" s="46">
        <f>NPV((1+CK$3)^(1/12)-1,$CB$6:$CB54)+$CB$5</f>
        <v>-422.92607499232861</v>
      </c>
      <c r="CL54" s="46">
        <f>NPV((1+CL$3)^(1/12)-1,$CB$6:$CB54)+$CB$5</f>
        <v>-436.34495128902557</v>
      </c>
      <c r="CM54" s="46">
        <f>NPV((1+CM$3)^(1/12)-1,$CB$6:$CB54)+$CB$5</f>
        <v>-465.79859908488925</v>
      </c>
      <c r="CN54" s="46">
        <f>NPV((1+CN$3)^(1/12)-1,$CB$6:$CB54)+$CB$5</f>
        <v>-465.79859908488925</v>
      </c>
    </row>
    <row r="55" spans="1:92" x14ac:dyDescent="0.25">
      <c r="A55" s="61">
        <f t="shared" si="1"/>
        <v>4.1666666666666687</v>
      </c>
      <c r="B55" s="32">
        <f t="shared" si="56"/>
        <v>2</v>
      </c>
      <c r="C55" s="62">
        <f t="shared" si="17"/>
        <v>5</v>
      </c>
      <c r="D55" s="64">
        <f t="shared" si="18"/>
        <v>4.6666666666666687</v>
      </c>
      <c r="E55" s="28">
        <f t="shared" si="2"/>
        <v>4</v>
      </c>
      <c r="G55" s="68">
        <f>INDEX(Others!$D$11:$E$60, MATCH(C55, Others!$A$11:$A$60, 0), MATCH(G$3, Others!$D$10:$E$10, 0))</f>
        <v>3.7831057328246098E-2</v>
      </c>
      <c r="H55" s="16">
        <f t="shared" si="57"/>
        <v>3.099210455032253E-3</v>
      </c>
      <c r="I55" s="69">
        <f t="shared" si="58"/>
        <v>0.88091353345993451</v>
      </c>
      <c r="K55" s="80">
        <f>INDEX(Mortality!$B$7:$F$32, MATCH( E55,Mortality!$A$7:$A$32, 0), MATCH( K$3,Mortality!$B$6:$F$6,0))</f>
        <v>0.33599999999999997</v>
      </c>
      <c r="L55" s="11">
        <f t="shared" si="3"/>
        <v>0</v>
      </c>
      <c r="M55" s="80">
        <f t="shared" si="21"/>
        <v>0.33599999999999997</v>
      </c>
      <c r="N55" s="76">
        <f>INDEX(Myopia!$H:$H, MATCH(E55, Myopia!$A:$A, 0)) * Trend_Factor^(A55)</f>
        <v>6.1319328784822247</v>
      </c>
      <c r="O55" s="11">
        <f t="shared" si="4"/>
        <v>0</v>
      </c>
      <c r="P55" s="80">
        <f t="shared" si="22"/>
        <v>6.1319328784822247</v>
      </c>
      <c r="Q55" s="76">
        <f>VLOOKUP(C55,Others!$L$10:$M$61,2)</f>
        <v>0</v>
      </c>
      <c r="R55" s="11">
        <f t="shared" si="5"/>
        <v>0</v>
      </c>
      <c r="S55" s="80">
        <f t="shared" si="23"/>
        <v>0</v>
      </c>
      <c r="T55" s="78">
        <f t="shared" si="24"/>
        <v>2.8E-5</v>
      </c>
      <c r="U55" s="81">
        <f t="shared" si="25"/>
        <v>5.1099440654018538E-4</v>
      </c>
      <c r="V55" s="81">
        <f t="shared" si="26"/>
        <v>0</v>
      </c>
      <c r="W55" s="77">
        <f t="shared" si="6"/>
        <v>0.98844935589835947</v>
      </c>
      <c r="X55" s="82">
        <f t="shared" si="27"/>
        <v>2.7669510675865892E-5</v>
      </c>
      <c r="Y55" s="82">
        <f t="shared" si="28"/>
        <v>5.0508502072302253E-4</v>
      </c>
      <c r="Z55" s="82">
        <f t="shared" si="29"/>
        <v>0</v>
      </c>
      <c r="AA55" s="82">
        <f t="shared" si="30"/>
        <v>0.98791660136696058</v>
      </c>
      <c r="AC55" s="46">
        <f t="shared" si="7"/>
        <v>0</v>
      </c>
      <c r="AD55" s="15">
        <f t="shared" si="31"/>
        <v>0</v>
      </c>
      <c r="AE55" s="46">
        <f t="shared" si="32"/>
        <v>0</v>
      </c>
      <c r="AF55" s="15">
        <f t="shared" si="33"/>
        <v>0</v>
      </c>
      <c r="AG55" s="46">
        <f>SUMPRODUCT(AE56:AE$605, $I55:$I$604) / $I55</f>
        <v>0</v>
      </c>
      <c r="AI55" s="46">
        <f t="shared" si="8"/>
        <v>-47000</v>
      </c>
      <c r="AJ55" s="46">
        <f>IF(E55&gt;Mat_Year,0,  -SUM($AD$5:AD55))</f>
        <v>-9306</v>
      </c>
      <c r="AK55" s="24">
        <f t="shared" si="34"/>
        <v>-0.25749246634960798</v>
      </c>
      <c r="AL55" s="79">
        <f t="shared" si="35"/>
        <v>-23.73899597398206</v>
      </c>
      <c r="AM55" s="24">
        <f t="shared" si="36"/>
        <v>-24.276902298673949</v>
      </c>
      <c r="AN55" s="79">
        <f t="shared" si="37"/>
        <v>-23.996488440331667</v>
      </c>
      <c r="AO55" s="15">
        <f t="shared" si="38"/>
        <v>-6910.1366573933929</v>
      </c>
      <c r="AP55" s="46">
        <f>SUMPRODUCT(AN56:AN$605, $I56:$I$605) / $I55</f>
        <v>-6830.3201281701422</v>
      </c>
      <c r="AR55" s="46">
        <v>0</v>
      </c>
      <c r="AS55" s="46">
        <v>0</v>
      </c>
      <c r="AT55" s="46">
        <v>0</v>
      </c>
      <c r="AU55" s="95">
        <f t="shared" si="9"/>
        <v>-1.8430819465998574</v>
      </c>
      <c r="AV55" s="47">
        <f t="shared" si="10"/>
        <v>0</v>
      </c>
      <c r="AW55" s="96">
        <f t="shared" si="59"/>
        <v>-1.8430819465998574</v>
      </c>
      <c r="AX55" s="95">
        <f t="shared" si="11"/>
        <v>-21.134006321011693</v>
      </c>
      <c r="AY55" s="11">
        <f t="shared" si="12"/>
        <v>0</v>
      </c>
      <c r="AZ55" s="96">
        <f t="shared" si="60"/>
        <v>-21.134006321011693</v>
      </c>
      <c r="BA55" s="95">
        <f t="shared" si="61"/>
        <v>-1.8217931629845237</v>
      </c>
      <c r="BB55" s="64">
        <f t="shared" si="62"/>
        <v>-1.125923763413173E-2</v>
      </c>
      <c r="BC55" s="95">
        <f t="shared" si="63"/>
        <v>-1.8430819465998574</v>
      </c>
      <c r="BD55" s="96">
        <f t="shared" si="64"/>
        <v>-1.1390808812757724E-2</v>
      </c>
      <c r="BE55" s="96">
        <f t="shared" si="65"/>
        <v>-1.8217931629845237</v>
      </c>
      <c r="BF55" s="96">
        <f t="shared" si="66"/>
        <v>-1.125923763413173E-2</v>
      </c>
      <c r="BG55" s="15">
        <f t="shared" si="47"/>
        <v>-260.1509887836948</v>
      </c>
      <c r="BH55" s="46">
        <f>(SUMPRODUCT(BE56:BE$605,$I55:$I$604)+SUMPRODUCT(BF56:BF$605,$I56:$I$605)) / $I55</f>
        <v>-257.14607729956447</v>
      </c>
      <c r="BJ55" s="46">
        <f t="shared" si="67"/>
        <v>-1.8217931629845237</v>
      </c>
      <c r="BK55" s="46">
        <f t="shared" si="68"/>
        <v>-24.007747677965799</v>
      </c>
      <c r="BM55" s="49">
        <f t="shared" si="50"/>
        <v>7174.1543726089012</v>
      </c>
      <c r="BN55" s="46">
        <f t="shared" si="69"/>
        <v>7087.4662054697046</v>
      </c>
      <c r="BP55" s="46">
        <f>Reserve!BX55</f>
        <v>9734.5104862635908</v>
      </c>
      <c r="BQ55" s="46">
        <f t="shared" si="13"/>
        <v>9616.884515560565</v>
      </c>
      <c r="BR55" s="15">
        <f t="shared" si="52"/>
        <v>9.2790413615184661</v>
      </c>
      <c r="BT55" s="49">
        <f t="shared" si="53"/>
        <v>30.176417677905697</v>
      </c>
      <c r="BU55" s="46">
        <f t="shared" si="54"/>
        <v>29.827860617045754</v>
      </c>
      <c r="BV55" s="46">
        <f>SUMPRODUCT(BU56:BU$605, $I56:$I$605) / $I55</f>
        <v>2860.6120895134036</v>
      </c>
      <c r="BX55" s="46">
        <f>-BZ55*Others!$Q$43</f>
        <v>-3.3990044512291582</v>
      </c>
      <c r="BZ55" s="50">
        <f t="shared" si="0"/>
        <v>13.277361137613898</v>
      </c>
      <c r="CA55" s="46">
        <f t="shared" si="55"/>
        <v>9.8783566863847394</v>
      </c>
      <c r="CB55" s="46">
        <f t="shared" si="14"/>
        <v>9.8783566863847394</v>
      </c>
      <c r="CD55" s="46">
        <f>SUMPRODUCT(BZ56:BZ$605, $I56:$I$605) / $I55</f>
        <v>2529.4183100908549</v>
      </c>
      <c r="CE55" s="46">
        <f>SUMPRODUCT(CA56:CA$605, $I56:$I$605) / $I55</f>
        <v>1881.8872227075942</v>
      </c>
      <c r="CF55" s="46">
        <f>SUMPRODUCT(CB56:CB$605, $I56:$I$605) / $I55</f>
        <v>1881.8872227075942</v>
      </c>
      <c r="CH55" s="46">
        <f t="shared" si="15"/>
        <v>37265.489513736407</v>
      </c>
      <c r="CI55" s="46">
        <f t="shared" si="16"/>
        <v>0</v>
      </c>
      <c r="CK55" s="46">
        <f>NPV((1+CK$3)^(1/12)-1,$CB$6:$CB55)+$CB$5</f>
        <v>-414.19241526612132</v>
      </c>
      <c r="CL55" s="46">
        <f>NPV((1+CL$3)^(1/12)-1,$CB$6:$CB55)+$CB$5</f>
        <v>-428.28382068663274</v>
      </c>
      <c r="CM55" s="46">
        <f>NPV((1+CM$3)^(1/12)-1,$CB$6:$CB55)+$CB$5</f>
        <v>-459.15787888495436</v>
      </c>
      <c r="CN55" s="46">
        <f>NPV((1+CN$3)^(1/12)-1,$CB$6:$CB55)+$CB$5</f>
        <v>-459.15787888495436</v>
      </c>
    </row>
    <row r="56" spans="1:92" x14ac:dyDescent="0.25">
      <c r="A56" s="61">
        <f t="shared" si="1"/>
        <v>4.2500000000000018</v>
      </c>
      <c r="B56" s="32">
        <f t="shared" si="56"/>
        <v>3</v>
      </c>
      <c r="C56" s="62">
        <f t="shared" si="17"/>
        <v>5</v>
      </c>
      <c r="D56" s="64">
        <f t="shared" si="18"/>
        <v>4.7500000000000018</v>
      </c>
      <c r="E56" s="28">
        <f t="shared" si="2"/>
        <v>4</v>
      </c>
      <c r="G56" s="68">
        <f>INDEX(Others!$D$11:$E$60, MATCH(C56, Others!$A$11:$A$60, 0), MATCH(G$3, Others!$D$10:$E$10, 0))</f>
        <v>3.7831057328246098E-2</v>
      </c>
      <c r="H56" s="16">
        <f t="shared" si="57"/>
        <v>3.099210455032253E-3</v>
      </c>
      <c r="I56" s="69">
        <f t="shared" si="58"/>
        <v>0.87819183215220442</v>
      </c>
      <c r="K56" s="80">
        <f>INDEX(Mortality!$B$7:$F$32, MATCH( E56,Mortality!$A$7:$A$32, 0), MATCH( K$3,Mortality!$B$6:$F$6,0))</f>
        <v>0.33599999999999997</v>
      </c>
      <c r="L56" s="11">
        <f t="shared" si="3"/>
        <v>0</v>
      </c>
      <c r="M56" s="80">
        <f t="shared" si="21"/>
        <v>0.33599999999999997</v>
      </c>
      <c r="N56" s="76">
        <f>INDEX(Myopia!$H:$H, MATCH(E56, Myopia!$A:$A, 0)) * Trend_Factor^(A56)</f>
        <v>6.1319328784822247</v>
      </c>
      <c r="O56" s="11">
        <f t="shared" si="4"/>
        <v>0</v>
      </c>
      <c r="P56" s="80">
        <f t="shared" si="22"/>
        <v>6.1319328784822247</v>
      </c>
      <c r="Q56" s="76">
        <f>VLOOKUP(C56,Others!$L$10:$M$61,2)</f>
        <v>0</v>
      </c>
      <c r="R56" s="11">
        <f t="shared" si="5"/>
        <v>0</v>
      </c>
      <c r="S56" s="80">
        <f t="shared" si="23"/>
        <v>0</v>
      </c>
      <c r="T56" s="78">
        <f t="shared" si="24"/>
        <v>2.8E-5</v>
      </c>
      <c r="U56" s="81">
        <f t="shared" si="25"/>
        <v>5.1099440654018538E-4</v>
      </c>
      <c r="V56" s="81">
        <f t="shared" si="26"/>
        <v>0</v>
      </c>
      <c r="W56" s="77">
        <f t="shared" si="6"/>
        <v>0.98791660136696058</v>
      </c>
      <c r="X56" s="82">
        <f t="shared" si="27"/>
        <v>2.7654597360270922E-5</v>
      </c>
      <c r="Y56" s="82">
        <f t="shared" si="28"/>
        <v>5.048127899487029E-4</v>
      </c>
      <c r="Z56" s="82">
        <f t="shared" si="29"/>
        <v>0</v>
      </c>
      <c r="AA56" s="82">
        <f t="shared" si="30"/>
        <v>0.98738413397965163</v>
      </c>
      <c r="AC56" s="46">
        <f t="shared" si="7"/>
        <v>0</v>
      </c>
      <c r="AD56" s="15">
        <f t="shared" si="31"/>
        <v>0</v>
      </c>
      <c r="AE56" s="46">
        <f t="shared" si="32"/>
        <v>0</v>
      </c>
      <c r="AF56" s="15">
        <f t="shared" si="33"/>
        <v>0</v>
      </c>
      <c r="AG56" s="46">
        <f>SUMPRODUCT(AE57:AE$605, $I56:$I$604) / $I56</f>
        <v>0</v>
      </c>
      <c r="AI56" s="46">
        <f t="shared" si="8"/>
        <v>-47000</v>
      </c>
      <c r="AJ56" s="46">
        <f>IF(E56&gt;Mat_Year,0,  -SUM($AD$5:AD56))</f>
        <v>-9306</v>
      </c>
      <c r="AK56" s="24">
        <f t="shared" si="34"/>
        <v>-0.2573536830346812</v>
      </c>
      <c r="AL56" s="79">
        <f t="shared" si="35"/>
        <v>-23.726201127589036</v>
      </c>
      <c r="AM56" s="24">
        <f t="shared" si="36"/>
        <v>-24.276902298673942</v>
      </c>
      <c r="AN56" s="79">
        <f t="shared" si="37"/>
        <v>-23.983554810623716</v>
      </c>
      <c r="AO56" s="15">
        <f t="shared" si="38"/>
        <v>-6911.0137064858291</v>
      </c>
      <c r="AP56" s="46">
        <f>SUMPRODUCT(AN57:AN$605, $I57:$I$605) / $I56</f>
        <v>-6827.5051729119614</v>
      </c>
      <c r="AR56" s="46">
        <v>0</v>
      </c>
      <c r="AS56" s="46">
        <v>0</v>
      </c>
      <c r="AT56" s="46">
        <v>0</v>
      </c>
      <c r="AU56" s="95">
        <f t="shared" si="9"/>
        <v>-1.8451426937887883</v>
      </c>
      <c r="AV56" s="47">
        <f t="shared" si="10"/>
        <v>0</v>
      </c>
      <c r="AW56" s="96">
        <f t="shared" si="59"/>
        <v>-1.8451426937887883</v>
      </c>
      <c r="AX56" s="95">
        <f t="shared" si="11"/>
        <v>-21.157636222111435</v>
      </c>
      <c r="AY56" s="11">
        <f t="shared" si="12"/>
        <v>0</v>
      </c>
      <c r="AZ56" s="96">
        <f t="shared" si="60"/>
        <v>-21.157636222111435</v>
      </c>
      <c r="BA56" s="95">
        <f t="shared" si="61"/>
        <v>-1.8228470990848982</v>
      </c>
      <c r="BB56" s="64">
        <f t="shared" si="62"/>
        <v>-1.1265751280821384E-2</v>
      </c>
      <c r="BC56" s="95">
        <f t="shared" si="63"/>
        <v>-1.8451426937887883</v>
      </c>
      <c r="BD56" s="96">
        <f t="shared" si="64"/>
        <v>-1.1403544859184661E-2</v>
      </c>
      <c r="BE56" s="96">
        <f t="shared" si="65"/>
        <v>-1.8228470990848982</v>
      </c>
      <c r="BF56" s="96">
        <f t="shared" si="66"/>
        <v>-1.1265751280821384E-2</v>
      </c>
      <c r="BG56" s="15">
        <f t="shared" si="47"/>
        <v>-259.23571333782996</v>
      </c>
      <c r="BH56" s="46">
        <f>(SUMPRODUCT(BE57:BE$605,$I56:$I$604)+SUMPRODUCT(BF57:BF$605,$I57:$I$605)) / $I56</f>
        <v>-256.10326487364864</v>
      </c>
      <c r="BJ56" s="46">
        <f t="shared" si="67"/>
        <v>-1.8228470990848982</v>
      </c>
      <c r="BK56" s="46">
        <f t="shared" si="68"/>
        <v>-23.994820561904536</v>
      </c>
      <c r="BM56" s="49">
        <f t="shared" si="50"/>
        <v>7174.1161256411169</v>
      </c>
      <c r="BN56" s="46">
        <f t="shared" si="69"/>
        <v>7083.6084377856077</v>
      </c>
      <c r="BP56" s="46">
        <f>Reserve!BX56</f>
        <v>9730.3530288225174</v>
      </c>
      <c r="BQ56" s="46">
        <f t="shared" si="13"/>
        <v>9607.5961986802013</v>
      </c>
      <c r="BR56" s="15">
        <f t="shared" si="52"/>
        <v>9.2883168803637091</v>
      </c>
      <c r="BT56" s="49">
        <f t="shared" si="53"/>
        <v>30.163578188121601</v>
      </c>
      <c r="BU56" s="46">
        <f t="shared" si="54"/>
        <v>29.799099648675675</v>
      </c>
      <c r="BV56" s="46">
        <f>SUMPRODUCT(BU57:BU$605, $I57:$I$605) / $I56</f>
        <v>2839.6786287603395</v>
      </c>
      <c r="BX56" s="46">
        <f>-BZ56*Others!$Q$43</f>
        <v>-3.397055710220787</v>
      </c>
      <c r="BZ56" s="50">
        <f t="shared" si="0"/>
        <v>13.269748868049948</v>
      </c>
      <c r="CA56" s="46">
        <f t="shared" si="55"/>
        <v>9.8726931578291612</v>
      </c>
      <c r="CB56" s="46">
        <f t="shared" si="14"/>
        <v>9.8726931578291612</v>
      </c>
      <c r="CD56" s="46">
        <f>SUMPRODUCT(BZ57:BZ$605, $I57:$I$605) / $I56</f>
        <v>2523.987760894589</v>
      </c>
      <c r="CE56" s="46">
        <f>SUMPRODUCT(CA57:CA$605, $I57:$I$605) / $I56</f>
        <v>1877.8468941055721</v>
      </c>
      <c r="CF56" s="46">
        <f>SUMPRODUCT(CB57:CB$605, $I57:$I$605) / $I56</f>
        <v>1877.8468941055721</v>
      </c>
      <c r="CH56" s="46">
        <f t="shared" si="15"/>
        <v>37269.646971177484</v>
      </c>
      <c r="CI56" s="46">
        <f t="shared" si="16"/>
        <v>0</v>
      </c>
      <c r="CK56" s="46">
        <f>NPV((1+CK$3)^(1/12)-1,$CB$6:$CB56)+$CB$5</f>
        <v>-405.48523703327879</v>
      </c>
      <c r="CL56" s="46">
        <f>NPV((1+CL$3)^(1/12)-1,$CB$6:$CB56)+$CB$5</f>
        <v>-420.26000177947071</v>
      </c>
      <c r="CM56" s="46">
        <f>NPV((1+CM$3)^(1/12)-1,$CB$6:$CB56)+$CB$5</f>
        <v>-452.57347098243298</v>
      </c>
      <c r="CN56" s="46">
        <f>NPV((1+CN$3)^(1/12)-1,$CB$6:$CB56)+$CB$5</f>
        <v>-452.57347098243298</v>
      </c>
    </row>
    <row r="57" spans="1:92" x14ac:dyDescent="0.25">
      <c r="A57" s="61">
        <f t="shared" si="1"/>
        <v>4.3333333333333348</v>
      </c>
      <c r="B57" s="32">
        <f t="shared" si="56"/>
        <v>4</v>
      </c>
      <c r="C57" s="62">
        <f t="shared" si="17"/>
        <v>5</v>
      </c>
      <c r="D57" s="64">
        <f t="shared" si="18"/>
        <v>4.8333333333333348</v>
      </c>
      <c r="E57" s="28">
        <f t="shared" si="2"/>
        <v>4</v>
      </c>
      <c r="G57" s="68">
        <f>INDEX(Others!$D$11:$E$60, MATCH(C57, Others!$A$11:$A$60, 0), MATCH(G$3, Others!$D$10:$E$10, 0))</f>
        <v>3.7831057328246098E-2</v>
      </c>
      <c r="H57" s="16">
        <f t="shared" si="57"/>
        <v>3.099210455032253E-3</v>
      </c>
      <c r="I57" s="69">
        <f t="shared" si="58"/>
        <v>0.87547853990816471</v>
      </c>
      <c r="K57" s="80">
        <f>INDEX(Mortality!$B$7:$F$32, MATCH( E57,Mortality!$A$7:$A$32, 0), MATCH( K$3,Mortality!$B$6:$F$6,0))</f>
        <v>0.33599999999999997</v>
      </c>
      <c r="L57" s="11">
        <f t="shared" si="3"/>
        <v>0</v>
      </c>
      <c r="M57" s="80">
        <f t="shared" si="21"/>
        <v>0.33599999999999997</v>
      </c>
      <c r="N57" s="76">
        <f>INDEX(Myopia!$H:$H, MATCH(E57, Myopia!$A:$A, 0)) * Trend_Factor^(A57)</f>
        <v>6.1319328784822247</v>
      </c>
      <c r="O57" s="11">
        <f t="shared" si="4"/>
        <v>0</v>
      </c>
      <c r="P57" s="80">
        <f t="shared" si="22"/>
        <v>6.1319328784822247</v>
      </c>
      <c r="Q57" s="76">
        <f>VLOOKUP(C57,Others!$L$10:$M$61,2)</f>
        <v>0</v>
      </c>
      <c r="R57" s="11">
        <f t="shared" si="5"/>
        <v>0</v>
      </c>
      <c r="S57" s="80">
        <f t="shared" si="23"/>
        <v>0</v>
      </c>
      <c r="T57" s="78">
        <f t="shared" si="24"/>
        <v>2.8E-5</v>
      </c>
      <c r="U57" s="81">
        <f t="shared" si="25"/>
        <v>5.1099440654018538E-4</v>
      </c>
      <c r="V57" s="81">
        <f t="shared" si="26"/>
        <v>0</v>
      </c>
      <c r="W57" s="77">
        <f t="shared" si="6"/>
        <v>0.98738413397965163</v>
      </c>
      <c r="X57" s="82">
        <f t="shared" si="27"/>
        <v>2.763969208265626E-5</v>
      </c>
      <c r="Y57" s="82">
        <f t="shared" si="28"/>
        <v>5.0454070590135304E-4</v>
      </c>
      <c r="Z57" s="82">
        <f t="shared" si="29"/>
        <v>0</v>
      </c>
      <c r="AA57" s="82">
        <f t="shared" si="30"/>
        <v>0.98685195358166766</v>
      </c>
      <c r="AC57" s="46">
        <f t="shared" si="7"/>
        <v>0</v>
      </c>
      <c r="AD57" s="15">
        <f t="shared" si="31"/>
        <v>0</v>
      </c>
      <c r="AE57" s="46">
        <f t="shared" si="32"/>
        <v>0</v>
      </c>
      <c r="AF57" s="15">
        <f t="shared" si="33"/>
        <v>0</v>
      </c>
      <c r="AG57" s="46">
        <f>SUMPRODUCT(AE58:AE$605, $I57:$I$604) / $I57</f>
        <v>0</v>
      </c>
      <c r="AI57" s="46">
        <f t="shared" si="8"/>
        <v>-47000</v>
      </c>
      <c r="AJ57" s="46">
        <f>IF(E57&gt;Mat_Year,0,  -SUM($AD$5:AD57))</f>
        <v>-9306</v>
      </c>
      <c r="AK57" s="24">
        <f t="shared" si="34"/>
        <v>-0.25721497452119918</v>
      </c>
      <c r="AL57" s="79">
        <f t="shared" si="35"/>
        <v>-23.713413177363591</v>
      </c>
      <c r="AM57" s="24">
        <f t="shared" si="36"/>
        <v>-24.276902298673949</v>
      </c>
      <c r="AN57" s="79">
        <f t="shared" si="37"/>
        <v>-23.970628151884792</v>
      </c>
      <c r="AO57" s="15">
        <f t="shared" si="38"/>
        <v>-6911.8939481707303</v>
      </c>
      <c r="AP57" s="46">
        <f>SUMPRODUCT(AN58:AN$605, $I58:$I$605) / $I57</f>
        <v>-6824.6944201737515</v>
      </c>
      <c r="AR57" s="46">
        <v>0</v>
      </c>
      <c r="AS57" s="46">
        <v>0</v>
      </c>
      <c r="AT57" s="46">
        <v>0</v>
      </c>
      <c r="AU57" s="95">
        <f t="shared" si="9"/>
        <v>-1.8472057450960933</v>
      </c>
      <c r="AV57" s="47">
        <f t="shared" si="10"/>
        <v>0</v>
      </c>
      <c r="AW57" s="96">
        <f t="shared" si="59"/>
        <v>-1.8472057450960933</v>
      </c>
      <c r="AX57" s="95">
        <f t="shared" si="11"/>
        <v>-21.181292543768532</v>
      </c>
      <c r="AY57" s="11">
        <f t="shared" si="12"/>
        <v>0</v>
      </c>
      <c r="AZ57" s="96">
        <f t="shared" si="60"/>
        <v>-21.181292543768532</v>
      </c>
      <c r="BA57" s="95">
        <f t="shared" si="61"/>
        <v>-1.8239016449039431</v>
      </c>
      <c r="BB57" s="64">
        <f t="shared" si="62"/>
        <v>-1.1272268695758465E-2</v>
      </c>
      <c r="BC57" s="95">
        <f t="shared" si="63"/>
        <v>-1.8472057450960933</v>
      </c>
      <c r="BD57" s="96">
        <f t="shared" si="64"/>
        <v>-1.1416295145766205E-2</v>
      </c>
      <c r="BE57" s="96">
        <f t="shared" si="65"/>
        <v>-1.8239016449039431</v>
      </c>
      <c r="BF57" s="96">
        <f t="shared" si="66"/>
        <v>-1.1272268695758465E-2</v>
      </c>
      <c r="BG57" s="15">
        <f t="shared" si="47"/>
        <v>-258.31502395431716</v>
      </c>
      <c r="BH57" s="46">
        <f>(SUMPRODUCT(BE58:BE$605,$I57:$I$604)+SUMPRODUCT(BF58:BF$605,$I58:$I$605)) / $I57</f>
        <v>-255.05615622106643</v>
      </c>
      <c r="BJ57" s="46">
        <f t="shared" si="67"/>
        <v>-1.8239016449039431</v>
      </c>
      <c r="BK57" s="46">
        <f t="shared" si="68"/>
        <v>-23.981900420580551</v>
      </c>
      <c r="BM57" s="49">
        <f t="shared" si="50"/>
        <v>7174.0756561302451</v>
      </c>
      <c r="BN57" s="46">
        <f t="shared" si="69"/>
        <v>7079.7505763948166</v>
      </c>
      <c r="BP57" s="46">
        <f>Reserve!BX57</f>
        <v>9726.178820601579</v>
      </c>
      <c r="BQ57" s="46">
        <f t="shared" si="13"/>
        <v>9598.2985699953078</v>
      </c>
      <c r="BR57" s="15">
        <f t="shared" si="52"/>
        <v>9.2976286848934251</v>
      </c>
      <c r="BT57" s="49">
        <f t="shared" si="53"/>
        <v>30.150686958723696</v>
      </c>
      <c r="BU57" s="46">
        <f t="shared" si="54"/>
        <v>29.770309931630972</v>
      </c>
      <c r="BV57" s="46">
        <f>SUMPRODUCT(BU58:BU$605, $I58:$I$605) / $I57</f>
        <v>2818.709080523894</v>
      </c>
      <c r="BX57" s="46">
        <f>-BZ57*Others!$Q$43</f>
        <v>-3.3951069570662149</v>
      </c>
      <c r="BZ57" s="50">
        <f t="shared" si="0"/>
        <v>13.262136551039902</v>
      </c>
      <c r="CA57" s="46">
        <f t="shared" si="55"/>
        <v>9.8670295939736867</v>
      </c>
      <c r="CB57" s="46">
        <f t="shared" si="14"/>
        <v>9.8670295939736867</v>
      </c>
      <c r="CD57" s="46">
        <f>SUMPRODUCT(BZ58:BZ$605, $I58:$I$605) / $I57</f>
        <v>2518.5479936004867</v>
      </c>
      <c r="CE57" s="46">
        <f>SUMPRODUCT(CA58:CA$605, $I58:$I$605) / $I57</f>
        <v>1873.7997072387598</v>
      </c>
      <c r="CF57" s="46">
        <f>SUMPRODUCT(CB58:CB$605, $I58:$I$605) / $I57</f>
        <v>1873.7997072387598</v>
      </c>
      <c r="CH57" s="46">
        <f t="shared" si="15"/>
        <v>37273.821179398423</v>
      </c>
      <c r="CI57" s="46">
        <f t="shared" si="16"/>
        <v>0</v>
      </c>
      <c r="CK57" s="46">
        <f>NPV((1+CK$3)^(1/12)-1,$CB$6:$CB57)+$CB$5</f>
        <v>-396.80446288650415</v>
      </c>
      <c r="CL57" s="46">
        <f>NPV((1+CL$3)^(1/12)-1,$CB$6:$CB57)+$CB$5</f>
        <v>-412.27332452371428</v>
      </c>
      <c r="CM57" s="46">
        <f>NPV((1+CM$3)^(1/12)-1,$CB$6:$CB57)+$CB$5</f>
        <v>-446.04490002939281</v>
      </c>
      <c r="CN57" s="46">
        <f>NPV((1+CN$3)^(1/12)-1,$CB$6:$CB57)+$CB$5</f>
        <v>-446.04490002939281</v>
      </c>
    </row>
    <row r="58" spans="1:92" x14ac:dyDescent="0.25">
      <c r="A58" s="61">
        <f t="shared" si="1"/>
        <v>4.4166666666666679</v>
      </c>
      <c r="B58" s="32">
        <f t="shared" si="56"/>
        <v>5</v>
      </c>
      <c r="C58" s="62">
        <f t="shared" si="17"/>
        <v>5</v>
      </c>
      <c r="D58" s="64">
        <f t="shared" si="18"/>
        <v>4.9166666666666679</v>
      </c>
      <c r="E58" s="28">
        <f t="shared" si="2"/>
        <v>4</v>
      </c>
      <c r="G58" s="68">
        <f>INDEX(Others!$D$11:$E$60, MATCH(C58, Others!$A$11:$A$60, 0), MATCH(G$3, Others!$D$10:$E$10, 0))</f>
        <v>3.7831057328246098E-2</v>
      </c>
      <c r="H58" s="16">
        <f t="shared" si="57"/>
        <v>3.099210455032253E-3</v>
      </c>
      <c r="I58" s="69">
        <f t="shared" si="58"/>
        <v>0.87277363074687753</v>
      </c>
      <c r="K58" s="80">
        <f>INDEX(Mortality!$B$7:$F$32, MATCH( E58,Mortality!$A$7:$A$32, 0), MATCH( K$3,Mortality!$B$6:$F$6,0))</f>
        <v>0.33599999999999997</v>
      </c>
      <c r="L58" s="11">
        <f t="shared" si="3"/>
        <v>0</v>
      </c>
      <c r="M58" s="80">
        <f t="shared" si="21"/>
        <v>0.33599999999999997</v>
      </c>
      <c r="N58" s="76">
        <f>INDEX(Myopia!$H:$H, MATCH(E58, Myopia!$A:$A, 0)) * Trend_Factor^(A58)</f>
        <v>6.1319328784822247</v>
      </c>
      <c r="O58" s="11">
        <f t="shared" si="4"/>
        <v>0</v>
      </c>
      <c r="P58" s="80">
        <f t="shared" si="22"/>
        <v>6.1319328784822247</v>
      </c>
      <c r="Q58" s="76">
        <f>VLOOKUP(C58,Others!$L$10:$M$61,2)</f>
        <v>0</v>
      </c>
      <c r="R58" s="11">
        <f t="shared" si="5"/>
        <v>0</v>
      </c>
      <c r="S58" s="80">
        <f t="shared" si="23"/>
        <v>0</v>
      </c>
      <c r="T58" s="78">
        <f t="shared" si="24"/>
        <v>2.8E-5</v>
      </c>
      <c r="U58" s="81">
        <f t="shared" si="25"/>
        <v>5.1099440654018538E-4</v>
      </c>
      <c r="V58" s="81">
        <f t="shared" si="26"/>
        <v>0</v>
      </c>
      <c r="W58" s="77">
        <f t="shared" si="6"/>
        <v>0.98685195358166766</v>
      </c>
      <c r="X58" s="82">
        <f t="shared" si="27"/>
        <v>2.7624794838689605E-5</v>
      </c>
      <c r="Y58" s="82">
        <f t="shared" si="28"/>
        <v>5.0426876850188983E-4</v>
      </c>
      <c r="Z58" s="82">
        <f t="shared" si="29"/>
        <v>0</v>
      </c>
      <c r="AA58" s="82">
        <f t="shared" si="30"/>
        <v>0.98632006001832706</v>
      </c>
      <c r="AC58" s="46">
        <f t="shared" si="7"/>
        <v>0</v>
      </c>
      <c r="AD58" s="15">
        <f t="shared" si="31"/>
        <v>0</v>
      </c>
      <c r="AE58" s="46">
        <f t="shared" si="32"/>
        <v>0</v>
      </c>
      <c r="AF58" s="15">
        <f t="shared" si="33"/>
        <v>0</v>
      </c>
      <c r="AG58" s="46">
        <f>SUMPRODUCT(AE59:AE$605, $I58:$I$604) / $I58</f>
        <v>0</v>
      </c>
      <c r="AI58" s="46">
        <f t="shared" si="8"/>
        <v>-47000</v>
      </c>
      <c r="AJ58" s="46">
        <f>IF(E58&gt;Mat_Year,0,  -SUM($AD$5:AD58))</f>
        <v>-9306</v>
      </c>
      <c r="AK58" s="24">
        <f t="shared" si="34"/>
        <v>-0.25707634076884545</v>
      </c>
      <c r="AL58" s="79">
        <f t="shared" si="35"/>
        <v>-23.700632119588821</v>
      </c>
      <c r="AM58" s="24">
        <f t="shared" si="36"/>
        <v>-24.276902298673949</v>
      </c>
      <c r="AN58" s="79">
        <f t="shared" si="37"/>
        <v>-23.957708460357665</v>
      </c>
      <c r="AO58" s="15">
        <f t="shared" si="38"/>
        <v>-6912.7773940696243</v>
      </c>
      <c r="AP58" s="46">
        <f>SUMPRODUCT(AN59:AN$605, $I59:$I$605) / $I58</f>
        <v>-6821.8878760127982</v>
      </c>
      <c r="AR58" s="46">
        <v>0</v>
      </c>
      <c r="AS58" s="46">
        <v>0</v>
      </c>
      <c r="AT58" s="46">
        <v>0</v>
      </c>
      <c r="AU58" s="95">
        <f t="shared" si="9"/>
        <v>-1.8492711030980022</v>
      </c>
      <c r="AV58" s="47">
        <f t="shared" si="10"/>
        <v>0</v>
      </c>
      <c r="AW58" s="96">
        <f t="shared" si="59"/>
        <v>-1.8492711030980022</v>
      </c>
      <c r="AX58" s="95">
        <f t="shared" si="11"/>
        <v>-21.204975315523757</v>
      </c>
      <c r="AY58" s="11">
        <f t="shared" si="12"/>
        <v>0</v>
      </c>
      <c r="AZ58" s="96">
        <f t="shared" si="60"/>
        <v>-21.204975315523757</v>
      </c>
      <c r="BA58" s="95">
        <f t="shared" si="61"/>
        <v>-1.824956800794389</v>
      </c>
      <c r="BB58" s="64">
        <f t="shared" si="62"/>
        <v>-1.127878988112296E-2</v>
      </c>
      <c r="BC58" s="95">
        <f t="shared" si="63"/>
        <v>-1.8492711030980022</v>
      </c>
      <c r="BD58" s="96">
        <f t="shared" si="64"/>
        <v>-1.1429059688424253E-2</v>
      </c>
      <c r="BE58" s="96">
        <f t="shared" si="65"/>
        <v>-1.824956800794389</v>
      </c>
      <c r="BF58" s="96">
        <f t="shared" si="66"/>
        <v>-1.127878988112296E-2</v>
      </c>
      <c r="BG58" s="15">
        <f t="shared" si="47"/>
        <v>-257.38889859749787</v>
      </c>
      <c r="BH58" s="46">
        <f>(SUMPRODUCT(BE59:BE$605,$I58:$I$604)+SUMPRODUCT(BF59:BF$605,$I59:$I$605)) / $I58</f>
        <v>-254.00473741117455</v>
      </c>
      <c r="BJ58" s="46">
        <f t="shared" si="67"/>
        <v>-1.824956800794389</v>
      </c>
      <c r="BK58" s="46">
        <f t="shared" si="68"/>
        <v>-23.968987250238786</v>
      </c>
      <c r="BM58" s="49">
        <f t="shared" si="50"/>
        <v>7174.032953656535</v>
      </c>
      <c r="BN58" s="46">
        <f t="shared" si="69"/>
        <v>7075.89261342397</v>
      </c>
      <c r="BP58" s="46">
        <f>Reserve!BX58</f>
        <v>9721.9878027733848</v>
      </c>
      <c r="BQ58" s="46">
        <f t="shared" si="13"/>
        <v>9588.9915931288888</v>
      </c>
      <c r="BR58" s="15">
        <f t="shared" si="52"/>
        <v>9.3069768664190633</v>
      </c>
      <c r="BT58" s="49">
        <f t="shared" si="53"/>
        <v>30.137743807984769</v>
      </c>
      <c r="BU58" s="46">
        <f t="shared" si="54"/>
        <v>29.741491353453579</v>
      </c>
      <c r="BV58" s="46">
        <f>SUMPRODUCT(BU59:BU$605, $I59:$I$605) / $I58</f>
        <v>2797.7033618224941</v>
      </c>
      <c r="BX58" s="46">
        <f>-BZ58*Others!$Q$43</f>
        <v>-3.3931581872229035</v>
      </c>
      <c r="BZ58" s="50">
        <f t="shared" si="0"/>
        <v>13.254524168839467</v>
      </c>
      <c r="CA58" s="46">
        <f t="shared" si="55"/>
        <v>9.8613659816165633</v>
      </c>
      <c r="CB58" s="46">
        <f t="shared" si="14"/>
        <v>9.8613659816165633</v>
      </c>
      <c r="CD58" s="46">
        <f>SUMPRODUCT(BZ59:BZ$605, $I59:$I$605) / $I58</f>
        <v>2513.0989797049142</v>
      </c>
      <c r="CE58" s="46">
        <f>SUMPRODUCT(CA59:CA$605, $I59:$I$605) / $I58</f>
        <v>1869.745640900454</v>
      </c>
      <c r="CF58" s="46">
        <f>SUMPRODUCT(CB59:CB$605, $I59:$I$605) / $I58</f>
        <v>1869.745640900454</v>
      </c>
      <c r="CH58" s="46">
        <f t="shared" si="15"/>
        <v>37278.012197226613</v>
      </c>
      <c r="CI58" s="46">
        <f t="shared" si="16"/>
        <v>0</v>
      </c>
      <c r="CK58" s="46">
        <f>NPV((1+CK$3)^(1/12)-1,$CB$6:$CB58)+$CB$5</f>
        <v>-388.15001565060345</v>
      </c>
      <c r="CL58" s="46">
        <f>NPV((1+CL$3)^(1/12)-1,$CB$6:$CB58)+$CB$5</f>
        <v>-404.32361965170026</v>
      </c>
      <c r="CM58" s="46">
        <f>NPV((1+CM$3)^(1/12)-1,$CB$6:$CB58)+$CB$5</f>
        <v>-439.57169468309689</v>
      </c>
      <c r="CN58" s="46">
        <f>NPV((1+CN$3)^(1/12)-1,$CB$6:$CB58)+$CB$5</f>
        <v>-439.57169468309689</v>
      </c>
    </row>
    <row r="59" spans="1:92" x14ac:dyDescent="0.25">
      <c r="A59" s="61">
        <f t="shared" si="1"/>
        <v>4.5000000000000009</v>
      </c>
      <c r="B59" s="32">
        <f t="shared" si="56"/>
        <v>6</v>
      </c>
      <c r="C59" s="62">
        <f t="shared" si="17"/>
        <v>5</v>
      </c>
      <c r="D59" s="64">
        <f t="shared" si="18"/>
        <v>5.0000000000000009</v>
      </c>
      <c r="E59" s="28">
        <f t="shared" si="2"/>
        <v>5</v>
      </c>
      <c r="G59" s="68">
        <f>INDEX(Others!$D$11:$E$60, MATCH(C59, Others!$A$11:$A$60, 0), MATCH(G$3, Others!$D$10:$E$10, 0))</f>
        <v>3.7831057328246098E-2</v>
      </c>
      <c r="H59" s="16">
        <f t="shared" si="57"/>
        <v>3.099210455032253E-3</v>
      </c>
      <c r="I59" s="69">
        <f t="shared" si="58"/>
        <v>0.87007707876767681</v>
      </c>
      <c r="K59" s="80">
        <f>INDEX(Mortality!$B$7:$F$32, MATCH( E59,Mortality!$A$7:$A$32, 0), MATCH( K$3,Mortality!$B$6:$F$6,0))</f>
        <v>0.33799999999999997</v>
      </c>
      <c r="L59" s="11">
        <f t="shared" si="3"/>
        <v>0</v>
      </c>
      <c r="M59" s="80">
        <f t="shared" si="21"/>
        <v>0.33799999999999997</v>
      </c>
      <c r="N59" s="76">
        <f>INDEX(Myopia!$H:$H, MATCH(E59, Myopia!$A:$A, 0)) * Trend_Factor^(A59)</f>
        <v>6.0945614368278163</v>
      </c>
      <c r="O59" s="11">
        <f t="shared" si="4"/>
        <v>0</v>
      </c>
      <c r="P59" s="80">
        <f t="shared" si="22"/>
        <v>6.0945614368278163</v>
      </c>
      <c r="Q59" s="76">
        <f>VLOOKUP(C59,Others!$L$10:$M$61,2)</f>
        <v>0</v>
      </c>
      <c r="R59" s="11">
        <f t="shared" si="5"/>
        <v>0</v>
      </c>
      <c r="S59" s="80">
        <f t="shared" si="23"/>
        <v>0</v>
      </c>
      <c r="T59" s="78">
        <f t="shared" si="24"/>
        <v>2.8166666666666666E-5</v>
      </c>
      <c r="U59" s="81">
        <f t="shared" si="25"/>
        <v>5.0788011973565135E-4</v>
      </c>
      <c r="V59" s="81">
        <f t="shared" si="26"/>
        <v>0</v>
      </c>
      <c r="W59" s="77">
        <f t="shared" si="6"/>
        <v>0.98632006001832706</v>
      </c>
      <c r="X59" s="82">
        <f t="shared" si="27"/>
        <v>2.7774293559917845E-5</v>
      </c>
      <c r="Y59" s="82">
        <f t="shared" si="28"/>
        <v>5.0092529538251775E-4</v>
      </c>
      <c r="Z59" s="82">
        <f t="shared" si="29"/>
        <v>0</v>
      </c>
      <c r="AA59" s="82">
        <f t="shared" si="30"/>
        <v>0.98579136042938464</v>
      </c>
      <c r="AC59" s="46">
        <f t="shared" si="7"/>
        <v>0</v>
      </c>
      <c r="AD59" s="15">
        <f t="shared" si="31"/>
        <v>0</v>
      </c>
      <c r="AE59" s="46">
        <f t="shared" si="32"/>
        <v>0</v>
      </c>
      <c r="AF59" s="15">
        <f t="shared" si="33"/>
        <v>0</v>
      </c>
      <c r="AG59" s="46">
        <f>SUMPRODUCT(AE60:AE$605, $I59:$I$604) / $I59</f>
        <v>0</v>
      </c>
      <c r="AI59" s="46">
        <f t="shared" si="8"/>
        <v>-47000</v>
      </c>
      <c r="AJ59" s="46">
        <f>IF(E59&gt;Mat_Year,0,  -SUM($AD$5:AD59))</f>
        <v>-9306</v>
      </c>
      <c r="AK59" s="24">
        <f t="shared" si="34"/>
        <v>-0.25846757586859548</v>
      </c>
      <c r="AL59" s="79">
        <f t="shared" si="35"/>
        <v>-23.543488882978334</v>
      </c>
      <c r="AM59" s="24">
        <f t="shared" si="36"/>
        <v>-24.132081890745141</v>
      </c>
      <c r="AN59" s="79">
        <f t="shared" si="37"/>
        <v>-23.801956458846931</v>
      </c>
      <c r="AO59" s="15">
        <f t="shared" si="38"/>
        <v>-6913.8088762542639</v>
      </c>
      <c r="AP59" s="46">
        <f>SUMPRODUCT(AN60:AN$605, $I60:$I$605) / $I59</f>
        <v>-6819.2283857823477</v>
      </c>
      <c r="AR59" s="46">
        <v>0</v>
      </c>
      <c r="AS59" s="46">
        <v>0</v>
      </c>
      <c r="AT59" s="46">
        <v>0</v>
      </c>
      <c r="AU59" s="95">
        <f t="shared" si="9"/>
        <v>-1.8513387703736277</v>
      </c>
      <c r="AV59" s="47">
        <f t="shared" si="10"/>
        <v>0</v>
      </c>
      <c r="AW59" s="96">
        <f t="shared" si="59"/>
        <v>-1.8513387703736277</v>
      </c>
      <c r="AX59" s="95">
        <f t="shared" si="11"/>
        <v>-21.228684566950928</v>
      </c>
      <c r="AY59" s="11">
        <f t="shared" si="12"/>
        <v>0</v>
      </c>
      <c r="AZ59" s="96">
        <f t="shared" si="60"/>
        <v>-21.228684566950928</v>
      </c>
      <c r="BA59" s="95">
        <f t="shared" si="61"/>
        <v>-1.8260125671091723</v>
      </c>
      <c r="BB59" s="64">
        <f t="shared" si="62"/>
        <v>-1.1223596804335583E-2</v>
      </c>
      <c r="BC59" s="95">
        <f t="shared" si="63"/>
        <v>-1.8513387703736277</v>
      </c>
      <c r="BD59" s="96">
        <f t="shared" si="64"/>
        <v>-1.137926445917265E-2</v>
      </c>
      <c r="BE59" s="96">
        <f t="shared" si="65"/>
        <v>-1.8260125671091723</v>
      </c>
      <c r="BF59" s="96">
        <f t="shared" si="66"/>
        <v>-1.1223596804335583E-2</v>
      </c>
      <c r="BG59" s="15">
        <f t="shared" si="47"/>
        <v>-256.45737772294154</v>
      </c>
      <c r="BH59" s="46">
        <f>(SUMPRODUCT(BE60:BE$605,$I59:$I$604)+SUMPRODUCT(BF60:BF$605,$I60:$I$605)) / $I59</f>
        <v>-252.94905618783449</v>
      </c>
      <c r="BJ59" s="46">
        <f t="shared" si="67"/>
        <v>-1.8260125671091723</v>
      </c>
      <c r="BK59" s="46">
        <f t="shared" si="68"/>
        <v>-23.813180055651266</v>
      </c>
      <c r="BM59" s="49">
        <f t="shared" si="50"/>
        <v>7174.1118109309928</v>
      </c>
      <c r="BN59" s="46">
        <f t="shared" si="69"/>
        <v>7072.1774419701796</v>
      </c>
      <c r="BP59" s="46">
        <f>Reserve!BX59</f>
        <v>9717.9311337461604</v>
      </c>
      <c r="BQ59" s="46">
        <f t="shared" si="13"/>
        <v>9579.8525528946993</v>
      </c>
      <c r="BR59" s="15">
        <f t="shared" si="52"/>
        <v>9.1390402341894514</v>
      </c>
      <c r="BT59" s="49">
        <f t="shared" si="53"/>
        <v>30.124748553578367</v>
      </c>
      <c r="BU59" s="46">
        <f t="shared" si="54"/>
        <v>29.712643801402425</v>
      </c>
      <c r="BV59" s="46">
        <f>SUMPRODUCT(BU60:BU$605, $I60:$I$605) / $I59</f>
        <v>2776.6613895301311</v>
      </c>
      <c r="BX59" s="46">
        <f>-BZ59*Others!$Q$43</f>
        <v>-3.3823978016848488</v>
      </c>
      <c r="BZ59" s="50">
        <f t="shared" si="0"/>
        <v>13.21249141283144</v>
      </c>
      <c r="CA59" s="46">
        <f t="shared" si="55"/>
        <v>9.8300936111465909</v>
      </c>
      <c r="CB59" s="46">
        <f t="shared" si="14"/>
        <v>9.8300936111465909</v>
      </c>
      <c r="CD59" s="46">
        <f>SUMPRODUCT(BZ60:BZ$605, $I60:$I$605) / $I59</f>
        <v>2507.6751109245151</v>
      </c>
      <c r="CE59" s="46">
        <f>SUMPRODUCT(CA60:CA$605, $I60:$I$605) / $I59</f>
        <v>1865.7102825278373</v>
      </c>
      <c r="CF59" s="46">
        <f>SUMPRODUCT(CB60:CB$605, $I60:$I$605) / $I59</f>
        <v>1865.7102825278373</v>
      </c>
      <c r="CH59" s="46">
        <f t="shared" si="15"/>
        <v>37282.068866253838</v>
      </c>
      <c r="CI59" s="46">
        <f t="shared" si="16"/>
        <v>0</v>
      </c>
      <c r="CK59" s="46">
        <f>NPV((1+CK$3)^(1/12)-1,$CB$6:$CB59)+$CB$5</f>
        <v>-379.54423757396768</v>
      </c>
      <c r="CL59" s="46">
        <f>NPV((1+CL$3)^(1/12)-1,$CB$6:$CB59)+$CB$5</f>
        <v>-396.43127926084759</v>
      </c>
      <c r="CM59" s="46">
        <f>NPV((1+CM$3)^(1/12)-1,$CB$6:$CB59)+$CB$5</f>
        <v>-433.1700646666975</v>
      </c>
      <c r="CN59" s="46">
        <f>NPV((1+CN$3)^(1/12)-1,$CB$6:$CB59)+$CB$5</f>
        <v>-433.1700646666975</v>
      </c>
    </row>
    <row r="60" spans="1:92" x14ac:dyDescent="0.25">
      <c r="A60" s="61">
        <f t="shared" si="1"/>
        <v>4.5833333333333339</v>
      </c>
      <c r="B60" s="32">
        <f t="shared" si="56"/>
        <v>7</v>
      </c>
      <c r="C60" s="62">
        <f t="shared" si="17"/>
        <v>5</v>
      </c>
      <c r="D60" s="64">
        <f t="shared" si="18"/>
        <v>5.0833333333333339</v>
      </c>
      <c r="E60" s="28">
        <f t="shared" si="2"/>
        <v>5</v>
      </c>
      <c r="G60" s="68">
        <f>INDEX(Others!$D$11:$E$60, MATCH(C60, Others!$A$11:$A$60, 0), MATCH(G$3, Others!$D$10:$E$10, 0))</f>
        <v>3.7831057328246098E-2</v>
      </c>
      <c r="H60" s="16">
        <f t="shared" si="57"/>
        <v>3.099210455032253E-3</v>
      </c>
      <c r="I60" s="69">
        <f t="shared" si="58"/>
        <v>0.86738885814992006</v>
      </c>
      <c r="K60" s="80">
        <f>INDEX(Mortality!$B$7:$F$32, MATCH( E60,Mortality!$A$7:$A$32, 0), MATCH( K$3,Mortality!$B$6:$F$6,0))</f>
        <v>0.33799999999999997</v>
      </c>
      <c r="L60" s="11">
        <f t="shared" si="3"/>
        <v>0</v>
      </c>
      <c r="M60" s="80">
        <f t="shared" si="21"/>
        <v>0.33799999999999997</v>
      </c>
      <c r="N60" s="76">
        <f>INDEX(Myopia!$H:$H, MATCH(E60, Myopia!$A:$A, 0)) * Trend_Factor^(A60)</f>
        <v>6.0945614368278163</v>
      </c>
      <c r="O60" s="11">
        <f t="shared" si="4"/>
        <v>0</v>
      </c>
      <c r="P60" s="80">
        <f t="shared" si="22"/>
        <v>6.0945614368278163</v>
      </c>
      <c r="Q60" s="76">
        <f>VLOOKUP(C60,Others!$L$10:$M$61,2)</f>
        <v>0</v>
      </c>
      <c r="R60" s="11">
        <f t="shared" si="5"/>
        <v>0</v>
      </c>
      <c r="S60" s="80">
        <f t="shared" si="23"/>
        <v>0</v>
      </c>
      <c r="T60" s="78">
        <f t="shared" si="24"/>
        <v>2.8166666666666666E-5</v>
      </c>
      <c r="U60" s="81">
        <f t="shared" si="25"/>
        <v>5.0788011973565135E-4</v>
      </c>
      <c r="V60" s="81">
        <f t="shared" si="26"/>
        <v>0</v>
      </c>
      <c r="W60" s="77">
        <f t="shared" si="6"/>
        <v>0.98579136042938464</v>
      </c>
      <c r="X60" s="82">
        <f t="shared" si="27"/>
        <v>2.7759405636429786E-5</v>
      </c>
      <c r="Y60" s="82">
        <f t="shared" si="28"/>
        <v>5.0065678315358195E-4</v>
      </c>
      <c r="Z60" s="82">
        <f t="shared" si="29"/>
        <v>0</v>
      </c>
      <c r="AA60" s="82">
        <f t="shared" si="30"/>
        <v>0.98526294424059468</v>
      </c>
      <c r="AC60" s="46">
        <f t="shared" si="7"/>
        <v>0</v>
      </c>
      <c r="AD60" s="15">
        <f t="shared" si="31"/>
        <v>0</v>
      </c>
      <c r="AE60" s="46">
        <f t="shared" si="32"/>
        <v>0</v>
      </c>
      <c r="AF60" s="15">
        <f t="shared" si="33"/>
        <v>0</v>
      </c>
      <c r="AG60" s="46">
        <f>SUMPRODUCT(AE61:AE$605, $I60:$I$604) / $I60</f>
        <v>0</v>
      </c>
      <c r="AI60" s="46">
        <f t="shared" si="8"/>
        <v>-47000</v>
      </c>
      <c r="AJ60" s="46">
        <f>IF(E60&gt;Mat_Year,0,  -SUM($AD$5:AD60))</f>
        <v>-9306</v>
      </c>
      <c r="AK60" s="24">
        <f t="shared" si="34"/>
        <v>-0.25832902885261561</v>
      </c>
      <c r="AL60" s="79">
        <f t="shared" si="35"/>
        <v>-23.530868808218351</v>
      </c>
      <c r="AM60" s="24">
        <f t="shared" si="36"/>
        <v>-24.132081890745138</v>
      </c>
      <c r="AN60" s="79">
        <f t="shared" si="37"/>
        <v>-23.789197837070965</v>
      </c>
      <c r="AO60" s="15">
        <f t="shared" si="38"/>
        <v>-6914.8236487735367</v>
      </c>
      <c r="AP60" s="46">
        <f>SUMPRODUCT(AN61:AN$605, $I61:$I$605) / $I60</f>
        <v>-6816.5734118537457</v>
      </c>
      <c r="AR60" s="46">
        <v>0</v>
      </c>
      <c r="AS60" s="46">
        <v>0</v>
      </c>
      <c r="AT60" s="46">
        <v>0</v>
      </c>
      <c r="AU60" s="95">
        <f t="shared" si="9"/>
        <v>-1.8534087495049651</v>
      </c>
      <c r="AV60" s="47">
        <f t="shared" si="10"/>
        <v>0</v>
      </c>
      <c r="AW60" s="96">
        <f t="shared" si="59"/>
        <v>-1.8534087495049651</v>
      </c>
      <c r="AX60" s="95">
        <f t="shared" si="11"/>
        <v>-21.252420327656932</v>
      </c>
      <c r="AY60" s="11">
        <f t="shared" si="12"/>
        <v>0</v>
      </c>
      <c r="AZ60" s="96">
        <f t="shared" si="60"/>
        <v>-21.252420327656932</v>
      </c>
      <c r="BA60" s="95">
        <f t="shared" si="61"/>
        <v>-1.8270743326062242</v>
      </c>
      <c r="BB60" s="64">
        <f t="shared" si="62"/>
        <v>-1.1230122952103848E-2</v>
      </c>
      <c r="BC60" s="95">
        <f t="shared" si="63"/>
        <v>-1.8534087495049651</v>
      </c>
      <c r="BD60" s="96">
        <f t="shared" si="64"/>
        <v>-1.1391987597874973E-2</v>
      </c>
      <c r="BE60" s="96">
        <f t="shared" si="65"/>
        <v>-1.8270743326062242</v>
      </c>
      <c r="BF60" s="96">
        <f t="shared" si="66"/>
        <v>-1.1230122952103848E-2</v>
      </c>
      <c r="BG60" s="15">
        <f t="shared" si="47"/>
        <v>-255.51961775584451</v>
      </c>
      <c r="BH60" s="46">
        <f>(SUMPRODUCT(BE61:BE$605,$I60:$I$604)+SUMPRODUCT(BF61:BF$605,$I61:$I$605)) / $I60</f>
        <v>-251.88903160393031</v>
      </c>
      <c r="BJ60" s="46">
        <f t="shared" si="67"/>
        <v>-1.8270743326062242</v>
      </c>
      <c r="BK60" s="46">
        <f t="shared" si="68"/>
        <v>-23.800427960023068</v>
      </c>
      <c r="BM60" s="49">
        <f t="shared" si="50"/>
        <v>7174.188864786538</v>
      </c>
      <c r="BN60" s="46">
        <f t="shared" si="69"/>
        <v>7068.4624434576745</v>
      </c>
      <c r="BP60" s="46">
        <f>Reserve!BX60</f>
        <v>9713.8580113930002</v>
      </c>
      <c r="BQ60" s="46">
        <f t="shared" si="13"/>
        <v>9570.7043442401555</v>
      </c>
      <c r="BR60" s="15">
        <f t="shared" si="52"/>
        <v>9.1482086545438506</v>
      </c>
      <c r="BT60" s="49">
        <f t="shared" si="53"/>
        <v>30.112169667215618</v>
      </c>
      <c r="BU60" s="46">
        <f t="shared" si="54"/>
        <v>29.684316701724935</v>
      </c>
      <c r="BV60" s="46">
        <f>SUMPRODUCT(BU61:BU$605, $I61:$I$605) / $I60</f>
        <v>2755.5825308369226</v>
      </c>
      <c r="BX60" s="46">
        <f>-BZ60*Others!$Q$43</f>
        <v>-3.3804859042917106</v>
      </c>
      <c r="BZ60" s="50">
        <f t="shared" si="0"/>
        <v>13.205023063639494</v>
      </c>
      <c r="CA60" s="46">
        <f t="shared" si="55"/>
        <v>9.8245371593477842</v>
      </c>
      <c r="CB60" s="46">
        <f t="shared" si="14"/>
        <v>9.8245371593477842</v>
      </c>
      <c r="CD60" s="46">
        <f>SUMPRODUCT(BZ61:BZ$605, $I61:$I$605) / $I60</f>
        <v>2502.2419007824778</v>
      </c>
      <c r="CE60" s="46">
        <f>SUMPRODUCT(CA61:CA$605, $I61:$I$605) / $I60</f>
        <v>1861.6679741821611</v>
      </c>
      <c r="CF60" s="46">
        <f>SUMPRODUCT(CB61:CB$605, $I61:$I$605) / $I60</f>
        <v>1861.6679741821611</v>
      </c>
      <c r="CH60" s="46">
        <f t="shared" si="15"/>
        <v>37286.141988607</v>
      </c>
      <c r="CI60" s="46">
        <f t="shared" si="16"/>
        <v>0</v>
      </c>
      <c r="CK60" s="46">
        <f>NPV((1+CK$3)^(1/12)-1,$CB$6:$CB60)+$CB$5</f>
        <v>-370.96448389300491</v>
      </c>
      <c r="CL60" s="46">
        <f>NPV((1+CL$3)^(1/12)-1,$CB$6:$CB60)+$CB$5</f>
        <v>-388.57540580935427</v>
      </c>
      <c r="CM60" s="46">
        <f>NPV((1+CM$3)^(1/12)-1,$CB$6:$CB60)+$CB$5</f>
        <v>-426.82266819686299</v>
      </c>
      <c r="CN60" s="46">
        <f>NPV((1+CN$3)^(1/12)-1,$CB$6:$CB60)+$CB$5</f>
        <v>-426.82266819686299</v>
      </c>
    </row>
    <row r="61" spans="1:92" x14ac:dyDescent="0.25">
      <c r="A61" s="61">
        <f t="shared" si="1"/>
        <v>4.666666666666667</v>
      </c>
      <c r="B61" s="32">
        <f t="shared" si="56"/>
        <v>8</v>
      </c>
      <c r="C61" s="62">
        <f t="shared" si="17"/>
        <v>5</v>
      </c>
      <c r="D61" s="64">
        <f t="shared" si="18"/>
        <v>5.166666666666667</v>
      </c>
      <c r="E61" s="28">
        <f t="shared" si="2"/>
        <v>5</v>
      </c>
      <c r="G61" s="68">
        <f>INDEX(Others!$D$11:$E$60, MATCH(C61, Others!$A$11:$A$60, 0), MATCH(G$3, Others!$D$10:$E$10, 0))</f>
        <v>3.7831057328246098E-2</v>
      </c>
      <c r="H61" s="16">
        <f t="shared" si="57"/>
        <v>3.099210455032253E-3</v>
      </c>
      <c r="I61" s="69">
        <f t="shared" si="58"/>
        <v>0.86470894315274116</v>
      </c>
      <c r="K61" s="80">
        <f>INDEX(Mortality!$B$7:$F$32, MATCH( E61,Mortality!$A$7:$A$32, 0), MATCH( K$3,Mortality!$B$6:$F$6,0))</f>
        <v>0.33799999999999997</v>
      </c>
      <c r="L61" s="11">
        <f t="shared" si="3"/>
        <v>0</v>
      </c>
      <c r="M61" s="80">
        <f t="shared" si="21"/>
        <v>0.33799999999999997</v>
      </c>
      <c r="N61" s="76">
        <f>INDEX(Myopia!$H:$H, MATCH(E61, Myopia!$A:$A, 0)) * Trend_Factor^(A61)</f>
        <v>6.0945614368278163</v>
      </c>
      <c r="O61" s="11">
        <f t="shared" si="4"/>
        <v>0</v>
      </c>
      <c r="P61" s="80">
        <f t="shared" si="22"/>
        <v>6.0945614368278163</v>
      </c>
      <c r="Q61" s="76">
        <f>VLOOKUP(C61,Others!$L$10:$M$61,2)</f>
        <v>0</v>
      </c>
      <c r="R61" s="11">
        <f t="shared" si="5"/>
        <v>0</v>
      </c>
      <c r="S61" s="80">
        <f t="shared" si="23"/>
        <v>0</v>
      </c>
      <c r="T61" s="78">
        <f t="shared" si="24"/>
        <v>2.8166666666666666E-5</v>
      </c>
      <c r="U61" s="81">
        <f t="shared" si="25"/>
        <v>5.0788011973565135E-4</v>
      </c>
      <c r="V61" s="81">
        <f t="shared" si="26"/>
        <v>0</v>
      </c>
      <c r="W61" s="77">
        <f t="shared" si="6"/>
        <v>0.98526294424059468</v>
      </c>
      <c r="X61" s="82">
        <f t="shared" si="27"/>
        <v>2.7744525693352287E-5</v>
      </c>
      <c r="Y61" s="82">
        <f t="shared" si="28"/>
        <v>5.0038841485592245E-4</v>
      </c>
      <c r="Z61" s="82">
        <f t="shared" si="29"/>
        <v>0</v>
      </c>
      <c r="AA61" s="82">
        <f t="shared" si="30"/>
        <v>0.98473481130004537</v>
      </c>
      <c r="AC61" s="46">
        <f t="shared" si="7"/>
        <v>0</v>
      </c>
      <c r="AD61" s="15">
        <f t="shared" si="31"/>
        <v>0</v>
      </c>
      <c r="AE61" s="46">
        <f t="shared" si="32"/>
        <v>0</v>
      </c>
      <c r="AF61" s="15">
        <f t="shared" si="33"/>
        <v>0</v>
      </c>
      <c r="AG61" s="46">
        <f>SUMPRODUCT(AE62:AE$605, $I61:$I$604) / $I61</f>
        <v>0</v>
      </c>
      <c r="AI61" s="46">
        <f t="shared" si="8"/>
        <v>-47000</v>
      </c>
      <c r="AJ61" s="46">
        <f>IF(E61&gt;Mat_Year,0,  -SUM($AD$5:AD61))</f>
        <v>-9306</v>
      </c>
      <c r="AK61" s="24">
        <f t="shared" si="34"/>
        <v>-0.25819055610233638</v>
      </c>
      <c r="AL61" s="79">
        <f t="shared" si="35"/>
        <v>-23.518255498228356</v>
      </c>
      <c r="AM61" s="24">
        <f t="shared" si="36"/>
        <v>-24.132081890745138</v>
      </c>
      <c r="AN61" s="79">
        <f t="shared" si="37"/>
        <v>-23.776446054330691</v>
      </c>
      <c r="AO61" s="15">
        <f t="shared" si="38"/>
        <v>-6915.8421122158961</v>
      </c>
      <c r="AP61" s="46">
        <f>SUMPRODUCT(AN62:AN$605, $I62:$I$605) / $I61</f>
        <v>-6813.9229613849275</v>
      </c>
      <c r="AR61" s="46">
        <v>0</v>
      </c>
      <c r="AS61" s="46">
        <v>0</v>
      </c>
      <c r="AT61" s="46">
        <v>0</v>
      </c>
      <c r="AU61" s="95">
        <f t="shared" si="9"/>
        <v>-1.8554810430768973</v>
      </c>
      <c r="AV61" s="47">
        <f t="shared" si="10"/>
        <v>0</v>
      </c>
      <c r="AW61" s="96">
        <f t="shared" si="59"/>
        <v>-1.8554810430768973</v>
      </c>
      <c r="AX61" s="95">
        <f t="shared" si="11"/>
        <v>-21.276182627281752</v>
      </c>
      <c r="AY61" s="11">
        <f t="shared" si="12"/>
        <v>0</v>
      </c>
      <c r="AZ61" s="96">
        <f t="shared" si="60"/>
        <v>-21.276182627281752</v>
      </c>
      <c r="BA61" s="95">
        <f t="shared" si="61"/>
        <v>-1.8281367154845536</v>
      </c>
      <c r="BB61" s="64">
        <f t="shared" si="62"/>
        <v>-1.1236652894609706E-2</v>
      </c>
      <c r="BC61" s="95">
        <f t="shared" si="63"/>
        <v>-1.8554810430768973</v>
      </c>
      <c r="BD61" s="96">
        <f t="shared" si="64"/>
        <v>-1.1404724962299799E-2</v>
      </c>
      <c r="BE61" s="96">
        <f t="shared" si="65"/>
        <v>-1.8281367154845536</v>
      </c>
      <c r="BF61" s="96">
        <f t="shared" si="66"/>
        <v>-1.1236652894609706E-2</v>
      </c>
      <c r="BG61" s="15">
        <f t="shared" si="47"/>
        <v>-254.57635552173414</v>
      </c>
      <c r="BH61" s="46">
        <f>(SUMPRODUCT(BE62:BE$605,$I61:$I$604)+SUMPRODUCT(BF62:BF$605,$I62:$I$605)) / $I61</f>
        <v>-250.82464957538414</v>
      </c>
      <c r="BJ61" s="46">
        <f t="shared" si="67"/>
        <v>-1.8281367154845536</v>
      </c>
      <c r="BK61" s="46">
        <f t="shared" si="68"/>
        <v>-23.787682707225301</v>
      </c>
      <c r="BM61" s="49">
        <f t="shared" si="50"/>
        <v>7174.2641063266992</v>
      </c>
      <c r="BN61" s="46">
        <f t="shared" si="69"/>
        <v>7064.7476109603103</v>
      </c>
      <c r="BP61" s="46">
        <f>Reserve!BX61</f>
        <v>9709.7683778059818</v>
      </c>
      <c r="BQ61" s="46">
        <f t="shared" si="13"/>
        <v>9561.5469312859204</v>
      </c>
      <c r="BR61" s="15">
        <f t="shared" si="52"/>
        <v>9.157412954235042</v>
      </c>
      <c r="BT61" s="49">
        <f t="shared" si="53"/>
        <v>30.099539781360178</v>
      </c>
      <c r="BU61" s="46">
        <f t="shared" si="54"/>
        <v>29.655961185269835</v>
      </c>
      <c r="BV61" s="46">
        <f>SUMPRODUCT(BU62:BU$605, $I62:$I$605) / $I61</f>
        <v>2734.4666998409266</v>
      </c>
      <c r="BX61" s="46">
        <f>-BZ61*Others!$Q$43</f>
        <v>-3.3785740074995259</v>
      </c>
      <c r="BZ61" s="50">
        <f t="shared" si="0"/>
        <v>13.197554716795022</v>
      </c>
      <c r="CA61" s="46">
        <f t="shared" si="55"/>
        <v>9.818980709295495</v>
      </c>
      <c r="CB61" s="46">
        <f t="shared" si="14"/>
        <v>9.818980709295495</v>
      </c>
      <c r="CD61" s="46">
        <f>SUMPRODUCT(BZ62:BZ$605, $I62:$I$605) / $I61</f>
        <v>2496.7993203256074</v>
      </c>
      <c r="CE61" s="46">
        <f>SUMPRODUCT(CA62:CA$605, $I62:$I$605) / $I61</f>
        <v>1857.6186943222494</v>
      </c>
      <c r="CF61" s="46">
        <f>SUMPRODUCT(CB62:CB$605, $I62:$I$605) / $I61</f>
        <v>1857.6186943222494</v>
      </c>
      <c r="CH61" s="46">
        <f t="shared" si="15"/>
        <v>37290.23162219402</v>
      </c>
      <c r="CI61" s="46">
        <f t="shared" si="16"/>
        <v>0</v>
      </c>
      <c r="CK61" s="46">
        <f>NPV((1+CK$3)^(1/12)-1,$CB$6:$CB61)+$CB$5</f>
        <v>-362.41067864293046</v>
      </c>
      <c r="CL61" s="46">
        <f>NPV((1+CL$3)^(1/12)-1,$CB$6:$CB61)+$CB$5</f>
        <v>-380.75583329980992</v>
      </c>
      <c r="CM61" s="46">
        <f>NPV((1+CM$3)^(1/12)-1,$CB$6:$CB61)+$CB$5</f>
        <v>-420.52904782800135</v>
      </c>
      <c r="CN61" s="46">
        <f>NPV((1+CN$3)^(1/12)-1,$CB$6:$CB61)+$CB$5</f>
        <v>-420.52904782800135</v>
      </c>
    </row>
    <row r="62" spans="1:92" x14ac:dyDescent="0.25">
      <c r="A62" s="61">
        <f t="shared" si="1"/>
        <v>4.75</v>
      </c>
      <c r="B62" s="32">
        <f t="shared" si="56"/>
        <v>9</v>
      </c>
      <c r="C62" s="62">
        <f t="shared" si="17"/>
        <v>5</v>
      </c>
      <c r="D62" s="64">
        <f t="shared" si="18"/>
        <v>5.25</v>
      </c>
      <c r="E62" s="28">
        <f t="shared" si="2"/>
        <v>5</v>
      </c>
      <c r="G62" s="68">
        <f>INDEX(Others!$D$11:$E$60, MATCH(C62, Others!$A$11:$A$60, 0), MATCH(G$3, Others!$D$10:$E$10, 0))</f>
        <v>3.7831057328246098E-2</v>
      </c>
      <c r="H62" s="16">
        <f t="shared" si="57"/>
        <v>3.099210455032253E-3</v>
      </c>
      <c r="I62" s="69">
        <f t="shared" si="58"/>
        <v>0.86203730811480395</v>
      </c>
      <c r="K62" s="80">
        <f>INDEX(Mortality!$B$7:$F$32, MATCH( E62,Mortality!$A$7:$A$32, 0), MATCH( K$3,Mortality!$B$6:$F$6,0))</f>
        <v>0.33799999999999997</v>
      </c>
      <c r="L62" s="11">
        <f t="shared" si="3"/>
        <v>0</v>
      </c>
      <c r="M62" s="80">
        <f t="shared" si="21"/>
        <v>0.33799999999999997</v>
      </c>
      <c r="N62" s="76">
        <f>INDEX(Myopia!$H:$H, MATCH(E62, Myopia!$A:$A, 0)) * Trend_Factor^(A62)</f>
        <v>6.0945614368278163</v>
      </c>
      <c r="O62" s="11">
        <f t="shared" si="4"/>
        <v>0</v>
      </c>
      <c r="P62" s="80">
        <f t="shared" si="22"/>
        <v>6.0945614368278163</v>
      </c>
      <c r="Q62" s="76">
        <f>VLOOKUP(C62,Others!$L$10:$M$61,2)</f>
        <v>0</v>
      </c>
      <c r="R62" s="11">
        <f t="shared" si="5"/>
        <v>0</v>
      </c>
      <c r="S62" s="80">
        <f t="shared" si="23"/>
        <v>0</v>
      </c>
      <c r="T62" s="78">
        <f t="shared" si="24"/>
        <v>2.8166666666666666E-5</v>
      </c>
      <c r="U62" s="81">
        <f t="shared" si="25"/>
        <v>5.0788011973565135E-4</v>
      </c>
      <c r="V62" s="81">
        <f t="shared" si="26"/>
        <v>0</v>
      </c>
      <c r="W62" s="77">
        <f t="shared" si="6"/>
        <v>0.98473481130004537</v>
      </c>
      <c r="X62" s="82">
        <f t="shared" si="27"/>
        <v>2.7729653726407596E-5</v>
      </c>
      <c r="Y62" s="82">
        <f t="shared" si="28"/>
        <v>5.0012019041238741E-4</v>
      </c>
      <c r="Z62" s="82">
        <f t="shared" si="29"/>
        <v>0</v>
      </c>
      <c r="AA62" s="82">
        <f t="shared" si="30"/>
        <v>0.98420696145590658</v>
      </c>
      <c r="AC62" s="46">
        <f t="shared" si="7"/>
        <v>0</v>
      </c>
      <c r="AD62" s="15">
        <f t="shared" si="31"/>
        <v>0</v>
      </c>
      <c r="AE62" s="46">
        <f t="shared" si="32"/>
        <v>0</v>
      </c>
      <c r="AF62" s="15">
        <f t="shared" si="33"/>
        <v>0</v>
      </c>
      <c r="AG62" s="46">
        <f>SUMPRODUCT(AE63:AE$605, $I62:$I$604) / $I62</f>
        <v>0</v>
      </c>
      <c r="AI62" s="46">
        <f t="shared" si="8"/>
        <v>-47000</v>
      </c>
      <c r="AJ62" s="46">
        <f>IF(E62&gt;Mat_Year,0,  -SUM($AD$5:AD62))</f>
        <v>-9306</v>
      </c>
      <c r="AK62" s="24">
        <f t="shared" si="34"/>
        <v>-0.25805215757794908</v>
      </c>
      <c r="AL62" s="79">
        <f t="shared" si="35"/>
        <v>-23.505648949382209</v>
      </c>
      <c r="AM62" s="24">
        <f t="shared" si="36"/>
        <v>-24.132081890745141</v>
      </c>
      <c r="AN62" s="79">
        <f t="shared" si="37"/>
        <v>-23.763701106960159</v>
      </c>
      <c r="AO62" s="15">
        <f t="shared" si="38"/>
        <v>-6916.8642800059424</v>
      </c>
      <c r="AP62" s="46">
        <f>SUMPRODUCT(AN63:AN$605, $I63:$I$605) / $I62</f>
        <v>-6811.277041559676</v>
      </c>
      <c r="AR62" s="46">
        <v>0</v>
      </c>
      <c r="AS62" s="46">
        <v>0</v>
      </c>
      <c r="AT62" s="46">
        <v>0</v>
      </c>
      <c r="AU62" s="95">
        <f t="shared" si="9"/>
        <v>-1.8575556536771964</v>
      </c>
      <c r="AV62" s="47">
        <f t="shared" si="10"/>
        <v>0</v>
      </c>
      <c r="AW62" s="96">
        <f t="shared" si="59"/>
        <v>-1.8575556536771964</v>
      </c>
      <c r="AX62" s="95">
        <f t="shared" si="11"/>
        <v>-21.299971495498518</v>
      </c>
      <c r="AY62" s="11">
        <f t="shared" si="12"/>
        <v>0</v>
      </c>
      <c r="AZ62" s="96">
        <f t="shared" si="60"/>
        <v>-21.299971495498518</v>
      </c>
      <c r="BA62" s="95">
        <f t="shared" si="61"/>
        <v>-1.8291997161031464</v>
      </c>
      <c r="BB62" s="64">
        <f t="shared" si="62"/>
        <v>-1.124318663405967E-2</v>
      </c>
      <c r="BC62" s="95">
        <f t="shared" si="63"/>
        <v>-1.8575556536771964</v>
      </c>
      <c r="BD62" s="96">
        <f t="shared" si="64"/>
        <v>-1.1417476568352887E-2</v>
      </c>
      <c r="BE62" s="96">
        <f t="shared" si="65"/>
        <v>-1.8291997161031464</v>
      </c>
      <c r="BF62" s="96">
        <f t="shared" si="66"/>
        <v>-1.124318663405967E-2</v>
      </c>
      <c r="BG62" s="15">
        <f t="shared" si="47"/>
        <v>-253.62756866935467</v>
      </c>
      <c r="BH62" s="46">
        <f>(SUMPRODUCT(BE63:BE$605,$I62:$I$604)+SUMPRODUCT(BF63:BF$605,$I63:$I$605)) / $I62</f>
        <v>-249.75589597410627</v>
      </c>
      <c r="BJ62" s="46">
        <f t="shared" si="67"/>
        <v>-1.8291997161031464</v>
      </c>
      <c r="BK62" s="46">
        <f t="shared" si="68"/>
        <v>-23.774944293594221</v>
      </c>
      <c r="BM62" s="49">
        <f t="shared" si="50"/>
        <v>7174.3375266200264</v>
      </c>
      <c r="BN62" s="46">
        <f t="shared" si="69"/>
        <v>7061.0329375337806</v>
      </c>
      <c r="BP62" s="46">
        <f>Reserve!BX62</f>
        <v>9705.6621748861526</v>
      </c>
      <c r="BQ62" s="46">
        <f t="shared" si="13"/>
        <v>9552.3802780622264</v>
      </c>
      <c r="BR62" s="15">
        <f t="shared" si="52"/>
        <v>9.1666532236940839</v>
      </c>
      <c r="BT62" s="49">
        <f t="shared" si="53"/>
        <v>30.086858716535176</v>
      </c>
      <c r="BU62" s="46">
        <f t="shared" si="54"/>
        <v>29.62757714083839</v>
      </c>
      <c r="BV62" s="46">
        <f>SUMPRODUCT(BU63:BU$605, $I63:$I$605) / $I62</f>
        <v>2713.3138104851723</v>
      </c>
      <c r="BX62" s="46">
        <f>-BZ62*Others!$Q$43</f>
        <v>-3.3766621068377871</v>
      </c>
      <c r="BZ62" s="50">
        <f t="shared" si="0"/>
        <v>13.190086354835106</v>
      </c>
      <c r="CA62" s="46">
        <f t="shared" si="55"/>
        <v>9.8134242479973182</v>
      </c>
      <c r="CB62" s="46">
        <f t="shared" si="14"/>
        <v>9.8134242479973182</v>
      </c>
      <c r="CD62" s="46">
        <f>SUMPRODUCT(BZ63:BZ$605, $I63:$I$605) / $I62</f>
        <v>2491.3473405284421</v>
      </c>
      <c r="CE62" s="46">
        <f>SUMPRODUCT(CA63:CA$605, $I63:$I$605) / $I62</f>
        <v>1853.5624213531592</v>
      </c>
      <c r="CF62" s="46">
        <f>SUMPRODUCT(CB63:CB$605, $I63:$I$605) / $I62</f>
        <v>1853.5624213531592</v>
      </c>
      <c r="CH62" s="46">
        <f t="shared" si="15"/>
        <v>37294.337825113849</v>
      </c>
      <c r="CI62" s="46">
        <f t="shared" si="16"/>
        <v>0</v>
      </c>
      <c r="CK62" s="46">
        <f>NPV((1+CK$3)^(1/12)-1,$CB$6:$CB62)+$CB$5</f>
        <v>-353.88274608651619</v>
      </c>
      <c r="CL62" s="46">
        <f>NPV((1+CL$3)^(1/12)-1,$CB$6:$CB62)+$CB$5</f>
        <v>-372.97239649182086</v>
      </c>
      <c r="CM62" s="46">
        <f>NPV((1+CM$3)^(1/12)-1,$CB$6:$CB62)+$CB$5</f>
        <v>-414.28874996635051</v>
      </c>
      <c r="CN62" s="46">
        <f>NPV((1+CN$3)^(1/12)-1,$CB$6:$CB62)+$CB$5</f>
        <v>-414.28874996635051</v>
      </c>
    </row>
    <row r="63" spans="1:92" x14ac:dyDescent="0.25">
      <c r="A63" s="61">
        <f t="shared" si="1"/>
        <v>4.833333333333333</v>
      </c>
      <c r="B63" s="32">
        <f t="shared" si="56"/>
        <v>10</v>
      </c>
      <c r="C63" s="62">
        <f t="shared" si="17"/>
        <v>5</v>
      </c>
      <c r="D63" s="64">
        <f t="shared" si="18"/>
        <v>5.333333333333333</v>
      </c>
      <c r="E63" s="28">
        <f t="shared" si="2"/>
        <v>5</v>
      </c>
      <c r="G63" s="68">
        <f>INDEX(Others!$D$11:$E$60, MATCH(C63, Others!$A$11:$A$60, 0), MATCH(G$3, Others!$D$10:$E$10, 0))</f>
        <v>3.7831057328246098E-2</v>
      </c>
      <c r="H63" s="16">
        <f t="shared" si="57"/>
        <v>3.099210455032253E-3</v>
      </c>
      <c r="I63" s="69">
        <f t="shared" si="58"/>
        <v>0.85937392745405616</v>
      </c>
      <c r="K63" s="80">
        <f>INDEX(Mortality!$B$7:$F$32, MATCH( E63,Mortality!$A$7:$A$32, 0), MATCH( K$3,Mortality!$B$6:$F$6,0))</f>
        <v>0.33799999999999997</v>
      </c>
      <c r="L63" s="11">
        <f t="shared" si="3"/>
        <v>0</v>
      </c>
      <c r="M63" s="80">
        <f t="shared" si="21"/>
        <v>0.33799999999999997</v>
      </c>
      <c r="N63" s="76">
        <f>INDEX(Myopia!$H:$H, MATCH(E63, Myopia!$A:$A, 0)) * Trend_Factor^(A63)</f>
        <v>6.0945614368278163</v>
      </c>
      <c r="O63" s="11">
        <f t="shared" si="4"/>
        <v>0</v>
      </c>
      <c r="P63" s="80">
        <f t="shared" si="22"/>
        <v>6.0945614368278163</v>
      </c>
      <c r="Q63" s="76">
        <f>VLOOKUP(C63,Others!$L$10:$M$61,2)</f>
        <v>0</v>
      </c>
      <c r="R63" s="11">
        <f t="shared" si="5"/>
        <v>0</v>
      </c>
      <c r="S63" s="80">
        <f t="shared" si="23"/>
        <v>0</v>
      </c>
      <c r="T63" s="78">
        <f t="shared" si="24"/>
        <v>2.8166666666666666E-5</v>
      </c>
      <c r="U63" s="81">
        <f t="shared" si="25"/>
        <v>5.0788011973565135E-4</v>
      </c>
      <c r="V63" s="81">
        <f t="shared" si="26"/>
        <v>0</v>
      </c>
      <c r="W63" s="77">
        <f t="shared" si="6"/>
        <v>0.98420696145590658</v>
      </c>
      <c r="X63" s="82">
        <f t="shared" si="27"/>
        <v>2.7714789731320245E-5</v>
      </c>
      <c r="Y63" s="82">
        <f t="shared" si="28"/>
        <v>4.9985210974586632E-4</v>
      </c>
      <c r="Z63" s="82">
        <f t="shared" si="29"/>
        <v>0</v>
      </c>
      <c r="AA63" s="82">
        <f t="shared" si="30"/>
        <v>0.98367939455642939</v>
      </c>
      <c r="AC63" s="46">
        <f t="shared" si="7"/>
        <v>0</v>
      </c>
      <c r="AD63" s="15">
        <f t="shared" si="31"/>
        <v>0</v>
      </c>
      <c r="AE63" s="46">
        <f t="shared" si="32"/>
        <v>0</v>
      </c>
      <c r="AF63" s="15">
        <f t="shared" si="33"/>
        <v>0</v>
      </c>
      <c r="AG63" s="46">
        <f>SUMPRODUCT(AE64:AE$605, $I63:$I$604) / $I63</f>
        <v>0</v>
      </c>
      <c r="AI63" s="46">
        <f t="shared" si="8"/>
        <v>-47000</v>
      </c>
      <c r="AJ63" s="46">
        <f>IF(E63&gt;Mat_Year,0,  -SUM($AD$5:AD63))</f>
        <v>-9306</v>
      </c>
      <c r="AK63" s="24">
        <f t="shared" si="34"/>
        <v>-0.25791383323966621</v>
      </c>
      <c r="AL63" s="79">
        <f t="shared" si="35"/>
        <v>-23.493049158055719</v>
      </c>
      <c r="AM63" s="24">
        <f t="shared" si="36"/>
        <v>-24.132081890745141</v>
      </c>
      <c r="AN63" s="79">
        <f t="shared" si="37"/>
        <v>-23.750962991295385</v>
      </c>
      <c r="AO63" s="15">
        <f t="shared" si="38"/>
        <v>-6917.8901656171001</v>
      </c>
      <c r="AP63" s="46">
        <f>SUMPRODUCT(AN64:AN$605, $I64:$I$605) / $I63</f>
        <v>-6808.6356595877041</v>
      </c>
      <c r="AR63" s="46">
        <v>0</v>
      </c>
      <c r="AS63" s="46">
        <v>0</v>
      </c>
      <c r="AT63" s="46">
        <v>0</v>
      </c>
      <c r="AU63" s="95">
        <f t="shared" si="9"/>
        <v>-1.8596325838965284</v>
      </c>
      <c r="AV63" s="47">
        <f t="shared" si="10"/>
        <v>0</v>
      </c>
      <c r="AW63" s="96">
        <f t="shared" si="59"/>
        <v>-1.8596325838965284</v>
      </c>
      <c r="AX63" s="95">
        <f t="shared" si="11"/>
        <v>-21.323786962013521</v>
      </c>
      <c r="AY63" s="11">
        <f t="shared" si="12"/>
        <v>0</v>
      </c>
      <c r="AZ63" s="96">
        <f t="shared" si="60"/>
        <v>-21.323786962013521</v>
      </c>
      <c r="BA63" s="95">
        <f t="shared" si="61"/>
        <v>-1.8302633348211985</v>
      </c>
      <c r="BB63" s="64">
        <f t="shared" si="62"/>
        <v>-1.1249724172661528E-2</v>
      </c>
      <c r="BC63" s="95">
        <f t="shared" si="63"/>
        <v>-1.8596325838965284</v>
      </c>
      <c r="BD63" s="96">
        <f t="shared" si="64"/>
        <v>-1.143024243195777E-2</v>
      </c>
      <c r="BE63" s="96">
        <f t="shared" si="65"/>
        <v>-1.8302633348211985</v>
      </c>
      <c r="BF63" s="96">
        <f t="shared" si="66"/>
        <v>-1.1249724172661528E-2</v>
      </c>
      <c r="BG63" s="15">
        <f t="shared" si="47"/>
        <v>-252.67323476353994</v>
      </c>
      <c r="BH63" s="46">
        <f>(SUMPRODUCT(BE64:BE$605,$I63:$I$604)+SUMPRODUCT(BF64:BF$605,$I64:$I$605)) / $I63</f>
        <v>-248.68275662785859</v>
      </c>
      <c r="BJ63" s="46">
        <f t="shared" si="67"/>
        <v>-1.8302633348211985</v>
      </c>
      <c r="BK63" s="46">
        <f t="shared" si="68"/>
        <v>-23.762212715468046</v>
      </c>
      <c r="BM63" s="49">
        <f t="shared" si="50"/>
        <v>7174.4091166999779</v>
      </c>
      <c r="BN63" s="46">
        <f t="shared" si="69"/>
        <v>7057.3184162155612</v>
      </c>
      <c r="BP63" s="46">
        <f>Reserve!BX63</f>
        <v>9701.539344342902</v>
      </c>
      <c r="BQ63" s="46">
        <f t="shared" si="13"/>
        <v>9543.2043485086051</v>
      </c>
      <c r="BR63" s="15">
        <f t="shared" si="52"/>
        <v>9.1759295536212448</v>
      </c>
      <c r="BT63" s="49">
        <f t="shared" si="53"/>
        <v>30.074126292671711</v>
      </c>
      <c r="BU63" s="46">
        <f t="shared" si="54"/>
        <v>29.599164456951613</v>
      </c>
      <c r="BV63" s="46">
        <f>SUMPRODUCT(BU64:BU$605, $I64:$I$605) / $I63</f>
        <v>2692.1237765574601</v>
      </c>
      <c r="BX63" s="46">
        <f>-BZ63*Others!$Q$43</f>
        <v>-3.3747501978326055</v>
      </c>
      <c r="BZ63" s="50">
        <f t="shared" si="0"/>
        <v>13.182617960283615</v>
      </c>
      <c r="CA63" s="46">
        <f t="shared" si="55"/>
        <v>9.8078677624510089</v>
      </c>
      <c r="CB63" s="46">
        <f t="shared" si="14"/>
        <v>9.8078677624510089</v>
      </c>
      <c r="CD63" s="46">
        <f>SUMPRODUCT(BZ64:BZ$605, $I64:$I$605) / $I63</f>
        <v>2485.8859322930407</v>
      </c>
      <c r="CE63" s="46">
        <f>SUMPRODUCT(CA64:CA$605, $I64:$I$605) / $I63</f>
        <v>1849.4991336260211</v>
      </c>
      <c r="CF63" s="46">
        <f>SUMPRODUCT(CB64:CB$605, $I64:$I$605) / $I63</f>
        <v>1849.4991336260211</v>
      </c>
      <c r="CH63" s="46">
        <f t="shared" si="15"/>
        <v>37298.460655657094</v>
      </c>
      <c r="CI63" s="46">
        <f t="shared" si="16"/>
        <v>0</v>
      </c>
      <c r="CK63" s="46">
        <f>NPV((1+CK$3)^(1/12)-1,$CB$6:$CB63)+$CB$5</f>
        <v>-345.38061071338348</v>
      </c>
      <c r="CL63" s="46">
        <f>NPV((1+CL$3)^(1/12)-1,$CB$6:$CB63)+$CB$5</f>
        <v>-365.22493089852327</v>
      </c>
      <c r="CM63" s="46">
        <f>NPV((1+CM$3)^(1/12)-1,$CB$6:$CB63)+$CB$5</f>
        <v>-408.10132483753904</v>
      </c>
      <c r="CN63" s="46">
        <f>NPV((1+CN$3)^(1/12)-1,$CB$6:$CB63)+$CB$5</f>
        <v>-408.10132483753904</v>
      </c>
    </row>
    <row r="64" spans="1:92" x14ac:dyDescent="0.25">
      <c r="A64" s="61">
        <f t="shared" si="1"/>
        <v>4.9166666666666661</v>
      </c>
      <c r="B64" s="32">
        <f t="shared" si="56"/>
        <v>11</v>
      </c>
      <c r="C64" s="62">
        <f t="shared" si="17"/>
        <v>5</v>
      </c>
      <c r="D64" s="64">
        <f t="shared" si="18"/>
        <v>5.4166666666666661</v>
      </c>
      <c r="E64" s="28">
        <f t="shared" si="2"/>
        <v>5</v>
      </c>
      <c r="G64" s="68">
        <f>INDEX(Others!$D$11:$E$60, MATCH(C64, Others!$A$11:$A$60, 0), MATCH(G$3, Others!$D$10:$E$10, 0))</f>
        <v>3.7831057328246098E-2</v>
      </c>
      <c r="H64" s="16">
        <f t="shared" si="57"/>
        <v>3.099210455032253E-3</v>
      </c>
      <c r="I64" s="69">
        <f t="shared" si="58"/>
        <v>0.85671877566748511</v>
      </c>
      <c r="K64" s="80">
        <f>INDEX(Mortality!$B$7:$F$32, MATCH( E64,Mortality!$A$7:$A$32, 0), MATCH( K$3,Mortality!$B$6:$F$6,0))</f>
        <v>0.33799999999999997</v>
      </c>
      <c r="L64" s="11">
        <f t="shared" si="3"/>
        <v>0</v>
      </c>
      <c r="M64" s="80">
        <f t="shared" si="21"/>
        <v>0.33799999999999997</v>
      </c>
      <c r="N64" s="76">
        <f>INDEX(Myopia!$H:$H, MATCH(E64, Myopia!$A:$A, 0)) * Trend_Factor^(A64)</f>
        <v>6.0945614368278163</v>
      </c>
      <c r="O64" s="11">
        <f t="shared" si="4"/>
        <v>0</v>
      </c>
      <c r="P64" s="80">
        <f t="shared" si="22"/>
        <v>6.0945614368278163</v>
      </c>
      <c r="Q64" s="76">
        <f>VLOOKUP(C64,Others!$L$10:$M$61,2)</f>
        <v>0</v>
      </c>
      <c r="R64" s="11">
        <f t="shared" si="5"/>
        <v>0</v>
      </c>
      <c r="S64" s="80">
        <f t="shared" si="23"/>
        <v>0</v>
      </c>
      <c r="T64" s="78">
        <f t="shared" si="24"/>
        <v>2.8166666666666666E-5</v>
      </c>
      <c r="U64" s="81">
        <f t="shared" si="25"/>
        <v>5.0788011973565135E-4</v>
      </c>
      <c r="V64" s="81">
        <f t="shared" si="26"/>
        <v>0</v>
      </c>
      <c r="W64" s="77">
        <f t="shared" si="6"/>
        <v>0.98367939455642939</v>
      </c>
      <c r="X64" s="82">
        <f t="shared" si="27"/>
        <v>2.7699933703817059E-5</v>
      </c>
      <c r="Y64" s="82">
        <f t="shared" si="28"/>
        <v>4.9958417277928997E-4</v>
      </c>
      <c r="Z64" s="82">
        <f t="shared" si="29"/>
        <v>0</v>
      </c>
      <c r="AA64" s="82">
        <f t="shared" si="30"/>
        <v>0.98315211044994633</v>
      </c>
      <c r="AC64" s="46">
        <f t="shared" si="7"/>
        <v>0</v>
      </c>
      <c r="AD64" s="15">
        <f t="shared" si="31"/>
        <v>0</v>
      </c>
      <c r="AE64" s="46">
        <f t="shared" si="32"/>
        <v>0</v>
      </c>
      <c r="AF64" s="15">
        <f t="shared" si="33"/>
        <v>0</v>
      </c>
      <c r="AG64" s="46">
        <f>SUMPRODUCT(AE65:AE$605, $I64:$I$604) / $I64</f>
        <v>0</v>
      </c>
      <c r="AI64" s="46">
        <f t="shared" si="8"/>
        <v>-47000</v>
      </c>
      <c r="AJ64" s="46">
        <f>IF(E64&gt;Mat_Year,0,  -SUM($AD$5:AD64))</f>
        <v>-9306</v>
      </c>
      <c r="AK64" s="24">
        <f t="shared" si="34"/>
        <v>-0.25777558304772158</v>
      </c>
      <c r="AL64" s="79">
        <f t="shared" si="35"/>
        <v>-23.480456120626627</v>
      </c>
      <c r="AM64" s="24">
        <f t="shared" si="36"/>
        <v>-24.132081890745134</v>
      </c>
      <c r="AN64" s="79">
        <f t="shared" si="37"/>
        <v>-23.738231703674348</v>
      </c>
      <c r="AO64" s="15">
        <f t="shared" si="38"/>
        <v>-6918.9197825717984</v>
      </c>
      <c r="AP64" s="46">
        <f>SUMPRODUCT(AN65:AN$605, $I65:$I$605) / $I64</f>
        <v>-6805.9988227047288</v>
      </c>
      <c r="AR64" s="46">
        <v>0</v>
      </c>
      <c r="AS64" s="46">
        <v>0</v>
      </c>
      <c r="AT64" s="46">
        <v>0</v>
      </c>
      <c r="AU64" s="95">
        <f t="shared" si="9"/>
        <v>-1.8617118363284559</v>
      </c>
      <c r="AV64" s="47">
        <f t="shared" si="10"/>
        <v>0</v>
      </c>
      <c r="AW64" s="96">
        <f t="shared" si="59"/>
        <v>-1.8617118363284559</v>
      </c>
      <c r="AX64" s="95">
        <f t="shared" si="11"/>
        <v>-21.347629056566291</v>
      </c>
      <c r="AY64" s="11">
        <f t="shared" si="12"/>
        <v>0</v>
      </c>
      <c r="AZ64" s="96">
        <f t="shared" si="60"/>
        <v>-21.347629056566291</v>
      </c>
      <c r="BA64" s="95">
        <f t="shared" si="61"/>
        <v>-1.8313275719981139</v>
      </c>
      <c r="BB64" s="64">
        <f t="shared" si="62"/>
        <v>-1.1256265512624368E-2</v>
      </c>
      <c r="BC64" s="95">
        <f t="shared" si="63"/>
        <v>-1.8617118363284559</v>
      </c>
      <c r="BD64" s="96">
        <f t="shared" si="64"/>
        <v>-1.1443022569055801E-2</v>
      </c>
      <c r="BE64" s="96">
        <f t="shared" si="65"/>
        <v>-1.8313275719981139</v>
      </c>
      <c r="BF64" s="96">
        <f t="shared" si="66"/>
        <v>-1.1256265512624368E-2</v>
      </c>
      <c r="BG64" s="15">
        <f t="shared" si="47"/>
        <v>-251.71333128490517</v>
      </c>
      <c r="BH64" s="46">
        <f>(SUMPRODUCT(BE65:BE$605,$I64:$I$604)+SUMPRODUCT(BF65:BF$605,$I65:$I$605)) / $I64</f>
        <v>-247.60521732011745</v>
      </c>
      <c r="BJ64" s="46">
        <f t="shared" si="67"/>
        <v>-1.8313275719981139</v>
      </c>
      <c r="BK64" s="46">
        <f t="shared" si="68"/>
        <v>-23.749487969186973</v>
      </c>
      <c r="BM64" s="49">
        <f t="shared" si="50"/>
        <v>7174.4788675647715</v>
      </c>
      <c r="BN64" s="46">
        <f t="shared" si="69"/>
        <v>7053.6040400248457</v>
      </c>
      <c r="BP64" s="46">
        <f>Reserve!BX64</f>
        <v>9697.3998276933653</v>
      </c>
      <c r="BQ64" s="46">
        <f t="shared" si="13"/>
        <v>9534.0191064736773</v>
      </c>
      <c r="BR64" s="15">
        <f t="shared" si="52"/>
        <v>9.1852420349277963</v>
      </c>
      <c r="BT64" s="49">
        <f t="shared" si="53"/>
        <v>30.061342329106868</v>
      </c>
      <c r="BU64" s="46">
        <f t="shared" si="54"/>
        <v>29.570723021849407</v>
      </c>
      <c r="BV64" s="46">
        <f>SUMPRODUCT(BU65:BU$605, $I65:$I$605) / $I64</f>
        <v>2670.8965116901581</v>
      </c>
      <c r="BX64" s="46">
        <f>-BZ64*Others!$Q$43</f>
        <v>-3.3728382759915823</v>
      </c>
      <c r="BZ64" s="50">
        <f t="shared" si="0"/>
        <v>13.175149515592118</v>
      </c>
      <c r="CA64" s="46">
        <f t="shared" si="55"/>
        <v>9.8023112396005345</v>
      </c>
      <c r="CB64" s="46">
        <f t="shared" si="14"/>
        <v>9.8023112396005345</v>
      </c>
      <c r="CD64" s="46">
        <f>SUMPRODUCT(BZ65:BZ$605, $I65:$I$605) / $I64</f>
        <v>2480.4150664488284</v>
      </c>
      <c r="CE64" s="46">
        <f>SUMPRODUCT(CA65:CA$605, $I65:$I$605) / $I64</f>
        <v>1845.4288094379272</v>
      </c>
      <c r="CF64" s="46">
        <f>SUMPRODUCT(CB65:CB$605, $I65:$I$605) / $I64</f>
        <v>1845.4288094379272</v>
      </c>
      <c r="CH64" s="46">
        <f t="shared" si="15"/>
        <v>37302.600172306637</v>
      </c>
      <c r="CI64" s="46">
        <f t="shared" si="16"/>
        <v>0</v>
      </c>
      <c r="CK64" s="46">
        <f>NPV((1+CK$3)^(1/12)-1,$CB$6:$CB64)+$CB$5</f>
        <v>-336.9041972393369</v>
      </c>
      <c r="CL64" s="46">
        <f>NPV((1+CL$3)^(1/12)-1,$CB$6:$CB64)+$CB$5</f>
        <v>-357.51327278314841</v>
      </c>
      <c r="CM64" s="46">
        <f>NPV((1+CM$3)^(1/12)-1,$CB$6:$CB64)+$CB$5</f>
        <v>-401.96632645444737</v>
      </c>
      <c r="CN64" s="46">
        <f>NPV((1+CN$3)^(1/12)-1,$CB$6:$CB64)+$CB$5</f>
        <v>-401.96632645444737</v>
      </c>
    </row>
    <row r="65" spans="1:92" x14ac:dyDescent="0.25">
      <c r="A65" s="61">
        <f t="shared" si="1"/>
        <v>4.9999999999999991</v>
      </c>
      <c r="B65" s="32">
        <f t="shared" si="56"/>
        <v>12</v>
      </c>
      <c r="C65" s="62">
        <f t="shared" si="17"/>
        <v>5</v>
      </c>
      <c r="D65" s="64">
        <f t="shared" si="18"/>
        <v>5.4999999999999991</v>
      </c>
      <c r="E65" s="28">
        <f t="shared" si="2"/>
        <v>5</v>
      </c>
      <c r="G65" s="68">
        <f>INDEX(Others!$D$11:$E$60, MATCH(C65, Others!$A$11:$A$60, 0), MATCH(G$3, Others!$D$10:$E$10, 0))</f>
        <v>3.7831057328246098E-2</v>
      </c>
      <c r="H65" s="16">
        <f t="shared" si="57"/>
        <v>3.099210455032253E-3</v>
      </c>
      <c r="I65" s="69">
        <f t="shared" si="58"/>
        <v>0.85407182733087272</v>
      </c>
      <c r="K65" s="80">
        <f>INDEX(Mortality!$B$7:$F$32, MATCH( E65,Mortality!$A$7:$A$32, 0), MATCH( K$3,Mortality!$B$6:$F$6,0))</f>
        <v>0.33799999999999997</v>
      </c>
      <c r="L65" s="11">
        <f t="shared" si="3"/>
        <v>0</v>
      </c>
      <c r="M65" s="80">
        <f t="shared" si="21"/>
        <v>0.33799999999999997</v>
      </c>
      <c r="N65" s="76">
        <f>INDEX(Myopia!$H:$H, MATCH(E65, Myopia!$A:$A, 0)) * Trend_Factor^(A65)</f>
        <v>6.0945614368278163</v>
      </c>
      <c r="O65" s="11">
        <f t="shared" si="4"/>
        <v>0</v>
      </c>
      <c r="P65" s="80">
        <f t="shared" si="22"/>
        <v>6.0945614368278163</v>
      </c>
      <c r="Q65" s="76">
        <f>VLOOKUP(C65,Others!$L$10:$M$61,2)</f>
        <v>0</v>
      </c>
      <c r="R65" s="11">
        <f t="shared" si="5"/>
        <v>0</v>
      </c>
      <c r="S65" s="80">
        <f t="shared" si="23"/>
        <v>0</v>
      </c>
      <c r="T65" s="78">
        <f t="shared" si="24"/>
        <v>2.8166666666666666E-5</v>
      </c>
      <c r="U65" s="81">
        <f t="shared" si="25"/>
        <v>5.0788011973565135E-4</v>
      </c>
      <c r="V65" s="81">
        <f t="shared" si="26"/>
        <v>0</v>
      </c>
      <c r="W65" s="77">
        <f t="shared" si="6"/>
        <v>0.98315211044994633</v>
      </c>
      <c r="X65" s="82">
        <f t="shared" si="27"/>
        <v>2.7685085639627158E-5</v>
      </c>
      <c r="Y65" s="82">
        <f t="shared" si="28"/>
        <v>4.9931637943563078E-4</v>
      </c>
      <c r="Z65" s="82">
        <f t="shared" si="29"/>
        <v>0</v>
      </c>
      <c r="AA65" s="82">
        <f t="shared" si="30"/>
        <v>0.9826251089848711</v>
      </c>
      <c r="AC65" s="46">
        <f t="shared" si="7"/>
        <v>0</v>
      </c>
      <c r="AD65" s="15">
        <f t="shared" si="31"/>
        <v>0</v>
      </c>
      <c r="AE65" s="46">
        <f t="shared" si="32"/>
        <v>0</v>
      </c>
      <c r="AF65" s="15">
        <f t="shared" si="33"/>
        <v>0</v>
      </c>
      <c r="AG65" s="46">
        <f>SUMPRODUCT(AE66:AE$605, $I65:$I$604) / $I65</f>
        <v>0</v>
      </c>
      <c r="AI65" s="46">
        <f t="shared" si="8"/>
        <v>-47000</v>
      </c>
      <c r="AJ65" s="46">
        <f>IF(E65&gt;Mat_Year,0,  -SUM($AD$5:AD65))</f>
        <v>-9306</v>
      </c>
      <c r="AK65" s="24">
        <f t="shared" si="34"/>
        <v>-0.25763740696237031</v>
      </c>
      <c r="AL65" s="79">
        <f t="shared" si="35"/>
        <v>-23.467869833474648</v>
      </c>
      <c r="AM65" s="24">
        <f t="shared" si="36"/>
        <v>-24.132081890745141</v>
      </c>
      <c r="AN65" s="79">
        <f t="shared" si="37"/>
        <v>-23.725507240437018</v>
      </c>
      <c r="AO65" s="15">
        <f t="shared" si="38"/>
        <v>-6919.9531444416552</v>
      </c>
      <c r="AP65" s="46">
        <f>SUMPRODUCT(AN66:AN$605, $I66:$I$605) / $I65</f>
        <v>-6803.3665381725559</v>
      </c>
      <c r="AR65" s="46">
        <v>0</v>
      </c>
      <c r="AS65" s="46">
        <v>0</v>
      </c>
      <c r="AT65" s="46">
        <v>0</v>
      </c>
      <c r="AU65" s="95">
        <f t="shared" si="9"/>
        <v>-1.8637934135694416</v>
      </c>
      <c r="AV65" s="47">
        <f t="shared" si="10"/>
        <v>0</v>
      </c>
      <c r="AW65" s="96">
        <f t="shared" si="59"/>
        <v>-1.8637934135694416</v>
      </c>
      <c r="AX65" s="95">
        <f t="shared" si="11"/>
        <v>-21.371497808929593</v>
      </c>
      <c r="AY65" s="11">
        <f t="shared" si="12"/>
        <v>0</v>
      </c>
      <c r="AZ65" s="96">
        <f t="shared" si="60"/>
        <v>-21.371497808929593</v>
      </c>
      <c r="BA65" s="95">
        <f t="shared" si="61"/>
        <v>-1.8323924279935062</v>
      </c>
      <c r="BB65" s="64">
        <f t="shared" si="62"/>
        <v>-1.1262810656158561E-2</v>
      </c>
      <c r="BC65" s="95">
        <f t="shared" si="63"/>
        <v>-1.8637934135694416</v>
      </c>
      <c r="BD65" s="96">
        <f t="shared" si="64"/>
        <v>-1.1455816995606162E-2</v>
      </c>
      <c r="BE65" s="96">
        <f t="shared" si="65"/>
        <v>-1.8323924279935062</v>
      </c>
      <c r="BF65" s="96">
        <f t="shared" si="66"/>
        <v>-1.1262810656158561E-2</v>
      </c>
      <c r="BG65" s="15">
        <f t="shared" si="47"/>
        <v>-250.74783562953766</v>
      </c>
      <c r="BH65" s="46">
        <f>(SUMPRODUCT(BE66:BE$605,$I65:$I$604)+SUMPRODUCT(BF66:BF$605,$I66:$I$605)) / $I65</f>
        <v>-246.52326378993621</v>
      </c>
      <c r="BJ65" s="46">
        <f t="shared" si="67"/>
        <v>-1.8323924279935062</v>
      </c>
      <c r="BK65" s="46">
        <f t="shared" si="68"/>
        <v>-23.736770051093178</v>
      </c>
      <c r="BM65" s="49">
        <f t="shared" si="50"/>
        <v>7174.5467701772659</v>
      </c>
      <c r="BN65" s="46">
        <f t="shared" si="69"/>
        <v>7049.8898019624912</v>
      </c>
      <c r="BP65" s="46">
        <f>Reserve!BX65</f>
        <v>9693.24356626181</v>
      </c>
      <c r="BQ65" s="46">
        <f t="shared" si="13"/>
        <v>9524.8245157149122</v>
      </c>
      <c r="BR65" s="15">
        <f t="shared" si="52"/>
        <v>9.1945907587651163</v>
      </c>
      <c r="BT65" s="49">
        <f t="shared" si="53"/>
        <v>30.048506644581888</v>
      </c>
      <c r="BU65" s="46">
        <f t="shared" si="54"/>
        <v>29.54225272348992</v>
      </c>
      <c r="BV65" s="46">
        <f>SUMPRODUCT(BU66:BU$605, $I66:$I$605) / $I65</f>
        <v>2649.6319293600077</v>
      </c>
      <c r="BX65" s="46">
        <f>-BZ65*Others!$Q$43</f>
        <v>-3.370926336811098</v>
      </c>
      <c r="BZ65" s="50">
        <f t="shared" si="0"/>
        <v>13.167681003168351</v>
      </c>
      <c r="CA65" s="46">
        <f t="shared" si="55"/>
        <v>9.796754666357252</v>
      </c>
      <c r="CB65" s="46">
        <f t="shared" si="14"/>
        <v>9.796754666357252</v>
      </c>
      <c r="CD65" s="46">
        <f>SUMPRODUCT(BZ66:BZ$605, $I66:$I$605) / $I65</f>
        <v>2474.9347137524173</v>
      </c>
      <c r="CE65" s="46">
        <f>SUMPRODUCT(CA66:CA$605, $I66:$I$605) / $I65</f>
        <v>1841.3514270317978</v>
      </c>
      <c r="CF65" s="46">
        <f>SUMPRODUCT(CB66:CB$605, $I66:$I$605) / $I65</f>
        <v>1841.3514270317978</v>
      </c>
      <c r="CH65" s="46">
        <f t="shared" si="15"/>
        <v>37306.756433738192</v>
      </c>
      <c r="CI65" s="46">
        <f t="shared" si="16"/>
        <v>0</v>
      </c>
      <c r="CK65" s="46">
        <f>NPV((1+CK$3)^(1/12)-1,$CB$6:$CB65)+$CB$5</f>
        <v>-328.45343060568058</v>
      </c>
      <c r="CL65" s="46">
        <f>NPV((1+CL$3)^(1/12)-1,$CB$6:$CB65)+$CB$5</f>
        <v>-349.83725915558551</v>
      </c>
      <c r="CM65" s="46">
        <f>NPV((1+CM$3)^(1/12)-1,$CB$6:$CB65)+$CB$5</f>
        <v>-395.88331258532691</v>
      </c>
      <c r="CN65" s="46">
        <f>NPV((1+CN$3)^(1/12)-1,$CB$6:$CB65)+$CB$5</f>
        <v>-395.88331258532691</v>
      </c>
    </row>
    <row r="66" spans="1:92" x14ac:dyDescent="0.25">
      <c r="A66" s="61">
        <f t="shared" si="1"/>
        <v>5.0833333333333321</v>
      </c>
      <c r="B66" s="32">
        <f t="shared" si="56"/>
        <v>1</v>
      </c>
      <c r="C66" s="62">
        <f t="shared" si="17"/>
        <v>6</v>
      </c>
      <c r="D66" s="64">
        <f t="shared" si="18"/>
        <v>5.5833333333333321</v>
      </c>
      <c r="E66" s="28">
        <f t="shared" si="2"/>
        <v>5</v>
      </c>
      <c r="G66" s="68">
        <f>INDEX(Others!$D$11:$E$60, MATCH(C66, Others!$A$11:$A$60, 0), MATCH(G$3, Others!$D$10:$E$10, 0))</f>
        <v>4.0721103265794367E-2</v>
      </c>
      <c r="H66" s="16">
        <f t="shared" si="57"/>
        <v>3.3316912372947094E-3</v>
      </c>
      <c r="I66" s="69">
        <f t="shared" si="58"/>
        <v>0.85123577256654104</v>
      </c>
      <c r="K66" s="80">
        <f>INDEX(Mortality!$B$7:$F$32, MATCH( E66,Mortality!$A$7:$A$32, 0), MATCH( K$3,Mortality!$B$6:$F$6,0))</f>
        <v>0.33799999999999997</v>
      </c>
      <c r="L66" s="11">
        <f t="shared" si="3"/>
        <v>0</v>
      </c>
      <c r="M66" s="80">
        <f t="shared" si="21"/>
        <v>0.33799999999999997</v>
      </c>
      <c r="N66" s="76">
        <f>INDEX(Myopia!$H:$H, MATCH(E66, Myopia!$A:$A, 0)) * Trend_Factor^(A66)</f>
        <v>6.0945614368278163</v>
      </c>
      <c r="O66" s="11">
        <f t="shared" si="4"/>
        <v>0</v>
      </c>
      <c r="P66" s="80">
        <f t="shared" si="22"/>
        <v>6.0945614368278163</v>
      </c>
      <c r="Q66" s="76">
        <f>VLOOKUP(C66,Others!$L$10:$M$61,2)</f>
        <v>0</v>
      </c>
      <c r="R66" s="11">
        <f t="shared" si="5"/>
        <v>0</v>
      </c>
      <c r="S66" s="80">
        <f t="shared" si="23"/>
        <v>0</v>
      </c>
      <c r="T66" s="78">
        <f t="shared" si="24"/>
        <v>2.8166666666666666E-5</v>
      </c>
      <c r="U66" s="81">
        <f t="shared" si="25"/>
        <v>5.0788011973565135E-4</v>
      </c>
      <c r="V66" s="81">
        <f t="shared" si="26"/>
        <v>0</v>
      </c>
      <c r="W66" s="77">
        <f t="shared" si="6"/>
        <v>0.9826251089848711</v>
      </c>
      <c r="X66" s="82">
        <f t="shared" si="27"/>
        <v>2.7670245534481945E-5</v>
      </c>
      <c r="Y66" s="82">
        <f t="shared" si="28"/>
        <v>4.9904872963790195E-4</v>
      </c>
      <c r="Z66" s="82">
        <f t="shared" si="29"/>
        <v>0</v>
      </c>
      <c r="AA66" s="82">
        <f t="shared" si="30"/>
        <v>0.98209839000969867</v>
      </c>
      <c r="AC66" s="46">
        <f t="shared" si="7"/>
        <v>0</v>
      </c>
      <c r="AD66" s="15">
        <f t="shared" si="31"/>
        <v>0</v>
      </c>
      <c r="AE66" s="46">
        <f t="shared" si="32"/>
        <v>0</v>
      </c>
      <c r="AF66" s="15">
        <f t="shared" si="33"/>
        <v>0</v>
      </c>
      <c r="AG66" s="46">
        <f>SUMPRODUCT(AE67:AE$605, $I66:$I$604) / $I66</f>
        <v>0</v>
      </c>
      <c r="AI66" s="46">
        <f t="shared" si="8"/>
        <v>-47000</v>
      </c>
      <c r="AJ66" s="46">
        <f>IF(E66&gt;Mat_Year,0,  -SUM($AD$5:AD66))</f>
        <v>-9306</v>
      </c>
      <c r="AK66" s="24">
        <f t="shared" si="34"/>
        <v>-0.25749930494388895</v>
      </c>
      <c r="AL66" s="79">
        <f t="shared" si="35"/>
        <v>-23.455290292981392</v>
      </c>
      <c r="AM66" s="24">
        <f t="shared" si="36"/>
        <v>-24.132081890745141</v>
      </c>
      <c r="AN66" s="79">
        <f t="shared" si="37"/>
        <v>-23.71278959792528</v>
      </c>
      <c r="AO66" s="15">
        <f t="shared" si="38"/>
        <v>-6922.5998837759143</v>
      </c>
      <c r="AP66" s="46">
        <f>SUMPRODUCT(AN67:AN$605, $I67:$I$605) / $I66</f>
        <v>-6802.3204652539634</v>
      </c>
      <c r="AR66" s="46">
        <v>0</v>
      </c>
      <c r="AS66" s="46">
        <v>0</v>
      </c>
      <c r="AT66" s="46">
        <v>0</v>
      </c>
      <c r="AU66" s="95">
        <f t="shared" si="9"/>
        <v>-1.8658773182188506</v>
      </c>
      <c r="AV66" s="47">
        <f t="shared" si="10"/>
        <v>0</v>
      </c>
      <c r="AW66" s="96">
        <f t="shared" si="59"/>
        <v>-1.8658773182188506</v>
      </c>
      <c r="AX66" s="95">
        <f t="shared" si="11"/>
        <v>-21.395393248909485</v>
      </c>
      <c r="AY66" s="11">
        <f t="shared" si="12"/>
        <v>0</v>
      </c>
      <c r="AZ66" s="96">
        <f t="shared" si="60"/>
        <v>-21.395393248909485</v>
      </c>
      <c r="BA66" s="95">
        <f t="shared" si="61"/>
        <v>-1.8334579031671971</v>
      </c>
      <c r="BB66" s="64">
        <f t="shared" si="62"/>
        <v>-1.1269359605475744E-2</v>
      </c>
      <c r="BC66" s="95">
        <f t="shared" si="63"/>
        <v>-1.8658773182188506</v>
      </c>
      <c r="BD66" s="96">
        <f t="shared" si="64"/>
        <v>-1.1468625727585851E-2</v>
      </c>
      <c r="BE66" s="96">
        <f t="shared" si="65"/>
        <v>-1.8334579031671971</v>
      </c>
      <c r="BF66" s="96">
        <f t="shared" si="66"/>
        <v>-1.1269359605475744E-2</v>
      </c>
      <c r="BG66" s="15">
        <f t="shared" si="47"/>
        <v>-249.83461664531063</v>
      </c>
      <c r="BH66" s="46">
        <f>(SUMPRODUCT(BE67:BE$605,$I66:$I$604)+SUMPRODUCT(BF67:BF$605,$I67:$I$605)) / $I66</f>
        <v>-245.49376740929185</v>
      </c>
      <c r="BJ66" s="46">
        <f t="shared" si="67"/>
        <v>-1.8334579031671971</v>
      </c>
      <c r="BK66" s="46">
        <f t="shared" si="68"/>
        <v>-23.724058957530755</v>
      </c>
      <c r="BM66" s="49">
        <f t="shared" si="50"/>
        <v>7176.281220248874</v>
      </c>
      <c r="BN66" s="46">
        <f t="shared" si="69"/>
        <v>7047.8142326632551</v>
      </c>
      <c r="BP66" s="46">
        <f>Reserve!BX66</f>
        <v>9690.776193862137</v>
      </c>
      <c r="BQ66" s="46">
        <f t="shared" si="13"/>
        <v>9517.2956979363207</v>
      </c>
      <c r="BR66" s="15">
        <f t="shared" si="52"/>
        <v>7.5288177785914741</v>
      </c>
      <c r="BT66" s="49">
        <f t="shared" si="53"/>
        <v>32.288678123566818</v>
      </c>
      <c r="BU66" s="46">
        <f t="shared" si="54"/>
        <v>31.727665860147265</v>
      </c>
      <c r="BV66" s="46">
        <f>SUMPRODUCT(BU67:BU$605, $I67:$I$605) / $I66</f>
        <v>2626.7320189809657</v>
      </c>
      <c r="BX66" s="46">
        <f>-BZ66*Others!$Q$43</f>
        <v>-3.5069354951784417</v>
      </c>
      <c r="BZ66" s="50">
        <f t="shared" si="0"/>
        <v>13.698966778040788</v>
      </c>
      <c r="CA66" s="46">
        <f t="shared" si="55"/>
        <v>10.192031282862345</v>
      </c>
      <c r="CB66" s="46">
        <f t="shared" si="14"/>
        <v>10.192031282862345</v>
      </c>
      <c r="CD66" s="46">
        <f>SUMPRODUCT(BZ67:BZ$605, $I67:$I$605) / $I66</f>
        <v>2469.481465273062</v>
      </c>
      <c r="CE66" s="46">
        <f>SUMPRODUCT(CA67:CA$605, $I67:$I$605) / $I66</f>
        <v>1837.2942101631572</v>
      </c>
      <c r="CF66" s="46">
        <f>SUMPRODUCT(CB67:CB$605, $I67:$I$605) / $I66</f>
        <v>1837.2942101631572</v>
      </c>
      <c r="CH66" s="46">
        <f t="shared" si="15"/>
        <v>37309.223806137859</v>
      </c>
      <c r="CI66" s="46">
        <f t="shared" si="16"/>
        <v>0</v>
      </c>
      <c r="CK66" s="46">
        <f>NPV((1+CK$3)^(1/12)-1,$CB$6:$CB66)+$CB$5</f>
        <v>-319.68332433835241</v>
      </c>
      <c r="CL66" s="46">
        <f>NPV((1+CL$3)^(1/12)-1,$CB$6:$CB66)+$CB$5</f>
        <v>-341.88393876774887</v>
      </c>
      <c r="CM66" s="46">
        <f>NPV((1+CM$3)^(1/12)-1,$CB$6:$CB66)+$CB$5</f>
        <v>-389.60492775878527</v>
      </c>
      <c r="CN66" s="46">
        <f>NPV((1+CN$3)^(1/12)-1,$CB$6:$CB66)+$CB$5</f>
        <v>-389.60492775878527</v>
      </c>
    </row>
    <row r="67" spans="1:92" x14ac:dyDescent="0.25">
      <c r="A67" s="61">
        <f t="shared" si="1"/>
        <v>5.1666666666666652</v>
      </c>
      <c r="B67" s="32">
        <f t="shared" si="56"/>
        <v>2</v>
      </c>
      <c r="C67" s="62">
        <f t="shared" si="17"/>
        <v>6</v>
      </c>
      <c r="D67" s="64">
        <f t="shared" si="18"/>
        <v>5.6666666666666652</v>
      </c>
      <c r="E67" s="28">
        <f t="shared" si="2"/>
        <v>5</v>
      </c>
      <c r="G67" s="68">
        <f>INDEX(Others!$D$11:$E$60, MATCH(C67, Others!$A$11:$A$60, 0), MATCH(G$3, Others!$D$10:$E$10, 0))</f>
        <v>4.0721103265794367E-2</v>
      </c>
      <c r="H67" s="16">
        <f t="shared" si="57"/>
        <v>3.3316912372947094E-3</v>
      </c>
      <c r="I67" s="69">
        <f t="shared" si="58"/>
        <v>0.84840913528487161</v>
      </c>
      <c r="K67" s="80">
        <f>INDEX(Mortality!$B$7:$F$32, MATCH( E67,Mortality!$A$7:$A$32, 0), MATCH( K$3,Mortality!$B$6:$F$6,0))</f>
        <v>0.33799999999999997</v>
      </c>
      <c r="L67" s="11">
        <f t="shared" si="3"/>
        <v>0</v>
      </c>
      <c r="M67" s="80">
        <f t="shared" si="21"/>
        <v>0.33799999999999997</v>
      </c>
      <c r="N67" s="76">
        <f>INDEX(Myopia!$H:$H, MATCH(E67, Myopia!$A:$A, 0)) * Trend_Factor^(A67)</f>
        <v>6.0945614368278163</v>
      </c>
      <c r="O67" s="11">
        <f t="shared" si="4"/>
        <v>0</v>
      </c>
      <c r="P67" s="80">
        <f t="shared" si="22"/>
        <v>6.0945614368278163</v>
      </c>
      <c r="Q67" s="76">
        <f>VLOOKUP(C67,Others!$L$10:$M$61,2)</f>
        <v>0</v>
      </c>
      <c r="R67" s="11">
        <f t="shared" si="5"/>
        <v>0</v>
      </c>
      <c r="S67" s="80">
        <f t="shared" si="23"/>
        <v>0</v>
      </c>
      <c r="T67" s="78">
        <f t="shared" si="24"/>
        <v>2.8166666666666666E-5</v>
      </c>
      <c r="U67" s="81">
        <f t="shared" si="25"/>
        <v>5.0788011973565135E-4</v>
      </c>
      <c r="V67" s="81">
        <f t="shared" si="26"/>
        <v>0</v>
      </c>
      <c r="W67" s="77">
        <f t="shared" si="6"/>
        <v>0.98209839000969867</v>
      </c>
      <c r="X67" s="82">
        <f t="shared" si="27"/>
        <v>2.7655413384115108E-5</v>
      </c>
      <c r="Y67" s="82">
        <f t="shared" si="28"/>
        <v>4.9878122330915817E-4</v>
      </c>
      <c r="Z67" s="82">
        <f t="shared" si="29"/>
        <v>0</v>
      </c>
      <c r="AA67" s="82">
        <f t="shared" si="30"/>
        <v>0.9815719533730054</v>
      </c>
      <c r="AC67" s="46">
        <f t="shared" si="7"/>
        <v>0</v>
      </c>
      <c r="AD67" s="15">
        <f t="shared" si="31"/>
        <v>0</v>
      </c>
      <c r="AE67" s="46">
        <f t="shared" si="32"/>
        <v>0</v>
      </c>
      <c r="AF67" s="15">
        <f t="shared" si="33"/>
        <v>0</v>
      </c>
      <c r="AG67" s="46">
        <f>SUMPRODUCT(AE68:AE$605, $I67:$I$604) / $I67</f>
        <v>0</v>
      </c>
      <c r="AI67" s="46">
        <f t="shared" si="8"/>
        <v>-47000</v>
      </c>
      <c r="AJ67" s="46">
        <f>IF(E67&gt;Mat_Year,0,  -SUM($AD$5:AD67))</f>
        <v>-9306</v>
      </c>
      <c r="AK67" s="24">
        <f t="shared" si="34"/>
        <v>-0.25736127695257521</v>
      </c>
      <c r="AL67" s="79">
        <f t="shared" si="35"/>
        <v>-23.442717495530434</v>
      </c>
      <c r="AM67" s="24">
        <f t="shared" si="36"/>
        <v>-24.132081890745145</v>
      </c>
      <c r="AN67" s="79">
        <f t="shared" si="37"/>
        <v>-23.70007877248301</v>
      </c>
      <c r="AO67" s="15">
        <f t="shared" si="38"/>
        <v>-6925.256865456905</v>
      </c>
      <c r="AP67" s="46">
        <f>SUMPRODUCT(AN68:AN$605, $I68:$I$605) / $I67</f>
        <v>-6801.2836179688384</v>
      </c>
      <c r="AR67" s="46">
        <v>0</v>
      </c>
      <c r="AS67" s="46">
        <v>0</v>
      </c>
      <c r="AT67" s="46">
        <v>0</v>
      </c>
      <c r="AU67" s="95">
        <f t="shared" si="9"/>
        <v>-1.8679635528789555</v>
      </c>
      <c r="AV67" s="47">
        <f t="shared" si="10"/>
        <v>0</v>
      </c>
      <c r="AW67" s="96">
        <f t="shared" si="59"/>
        <v>-1.8679635528789555</v>
      </c>
      <c r="AX67" s="95">
        <f t="shared" si="11"/>
        <v>-21.419315406345355</v>
      </c>
      <c r="AY67" s="11">
        <f t="shared" si="12"/>
        <v>0</v>
      </c>
      <c r="AZ67" s="96">
        <f t="shared" si="60"/>
        <v>-21.419315406345355</v>
      </c>
      <c r="BA67" s="95">
        <f t="shared" si="61"/>
        <v>-1.8345239978792189</v>
      </c>
      <c r="BB67" s="64">
        <f t="shared" si="62"/>
        <v>-1.1275912362788862E-2</v>
      </c>
      <c r="BC67" s="95">
        <f t="shared" si="63"/>
        <v>-1.8679635528789555</v>
      </c>
      <c r="BD67" s="96">
        <f t="shared" si="64"/>
        <v>-1.1481448780989761E-2</v>
      </c>
      <c r="BE67" s="96">
        <f t="shared" si="65"/>
        <v>-1.8345239978792189</v>
      </c>
      <c r="BF67" s="96">
        <f t="shared" si="66"/>
        <v>-1.1275912362788862E-2</v>
      </c>
      <c r="BG67" s="15">
        <f t="shared" si="47"/>
        <v>-248.91575767963064</v>
      </c>
      <c r="BH67" s="46">
        <f>(SUMPRODUCT(BE68:BE$605,$I67:$I$604)+SUMPRODUCT(BF68:BF$605,$I68:$I$605)) / $I67</f>
        <v>-244.45976486520954</v>
      </c>
      <c r="BJ67" s="46">
        <f t="shared" si="67"/>
        <v>-1.8345239978792189</v>
      </c>
      <c r="BK67" s="46">
        <f t="shared" si="68"/>
        <v>-23.711354684845798</v>
      </c>
      <c r="BM67" s="49">
        <f t="shared" si="50"/>
        <v>7178.0202751540983</v>
      </c>
      <c r="BN67" s="46">
        <f t="shared" si="69"/>
        <v>7045.7433828340463</v>
      </c>
      <c r="BP67" s="46">
        <f>Reserve!BX67</f>
        <v>9688.2966901997133</v>
      </c>
      <c r="BQ67" s="46">
        <f t="shared" si="13"/>
        <v>9509.7603070565565</v>
      </c>
      <c r="BR67" s="15">
        <f t="shared" si="52"/>
        <v>7.5353908797642362</v>
      </c>
      <c r="BT67" s="49">
        <f t="shared" si="53"/>
        <v>32.280450649873949</v>
      </c>
      <c r="BU67" s="46">
        <f t="shared" si="54"/>
        <v>31.702578612028734</v>
      </c>
      <c r="BV67" s="46">
        <f>SUMPRODUCT(BU68:BU$605, $I68:$I$605) / $I67</f>
        <v>2603.7809004192973</v>
      </c>
      <c r="BX67" s="46">
        <f>-BZ67*Others!$Q$43</f>
        <v>-3.5051752471213957</v>
      </c>
      <c r="BZ67" s="50">
        <f t="shared" si="0"/>
        <v>13.692090809067953</v>
      </c>
      <c r="CA67" s="46">
        <f t="shared" si="55"/>
        <v>10.186915561946556</v>
      </c>
      <c r="CB67" s="46">
        <f t="shared" si="14"/>
        <v>10.186915561946556</v>
      </c>
      <c r="CD67" s="46">
        <f>SUMPRODUCT(BZ68:BZ$605, $I68:$I$605) / $I67</f>
        <v>2464.0169242225052</v>
      </c>
      <c r="CE67" s="46">
        <f>SUMPRODUCT(CA68:CA$605, $I68:$I$605) / $I67</f>
        <v>1833.2285916215437</v>
      </c>
      <c r="CF67" s="46">
        <f>SUMPRODUCT(CB68:CB$605, $I68:$I$605) / $I67</f>
        <v>1833.2285916215437</v>
      </c>
      <c r="CH67" s="46">
        <f t="shared" si="15"/>
        <v>37311.703309800287</v>
      </c>
      <c r="CI67" s="46">
        <f t="shared" si="16"/>
        <v>0</v>
      </c>
      <c r="CK67" s="46">
        <f>NPV((1+CK$3)^(1/12)-1,$CB$6:$CB67)+$CB$5</f>
        <v>-310.93918548561953</v>
      </c>
      <c r="CL67" s="46">
        <f>NPV((1+CL$3)^(1/12)-1,$CB$6:$CB67)+$CB$5</f>
        <v>-333.96686555333633</v>
      </c>
      <c r="CM67" s="46">
        <f>NPV((1+CM$3)^(1/12)-1,$CB$6:$CB67)+$CB$5</f>
        <v>-383.37933799035301</v>
      </c>
      <c r="CN67" s="46">
        <f>NPV((1+CN$3)^(1/12)-1,$CB$6:$CB67)+$CB$5</f>
        <v>-383.37933799035301</v>
      </c>
    </row>
    <row r="68" spans="1:92" x14ac:dyDescent="0.25">
      <c r="A68" s="61">
        <f t="shared" si="1"/>
        <v>5.2499999999999982</v>
      </c>
      <c r="B68" s="32">
        <f t="shared" si="56"/>
        <v>3</v>
      </c>
      <c r="C68" s="62">
        <f t="shared" si="17"/>
        <v>6</v>
      </c>
      <c r="D68" s="64">
        <f t="shared" si="18"/>
        <v>5.7499999999999982</v>
      </c>
      <c r="E68" s="28">
        <f t="shared" si="2"/>
        <v>5</v>
      </c>
      <c r="G68" s="68">
        <f>INDEX(Others!$D$11:$E$60, MATCH(C68, Others!$A$11:$A$60, 0), MATCH(G$3, Others!$D$10:$E$10, 0))</f>
        <v>4.0721103265794367E-2</v>
      </c>
      <c r="H68" s="16">
        <f t="shared" si="57"/>
        <v>3.3316912372947094E-3</v>
      </c>
      <c r="I68" s="69">
        <f t="shared" si="58"/>
        <v>0.84559188421390863</v>
      </c>
      <c r="K68" s="80">
        <f>INDEX(Mortality!$B$7:$F$32, MATCH( E68,Mortality!$A$7:$A$32, 0), MATCH( K$3,Mortality!$B$6:$F$6,0))</f>
        <v>0.33799999999999997</v>
      </c>
      <c r="L68" s="11">
        <f t="shared" si="3"/>
        <v>0</v>
      </c>
      <c r="M68" s="80">
        <f t="shared" si="21"/>
        <v>0.33799999999999997</v>
      </c>
      <c r="N68" s="76">
        <f>INDEX(Myopia!$H:$H, MATCH(E68, Myopia!$A:$A, 0)) * Trend_Factor^(A68)</f>
        <v>6.0945614368278163</v>
      </c>
      <c r="O68" s="11">
        <f t="shared" si="4"/>
        <v>0</v>
      </c>
      <c r="P68" s="80">
        <f t="shared" si="22"/>
        <v>6.0945614368278163</v>
      </c>
      <c r="Q68" s="76">
        <f>VLOOKUP(C68,Others!$L$10:$M$61,2)</f>
        <v>0</v>
      </c>
      <c r="R68" s="11">
        <f t="shared" si="5"/>
        <v>0</v>
      </c>
      <c r="S68" s="80">
        <f t="shared" si="23"/>
        <v>0</v>
      </c>
      <c r="T68" s="78">
        <f t="shared" si="24"/>
        <v>2.8166666666666666E-5</v>
      </c>
      <c r="U68" s="81">
        <f t="shared" si="25"/>
        <v>5.0788011973565135E-4</v>
      </c>
      <c r="V68" s="81">
        <f t="shared" si="26"/>
        <v>0</v>
      </c>
      <c r="W68" s="77">
        <f t="shared" si="6"/>
        <v>0.9815719533730054</v>
      </c>
      <c r="X68" s="82">
        <f t="shared" si="27"/>
        <v>2.7640589184262637E-5</v>
      </c>
      <c r="Y68" s="82">
        <f t="shared" si="28"/>
        <v>4.9851386037249549E-4</v>
      </c>
      <c r="Z68" s="82">
        <f t="shared" si="29"/>
        <v>0</v>
      </c>
      <c r="AA68" s="82">
        <f t="shared" si="30"/>
        <v>0.98104579892344868</v>
      </c>
      <c r="AC68" s="46">
        <f t="shared" si="7"/>
        <v>0</v>
      </c>
      <c r="AD68" s="15">
        <f t="shared" si="31"/>
        <v>0</v>
      </c>
      <c r="AE68" s="46">
        <f t="shared" si="32"/>
        <v>0</v>
      </c>
      <c r="AF68" s="15">
        <f t="shared" si="33"/>
        <v>0</v>
      </c>
      <c r="AG68" s="46">
        <f>SUMPRODUCT(AE69:AE$605, $I68:$I$604) / $I68</f>
        <v>0</v>
      </c>
      <c r="AI68" s="46">
        <f t="shared" si="8"/>
        <v>-47000</v>
      </c>
      <c r="AJ68" s="46">
        <f>IF(E68&gt;Mat_Year,0,  -SUM($AD$5:AD68))</f>
        <v>-9306</v>
      </c>
      <c r="AK68" s="24">
        <f t="shared" si="34"/>
        <v>-0.25722332294874811</v>
      </c>
      <c r="AL68" s="79">
        <f t="shared" si="35"/>
        <v>-23.430151437507288</v>
      </c>
      <c r="AM68" s="24">
        <f t="shared" si="36"/>
        <v>-24.132081890745138</v>
      </c>
      <c r="AN68" s="79">
        <f t="shared" si="37"/>
        <v>-23.687374760456034</v>
      </c>
      <c r="AO68" s="15">
        <f t="shared" si="38"/>
        <v>-6927.924129120438</v>
      </c>
      <c r="AP68" s="46">
        <f>SUMPRODUCT(AN69:AN$605, $I69:$I$605) / $I68</f>
        <v>-6800.2560202407258</v>
      </c>
      <c r="AR68" s="46">
        <v>0</v>
      </c>
      <c r="AS68" s="46">
        <v>0</v>
      </c>
      <c r="AT68" s="46">
        <v>0</v>
      </c>
      <c r="AU68" s="95">
        <f t="shared" si="9"/>
        <v>-1.8700521201549369</v>
      </c>
      <c r="AV68" s="47">
        <f t="shared" si="10"/>
        <v>0</v>
      </c>
      <c r="AW68" s="96">
        <f t="shared" si="59"/>
        <v>-1.8700521201549369</v>
      </c>
      <c r="AX68" s="95">
        <f t="shared" si="11"/>
        <v>-21.443264311109942</v>
      </c>
      <c r="AY68" s="11">
        <f t="shared" si="12"/>
        <v>0</v>
      </c>
      <c r="AZ68" s="96">
        <f t="shared" si="60"/>
        <v>-21.443264311109942</v>
      </c>
      <c r="BA68" s="95">
        <f t="shared" si="61"/>
        <v>-1.8355907124898116</v>
      </c>
      <c r="BB68" s="64">
        <f t="shared" si="62"/>
        <v>-1.128246893031213E-2</v>
      </c>
      <c r="BC68" s="95">
        <f t="shared" si="63"/>
        <v>-1.8700521201549369</v>
      </c>
      <c r="BD68" s="96">
        <f t="shared" si="64"/>
        <v>-1.1494286171830645E-2</v>
      </c>
      <c r="BE68" s="96">
        <f t="shared" si="65"/>
        <v>-1.8355907124898116</v>
      </c>
      <c r="BF68" s="96">
        <f t="shared" si="66"/>
        <v>-1.128246893031213E-2</v>
      </c>
      <c r="BG68" s="15">
        <f t="shared" si="47"/>
        <v>-247.99123455218347</v>
      </c>
      <c r="BH68" s="46">
        <f>(SUMPRODUCT(BE69:BE$605,$I68:$I$604)+SUMPRODUCT(BF69:BF$605,$I69:$I$605)) / $I68</f>
        <v>-243.42124051876988</v>
      </c>
      <c r="BJ68" s="46">
        <f t="shared" si="67"/>
        <v>-1.8355907124898116</v>
      </c>
      <c r="BK68" s="46">
        <f t="shared" si="68"/>
        <v>-23.698657229386345</v>
      </c>
      <c r="BM68" s="49">
        <f t="shared" si="50"/>
        <v>7179.7639503567298</v>
      </c>
      <c r="BN68" s="46">
        <f t="shared" si="69"/>
        <v>7043.6772607594939</v>
      </c>
      <c r="BP68" s="46">
        <f>Reserve!BX68</f>
        <v>9685.8050082112204</v>
      </c>
      <c r="BQ68" s="46">
        <f t="shared" si="13"/>
        <v>9502.2183124973162</v>
      </c>
      <c r="BR68" s="15">
        <f t="shared" si="52"/>
        <v>7.5419945592402655</v>
      </c>
      <c r="BT68" s="49">
        <f t="shared" si="53"/>
        <v>32.272182750787721</v>
      </c>
      <c r="BU68" s="46">
        <f t="shared" si="54"/>
        <v>31.677469462301314</v>
      </c>
      <c r="BV68" s="46">
        <f>SUMPRODUCT(BU69:BU$605, $I69:$I$605) / $I68</f>
        <v>2580.7784249667584</v>
      </c>
      <c r="BX68" s="46">
        <f>-BZ68*Others!$Q$43</f>
        <v>-3.5034153163943484</v>
      </c>
      <c r="BZ68" s="50">
        <f t="shared" si="0"/>
        <v>13.685216079665423</v>
      </c>
      <c r="CA68" s="46">
        <f t="shared" si="55"/>
        <v>10.181800763271074</v>
      </c>
      <c r="CB68" s="46">
        <f t="shared" si="14"/>
        <v>10.181800763271074</v>
      </c>
      <c r="CD68" s="46">
        <f>SUMPRODUCT(BZ69:BZ$605, $I69:$I$605) / $I68</f>
        <v>2458.5410517378182</v>
      </c>
      <c r="CE68" s="46">
        <f>SUMPRODUCT(CA69:CA$605, $I69:$I$605) / $I68</f>
        <v>1829.1545424929363</v>
      </c>
      <c r="CF68" s="46">
        <f>SUMPRODUCT(CB69:CB$605, $I69:$I$605) / $I68</f>
        <v>1829.1545424929363</v>
      </c>
      <c r="CH68" s="46">
        <f t="shared" si="15"/>
        <v>37314.194991788783</v>
      </c>
      <c r="CI68" s="46">
        <f t="shared" si="16"/>
        <v>0</v>
      </c>
      <c r="CK68" s="46">
        <f>NPV((1+CK$3)^(1/12)-1,$CB$6:$CB68)+$CB$5</f>
        <v>-302.22093856952523</v>
      </c>
      <c r="CL68" s="46">
        <f>NPV((1+CL$3)^(1/12)-1,$CB$6:$CB68)+$CB$5</f>
        <v>-326.08587558990905</v>
      </c>
      <c r="CM68" s="46">
        <f>NPV((1+CM$3)^(1/12)-1,$CB$6:$CB68)+$CB$5</f>
        <v>-377.20610032305171</v>
      </c>
      <c r="CN68" s="46">
        <f>NPV((1+CN$3)^(1/12)-1,$CB$6:$CB68)+$CB$5</f>
        <v>-377.20610032305171</v>
      </c>
    </row>
    <row r="69" spans="1:92" x14ac:dyDescent="0.25">
      <c r="A69" s="61">
        <f t="shared" si="1"/>
        <v>5.3333333333333313</v>
      </c>
      <c r="B69" s="32">
        <f t="shared" si="56"/>
        <v>4</v>
      </c>
      <c r="C69" s="62">
        <f t="shared" si="17"/>
        <v>6</v>
      </c>
      <c r="D69" s="64">
        <f t="shared" si="18"/>
        <v>5.8333333333333313</v>
      </c>
      <c r="E69" s="28">
        <f t="shared" si="2"/>
        <v>5</v>
      </c>
      <c r="G69" s="68">
        <f>INDEX(Others!$D$11:$E$60, MATCH(C69, Others!$A$11:$A$60, 0), MATCH(G$3, Others!$D$10:$E$10, 0))</f>
        <v>4.0721103265794367E-2</v>
      </c>
      <c r="H69" s="16">
        <f t="shared" si="57"/>
        <v>3.3316912372947094E-3</v>
      </c>
      <c r="I69" s="69">
        <f t="shared" si="58"/>
        <v>0.84278398818553857</v>
      </c>
      <c r="K69" s="80">
        <f>INDEX(Mortality!$B$7:$F$32, MATCH( E69,Mortality!$A$7:$A$32, 0), MATCH( K$3,Mortality!$B$6:$F$6,0))</f>
        <v>0.33799999999999997</v>
      </c>
      <c r="L69" s="11">
        <f t="shared" si="3"/>
        <v>0</v>
      </c>
      <c r="M69" s="80">
        <f t="shared" si="21"/>
        <v>0.33799999999999997</v>
      </c>
      <c r="N69" s="76">
        <f>INDEX(Myopia!$H:$H, MATCH(E69, Myopia!$A:$A, 0)) * Trend_Factor^(A69)</f>
        <v>6.0945614368278163</v>
      </c>
      <c r="O69" s="11">
        <f t="shared" si="4"/>
        <v>0</v>
      </c>
      <c r="P69" s="80">
        <f t="shared" si="22"/>
        <v>6.0945614368278163</v>
      </c>
      <c r="Q69" s="76">
        <f>VLOOKUP(C69,Others!$L$10:$M$61,2)</f>
        <v>0</v>
      </c>
      <c r="R69" s="11">
        <f t="shared" si="5"/>
        <v>0</v>
      </c>
      <c r="S69" s="80">
        <f t="shared" si="23"/>
        <v>0</v>
      </c>
      <c r="T69" s="78">
        <f t="shared" si="24"/>
        <v>2.8166666666666666E-5</v>
      </c>
      <c r="U69" s="81">
        <f t="shared" si="25"/>
        <v>5.0788011973565135E-4</v>
      </c>
      <c r="V69" s="81">
        <f t="shared" si="26"/>
        <v>0</v>
      </c>
      <c r="W69" s="77">
        <f t="shared" si="6"/>
        <v>0.98104579892344868</v>
      </c>
      <c r="X69" s="82">
        <f t="shared" si="27"/>
        <v>2.7625772930662793E-5</v>
      </c>
      <c r="Y69" s="82">
        <f t="shared" si="28"/>
        <v>4.9824664075105111E-4</v>
      </c>
      <c r="Z69" s="82">
        <f t="shared" si="29"/>
        <v>0</v>
      </c>
      <c r="AA69" s="82">
        <f t="shared" si="30"/>
        <v>0.98051992650976694</v>
      </c>
      <c r="AC69" s="46">
        <f t="shared" si="7"/>
        <v>0</v>
      </c>
      <c r="AD69" s="15">
        <f t="shared" si="31"/>
        <v>0</v>
      </c>
      <c r="AE69" s="46">
        <f t="shared" si="32"/>
        <v>0</v>
      </c>
      <c r="AF69" s="15">
        <f t="shared" si="33"/>
        <v>0</v>
      </c>
      <c r="AG69" s="46">
        <f>SUMPRODUCT(AE70:AE$605, $I69:$I$604) / $I69</f>
        <v>0</v>
      </c>
      <c r="AI69" s="46">
        <f t="shared" si="8"/>
        <v>-47000</v>
      </c>
      <c r="AJ69" s="46">
        <f>IF(E69&gt;Mat_Year,0,  -SUM($AD$5:AD69))</f>
        <v>-9306</v>
      </c>
      <c r="AK69" s="24">
        <f t="shared" si="34"/>
        <v>-0.25708544289274793</v>
      </c>
      <c r="AL69" s="79">
        <f t="shared" si="35"/>
        <v>-23.417592115299403</v>
      </c>
      <c r="AM69" s="24">
        <f t="shared" si="36"/>
        <v>-24.132081890745138</v>
      </c>
      <c r="AN69" s="79">
        <f t="shared" si="37"/>
        <v>-23.674677558192151</v>
      </c>
      <c r="AO69" s="15">
        <f t="shared" si="38"/>
        <v>-6930.6017145557089</v>
      </c>
      <c r="AP69" s="46">
        <f>SUMPRODUCT(AN70:AN$605, $I70:$I$605) / $I69</f>
        <v>-6799.2376960765287</v>
      </c>
      <c r="AR69" s="46">
        <v>0</v>
      </c>
      <c r="AS69" s="46">
        <v>0</v>
      </c>
      <c r="AT69" s="46">
        <v>0</v>
      </c>
      <c r="AU69" s="95">
        <f t="shared" si="9"/>
        <v>-1.8721430226548903</v>
      </c>
      <c r="AV69" s="47">
        <f t="shared" si="10"/>
        <v>0</v>
      </c>
      <c r="AW69" s="96">
        <f t="shared" si="59"/>
        <v>-1.8721430226548903</v>
      </c>
      <c r="AX69" s="95">
        <f t="shared" si="11"/>
        <v>-21.467239993109406</v>
      </c>
      <c r="AY69" s="11">
        <f t="shared" si="12"/>
        <v>0</v>
      </c>
      <c r="AZ69" s="96">
        <f t="shared" si="60"/>
        <v>-21.467239993109406</v>
      </c>
      <c r="BA69" s="95">
        <f t="shared" si="61"/>
        <v>-1.8366580473594269</v>
      </c>
      <c r="BB69" s="64">
        <f t="shared" si="62"/>
        <v>-1.1289029310261062E-2</v>
      </c>
      <c r="BC69" s="95">
        <f t="shared" si="63"/>
        <v>-1.8721430226548903</v>
      </c>
      <c r="BD69" s="96">
        <f t="shared" si="64"/>
        <v>-1.1507137916139172E-2</v>
      </c>
      <c r="BE69" s="96">
        <f t="shared" si="65"/>
        <v>-1.8366580473594269</v>
      </c>
      <c r="BF69" s="96">
        <f t="shared" si="66"/>
        <v>-1.1289029310261062E-2</v>
      </c>
      <c r="BG69" s="15">
        <f t="shared" si="47"/>
        <v>-247.06102298644933</v>
      </c>
      <c r="BH69" s="46">
        <f>(SUMPRODUCT(BE70:BE$605,$I69:$I$604)+SUMPRODUCT(BF70:BF$605,$I70:$I$605)) / $I69</f>
        <v>-242.3781786785857</v>
      </c>
      <c r="BJ69" s="46">
        <f t="shared" si="67"/>
        <v>-1.8366580473594269</v>
      </c>
      <c r="BK69" s="46">
        <f t="shared" si="68"/>
        <v>-23.685966587502413</v>
      </c>
      <c r="BM69" s="49">
        <f t="shared" si="50"/>
        <v>7181.512261377763</v>
      </c>
      <c r="BN69" s="46">
        <f t="shared" si="69"/>
        <v>7041.6158747551144</v>
      </c>
      <c r="BP69" s="46">
        <f>Reserve!BX69</f>
        <v>9683.3011006666529</v>
      </c>
      <c r="BQ69" s="46">
        <f t="shared" si="13"/>
        <v>9494.6696835976127</v>
      </c>
      <c r="BR69" s="15">
        <f t="shared" si="52"/>
        <v>7.5486288997035444</v>
      </c>
      <c r="BT69" s="49">
        <f t="shared" si="53"/>
        <v>32.263874269498992</v>
      </c>
      <c r="BU69" s="46">
        <f t="shared" si="54"/>
        <v>31.652338309086335</v>
      </c>
      <c r="BV69" s="46">
        <f>SUMPRODUCT(BU70:BU$605, $I70:$I$605) / $I69</f>
        <v>2557.7244435215325</v>
      </c>
      <c r="BX69" s="46">
        <f>-BZ69*Others!$Q$43</f>
        <v>-3.5016556989255778</v>
      </c>
      <c r="BZ69" s="50">
        <f t="shared" ref="BZ69:BZ132" si="70">SUM(BJ69,BK69,BR69,BU69)</f>
        <v>13.678342573928038</v>
      </c>
      <c r="CA69" s="46">
        <f t="shared" si="55"/>
        <v>10.17668687500246</v>
      </c>
      <c r="CB69" s="46">
        <f t="shared" si="14"/>
        <v>10.17668687500246</v>
      </c>
      <c r="CD69" s="46">
        <f>SUMPRODUCT(BZ70:BZ$605, $I70:$I$605) / $I69</f>
        <v>2453.0538088424937</v>
      </c>
      <c r="CE69" s="46">
        <f>SUMPRODUCT(CA70:CA$605, $I70:$I$605) / $I69</f>
        <v>1825.0720337788155</v>
      </c>
      <c r="CF69" s="46">
        <f>SUMPRODUCT(CB70:CB$605, $I70:$I$605) / $I69</f>
        <v>1825.0720337788155</v>
      </c>
      <c r="CH69" s="46">
        <f t="shared" si="15"/>
        <v>37316.698899333351</v>
      </c>
      <c r="CI69" s="46">
        <f t="shared" si="16"/>
        <v>0</v>
      </c>
      <c r="CK69" s="46">
        <f>NPV((1+CK$3)^(1/12)-1,$CB$6:$CB69)+$CB$5</f>
        <v>-293.52850833837482</v>
      </c>
      <c r="CL69" s="46">
        <f>NPV((1+CL$3)^(1/12)-1,$CB$6:$CB69)+$CB$5</f>
        <v>-318.24080570053218</v>
      </c>
      <c r="CM69" s="46">
        <f>NPV((1+CM$3)^(1/12)-1,$CB$6:$CB69)+$CB$5</f>
        <v>-371.0847755157908</v>
      </c>
      <c r="CN69" s="46">
        <f>NPV((1+CN$3)^(1/12)-1,$CB$6:$CB69)+$CB$5</f>
        <v>-371.0847755157908</v>
      </c>
    </row>
    <row r="70" spans="1:92" x14ac:dyDescent="0.25">
      <c r="A70" s="61">
        <f t="shared" ref="A70:A133" si="71">A69+1/12</f>
        <v>5.4166666666666643</v>
      </c>
      <c r="B70" s="32">
        <f t="shared" si="56"/>
        <v>5</v>
      </c>
      <c r="C70" s="62">
        <f t="shared" si="17"/>
        <v>6</v>
      </c>
      <c r="D70" s="64">
        <f t="shared" si="18"/>
        <v>5.9166666666666643</v>
      </c>
      <c r="E70" s="28">
        <f t="shared" ref="E70:E133" si="72">INT(D70+0.001)</f>
        <v>5</v>
      </c>
      <c r="G70" s="68">
        <f>INDEX(Others!$D$11:$E$60, MATCH(C70, Others!$A$11:$A$60, 0), MATCH(G$3, Others!$D$10:$E$10, 0))</f>
        <v>4.0721103265794367E-2</v>
      </c>
      <c r="H70" s="16">
        <f t="shared" si="57"/>
        <v>3.3316912372947094E-3</v>
      </c>
      <c r="I70" s="69">
        <f t="shared" si="58"/>
        <v>0.83998541613514577</v>
      </c>
      <c r="K70" s="80">
        <f>INDEX(Mortality!$B$7:$F$32, MATCH( E70,Mortality!$A$7:$A$32, 0), MATCH( K$3,Mortality!$B$6:$F$6,0))</f>
        <v>0.33799999999999997</v>
      </c>
      <c r="L70" s="11">
        <f t="shared" ref="L70:L133" si="73">PAD_Mort</f>
        <v>0</v>
      </c>
      <c r="M70" s="80">
        <f t="shared" si="21"/>
        <v>0.33799999999999997</v>
      </c>
      <c r="N70" s="76">
        <f>INDEX(Myopia!$H:$H, MATCH(E70, Myopia!$A:$A, 0)) * Trend_Factor^(A70)</f>
        <v>6.0945614368278163</v>
      </c>
      <c r="O70" s="11">
        <f t="shared" ref="O70:O133" si="74">PAD_Incid</f>
        <v>0</v>
      </c>
      <c r="P70" s="80">
        <f t="shared" si="22"/>
        <v>6.0945614368278163</v>
      </c>
      <c r="Q70" s="76">
        <f>VLOOKUP(C70,Others!$L$10:$M$61,2)</f>
        <v>0</v>
      </c>
      <c r="R70" s="11">
        <f t="shared" ref="R70:R133" si="75">PAD_Laspe</f>
        <v>0</v>
      </c>
      <c r="S70" s="80">
        <f t="shared" si="23"/>
        <v>0</v>
      </c>
      <c r="T70" s="78">
        <f t="shared" si="24"/>
        <v>2.8166666666666666E-5</v>
      </c>
      <c r="U70" s="81">
        <f t="shared" si="25"/>
        <v>5.0788011973565135E-4</v>
      </c>
      <c r="V70" s="81">
        <f t="shared" si="26"/>
        <v>0</v>
      </c>
      <c r="W70" s="77">
        <f t="shared" ref="W70:W133" si="76">IF(E70&gt;Mat_Year, 0, AA69)</f>
        <v>0.98051992650976694</v>
      </c>
      <c r="X70" s="82">
        <f t="shared" si="27"/>
        <v>2.7610964619056125E-5</v>
      </c>
      <c r="Y70" s="82">
        <f t="shared" si="28"/>
        <v>4.9797956436800357E-4</v>
      </c>
      <c r="Z70" s="82">
        <f t="shared" si="29"/>
        <v>0</v>
      </c>
      <c r="AA70" s="82">
        <f t="shared" si="30"/>
        <v>0.9799943359807799</v>
      </c>
      <c r="AC70" s="46">
        <f t="shared" ref="AC70:AC133" si="77">IF(C70&gt;Prem_Term,0,Ann_Prem)</f>
        <v>0</v>
      </c>
      <c r="AD70" s="15">
        <f t="shared" ref="AD70:AD133" si="78">IF(Prem_Mode="Mth",AC70/12,
IF(B70=1, AC70, 0))</f>
        <v>0</v>
      </c>
      <c r="AE70" s="46">
        <f t="shared" si="32"/>
        <v>0</v>
      </c>
      <c r="AF70" s="15">
        <f t="shared" si="33"/>
        <v>0</v>
      </c>
      <c r="AG70" s="46">
        <f>SUMPRODUCT(AE71:AE$605, $I70:$I$604) / $I70</f>
        <v>0</v>
      </c>
      <c r="AI70" s="46">
        <f t="shared" ref="AI70:AI133" si="79">IF(E70&gt;Mat_Year,0, -Sum_Assured)</f>
        <v>-47000</v>
      </c>
      <c r="AJ70" s="46">
        <f>IF(E70&gt;Mat_Year,0,  -SUM($AD$5:AD70))</f>
        <v>-9306</v>
      </c>
      <c r="AK70" s="24">
        <f t="shared" si="34"/>
        <v>-0.25694763674493631</v>
      </c>
      <c r="AL70" s="79">
        <f t="shared" si="35"/>
        <v>-23.405039525296168</v>
      </c>
      <c r="AM70" s="24">
        <f t="shared" si="36"/>
        <v>-24.132081890745141</v>
      </c>
      <c r="AN70" s="79">
        <f t="shared" si="37"/>
        <v>-23.661987162041104</v>
      </c>
      <c r="AO70" s="15">
        <f t="shared" si="38"/>
        <v>-6933.2896617058932</v>
      </c>
      <c r="AP70" s="46">
        <f>SUMPRODUCT(AN71:AN$605, $I71:$I$605) / $I70</f>
        <v>-6798.228669566789</v>
      </c>
      <c r="AR70" s="46">
        <v>0</v>
      </c>
      <c r="AS70" s="46">
        <v>0</v>
      </c>
      <c r="AT70" s="46">
        <v>0</v>
      </c>
      <c r="AU70" s="95">
        <f t="shared" ref="AU70:AU133" si="80">IF(E70&gt;Mat_Year,0,
-Exp_Main/12 * (1+Exp_Main_Infl)^(A69))</f>
        <v>-1.8742362629898253</v>
      </c>
      <c r="AV70" s="47">
        <f t="shared" ref="AV70:AV133" si="81">PAD_Exp_Main</f>
        <v>0</v>
      </c>
      <c r="AW70" s="96">
        <f t="shared" si="59"/>
        <v>-1.8742362629898253</v>
      </c>
      <c r="AX70" s="95">
        <f t="shared" ref="AX70:AX133" si="82">IF(E70&gt;Mat_Year,0,
-Exp_Claim* (1+Exp_Main_Infl)^(A69))</f>
        <v>-21.491242482283326</v>
      </c>
      <c r="AY70" s="11">
        <f t="shared" ref="AY70:AY133" si="83">PAD_Exp_Claim</f>
        <v>0</v>
      </c>
      <c r="AZ70" s="96">
        <f t="shared" si="60"/>
        <v>-21.491242482283326</v>
      </c>
      <c r="BA70" s="95">
        <f t="shared" si="61"/>
        <v>-1.8377260028487237</v>
      </c>
      <c r="BB70" s="64">
        <f t="shared" si="62"/>
        <v>-1.1295593504852463E-2</v>
      </c>
      <c r="BC70" s="95">
        <f t="shared" si="63"/>
        <v>-1.8742362629898253</v>
      </c>
      <c r="BD70" s="96">
        <f t="shared" si="64"/>
        <v>-1.1520004029963941E-2</v>
      </c>
      <c r="BE70" s="96">
        <f t="shared" si="65"/>
        <v>-1.8377260028487237</v>
      </c>
      <c r="BF70" s="96">
        <f t="shared" si="66"/>
        <v>-1.1295593504852463E-2</v>
      </c>
      <c r="BG70" s="15">
        <f t="shared" si="47"/>
        <v>-246.12509860932735</v>
      </c>
      <c r="BH70" s="46">
        <f>(SUMPRODUCT(BE71:BE$605,$I70:$I$604)+SUMPRODUCT(BF71:BF$605,$I71:$I$605)) / $I70</f>
        <v>-241.33056360062679</v>
      </c>
      <c r="BJ70" s="46">
        <f t="shared" si="67"/>
        <v>-1.8377260028487237</v>
      </c>
      <c r="BK70" s="46">
        <f t="shared" si="68"/>
        <v>-23.673282755545955</v>
      </c>
      <c r="BM70" s="49">
        <f t="shared" si="50"/>
        <v>7183.265223795619</v>
      </c>
      <c r="BN70" s="46">
        <f t="shared" si="69"/>
        <v>7039.5592331674161</v>
      </c>
      <c r="BP70" s="46">
        <f>Reserve!BX70</f>
        <v>9680.7849201687532</v>
      </c>
      <c r="BQ70" s="46">
        <f t="shared" ref="BQ70:BQ133" si="84">BP70*AA70</f>
        <v>9487.1143896135254</v>
      </c>
      <c r="BR70" s="15">
        <f t="shared" si="52"/>
        <v>7.5552939840872568</v>
      </c>
      <c r="BT70" s="49">
        <f t="shared" si="53"/>
        <v>32.255525048643285</v>
      </c>
      <c r="BU70" s="46">
        <f t="shared" ref="BU70:BU133" si="85">SUM(BJ70,BQ69)*H70</f>
        <v>31.627185050229659</v>
      </c>
      <c r="BV70" s="46">
        <f>SUMPRODUCT(BU71:BU$605, $I71:$I$605) / $I70</f>
        <v>2534.6188065871979</v>
      </c>
      <c r="BX70" s="46">
        <f>-BZ70*Others!$Q$43</f>
        <v>-3.4998963906360934</v>
      </c>
      <c r="BZ70" s="50">
        <f t="shared" si="70"/>
        <v>13.671470275922239</v>
      </c>
      <c r="CA70" s="46">
        <f t="shared" si="55"/>
        <v>10.171573885286145</v>
      </c>
      <c r="CB70" s="46">
        <f t="shared" ref="CB70:CB133" si="86">CA70</f>
        <v>10.171573885286145</v>
      </c>
      <c r="CD70" s="46">
        <f>SUMPRODUCT(BZ71:BZ$605, $I71:$I$605) / $I70</f>
        <v>2447.5551564461057</v>
      </c>
      <c r="CE70" s="46">
        <f>SUMPRODUCT(CA71:CA$605, $I71:$I$605) / $I70</f>
        <v>1820.9810363959018</v>
      </c>
      <c r="CF70" s="46">
        <f>SUMPRODUCT(CB71:CB$605, $I71:$I$605) / $I70</f>
        <v>1820.9810363959018</v>
      </c>
      <c r="CH70" s="46">
        <f t="shared" ref="CH70:CH133" si="87">IF(E71&gt;Mat_Year, 0, MAX(0, -AI70-$BP70))</f>
        <v>37319.21507983125</v>
      </c>
      <c r="CI70" s="46">
        <f t="shared" ref="CI70:CI133" si="88">IF(E71&gt;Mat_Year, 0, MAX(0, -AJ70-$BP70))</f>
        <v>0</v>
      </c>
      <c r="CK70" s="46">
        <f>NPV((1+CK$3)^(1/12)-1,$CB$6:$CB70)+$CB$5</f>
        <v>-284.86181976604269</v>
      </c>
      <c r="CL70" s="46">
        <f>NPV((1+CL$3)^(1/12)-1,$CB$6:$CB70)+$CB$5</f>
        <v>-310.43149345035448</v>
      </c>
      <c r="CM70" s="46">
        <f>NPV((1+CM$3)^(1/12)-1,$CB$6:$CB70)+$CB$5</f>
        <v>-365.01492801216153</v>
      </c>
      <c r="CN70" s="46">
        <f>NPV((1+CN$3)^(1/12)-1,$CB$6:$CB70)+$CB$5</f>
        <v>-365.01492801216153</v>
      </c>
    </row>
    <row r="71" spans="1:92" x14ac:dyDescent="0.25">
      <c r="A71" s="61">
        <f t="shared" si="71"/>
        <v>5.4999999999999973</v>
      </c>
      <c r="B71" s="32">
        <f t="shared" ref="B71:B134" si="89">IF(B70=12,1,B70+1)</f>
        <v>6</v>
      </c>
      <c r="C71" s="62">
        <f t="shared" ref="C71:C134" si="90">IF(B70=12,C70+1,C70)</f>
        <v>6</v>
      </c>
      <c r="D71" s="64">
        <f t="shared" ref="D71:D134" si="91">$D$5+A71</f>
        <v>5.9999999999999973</v>
      </c>
      <c r="E71" s="28">
        <f t="shared" si="72"/>
        <v>6</v>
      </c>
      <c r="G71" s="68">
        <f>INDEX(Others!$D$11:$E$60, MATCH(C71, Others!$A$11:$A$60, 0), MATCH(G$3, Others!$D$10:$E$10, 0))</f>
        <v>4.0721103265794367E-2</v>
      </c>
      <c r="H71" s="16">
        <f t="shared" si="57"/>
        <v>3.3316912372947094E-3</v>
      </c>
      <c r="I71" s="69">
        <f t="shared" si="58"/>
        <v>0.8371961371012685</v>
      </c>
      <c r="K71" s="80">
        <f>INDEX(Mortality!$B$7:$F$32, MATCH( E71,Mortality!$A$7:$A$32, 0), MATCH( K$3,Mortality!$B$6:$F$6,0))</f>
        <v>0.34099999999999997</v>
      </c>
      <c r="L71" s="11">
        <f t="shared" si="73"/>
        <v>0</v>
      </c>
      <c r="M71" s="80">
        <f t="shared" ref="M71:M134" si="92">IFERROR( K71*(1+L71), 0)</f>
        <v>0.34099999999999997</v>
      </c>
      <c r="N71" s="76">
        <f>INDEX(Myopia!$H:$H, MATCH(E71, Myopia!$A:$A, 0)) * Trend_Factor^(A71)</f>
        <v>6.0576427608593999</v>
      </c>
      <c r="O71" s="11">
        <f t="shared" si="74"/>
        <v>0</v>
      </c>
      <c r="P71" s="80">
        <f t="shared" ref="P71:P134" si="93">IFERROR( N71*(1+O71), 0)</f>
        <v>6.0576427608593999</v>
      </c>
      <c r="Q71" s="76">
        <f>VLOOKUP(C71,Others!$L$10:$M$61,2)</f>
        <v>0</v>
      </c>
      <c r="R71" s="11">
        <f t="shared" si="75"/>
        <v>0</v>
      </c>
      <c r="S71" s="80">
        <f t="shared" ref="S71:S134" si="94">IFERROR( Q71*(1+R71), 0)</f>
        <v>0</v>
      </c>
      <c r="T71" s="78">
        <f t="shared" ref="T71:T134" si="95">(M71/1000)/12</f>
        <v>2.8416666666666665E-5</v>
      </c>
      <c r="U71" s="81">
        <f t="shared" ref="U71:U134" si="96">(P71/1000)/12</f>
        <v>5.0480356340495004E-4</v>
      </c>
      <c r="V71" s="81">
        <f t="shared" ref="V71:V134" si="97">(S71/1000)/12</f>
        <v>0</v>
      </c>
      <c r="W71" s="77">
        <f t="shared" si="76"/>
        <v>0.9799943359807799</v>
      </c>
      <c r="X71" s="82">
        <f t="shared" ref="X71:X134" si="98">W71 * (T71)*(1-U71/2)</f>
        <v>2.7841143452461091E-5</v>
      </c>
      <c r="Y71" s="82">
        <f t="shared" ref="Y71:Y134" si="99">W71 * (1-T71/2)*(U71)</f>
        <v>4.9469760399143943E-4</v>
      </c>
      <c r="Z71" s="82">
        <f t="shared" ref="Z71:Z134" si="100">W71 * (1-T71)*(1-U71)*(V71)</f>
        <v>0</v>
      </c>
      <c r="AA71" s="82">
        <f t="shared" ref="AA71:AA134" si="101">W71-SUM(X71:Z71)</f>
        <v>0.97947179723333599</v>
      </c>
      <c r="AC71" s="46">
        <f t="shared" si="77"/>
        <v>0</v>
      </c>
      <c r="AD71" s="15">
        <f t="shared" si="78"/>
        <v>0</v>
      </c>
      <c r="AE71" s="46">
        <f t="shared" ref="AE71:AE134" si="102">AD71*$W71</f>
        <v>0</v>
      </c>
      <c r="AF71" s="15">
        <f t="shared" ref="AF71:AF134" si="103">IF($W71 = 0, 0, AG71/$W71)</f>
        <v>0</v>
      </c>
      <c r="AG71" s="46">
        <f>SUMPRODUCT(AE72:AE$605, $I71:$I$604) / $I71</f>
        <v>0</v>
      </c>
      <c r="AI71" s="46">
        <f t="shared" si="79"/>
        <v>-47000</v>
      </c>
      <c r="AJ71" s="46">
        <f>IF(E71&gt;Mat_Year,0,  -SUM($AD$5:AD71))</f>
        <v>-9306</v>
      </c>
      <c r="AK71" s="24">
        <f t="shared" ref="AK71:AK134" si="104">AJ71*X71</f>
        <v>-0.25908968096860291</v>
      </c>
      <c r="AL71" s="79">
        <f t="shared" ref="AL71:AL134" si="105">AI71*Y71</f>
        <v>-23.250787387597654</v>
      </c>
      <c r="AM71" s="24">
        <f t="shared" ref="AM71:AM134" si="106">IF($W71 = 0, 0, AN71/$W71)</f>
        <v>-23.989809129904344</v>
      </c>
      <c r="AN71" s="79">
        <f t="shared" ref="AN71:AN134" si="107">SUM(AK71:AL71)</f>
        <v>-23.509877068566258</v>
      </c>
      <c r="AO71" s="15">
        <f t="shared" ref="AO71:AO134" si="108">IF($W71 = 0, 0, AP71/$W71)</f>
        <v>-6936.1302834295739</v>
      </c>
      <c r="AP71" s="46">
        <f>SUMPRODUCT(AN72:AN$605, $I72:$I$605) / $I71</f>
        <v>-6797.368391385744</v>
      </c>
      <c r="AR71" s="46">
        <v>0</v>
      </c>
      <c r="AS71" s="46">
        <v>0</v>
      </c>
      <c r="AT71" s="46">
        <v>0</v>
      </c>
      <c r="AU71" s="95">
        <f t="shared" si="80"/>
        <v>-1.8763318437736718</v>
      </c>
      <c r="AV71" s="47">
        <f t="shared" si="81"/>
        <v>0</v>
      </c>
      <c r="AW71" s="96">
        <f t="shared" si="59"/>
        <v>-1.8763318437736718</v>
      </c>
      <c r="AX71" s="95">
        <f t="shared" si="82"/>
        <v>-21.515271808604766</v>
      </c>
      <c r="AY71" s="11">
        <f t="shared" si="83"/>
        <v>0</v>
      </c>
      <c r="AZ71" s="96">
        <f t="shared" si="60"/>
        <v>-21.515271808604766</v>
      </c>
      <c r="BA71" s="95">
        <f t="shared" si="61"/>
        <v>-1.8387945793185718</v>
      </c>
      <c r="BB71" s="64">
        <f t="shared" si="62"/>
        <v>-1.1242563181783398E-2</v>
      </c>
      <c r="BC71" s="95">
        <f t="shared" si="63"/>
        <v>-1.8763318437736716</v>
      </c>
      <c r="BD71" s="96">
        <f t="shared" si="64"/>
        <v>-1.1472069550822273E-2</v>
      </c>
      <c r="BE71" s="96">
        <f t="shared" si="65"/>
        <v>-1.8387945793185718</v>
      </c>
      <c r="BF71" s="96">
        <f t="shared" si="66"/>
        <v>-1.1242563181783398E-2</v>
      </c>
      <c r="BG71" s="15">
        <f t="shared" ref="BG71:BG134" si="109">IF($W71 = 0, 0, BH71/$W71)</f>
        <v>-245.1834977657374</v>
      </c>
      <c r="BH71" s="46">
        <f>(SUMPRODUCT(BE72:BE$605,$I71:$I$604)+SUMPRODUCT(BF72:BF$605,$I72:$I$605)) / $I71</f>
        <v>-240.27843908637885</v>
      </c>
      <c r="BJ71" s="46">
        <f t="shared" si="67"/>
        <v>-1.8387945793185718</v>
      </c>
      <c r="BK71" s="46">
        <f t="shared" si="68"/>
        <v>-23.521119631748043</v>
      </c>
      <c r="BM71" s="49">
        <f t="shared" ref="BM71:BM134" si="110">IF($W71 = 0, 0, BN71/$AA71)</f>
        <v>7185.1449427650759</v>
      </c>
      <c r="BN71" s="46">
        <f t="shared" si="69"/>
        <v>7037.6468304721238</v>
      </c>
      <c r="BP71" s="46">
        <f>Reserve!BX71</f>
        <v>9678.405992141872</v>
      </c>
      <c r="BQ71" s="46">
        <f t="shared" si="84"/>
        <v>9479.7257114770873</v>
      </c>
      <c r="BR71" s="15">
        <f t="shared" ref="BR71:BR134" si="111">BQ70-BQ71</f>
        <v>7.3886781364381022</v>
      </c>
      <c r="BT71" s="49">
        <f t="shared" ref="BT71:BT134" si="112">IF($W71 = 0, 0, BU71/$W71)</f>
        <v>32.247134930298841</v>
      </c>
      <c r="BU71" s="46">
        <f t="shared" si="85"/>
        <v>31.602009583300827</v>
      </c>
      <c r="BV71" s="46">
        <f>SUMPRODUCT(BU72:BU$605, $I72:$I$605) / $I71</f>
        <v>2511.4613642716854</v>
      </c>
      <c r="BX71" s="46">
        <f>-BZ71*Others!$Q$43</f>
        <v>-3.4894780182201122</v>
      </c>
      <c r="BZ71" s="50">
        <f t="shared" si="70"/>
        <v>13.630773508672313</v>
      </c>
      <c r="CA71" s="46">
        <f t="shared" ref="CA71:CA134" si="113">BZ71+BX71</f>
        <v>10.141295490452201</v>
      </c>
      <c r="CB71" s="46">
        <f t="shared" si="86"/>
        <v>10.141295490452201</v>
      </c>
      <c r="CD71" s="46">
        <f>SUMPRODUCT(BZ72:BZ$605, $I72:$I$605) / $I71</f>
        <v>2442.0788810049594</v>
      </c>
      <c r="CE71" s="46">
        <f>SUMPRODUCT(CA72:CA$605, $I72:$I$605) / $I71</f>
        <v>1816.9066874676896</v>
      </c>
      <c r="CF71" s="46">
        <f>SUMPRODUCT(CB72:CB$605, $I72:$I$605) / $I71</f>
        <v>1816.9066874676896</v>
      </c>
      <c r="CH71" s="46">
        <f t="shared" si="87"/>
        <v>37321.594007858126</v>
      </c>
      <c r="CI71" s="46">
        <f t="shared" si="88"/>
        <v>0</v>
      </c>
      <c r="CK71" s="46">
        <f>NPV((1+CK$3)^(1/12)-1,$CB$6:$CB71)+$CB$5</f>
        <v>-276.24218823387741</v>
      </c>
      <c r="CL71" s="46">
        <f>NPV((1+CL$3)^(1/12)-1,$CB$6:$CB71)+$CB$5</f>
        <v>-302.67702037817537</v>
      </c>
      <c r="CM71" s="46">
        <f>NPV((1+CM$3)^(1/12)-1,$CB$6:$CB71)+$CB$5</f>
        <v>-359.01102498974558</v>
      </c>
      <c r="CN71" s="46">
        <f>NPV((1+CN$3)^(1/12)-1,$CB$6:$CB71)+$CB$5</f>
        <v>-359.01102498974558</v>
      </c>
    </row>
    <row r="72" spans="1:92" x14ac:dyDescent="0.25">
      <c r="A72" s="61">
        <f t="shared" si="71"/>
        <v>5.5833333333333304</v>
      </c>
      <c r="B72" s="32">
        <f t="shared" si="89"/>
        <v>7</v>
      </c>
      <c r="C72" s="62">
        <f t="shared" si="90"/>
        <v>6</v>
      </c>
      <c r="D72" s="64">
        <f t="shared" si="91"/>
        <v>6.0833333333333304</v>
      </c>
      <c r="E72" s="28">
        <f t="shared" si="72"/>
        <v>6</v>
      </c>
      <c r="G72" s="68">
        <f>INDEX(Others!$D$11:$E$60, MATCH(C72, Others!$A$11:$A$60, 0), MATCH(G$3, Others!$D$10:$E$10, 0))</f>
        <v>4.0721103265794367E-2</v>
      </c>
      <c r="H72" s="16">
        <f t="shared" si="57"/>
        <v>3.3316912372947094E-3</v>
      </c>
      <c r="I72" s="69">
        <f t="shared" si="58"/>
        <v>0.83441612022525657</v>
      </c>
      <c r="K72" s="80">
        <f>INDEX(Mortality!$B$7:$F$32, MATCH( E72,Mortality!$A$7:$A$32, 0), MATCH( K$3,Mortality!$B$6:$F$6,0))</f>
        <v>0.34099999999999997</v>
      </c>
      <c r="L72" s="11">
        <f t="shared" si="73"/>
        <v>0</v>
      </c>
      <c r="M72" s="80">
        <f t="shared" si="92"/>
        <v>0.34099999999999997</v>
      </c>
      <c r="N72" s="76">
        <f>INDEX(Myopia!$H:$H, MATCH(E72, Myopia!$A:$A, 0)) * Trend_Factor^(A72)</f>
        <v>6.0576427608593999</v>
      </c>
      <c r="O72" s="11">
        <f t="shared" si="74"/>
        <v>0</v>
      </c>
      <c r="P72" s="80">
        <f t="shared" si="93"/>
        <v>6.0576427608593999</v>
      </c>
      <c r="Q72" s="76">
        <f>VLOOKUP(C72,Others!$L$10:$M$61,2)</f>
        <v>0</v>
      </c>
      <c r="R72" s="11">
        <f t="shared" si="75"/>
        <v>0</v>
      </c>
      <c r="S72" s="80">
        <f t="shared" si="94"/>
        <v>0</v>
      </c>
      <c r="T72" s="78">
        <f t="shared" si="95"/>
        <v>2.8416666666666665E-5</v>
      </c>
      <c r="U72" s="81">
        <f t="shared" si="96"/>
        <v>5.0480356340495004E-4</v>
      </c>
      <c r="V72" s="81">
        <f t="shared" si="97"/>
        <v>0</v>
      </c>
      <c r="W72" s="77">
        <f t="shared" si="76"/>
        <v>0.97947179723333599</v>
      </c>
      <c r="X72" s="82">
        <f t="shared" si="98"/>
        <v>2.7826298390920511E-5</v>
      </c>
      <c r="Y72" s="82">
        <f t="shared" si="99"/>
        <v>4.9443382831757866E-4</v>
      </c>
      <c r="Z72" s="82">
        <f t="shared" si="100"/>
        <v>0</v>
      </c>
      <c r="AA72" s="82">
        <f t="shared" si="101"/>
        <v>0.97894953710662747</v>
      </c>
      <c r="AC72" s="46">
        <f t="shared" si="77"/>
        <v>0</v>
      </c>
      <c r="AD72" s="15">
        <f t="shared" si="78"/>
        <v>0</v>
      </c>
      <c r="AE72" s="46">
        <f t="shared" si="102"/>
        <v>0</v>
      </c>
      <c r="AF72" s="15">
        <f t="shared" si="103"/>
        <v>0</v>
      </c>
      <c r="AG72" s="46">
        <f>SUMPRODUCT(AE73:AE$605, $I72:$I$604) / $I72</f>
        <v>0</v>
      </c>
      <c r="AI72" s="46">
        <f t="shared" si="79"/>
        <v>-47000</v>
      </c>
      <c r="AJ72" s="46">
        <f>IF(E72&gt;Mat_Year,0,  -SUM($AD$5:AD72))</f>
        <v>-9306</v>
      </c>
      <c r="AK72" s="24">
        <f t="shared" si="104"/>
        <v>-0.25895153282590627</v>
      </c>
      <c r="AL72" s="79">
        <f t="shared" si="105"/>
        <v>-23.238389930926196</v>
      </c>
      <c r="AM72" s="24">
        <f t="shared" si="106"/>
        <v>-23.989809129904348</v>
      </c>
      <c r="AN72" s="79">
        <f t="shared" si="107"/>
        <v>-23.497341463752104</v>
      </c>
      <c r="AO72" s="15">
        <f t="shared" si="108"/>
        <v>-6938.9622057786792</v>
      </c>
      <c r="AP72" s="46">
        <f>SUMPRODUCT(AN73:AN$605, $I73:$I$605) / $I72</f>
        <v>-6796.5177826282361</v>
      </c>
      <c r="AR72" s="46">
        <v>0</v>
      </c>
      <c r="AS72" s="46">
        <v>0</v>
      </c>
      <c r="AT72" s="46">
        <v>0</v>
      </c>
      <c r="AU72" s="95">
        <f t="shared" si="80"/>
        <v>-1.8784297676232824</v>
      </c>
      <c r="AV72" s="47">
        <f t="shared" si="81"/>
        <v>0</v>
      </c>
      <c r="AW72" s="96">
        <f t="shared" si="59"/>
        <v>-1.8784297676232824</v>
      </c>
      <c r="AX72" s="95">
        <f t="shared" si="82"/>
        <v>-21.539328002080303</v>
      </c>
      <c r="AY72" s="11">
        <f t="shared" si="83"/>
        <v>0</v>
      </c>
      <c r="AZ72" s="96">
        <f t="shared" si="60"/>
        <v>-21.539328002080303</v>
      </c>
      <c r="BA72" s="95">
        <f t="shared" si="61"/>
        <v>-1.8398689804705741</v>
      </c>
      <c r="BB72" s="64">
        <f t="shared" si="62"/>
        <v>-1.1249132171582382E-2</v>
      </c>
      <c r="BC72" s="95">
        <f t="shared" si="63"/>
        <v>-1.8784297676232824</v>
      </c>
      <c r="BD72" s="96">
        <f t="shared" si="64"/>
        <v>-1.1484896454759832E-2</v>
      </c>
      <c r="BE72" s="96">
        <f t="shared" si="65"/>
        <v>-1.8398689804705741</v>
      </c>
      <c r="BF72" s="96">
        <f t="shared" si="66"/>
        <v>-1.1249132171582382E-2</v>
      </c>
      <c r="BG72" s="15">
        <f t="shared" si="109"/>
        <v>-244.23543928891991</v>
      </c>
      <c r="BH72" s="46">
        <f>(SUMPRODUCT(BE73:BE$605,$I72:$I$604)+SUMPRODUCT(BF73:BF$605,$I73:$I$605)) / $I72</f>
        <v>-239.22172466839172</v>
      </c>
      <c r="BJ72" s="46">
        <f t="shared" si="67"/>
        <v>-1.8398689804705741</v>
      </c>
      <c r="BK72" s="46">
        <f t="shared" si="68"/>
        <v>-23.508590595923685</v>
      </c>
      <c r="BM72" s="49">
        <f t="shared" si="110"/>
        <v>7187.0298116605509</v>
      </c>
      <c r="BN72" s="46">
        <f t="shared" si="69"/>
        <v>7035.7395072966283</v>
      </c>
      <c r="BP72" s="46">
        <f>Reserve!BX72</f>
        <v>9676.015184298858</v>
      </c>
      <c r="BQ72" s="46">
        <f t="shared" si="84"/>
        <v>9472.3305857060659</v>
      </c>
      <c r="BR72" s="15">
        <f t="shared" si="111"/>
        <v>7.3951257710214122</v>
      </c>
      <c r="BT72" s="49">
        <f t="shared" si="112"/>
        <v>32.239202087003015</v>
      </c>
      <c r="BU72" s="46">
        <f t="shared" si="85"/>
        <v>31.577389209525563</v>
      </c>
      <c r="BV72" s="46">
        <f>SUMPRODUCT(BU73:BU$605, $I73:$I$605) / $I72</f>
        <v>2488.2513888823087</v>
      </c>
      <c r="BX72" s="46">
        <f>-BZ72*Others!$Q$43</f>
        <v>-3.4877581834630957</v>
      </c>
      <c r="BZ72" s="50">
        <f t="shared" si="70"/>
        <v>13.624055404152717</v>
      </c>
      <c r="CA72" s="46">
        <f t="shared" si="113"/>
        <v>10.13629722068962</v>
      </c>
      <c r="CB72" s="46">
        <f t="shared" si="86"/>
        <v>10.13629722068962</v>
      </c>
      <c r="CD72" s="46">
        <f>SUMPRODUCT(BZ73:BZ$605, $I73:$I$605) / $I72</f>
        <v>2436.591078409434</v>
      </c>
      <c r="CE72" s="46">
        <f>SUMPRODUCT(CA73:CA$605, $I73:$I$605) / $I72</f>
        <v>1812.8237623366183</v>
      </c>
      <c r="CF72" s="46">
        <f>SUMPRODUCT(CB73:CB$605, $I73:$I$605) / $I72</f>
        <v>1812.8237623366183</v>
      </c>
      <c r="CH72" s="46">
        <f t="shared" si="87"/>
        <v>37323.984815701144</v>
      </c>
      <c r="CI72" s="46">
        <f t="shared" si="88"/>
        <v>0</v>
      </c>
      <c r="CK72" s="46">
        <f>NPV((1+CK$3)^(1/12)-1,$CB$6:$CB72)+$CB$5</f>
        <v>-267.64800058476129</v>
      </c>
      <c r="CL72" s="46">
        <f>NPV((1+CL$3)^(1/12)-1,$CB$6:$CB72)+$CB$5</f>
        <v>-294.95781818444522</v>
      </c>
      <c r="CM72" s="46">
        <f>NPV((1+CM$3)^(1/12)-1,$CB$6:$CB72)+$CB$5</f>
        <v>-353.05755487597384</v>
      </c>
      <c r="CN72" s="46">
        <f>NPV((1+CN$3)^(1/12)-1,$CB$6:$CB72)+$CB$5</f>
        <v>-353.05755487597384</v>
      </c>
    </row>
    <row r="73" spans="1:92" x14ac:dyDescent="0.25">
      <c r="A73" s="61">
        <f t="shared" si="71"/>
        <v>5.6666666666666634</v>
      </c>
      <c r="B73" s="32">
        <f t="shared" si="89"/>
        <v>8</v>
      </c>
      <c r="C73" s="62">
        <f t="shared" si="90"/>
        <v>6</v>
      </c>
      <c r="D73" s="64">
        <f t="shared" si="91"/>
        <v>6.1666666666666634</v>
      </c>
      <c r="E73" s="28">
        <f t="shared" si="72"/>
        <v>6</v>
      </c>
      <c r="G73" s="68">
        <f>INDEX(Others!$D$11:$E$60, MATCH(C73, Others!$A$11:$A$60, 0), MATCH(G$3, Others!$D$10:$E$10, 0))</f>
        <v>4.0721103265794367E-2</v>
      </c>
      <c r="H73" s="16">
        <f t="shared" si="57"/>
        <v>3.3316912372947094E-3</v>
      </c>
      <c r="I73" s="69">
        <f t="shared" si="58"/>
        <v>0.83164533475092983</v>
      </c>
      <c r="K73" s="80">
        <f>INDEX(Mortality!$B$7:$F$32, MATCH( E73,Mortality!$A$7:$A$32, 0), MATCH( K$3,Mortality!$B$6:$F$6,0))</f>
        <v>0.34099999999999997</v>
      </c>
      <c r="L73" s="11">
        <f t="shared" si="73"/>
        <v>0</v>
      </c>
      <c r="M73" s="80">
        <f t="shared" si="92"/>
        <v>0.34099999999999997</v>
      </c>
      <c r="N73" s="76">
        <f>INDEX(Myopia!$H:$H, MATCH(E73, Myopia!$A:$A, 0)) * Trend_Factor^(A73)</f>
        <v>6.0576427608593999</v>
      </c>
      <c r="O73" s="11">
        <f t="shared" si="74"/>
        <v>0</v>
      </c>
      <c r="P73" s="80">
        <f t="shared" si="93"/>
        <v>6.0576427608593999</v>
      </c>
      <c r="Q73" s="76">
        <f>VLOOKUP(C73,Others!$L$10:$M$61,2)</f>
        <v>0</v>
      </c>
      <c r="R73" s="11">
        <f t="shared" si="75"/>
        <v>0</v>
      </c>
      <c r="S73" s="80">
        <f t="shared" si="94"/>
        <v>0</v>
      </c>
      <c r="T73" s="78">
        <f t="shared" si="95"/>
        <v>2.8416666666666665E-5</v>
      </c>
      <c r="U73" s="81">
        <f t="shared" si="96"/>
        <v>5.0480356340495004E-4</v>
      </c>
      <c r="V73" s="81">
        <f t="shared" si="97"/>
        <v>0</v>
      </c>
      <c r="W73" s="77">
        <f t="shared" si="76"/>
        <v>0.97894953710662747</v>
      </c>
      <c r="X73" s="82">
        <f t="shared" si="98"/>
        <v>2.7811461244854107E-5</v>
      </c>
      <c r="Y73" s="82">
        <f t="shared" si="99"/>
        <v>4.9417019329045932E-4</v>
      </c>
      <c r="Z73" s="82">
        <f t="shared" si="100"/>
        <v>0</v>
      </c>
      <c r="AA73" s="82">
        <f t="shared" si="101"/>
        <v>0.97842755545209215</v>
      </c>
      <c r="AC73" s="46">
        <f t="shared" si="77"/>
        <v>0</v>
      </c>
      <c r="AD73" s="15">
        <f t="shared" si="78"/>
        <v>0</v>
      </c>
      <c r="AE73" s="46">
        <f t="shared" si="102"/>
        <v>0</v>
      </c>
      <c r="AF73" s="15">
        <f t="shared" si="103"/>
        <v>0</v>
      </c>
      <c r="AG73" s="46">
        <f>SUMPRODUCT(AE74:AE$605, $I73:$I$604) / $I73</f>
        <v>0</v>
      </c>
      <c r="AI73" s="46">
        <f t="shared" si="79"/>
        <v>-47000</v>
      </c>
      <c r="AJ73" s="46">
        <f>IF(E73&gt;Mat_Year,0,  -SUM($AD$5:AD73))</f>
        <v>-9306</v>
      </c>
      <c r="AK73" s="24">
        <f t="shared" si="104"/>
        <v>-0.25881345834461233</v>
      </c>
      <c r="AL73" s="79">
        <f t="shared" si="105"/>
        <v>-23.225999084651587</v>
      </c>
      <c r="AM73" s="24">
        <f t="shared" si="106"/>
        <v>-23.989809129904341</v>
      </c>
      <c r="AN73" s="79">
        <f t="shared" si="107"/>
        <v>-23.484812542996199</v>
      </c>
      <c r="AO73" s="15">
        <f t="shared" si="108"/>
        <v>-6941.8050790554216</v>
      </c>
      <c r="AP73" s="46">
        <f>SUMPRODUCT(AN74:AN$605, $I74:$I$605) / $I73</f>
        <v>-6795.6768688257407</v>
      </c>
      <c r="AR73" s="46">
        <v>0</v>
      </c>
      <c r="AS73" s="46">
        <v>0</v>
      </c>
      <c r="AT73" s="46">
        <v>0</v>
      </c>
      <c r="AU73" s="95">
        <f t="shared" si="80"/>
        <v>-1.8805300371584355</v>
      </c>
      <c r="AV73" s="47">
        <f t="shared" si="81"/>
        <v>0</v>
      </c>
      <c r="AW73" s="96">
        <f t="shared" si="59"/>
        <v>-1.8805300371584355</v>
      </c>
      <c r="AX73" s="95">
        <f t="shared" si="82"/>
        <v>-21.563411092750055</v>
      </c>
      <c r="AY73" s="11">
        <f t="shared" si="83"/>
        <v>0</v>
      </c>
      <c r="AZ73" s="96">
        <f t="shared" si="60"/>
        <v>-21.563411092750055</v>
      </c>
      <c r="BA73" s="95">
        <f t="shared" si="61"/>
        <v>-1.8409440093913594</v>
      </c>
      <c r="BB73" s="64">
        <f t="shared" si="62"/>
        <v>-1.1255704999618804E-2</v>
      </c>
      <c r="BC73" s="95">
        <f t="shared" si="63"/>
        <v>-1.8805300371584355</v>
      </c>
      <c r="BD73" s="96">
        <f t="shared" si="64"/>
        <v>-1.149773770043964E-2</v>
      </c>
      <c r="BE73" s="96">
        <f t="shared" si="65"/>
        <v>-1.8409440093913594</v>
      </c>
      <c r="BF73" s="96">
        <f t="shared" si="66"/>
        <v>-1.1255704999618804E-2</v>
      </c>
      <c r="BG73" s="15">
        <f t="shared" si="109"/>
        <v>-243.28159460060499</v>
      </c>
      <c r="BH73" s="46">
        <f>(SUMPRODUCT(BE74:BE$605,$I73:$I$604)+SUMPRODUCT(BF74:BF$605,$I74:$I$605)) / $I73</f>
        <v>-238.16040442082445</v>
      </c>
      <c r="BJ73" s="46">
        <f t="shared" si="67"/>
        <v>-1.8409440093913594</v>
      </c>
      <c r="BK73" s="46">
        <f t="shared" si="68"/>
        <v>-23.496068247995819</v>
      </c>
      <c r="BM73" s="49">
        <f t="shared" si="110"/>
        <v>7188.9198480274927</v>
      </c>
      <c r="BN73" s="46">
        <f t="shared" si="69"/>
        <v>7033.837273246565</v>
      </c>
      <c r="BP73" s="46">
        <f>Reserve!BX73</f>
        <v>9673.6124503473402</v>
      </c>
      <c r="BQ73" s="46">
        <f t="shared" si="84"/>
        <v>9464.9289821842704</v>
      </c>
      <c r="BR73" s="15">
        <f t="shared" si="111"/>
        <v>7.4016035217955505</v>
      </c>
      <c r="BT73" s="49">
        <f t="shared" si="112"/>
        <v>32.231229656012793</v>
      </c>
      <c r="BU73" s="46">
        <f t="shared" si="85"/>
        <v>31.552747352131124</v>
      </c>
      <c r="BV73" s="46">
        <f>SUMPRODUCT(BU74:BU$605, $I74:$I$605) / $I73</f>
        <v>2464.9887268787029</v>
      </c>
      <c r="BX73" s="46">
        <f>-BZ73*Others!$Q$43</f>
        <v>-3.486038685834111</v>
      </c>
      <c r="BZ73" s="50">
        <f t="shared" si="70"/>
        <v>13.617338616539495</v>
      </c>
      <c r="CA73" s="46">
        <f t="shared" si="113"/>
        <v>10.131299930705385</v>
      </c>
      <c r="CB73" s="46">
        <f t="shared" si="86"/>
        <v>10.131299930705385</v>
      </c>
      <c r="CD73" s="46">
        <f>SUMPRODUCT(BZ74:BZ$605, $I74:$I$605) / $I73</f>
        <v>2431.0917089377017</v>
      </c>
      <c r="CE73" s="46">
        <f>SUMPRODUCT(CA74:CA$605, $I74:$I$605) / $I73</f>
        <v>1808.7322314496496</v>
      </c>
      <c r="CF73" s="46">
        <f>SUMPRODUCT(CB74:CB$605, $I74:$I$605) / $I73</f>
        <v>1808.7322314496496</v>
      </c>
      <c r="CH73" s="46">
        <f t="shared" si="87"/>
        <v>37326.38754965266</v>
      </c>
      <c r="CI73" s="46">
        <f t="shared" si="88"/>
        <v>0</v>
      </c>
      <c r="CK73" s="46">
        <f>NPV((1+CK$3)^(1/12)-1,$CB$6:$CB73)+$CB$5</f>
        <v>-259.07918296696351</v>
      </c>
      <c r="CL73" s="46">
        <f>NPV((1+CL$3)^(1/12)-1,$CB$6:$CB73)+$CB$5</f>
        <v>-287.2737275664316</v>
      </c>
      <c r="CM73" s="46">
        <f>NPV((1+CM$3)^(1/12)-1,$CB$6:$CB73)+$CB$5</f>
        <v>-347.15409489791404</v>
      </c>
      <c r="CN73" s="46">
        <f>NPV((1+CN$3)^(1/12)-1,$CB$6:$CB73)+$CB$5</f>
        <v>-347.15409489791404</v>
      </c>
    </row>
    <row r="74" spans="1:92" x14ac:dyDescent="0.25">
      <c r="A74" s="61">
        <f t="shared" si="71"/>
        <v>5.7499999999999964</v>
      </c>
      <c r="B74" s="32">
        <f t="shared" si="89"/>
        <v>9</v>
      </c>
      <c r="C74" s="62">
        <f t="shared" si="90"/>
        <v>6</v>
      </c>
      <c r="D74" s="64">
        <f t="shared" si="91"/>
        <v>6.2499999999999964</v>
      </c>
      <c r="E74" s="28">
        <f t="shared" si="72"/>
        <v>6</v>
      </c>
      <c r="G74" s="68">
        <f>INDEX(Others!$D$11:$E$60, MATCH(C74, Others!$A$11:$A$60, 0), MATCH(G$3, Others!$D$10:$E$10, 0))</f>
        <v>4.0721103265794367E-2</v>
      </c>
      <c r="H74" s="16">
        <f t="shared" ref="H74:H137" si="114">(1+G74)^(1/12) - 1</f>
        <v>3.3316912372947094E-3</v>
      </c>
      <c r="I74" s="69">
        <f t="shared" ref="I74:I137" si="115">I73/(1+H74)</f>
        <v>0.82888375002423809</v>
      </c>
      <c r="K74" s="80">
        <f>INDEX(Mortality!$B$7:$F$32, MATCH( E74,Mortality!$A$7:$A$32, 0), MATCH( K$3,Mortality!$B$6:$F$6,0))</f>
        <v>0.34099999999999997</v>
      </c>
      <c r="L74" s="11">
        <f t="shared" si="73"/>
        <v>0</v>
      </c>
      <c r="M74" s="80">
        <f t="shared" si="92"/>
        <v>0.34099999999999997</v>
      </c>
      <c r="N74" s="76">
        <f>INDEX(Myopia!$H:$H, MATCH(E74, Myopia!$A:$A, 0)) * Trend_Factor^(A74)</f>
        <v>6.0576427608593999</v>
      </c>
      <c r="O74" s="11">
        <f t="shared" si="74"/>
        <v>0</v>
      </c>
      <c r="P74" s="80">
        <f t="shared" si="93"/>
        <v>6.0576427608593999</v>
      </c>
      <c r="Q74" s="76">
        <f>VLOOKUP(C74,Others!$L$10:$M$61,2)</f>
        <v>0</v>
      </c>
      <c r="R74" s="11">
        <f t="shared" si="75"/>
        <v>0</v>
      </c>
      <c r="S74" s="80">
        <f t="shared" si="94"/>
        <v>0</v>
      </c>
      <c r="T74" s="78">
        <f t="shared" si="95"/>
        <v>2.8416666666666665E-5</v>
      </c>
      <c r="U74" s="81">
        <f t="shared" si="96"/>
        <v>5.0480356340495004E-4</v>
      </c>
      <c r="V74" s="81">
        <f t="shared" si="97"/>
        <v>0</v>
      </c>
      <c r="W74" s="77">
        <f t="shared" si="76"/>
        <v>0.97842755545209215</v>
      </c>
      <c r="X74" s="82">
        <f t="shared" si="98"/>
        <v>2.7796632010041313E-5</v>
      </c>
      <c r="Y74" s="82">
        <f t="shared" si="99"/>
        <v>4.9390669883508812E-4</v>
      </c>
      <c r="Z74" s="82">
        <f t="shared" si="100"/>
        <v>0</v>
      </c>
      <c r="AA74" s="82">
        <f t="shared" si="101"/>
        <v>0.97790585212124703</v>
      </c>
      <c r="AC74" s="46">
        <f t="shared" si="77"/>
        <v>0</v>
      </c>
      <c r="AD74" s="15">
        <f t="shared" si="78"/>
        <v>0</v>
      </c>
      <c r="AE74" s="46">
        <f t="shared" si="102"/>
        <v>0</v>
      </c>
      <c r="AF74" s="15">
        <f t="shared" si="103"/>
        <v>0</v>
      </c>
      <c r="AG74" s="46">
        <f>SUMPRODUCT(AE75:AE$605, $I74:$I$604) / $I74</f>
        <v>0</v>
      </c>
      <c r="AI74" s="46">
        <f t="shared" si="79"/>
        <v>-47000</v>
      </c>
      <c r="AJ74" s="46">
        <f>IF(E74&gt;Mat_Year,0,  -SUM($AD$5:AD74))</f>
        <v>-9306</v>
      </c>
      <c r="AK74" s="24">
        <f t="shared" si="104"/>
        <v>-0.25867545748544446</v>
      </c>
      <c r="AL74" s="79">
        <f t="shared" si="105"/>
        <v>-23.21361484524914</v>
      </c>
      <c r="AM74" s="24">
        <f t="shared" si="106"/>
        <v>-23.989809129904341</v>
      </c>
      <c r="AN74" s="79">
        <f t="shared" si="107"/>
        <v>-23.472290302734585</v>
      </c>
      <c r="AO74" s="15">
        <f t="shared" si="108"/>
        <v>-6944.6589456065894</v>
      </c>
      <c r="AP74" s="46">
        <f>SUMPRODUCT(AN75:AN$605, $I75:$I$605) / $I74</f>
        <v>-6794.8456755983589</v>
      </c>
      <c r="AR74" s="46">
        <v>0</v>
      </c>
      <c r="AS74" s="46">
        <v>0</v>
      </c>
      <c r="AT74" s="46">
        <v>0</v>
      </c>
      <c r="AU74" s="95">
        <f t="shared" si="80"/>
        <v>-1.8826326550018384</v>
      </c>
      <c r="AV74" s="47">
        <f t="shared" si="81"/>
        <v>0</v>
      </c>
      <c r="AW74" s="96">
        <f t="shared" si="59"/>
        <v>-1.8826326550018384</v>
      </c>
      <c r="AX74" s="95">
        <f t="shared" si="82"/>
        <v>-21.587521110687742</v>
      </c>
      <c r="AY74" s="11">
        <f t="shared" si="83"/>
        <v>0</v>
      </c>
      <c r="AZ74" s="96">
        <f t="shared" si="60"/>
        <v>-21.587521110687742</v>
      </c>
      <c r="BA74" s="95">
        <f t="shared" si="61"/>
        <v>-1.8420196664477306</v>
      </c>
      <c r="BB74" s="64">
        <f t="shared" si="62"/>
        <v>-1.1262281668135343E-2</v>
      </c>
      <c r="BC74" s="95">
        <f t="shared" si="63"/>
        <v>-1.8826326550018384</v>
      </c>
      <c r="BD74" s="96">
        <f t="shared" si="64"/>
        <v>-1.1510593303897185E-2</v>
      </c>
      <c r="BE74" s="96">
        <f t="shared" si="65"/>
        <v>-1.8420196664477306</v>
      </c>
      <c r="BF74" s="96">
        <f t="shared" si="66"/>
        <v>-1.1262281668135343E-2</v>
      </c>
      <c r="BG74" s="15">
        <f t="shared" si="109"/>
        <v>-242.32193895526024</v>
      </c>
      <c r="BH74" s="46">
        <f>(SUMPRODUCT(BE75:BE$605,$I74:$I$604)+SUMPRODUCT(BF75:BF$605,$I75:$I$605)) / $I74</f>
        <v>-237.09446236440638</v>
      </c>
      <c r="BJ74" s="46">
        <f t="shared" si="67"/>
        <v>-1.8420196664477306</v>
      </c>
      <c r="BK74" s="46">
        <f t="shared" si="68"/>
        <v>-23.48355258440272</v>
      </c>
      <c r="BM74" s="49">
        <f t="shared" si="110"/>
        <v>7190.8150694765454</v>
      </c>
      <c r="BN74" s="46">
        <f t="shared" si="69"/>
        <v>7031.9401379627652</v>
      </c>
      <c r="BP74" s="46">
        <f>Reserve!BX74</f>
        <v>9671.1977438307404</v>
      </c>
      <c r="BQ74" s="46">
        <f t="shared" si="84"/>
        <v>9457.5208707138827</v>
      </c>
      <c r="BR74" s="15">
        <f t="shared" si="111"/>
        <v>7.4081114703876665</v>
      </c>
      <c r="BT74" s="49">
        <f t="shared" si="112"/>
        <v>32.223217483087517</v>
      </c>
      <c r="BU74" s="46">
        <f t="shared" si="85"/>
        <v>31.528083910778435</v>
      </c>
      <c r="BV74" s="46">
        <f>SUMPRODUCT(BU75:BU$605, $I75:$I$605) / $I74</f>
        <v>2441.6732243092961</v>
      </c>
      <c r="BX74" s="46">
        <f>-BZ74*Others!$Q$43</f>
        <v>-3.4843195213608071</v>
      </c>
      <c r="BZ74" s="50">
        <f t="shared" si="70"/>
        <v>13.610623130315652</v>
      </c>
      <c r="CA74" s="46">
        <f t="shared" si="113"/>
        <v>10.126303608954846</v>
      </c>
      <c r="CB74" s="46">
        <f t="shared" si="86"/>
        <v>10.126303608954846</v>
      </c>
      <c r="CD74" s="46">
        <f>SUMPRODUCT(BZ75:BZ$605, $I75:$I$605) / $I74</f>
        <v>2425.5807327511134</v>
      </c>
      <c r="CE74" s="46">
        <f>SUMPRODUCT(CA75:CA$605, $I75:$I$605) / $I74</f>
        <v>1804.6320651668279</v>
      </c>
      <c r="CF74" s="46">
        <f>SUMPRODUCT(CB75:CB$605, $I75:$I$605) / $I74</f>
        <v>1804.6320651668279</v>
      </c>
      <c r="CH74" s="46">
        <f t="shared" si="87"/>
        <v>37328.802256169263</v>
      </c>
      <c r="CI74" s="46">
        <f t="shared" si="88"/>
        <v>0</v>
      </c>
      <c r="CK74" s="46">
        <f>NPV((1+CK$3)^(1/12)-1,$CB$6:$CB74)+$CB$5</f>
        <v>-250.53566174991124</v>
      </c>
      <c r="CL74" s="46">
        <f>NPV((1+CL$3)^(1/12)-1,$CB$6:$CB74)+$CB$5</f>
        <v>-279.62458994520716</v>
      </c>
      <c r="CM74" s="46">
        <f>NPV((1+CM$3)^(1/12)-1,$CB$6:$CB74)+$CB$5</f>
        <v>-341.30022582665094</v>
      </c>
      <c r="CN74" s="46">
        <f>NPV((1+CN$3)^(1/12)-1,$CB$6:$CB74)+$CB$5</f>
        <v>-341.30022582665094</v>
      </c>
    </row>
    <row r="75" spans="1:92" x14ac:dyDescent="0.25">
      <c r="A75" s="61">
        <f t="shared" si="71"/>
        <v>5.8333333333333295</v>
      </c>
      <c r="B75" s="32">
        <f t="shared" si="89"/>
        <v>10</v>
      </c>
      <c r="C75" s="62">
        <f t="shared" si="90"/>
        <v>6</v>
      </c>
      <c r="D75" s="64">
        <f t="shared" si="91"/>
        <v>6.3333333333333295</v>
      </c>
      <c r="E75" s="28">
        <f t="shared" si="72"/>
        <v>6</v>
      </c>
      <c r="G75" s="68">
        <f>INDEX(Others!$D$11:$E$60, MATCH(C75, Others!$A$11:$A$60, 0), MATCH(G$3, Others!$D$10:$E$10, 0))</f>
        <v>4.0721103265794367E-2</v>
      </c>
      <c r="H75" s="16">
        <f t="shared" si="114"/>
        <v>3.3316912372947094E-3</v>
      </c>
      <c r="I75" s="69">
        <f t="shared" si="115"/>
        <v>0.82613133549292173</v>
      </c>
      <c r="K75" s="80">
        <f>INDEX(Mortality!$B$7:$F$32, MATCH( E75,Mortality!$A$7:$A$32, 0), MATCH( K$3,Mortality!$B$6:$F$6,0))</f>
        <v>0.34099999999999997</v>
      </c>
      <c r="L75" s="11">
        <f t="shared" si="73"/>
        <v>0</v>
      </c>
      <c r="M75" s="80">
        <f t="shared" si="92"/>
        <v>0.34099999999999997</v>
      </c>
      <c r="N75" s="76">
        <f>INDEX(Myopia!$H:$H, MATCH(E75, Myopia!$A:$A, 0)) * Trend_Factor^(A75)</f>
        <v>6.0576427608593999</v>
      </c>
      <c r="O75" s="11">
        <f t="shared" si="74"/>
        <v>0</v>
      </c>
      <c r="P75" s="80">
        <f t="shared" si="93"/>
        <v>6.0576427608593999</v>
      </c>
      <c r="Q75" s="76">
        <f>VLOOKUP(C75,Others!$L$10:$M$61,2)</f>
        <v>0</v>
      </c>
      <c r="R75" s="11">
        <f t="shared" si="75"/>
        <v>0</v>
      </c>
      <c r="S75" s="80">
        <f t="shared" si="94"/>
        <v>0</v>
      </c>
      <c r="T75" s="78">
        <f t="shared" si="95"/>
        <v>2.8416666666666665E-5</v>
      </c>
      <c r="U75" s="81">
        <f t="shared" si="96"/>
        <v>5.0480356340495004E-4</v>
      </c>
      <c r="V75" s="81">
        <f t="shared" si="97"/>
        <v>0</v>
      </c>
      <c r="W75" s="77">
        <f t="shared" si="76"/>
        <v>0.97790585212124703</v>
      </c>
      <c r="X75" s="82">
        <f t="shared" si="98"/>
        <v>2.7781810682263792E-5</v>
      </c>
      <c r="Y75" s="82">
        <f t="shared" si="99"/>
        <v>4.9364334487651134E-4</v>
      </c>
      <c r="Z75" s="82">
        <f t="shared" si="100"/>
        <v>0</v>
      </c>
      <c r="AA75" s="82">
        <f t="shared" si="101"/>
        <v>0.97738442696568828</v>
      </c>
      <c r="AC75" s="46">
        <f t="shared" si="77"/>
        <v>0</v>
      </c>
      <c r="AD75" s="15">
        <f t="shared" si="78"/>
        <v>0</v>
      </c>
      <c r="AE75" s="46">
        <f t="shared" si="102"/>
        <v>0</v>
      </c>
      <c r="AF75" s="15">
        <f t="shared" si="103"/>
        <v>0</v>
      </c>
      <c r="AG75" s="46">
        <f>SUMPRODUCT(AE76:AE$605, $I75:$I$604) / $I75</f>
        <v>0</v>
      </c>
      <c r="AI75" s="46">
        <f t="shared" si="79"/>
        <v>-47000</v>
      </c>
      <c r="AJ75" s="46">
        <f>IF(E75&gt;Mat_Year,0,  -SUM($AD$5:AD75))</f>
        <v>-9306</v>
      </c>
      <c r="AK75" s="24">
        <f t="shared" si="104"/>
        <v>-0.25853753020914683</v>
      </c>
      <c r="AL75" s="79">
        <f t="shared" si="105"/>
        <v>-23.201237209196034</v>
      </c>
      <c r="AM75" s="24">
        <f t="shared" si="106"/>
        <v>-23.989809129904344</v>
      </c>
      <c r="AN75" s="79">
        <f t="shared" si="107"/>
        <v>-23.45977473940518</v>
      </c>
      <c r="AO75" s="15">
        <f t="shared" si="108"/>
        <v>-6947.5238479427244</v>
      </c>
      <c r="AP75" s="46">
        <f>SUMPRODUCT(AN76:AN$605, $I76:$I$605) / $I75</f>
        <v>-6794.0242286551147</v>
      </c>
      <c r="AR75" s="46">
        <v>0</v>
      </c>
      <c r="AS75" s="46">
        <v>0</v>
      </c>
      <c r="AT75" s="46">
        <v>0</v>
      </c>
      <c r="AU75" s="95">
        <f t="shared" si="80"/>
        <v>-1.8847376237791313</v>
      </c>
      <c r="AV75" s="47">
        <f t="shared" si="81"/>
        <v>0</v>
      </c>
      <c r="AW75" s="96">
        <f t="shared" si="59"/>
        <v>-1.8847376237791313</v>
      </c>
      <c r="AX75" s="95">
        <f t="shared" si="82"/>
        <v>-21.611658086000702</v>
      </c>
      <c r="AY75" s="11">
        <f t="shared" si="83"/>
        <v>0</v>
      </c>
      <c r="AZ75" s="96">
        <f t="shared" si="60"/>
        <v>-21.611658086000702</v>
      </c>
      <c r="BA75" s="95">
        <f t="shared" si="61"/>
        <v>-1.8430959520067058</v>
      </c>
      <c r="BB75" s="64">
        <f t="shared" si="62"/>
        <v>-1.1268862179375977E-2</v>
      </c>
      <c r="BC75" s="95">
        <f t="shared" si="63"/>
        <v>-1.8847376237791313</v>
      </c>
      <c r="BD75" s="96">
        <f t="shared" si="64"/>
        <v>-1.1523463281185878E-2</v>
      </c>
      <c r="BE75" s="96">
        <f t="shared" si="65"/>
        <v>-1.8430959520067058</v>
      </c>
      <c r="BF75" s="96">
        <f t="shared" si="66"/>
        <v>-1.1268862179375977E-2</v>
      </c>
      <c r="BG75" s="15">
        <f t="shared" si="109"/>
        <v>-241.35644750901272</v>
      </c>
      <c r="BH75" s="46">
        <f>(SUMPRODUCT(BE76:BE$605,$I75:$I$604)+SUMPRODUCT(BF76:BF$605,$I76:$I$605)) / $I75</f>
        <v>-236.02388246625813</v>
      </c>
      <c r="BJ75" s="46">
        <f t="shared" si="67"/>
        <v>-1.8430959520067058</v>
      </c>
      <c r="BK75" s="46">
        <f t="shared" si="68"/>
        <v>-23.471043601584554</v>
      </c>
      <c r="BM75" s="49">
        <f t="shared" si="110"/>
        <v>7192.7154936838042</v>
      </c>
      <c r="BN75" s="46">
        <f t="shared" si="69"/>
        <v>7030.048111121373</v>
      </c>
      <c r="BP75" s="46">
        <f>Reserve!BX75</f>
        <v>9668.7710181277253</v>
      </c>
      <c r="BQ75" s="46">
        <f t="shared" si="84"/>
        <v>9450.1062210152213</v>
      </c>
      <c r="BR75" s="15">
        <f t="shared" si="111"/>
        <v>7.4146496986613784</v>
      </c>
      <c r="BT75" s="49">
        <f t="shared" si="112"/>
        <v>32.2151654134395</v>
      </c>
      <c r="BU75" s="46">
        <f t="shared" si="85"/>
        <v>31.503398784856479</v>
      </c>
      <c r="BV75" s="46">
        <f>SUMPRODUCT(BU76:BU$605, $I76:$I$605) / $I75</f>
        <v>2418.3047268102082</v>
      </c>
      <c r="BX75" s="46">
        <f>-BZ75*Others!$Q$43</f>
        <v>-3.4826006860612089</v>
      </c>
      <c r="BZ75" s="50">
        <f t="shared" si="70"/>
        <v>13.603908929926597</v>
      </c>
      <c r="CA75" s="46">
        <f t="shared" si="113"/>
        <v>10.121308243865387</v>
      </c>
      <c r="CB75" s="46">
        <f t="shared" si="86"/>
        <v>10.121308243865387</v>
      </c>
      <c r="CD75" s="46">
        <f>SUMPRODUCT(BZ76:BZ$605, $I76:$I$605) / $I75</f>
        <v>2420.0581098938442</v>
      </c>
      <c r="CE75" s="46">
        <f>SUMPRODUCT(CA76:CA$605, $I76:$I$605) / $I75</f>
        <v>1800.5232337610205</v>
      </c>
      <c r="CF75" s="46">
        <f>SUMPRODUCT(CB76:CB$605, $I76:$I$605) / $I75</f>
        <v>1800.5232337610205</v>
      </c>
      <c r="CH75" s="46">
        <f t="shared" si="87"/>
        <v>37331.228981872278</v>
      </c>
      <c r="CI75" s="46">
        <f t="shared" si="88"/>
        <v>0</v>
      </c>
      <c r="CK75" s="46">
        <f>NPV((1+CK$3)^(1/12)-1,$CB$6:$CB75)+$CB$5</f>
        <v>-242.01736352351861</v>
      </c>
      <c r="CL75" s="46">
        <f>NPV((1+CL$3)^(1/12)-1,$CB$6:$CB75)+$CB$5</f>
        <v>-272.01024746233679</v>
      </c>
      <c r="CM75" s="46">
        <f>NPV((1+CM$3)^(1/12)-1,$CB$6:$CB75)+$CB$5</f>
        <v>-335.49553194754668</v>
      </c>
      <c r="CN75" s="46">
        <f>NPV((1+CN$3)^(1/12)-1,$CB$6:$CB75)+$CB$5</f>
        <v>-335.49553194754668</v>
      </c>
    </row>
    <row r="76" spans="1:92" x14ac:dyDescent="0.25">
      <c r="A76" s="61">
        <f t="shared" si="71"/>
        <v>5.9166666666666625</v>
      </c>
      <c r="B76" s="32">
        <f t="shared" si="89"/>
        <v>11</v>
      </c>
      <c r="C76" s="62">
        <f t="shared" si="90"/>
        <v>6</v>
      </c>
      <c r="D76" s="64">
        <f t="shared" si="91"/>
        <v>6.4166666666666625</v>
      </c>
      <c r="E76" s="28">
        <f t="shared" si="72"/>
        <v>6</v>
      </c>
      <c r="G76" s="68">
        <f>INDEX(Others!$D$11:$E$60, MATCH(C76, Others!$A$11:$A$60, 0), MATCH(G$3, Others!$D$10:$E$10, 0))</f>
        <v>4.0721103265794367E-2</v>
      </c>
      <c r="H76" s="16">
        <f t="shared" si="114"/>
        <v>3.3316912372947094E-3</v>
      </c>
      <c r="I76" s="69">
        <f t="shared" si="115"/>
        <v>0.82338806070617387</v>
      </c>
      <c r="K76" s="80">
        <f>INDEX(Mortality!$B$7:$F$32, MATCH( E76,Mortality!$A$7:$A$32, 0), MATCH( K$3,Mortality!$B$6:$F$6,0))</f>
        <v>0.34099999999999997</v>
      </c>
      <c r="L76" s="11">
        <f t="shared" si="73"/>
        <v>0</v>
      </c>
      <c r="M76" s="80">
        <f t="shared" si="92"/>
        <v>0.34099999999999997</v>
      </c>
      <c r="N76" s="76">
        <f>INDEX(Myopia!$H:$H, MATCH(E76, Myopia!$A:$A, 0)) * Trend_Factor^(A76)</f>
        <v>6.0576427608593999</v>
      </c>
      <c r="O76" s="11">
        <f t="shared" si="74"/>
        <v>0</v>
      </c>
      <c r="P76" s="80">
        <f t="shared" si="93"/>
        <v>6.0576427608593999</v>
      </c>
      <c r="Q76" s="76">
        <f>VLOOKUP(C76,Others!$L$10:$M$61,2)</f>
        <v>0</v>
      </c>
      <c r="R76" s="11">
        <f t="shared" si="75"/>
        <v>0</v>
      </c>
      <c r="S76" s="80">
        <f t="shared" si="94"/>
        <v>0</v>
      </c>
      <c r="T76" s="78">
        <f t="shared" si="95"/>
        <v>2.8416666666666665E-5</v>
      </c>
      <c r="U76" s="81">
        <f t="shared" si="96"/>
        <v>5.0480356340495004E-4</v>
      </c>
      <c r="V76" s="81">
        <f t="shared" si="97"/>
        <v>0</v>
      </c>
      <c r="W76" s="77">
        <f t="shared" si="76"/>
        <v>0.97738442696568828</v>
      </c>
      <c r="X76" s="82">
        <f t="shared" si="98"/>
        <v>2.7766997257305467E-5</v>
      </c>
      <c r="Y76" s="82">
        <f t="shared" si="99"/>
        <v>4.9338013133981508E-4</v>
      </c>
      <c r="Z76" s="82">
        <f t="shared" si="100"/>
        <v>0</v>
      </c>
      <c r="AA76" s="82">
        <f t="shared" si="101"/>
        <v>0.9768632798370912</v>
      </c>
      <c r="AC76" s="46">
        <f t="shared" si="77"/>
        <v>0</v>
      </c>
      <c r="AD76" s="15">
        <f t="shared" si="78"/>
        <v>0</v>
      </c>
      <c r="AE76" s="46">
        <f t="shared" si="102"/>
        <v>0</v>
      </c>
      <c r="AF76" s="15">
        <f t="shared" si="103"/>
        <v>0</v>
      </c>
      <c r="AG76" s="46">
        <f>SUMPRODUCT(AE77:AE$605, $I76:$I$604) / $I76</f>
        <v>0</v>
      </c>
      <c r="AI76" s="46">
        <f t="shared" si="79"/>
        <v>-47000</v>
      </c>
      <c r="AJ76" s="46">
        <f>IF(E76&gt;Mat_Year,0,  -SUM($AD$5:AD76))</f>
        <v>-9306</v>
      </c>
      <c r="AK76" s="24">
        <f t="shared" si="104"/>
        <v>-0.25839967647648465</v>
      </c>
      <c r="AL76" s="79">
        <f t="shared" si="105"/>
        <v>-23.188866172971309</v>
      </c>
      <c r="AM76" s="24">
        <f t="shared" si="106"/>
        <v>-23.989809129904344</v>
      </c>
      <c r="AN76" s="79">
        <f t="shared" si="107"/>
        <v>-23.447265849447795</v>
      </c>
      <c r="AO76" s="15">
        <f t="shared" si="108"/>
        <v>-6950.399828738754</v>
      </c>
      <c r="AP76" s="46">
        <f>SUMPRODUCT(AN77:AN$605, $I77:$I$605) / $I76</f>
        <v>-6793.2125537942447</v>
      </c>
      <c r="AR76" s="46">
        <v>0</v>
      </c>
      <c r="AS76" s="46">
        <v>0</v>
      </c>
      <c r="AT76" s="46">
        <v>0</v>
      </c>
      <c r="AU76" s="95">
        <f t="shared" si="80"/>
        <v>-1.8868449461188901</v>
      </c>
      <c r="AV76" s="47">
        <f t="shared" si="81"/>
        <v>0</v>
      </c>
      <c r="AW76" s="96">
        <f t="shared" ref="AW76:AW139" si="116">AU76*(1+AV76)</f>
        <v>-1.8868449461188901</v>
      </c>
      <c r="AX76" s="95">
        <f t="shared" si="82"/>
        <v>-21.635822048829937</v>
      </c>
      <c r="AY76" s="11">
        <f t="shared" si="83"/>
        <v>0</v>
      </c>
      <c r="AZ76" s="96">
        <f t="shared" ref="AZ76:AZ139" si="117">AX76*(1+AY76)</f>
        <v>-21.635822048829937</v>
      </c>
      <c r="BA76" s="95">
        <f t="shared" ref="BA76:BA139" si="118">AW76*$W76</f>
        <v>-1.8441728664355164</v>
      </c>
      <c r="BB76" s="64">
        <f t="shared" ref="BB76:BB139" si="119">AZ76*SUM(X76:Y76)</f>
        <v>-1.1275446535585992E-2</v>
      </c>
      <c r="BC76" s="95">
        <f t="shared" ref="BC76:BC139" si="120">IF($W76 = 0, 0, BE76/$W76)</f>
        <v>-1.8868449461188901</v>
      </c>
      <c r="BD76" s="96">
        <f t="shared" ref="BD76:BD139" si="121">IF($W76 = 0, 0, BF76/$W76)</f>
        <v>-1.1536347648377073E-2</v>
      </c>
      <c r="BE76" s="96">
        <f t="shared" ref="BE76:BE139" si="122">SUM(AT76,BA76)</f>
        <v>-1.8441728664355164</v>
      </c>
      <c r="BF76" s="96">
        <f t="shared" ref="BF76:BF139" si="123">SUM(BB76)</f>
        <v>-1.1275446535585992E-2</v>
      </c>
      <c r="BG76" s="15">
        <f t="shared" si="109"/>
        <v>-240.38509531926579</v>
      </c>
      <c r="BH76" s="46">
        <f>(SUMPRODUCT(BE77:BE$605,$I76:$I$604)+SUMPRODUCT(BF77:BF$605,$I77:$I$605)) / $I76</f>
        <v>-234.94864863971296</v>
      </c>
      <c r="BJ76" s="46">
        <f t="shared" si="67"/>
        <v>-1.8441728664355164</v>
      </c>
      <c r="BK76" s="46">
        <f t="shared" si="68"/>
        <v>-23.45854129598338</v>
      </c>
      <c r="BM76" s="49">
        <f t="shared" si="110"/>
        <v>7194.6211383910604</v>
      </c>
      <c r="BN76" s="46">
        <f t="shared" si="69"/>
        <v>7028.1612024339584</v>
      </c>
      <c r="BP76" s="46">
        <f>Reserve!BX76</f>
        <v>9666.3322264516501</v>
      </c>
      <c r="BQ76" s="46">
        <f t="shared" si="84"/>
        <v>9442.6850027265318</v>
      </c>
      <c r="BR76" s="15">
        <f t="shared" si="111"/>
        <v>7.421218288689488</v>
      </c>
      <c r="BT76" s="49">
        <f t="shared" si="112"/>
        <v>32.207073291732073</v>
      </c>
      <c r="BU76" s="46">
        <f t="shared" si="85"/>
        <v>31.478691873481477</v>
      </c>
      <c r="BV76" s="46">
        <f>SUMPRODUCT(BU77:BU$605, $I77:$I$605) / $I76</f>
        <v>2394.8830796041489</v>
      </c>
      <c r="BX76" s="46">
        <f>-BZ76*Others!$Q$43</f>
        <v>-3.4808821759365292</v>
      </c>
      <c r="BZ76" s="50">
        <f t="shared" si="70"/>
        <v>13.597195999752067</v>
      </c>
      <c r="CA76" s="46">
        <f t="shared" si="113"/>
        <v>10.116313823815538</v>
      </c>
      <c r="CB76" s="46">
        <f t="shared" si="86"/>
        <v>10.116313823815538</v>
      </c>
      <c r="CD76" s="46">
        <f>SUMPRODUCT(BZ77:BZ$605, $I77:$I$605) / $I76</f>
        <v>2414.5238002925698</v>
      </c>
      <c r="CE76" s="46">
        <f>SUMPRODUCT(CA77:CA$605, $I77:$I$605) / $I76</f>
        <v>1796.4057074176717</v>
      </c>
      <c r="CF76" s="46">
        <f>SUMPRODUCT(CB77:CB$605, $I77:$I$605) / $I76</f>
        <v>1796.4057074176717</v>
      </c>
      <c r="CH76" s="46">
        <f t="shared" si="87"/>
        <v>37333.667773548354</v>
      </c>
      <c r="CI76" s="46">
        <f t="shared" si="88"/>
        <v>0</v>
      </c>
      <c r="CK76" s="46">
        <f>NPV((1+CK$3)^(1/12)-1,$CB$6:$CB76)+$CB$5</f>
        <v>-233.52421509753589</v>
      </c>
      <c r="CL76" s="46">
        <f>NPV((1+CL$3)^(1/12)-1,$CB$6:$CB76)+$CB$5</f>
        <v>-264.43054297659523</v>
      </c>
      <c r="CM76" s="46">
        <f>NPV((1+CM$3)^(1/12)-1,$CB$6:$CB76)+$CB$5</f>
        <v>-329.73960103076234</v>
      </c>
      <c r="CN76" s="46">
        <f>NPV((1+CN$3)^(1/12)-1,$CB$6:$CB76)+$CB$5</f>
        <v>-329.73960103076234</v>
      </c>
    </row>
    <row r="77" spans="1:92" x14ac:dyDescent="0.25">
      <c r="A77" s="61">
        <f t="shared" si="71"/>
        <v>5.9999999999999956</v>
      </c>
      <c r="B77" s="32">
        <f t="shared" si="89"/>
        <v>12</v>
      </c>
      <c r="C77" s="62">
        <f t="shared" si="90"/>
        <v>6</v>
      </c>
      <c r="D77" s="64">
        <f t="shared" si="91"/>
        <v>6.4999999999999956</v>
      </c>
      <c r="E77" s="28">
        <f t="shared" si="72"/>
        <v>6</v>
      </c>
      <c r="G77" s="68">
        <f>INDEX(Others!$D$11:$E$60, MATCH(C77, Others!$A$11:$A$60, 0), MATCH(G$3, Others!$D$10:$E$10, 0))</f>
        <v>4.0721103265794367E-2</v>
      </c>
      <c r="H77" s="16">
        <f t="shared" si="114"/>
        <v>3.3316912372947094E-3</v>
      </c>
      <c r="I77" s="69">
        <f t="shared" si="115"/>
        <v>0.82065389531430344</v>
      </c>
      <c r="K77" s="80">
        <f>INDEX(Mortality!$B$7:$F$32, MATCH( E77,Mortality!$A$7:$A$32, 0), MATCH( K$3,Mortality!$B$6:$F$6,0))</f>
        <v>0.34099999999999997</v>
      </c>
      <c r="L77" s="11">
        <f t="shared" si="73"/>
        <v>0</v>
      </c>
      <c r="M77" s="80">
        <f t="shared" si="92"/>
        <v>0.34099999999999997</v>
      </c>
      <c r="N77" s="76">
        <f>INDEX(Myopia!$H:$H, MATCH(E77, Myopia!$A:$A, 0)) * Trend_Factor^(A77)</f>
        <v>6.0576427608593999</v>
      </c>
      <c r="O77" s="11">
        <f t="shared" si="74"/>
        <v>0</v>
      </c>
      <c r="P77" s="80">
        <f t="shared" si="93"/>
        <v>6.0576427608593999</v>
      </c>
      <c r="Q77" s="76">
        <f>VLOOKUP(C77,Others!$L$10:$M$61,2)</f>
        <v>0</v>
      </c>
      <c r="R77" s="11">
        <f t="shared" si="75"/>
        <v>0</v>
      </c>
      <c r="S77" s="80">
        <f t="shared" si="94"/>
        <v>0</v>
      </c>
      <c r="T77" s="78">
        <f t="shared" si="95"/>
        <v>2.8416666666666665E-5</v>
      </c>
      <c r="U77" s="81">
        <f t="shared" si="96"/>
        <v>5.0480356340495004E-4</v>
      </c>
      <c r="V77" s="81">
        <f t="shared" si="97"/>
        <v>0</v>
      </c>
      <c r="W77" s="77">
        <f t="shared" si="76"/>
        <v>0.9768632798370912</v>
      </c>
      <c r="X77" s="82">
        <f t="shared" si="98"/>
        <v>2.7752191730952513E-5</v>
      </c>
      <c r="Y77" s="82">
        <f t="shared" si="99"/>
        <v>4.9311705815012572E-4</v>
      </c>
      <c r="Z77" s="82">
        <f t="shared" si="100"/>
        <v>0</v>
      </c>
      <c r="AA77" s="82">
        <f t="shared" si="101"/>
        <v>0.97634241058721016</v>
      </c>
      <c r="AC77" s="46">
        <f t="shared" si="77"/>
        <v>0</v>
      </c>
      <c r="AD77" s="15">
        <f t="shared" si="78"/>
        <v>0</v>
      </c>
      <c r="AE77" s="46">
        <f t="shared" si="102"/>
        <v>0</v>
      </c>
      <c r="AF77" s="15">
        <f t="shared" si="103"/>
        <v>0</v>
      </c>
      <c r="AG77" s="46">
        <f>SUMPRODUCT(AE78:AE$605, $I77:$I$604) / $I77</f>
        <v>0</v>
      </c>
      <c r="AI77" s="46">
        <f t="shared" si="79"/>
        <v>-47000</v>
      </c>
      <c r="AJ77" s="46">
        <f>IF(E77&gt;Mat_Year,0,  -SUM($AD$5:AD77))</f>
        <v>-9306</v>
      </c>
      <c r="AK77" s="24">
        <f t="shared" si="104"/>
        <v>-0.25826189624824408</v>
      </c>
      <c r="AL77" s="79">
        <f t="shared" si="105"/>
        <v>-23.176501733055908</v>
      </c>
      <c r="AM77" s="24">
        <f t="shared" si="106"/>
        <v>-23.989809129904341</v>
      </c>
      <c r="AN77" s="79">
        <f t="shared" si="107"/>
        <v>-23.43476362930415</v>
      </c>
      <c r="AO77" s="15">
        <f t="shared" si="108"/>
        <v>-6953.2869308346299</v>
      </c>
      <c r="AP77" s="46">
        <f>SUMPRODUCT(AN78:AN$605, $I78:$I$605) / $I77</f>
        <v>-6792.4106769034979</v>
      </c>
      <c r="AR77" s="46">
        <v>0</v>
      </c>
      <c r="AS77" s="46">
        <v>0</v>
      </c>
      <c r="AT77" s="46">
        <v>0</v>
      </c>
      <c r="AU77" s="95">
        <f t="shared" si="80"/>
        <v>-1.888954624652629</v>
      </c>
      <c r="AV77" s="47">
        <f t="shared" si="81"/>
        <v>0</v>
      </c>
      <c r="AW77" s="96">
        <f t="shared" si="116"/>
        <v>-1.888954624652629</v>
      </c>
      <c r="AX77" s="95">
        <f t="shared" si="82"/>
        <v>-21.660013029350143</v>
      </c>
      <c r="AY77" s="11">
        <f t="shared" si="83"/>
        <v>0</v>
      </c>
      <c r="AZ77" s="96">
        <f t="shared" si="117"/>
        <v>-21.660013029350143</v>
      </c>
      <c r="BA77" s="95">
        <f t="shared" si="118"/>
        <v>-1.8452504101016087</v>
      </c>
      <c r="BB77" s="64">
        <f t="shared" si="119"/>
        <v>-1.128203473901199E-2</v>
      </c>
      <c r="BC77" s="95">
        <f t="shared" si="120"/>
        <v>-1.888954624652629</v>
      </c>
      <c r="BD77" s="96">
        <f t="shared" si="121"/>
        <v>-1.1549246421560102E-2</v>
      </c>
      <c r="BE77" s="96">
        <f t="shared" si="122"/>
        <v>-1.8452504101016087</v>
      </c>
      <c r="BF77" s="96">
        <f t="shared" si="123"/>
        <v>-1.128203473901199E-2</v>
      </c>
      <c r="BG77" s="15">
        <f t="shared" si="109"/>
        <v>-239.40785734431452</v>
      </c>
      <c r="BH77" s="46">
        <f>(SUMPRODUCT(BE78:BE$605,$I77:$I$604)+SUMPRODUCT(BF78:BF$605,$I78:$I$605)) / $I77</f>
        <v>-233.86874474413753</v>
      </c>
      <c r="BJ77" s="46">
        <f t="shared" si="67"/>
        <v>-1.8452504101016087</v>
      </c>
      <c r="BK77" s="46">
        <f t="shared" si="68"/>
        <v>-23.446045664043162</v>
      </c>
      <c r="BM77" s="49">
        <f t="shared" si="110"/>
        <v>7196.5320214060548</v>
      </c>
      <c r="BN77" s="46">
        <f t="shared" si="69"/>
        <v>7026.2794216476359</v>
      </c>
      <c r="BP77" s="46">
        <f>Reserve!BX77</f>
        <v>9663.8813218499854</v>
      </c>
      <c r="BQ77" s="46">
        <f t="shared" si="84"/>
        <v>9435.2571854037305</v>
      </c>
      <c r="BR77" s="15">
        <f t="shared" si="111"/>
        <v>7.4278173228012747</v>
      </c>
      <c r="BT77" s="49">
        <f t="shared" si="112"/>
        <v>32.19894096207782</v>
      </c>
      <c r="BU77" s="46">
        <f t="shared" si="85"/>
        <v>31.453963075496201</v>
      </c>
      <c r="BV77" s="46">
        <f>SUMPRODUCT(BU78:BU$605, $I78:$I$605) / $I77</f>
        <v>2371.408127499315</v>
      </c>
      <c r="BX77" s="46">
        <f>-BZ77*Others!$Q$43</f>
        <v>-3.4791639869830924</v>
      </c>
      <c r="BZ77" s="50">
        <f t="shared" si="70"/>
        <v>13.590484324152705</v>
      </c>
      <c r="CA77" s="46">
        <f t="shared" si="113"/>
        <v>10.111320337169612</v>
      </c>
      <c r="CB77" s="46">
        <f t="shared" si="86"/>
        <v>10.111320337169612</v>
      </c>
      <c r="CD77" s="46">
        <f>SUMPRODUCT(BZ78:BZ$605, $I78:$I$605) / $I77</f>
        <v>2408.977763756091</v>
      </c>
      <c r="CE77" s="46">
        <f>SUMPRODUCT(CA78:CA$605, $I78:$I$605) / $I77</f>
        <v>1792.2794562345321</v>
      </c>
      <c r="CF77" s="46">
        <f>SUMPRODUCT(CB78:CB$605, $I78:$I$605) / $I77</f>
        <v>1792.2794562345321</v>
      </c>
      <c r="CH77" s="46">
        <f t="shared" si="87"/>
        <v>37336.118678150015</v>
      </c>
      <c r="CI77" s="46">
        <f t="shared" si="88"/>
        <v>0</v>
      </c>
      <c r="CK77" s="46">
        <f>NPV((1+CK$3)^(1/12)-1,$CB$6:$CB77)+$CB$5</f>
        <v>-225.0561435008712</v>
      </c>
      <c r="CL77" s="46">
        <f>NPV((1+CL$3)^(1/12)-1,$CB$6:$CB77)+$CB$5</f>
        <v>-256.88532006067425</v>
      </c>
      <c r="CM77" s="46">
        <f>NPV((1+CM$3)^(1/12)-1,$CB$6:$CB77)+$CB$5</f>
        <v>-324.03202430200753</v>
      </c>
      <c r="CN77" s="46">
        <f>NPV((1+CN$3)^(1/12)-1,$CB$6:$CB77)+$CB$5</f>
        <v>-324.03202430200753</v>
      </c>
    </row>
    <row r="78" spans="1:92" x14ac:dyDescent="0.25">
      <c r="A78" s="61">
        <f t="shared" si="71"/>
        <v>6.0833333333333286</v>
      </c>
      <c r="B78" s="32">
        <f t="shared" si="89"/>
        <v>1</v>
      </c>
      <c r="C78" s="62">
        <f t="shared" si="90"/>
        <v>7</v>
      </c>
      <c r="D78" s="64">
        <f t="shared" si="91"/>
        <v>6.5833333333333286</v>
      </c>
      <c r="E78" s="28">
        <f t="shared" si="72"/>
        <v>6</v>
      </c>
      <c r="G78" s="68">
        <f>INDEX(Others!$D$11:$E$60, MATCH(C78, Others!$A$11:$A$60, 0), MATCH(G$3, Others!$D$10:$E$10, 0))</f>
        <v>4.3613141551184675E-2</v>
      </c>
      <c r="H78" s="16">
        <f t="shared" si="114"/>
        <v>3.5637406369586344E-3</v>
      </c>
      <c r="I78" s="69">
        <f t="shared" si="115"/>
        <v>0.8177396831749193</v>
      </c>
      <c r="K78" s="80">
        <f>INDEX(Mortality!$B$7:$F$32, MATCH( E78,Mortality!$A$7:$A$32, 0), MATCH( K$3,Mortality!$B$6:$F$6,0))</f>
        <v>0.34099999999999997</v>
      </c>
      <c r="L78" s="11">
        <f t="shared" si="73"/>
        <v>0</v>
      </c>
      <c r="M78" s="80">
        <f t="shared" si="92"/>
        <v>0.34099999999999997</v>
      </c>
      <c r="N78" s="76">
        <f>INDEX(Myopia!$H:$H, MATCH(E78, Myopia!$A:$A, 0)) * Trend_Factor^(A78)</f>
        <v>6.0576427608593999</v>
      </c>
      <c r="O78" s="11">
        <f t="shared" si="74"/>
        <v>0</v>
      </c>
      <c r="P78" s="80">
        <f t="shared" si="93"/>
        <v>6.0576427608593999</v>
      </c>
      <c r="Q78" s="76">
        <f>VLOOKUP(C78,Others!$L$10:$M$61,2)</f>
        <v>0</v>
      </c>
      <c r="R78" s="11">
        <f t="shared" si="75"/>
        <v>0</v>
      </c>
      <c r="S78" s="80">
        <f t="shared" si="94"/>
        <v>0</v>
      </c>
      <c r="T78" s="78">
        <f t="shared" si="95"/>
        <v>2.8416666666666665E-5</v>
      </c>
      <c r="U78" s="81">
        <f t="shared" si="96"/>
        <v>5.0480356340495004E-4</v>
      </c>
      <c r="V78" s="81">
        <f t="shared" si="97"/>
        <v>0</v>
      </c>
      <c r="W78" s="77">
        <f t="shared" si="76"/>
        <v>0.97634241058721016</v>
      </c>
      <c r="X78" s="82">
        <f t="shared" si="98"/>
        <v>2.7737394098993344E-5</v>
      </c>
      <c r="Y78" s="82">
        <f t="shared" si="99"/>
        <v>4.9285412523260926E-4</v>
      </c>
      <c r="Z78" s="82">
        <f t="shared" si="100"/>
        <v>0</v>
      </c>
      <c r="AA78" s="82">
        <f t="shared" si="101"/>
        <v>0.97582181906787857</v>
      </c>
      <c r="AC78" s="46">
        <f t="shared" si="77"/>
        <v>0</v>
      </c>
      <c r="AD78" s="15">
        <f t="shared" si="78"/>
        <v>0</v>
      </c>
      <c r="AE78" s="46">
        <f t="shared" si="102"/>
        <v>0</v>
      </c>
      <c r="AF78" s="15">
        <f t="shared" si="103"/>
        <v>0</v>
      </c>
      <c r="AG78" s="46">
        <f>SUMPRODUCT(AE79:AE$605, $I78:$I$604) / $I78</f>
        <v>0</v>
      </c>
      <c r="AI78" s="46">
        <f t="shared" si="79"/>
        <v>-47000</v>
      </c>
      <c r="AJ78" s="46">
        <f>IF(E78&gt;Mat_Year,0,  -SUM($AD$5:AD78))</f>
        <v>-9306</v>
      </c>
      <c r="AK78" s="24">
        <f t="shared" si="104"/>
        <v>-0.25812418948523208</v>
      </c>
      <c r="AL78" s="79">
        <f t="shared" si="105"/>
        <v>-23.164143885932635</v>
      </c>
      <c r="AM78" s="24">
        <f t="shared" si="106"/>
        <v>-23.989809129904341</v>
      </c>
      <c r="AN78" s="79">
        <f t="shared" si="107"/>
        <v>-23.422268075417868</v>
      </c>
      <c r="AO78" s="15">
        <f t="shared" si="108"/>
        <v>-6957.7995640838553</v>
      </c>
      <c r="AP78" s="46">
        <f>SUMPRODUCT(AN79:AN$605, $I79:$I$605) / $I78</f>
        <v>-6793.1947987802714</v>
      </c>
      <c r="AR78" s="46">
        <v>0</v>
      </c>
      <c r="AS78" s="46">
        <v>0</v>
      </c>
      <c r="AT78" s="46">
        <v>0</v>
      </c>
      <c r="AU78" s="95">
        <f t="shared" si="80"/>
        <v>-1.8910666620148051</v>
      </c>
      <c r="AV78" s="47">
        <f t="shared" si="81"/>
        <v>0</v>
      </c>
      <c r="AW78" s="96">
        <f t="shared" si="116"/>
        <v>-1.8910666620148051</v>
      </c>
      <c r="AX78" s="95">
        <f t="shared" si="82"/>
        <v>-21.684231057769761</v>
      </c>
      <c r="AY78" s="11">
        <f t="shared" si="83"/>
        <v>0</v>
      </c>
      <c r="AZ78" s="96">
        <f t="shared" si="117"/>
        <v>-21.684231057769761</v>
      </c>
      <c r="BA78" s="95">
        <f t="shared" si="118"/>
        <v>-1.8463285833726439</v>
      </c>
      <c r="BB78" s="64">
        <f t="shared" si="119"/>
        <v>-1.1288626791901884E-2</v>
      </c>
      <c r="BC78" s="95">
        <f t="shared" si="120"/>
        <v>-1.8910666620148051</v>
      </c>
      <c r="BD78" s="96">
        <f t="shared" si="121"/>
        <v>-1.1562159616842278E-2</v>
      </c>
      <c r="BE78" s="96">
        <f t="shared" si="122"/>
        <v>-1.8463285833726439</v>
      </c>
      <c r="BF78" s="96">
        <f t="shared" si="123"/>
        <v>-1.1288626791901884E-2</v>
      </c>
      <c r="BG78" s="15">
        <f t="shared" si="109"/>
        <v>-238.47985370940984</v>
      </c>
      <c r="BH78" s="46">
        <f>(SUMPRODUCT(BE79:BE$605,$I78:$I$604)+SUMPRODUCT(BF79:BF$605,$I79:$I$605)) / $I78</f>
        <v>-232.83799524713044</v>
      </c>
      <c r="BJ78" s="46">
        <f t="shared" si="67"/>
        <v>-1.8463285833726439</v>
      </c>
      <c r="BK78" s="46">
        <f t="shared" si="68"/>
        <v>-23.433556702209771</v>
      </c>
      <c r="BM78" s="49">
        <f t="shared" si="110"/>
        <v>7200.1185633856685</v>
      </c>
      <c r="BN78" s="46">
        <f t="shared" si="69"/>
        <v>7026.0327940274037</v>
      </c>
      <c r="BP78" s="46">
        <f>Reserve!BX78</f>
        <v>9663.1166601635905</v>
      </c>
      <c r="BQ78" s="46">
        <f t="shared" si="84"/>
        <v>9429.4800771859591</v>
      </c>
      <c r="BR78" s="15">
        <f t="shared" si="111"/>
        <v>5.7771082177714561</v>
      </c>
      <c r="BT78" s="49">
        <f t="shared" si="112"/>
        <v>34.432827306311694</v>
      </c>
      <c r="BU78" s="46">
        <f t="shared" si="85"/>
        <v>33.618229615577476</v>
      </c>
      <c r="BV78" s="46">
        <f>SUMPRODUCT(BU79:BU$605, $I79:$I$605) / $I78</f>
        <v>2346.2409813945205</v>
      </c>
      <c r="BX78" s="46">
        <f>-BZ78*Others!$Q$43</f>
        <v>-3.6135558522282292</v>
      </c>
      <c r="BZ78" s="50">
        <f t="shared" si="70"/>
        <v>14.11545254776652</v>
      </c>
      <c r="CA78" s="46">
        <f t="shared" si="113"/>
        <v>10.50189669553829</v>
      </c>
      <c r="CB78" s="46">
        <f t="shared" si="86"/>
        <v>10.50189669553829</v>
      </c>
      <c r="CD78" s="46">
        <f>SUMPRODUCT(BZ79:BZ$605, $I79:$I$605) / $I78</f>
        <v>2403.4472831585522</v>
      </c>
      <c r="CE78" s="46">
        <f>SUMPRODUCT(CA79:CA$605, $I79:$I$605) / $I78</f>
        <v>1788.1647786699627</v>
      </c>
      <c r="CF78" s="46">
        <f>SUMPRODUCT(CB79:CB$605, $I79:$I$605) / $I78</f>
        <v>1788.1647786699627</v>
      </c>
      <c r="CH78" s="46">
        <f t="shared" si="87"/>
        <v>37336.883339836408</v>
      </c>
      <c r="CI78" s="46">
        <f t="shared" si="88"/>
        <v>0</v>
      </c>
      <c r="CK78" s="46">
        <f>NPV((1+CK$3)^(1/12)-1,$CB$6:$CB78)+$CB$5</f>
        <v>-216.28260825780603</v>
      </c>
      <c r="CL78" s="46">
        <f>NPV((1+CL$3)^(1/12)-1,$CB$6:$CB78)+$CB$5</f>
        <v>-249.08044109559637</v>
      </c>
      <c r="CM78" s="46">
        <f>NPV((1+CM$3)^(1/12)-1,$CB$6:$CB78)+$CB$5</f>
        <v>-318.15087451553899</v>
      </c>
      <c r="CN78" s="46">
        <f>NPV((1+CN$3)^(1/12)-1,$CB$6:$CB78)+$CB$5</f>
        <v>-318.15087451553899</v>
      </c>
    </row>
    <row r="79" spans="1:92" x14ac:dyDescent="0.25">
      <c r="A79" s="61">
        <f t="shared" si="71"/>
        <v>6.1666666666666616</v>
      </c>
      <c r="B79" s="32">
        <f t="shared" si="89"/>
        <v>2</v>
      </c>
      <c r="C79" s="62">
        <f t="shared" si="90"/>
        <v>7</v>
      </c>
      <c r="D79" s="64">
        <f t="shared" si="91"/>
        <v>6.6666666666666616</v>
      </c>
      <c r="E79" s="28">
        <f t="shared" si="72"/>
        <v>6</v>
      </c>
      <c r="G79" s="68">
        <f>INDEX(Others!$D$11:$E$60, MATCH(C79, Others!$A$11:$A$60, 0), MATCH(G$3, Others!$D$10:$E$10, 0))</f>
        <v>4.3613141551184675E-2</v>
      </c>
      <c r="H79" s="16">
        <f t="shared" si="114"/>
        <v>3.5637406369586344E-3</v>
      </c>
      <c r="I79" s="69">
        <f t="shared" si="115"/>
        <v>0.81483581965197605</v>
      </c>
      <c r="K79" s="80">
        <f>INDEX(Mortality!$B$7:$F$32, MATCH( E79,Mortality!$A$7:$A$32, 0), MATCH( K$3,Mortality!$B$6:$F$6,0))</f>
        <v>0.34099999999999997</v>
      </c>
      <c r="L79" s="11">
        <f t="shared" si="73"/>
        <v>0</v>
      </c>
      <c r="M79" s="80">
        <f t="shared" si="92"/>
        <v>0.34099999999999997</v>
      </c>
      <c r="N79" s="76">
        <f>INDEX(Myopia!$H:$H, MATCH(E79, Myopia!$A:$A, 0)) * Trend_Factor^(A79)</f>
        <v>6.0576427608593999</v>
      </c>
      <c r="O79" s="11">
        <f t="shared" si="74"/>
        <v>0</v>
      </c>
      <c r="P79" s="80">
        <f t="shared" si="93"/>
        <v>6.0576427608593999</v>
      </c>
      <c r="Q79" s="76">
        <f>VLOOKUP(C79,Others!$L$10:$M$61,2)</f>
        <v>0</v>
      </c>
      <c r="R79" s="11">
        <f t="shared" si="75"/>
        <v>0</v>
      </c>
      <c r="S79" s="80">
        <f t="shared" si="94"/>
        <v>0</v>
      </c>
      <c r="T79" s="78">
        <f t="shared" si="95"/>
        <v>2.8416666666666665E-5</v>
      </c>
      <c r="U79" s="81">
        <f t="shared" si="96"/>
        <v>5.0480356340495004E-4</v>
      </c>
      <c r="V79" s="81">
        <f t="shared" si="97"/>
        <v>0</v>
      </c>
      <c r="W79" s="77">
        <f t="shared" si="76"/>
        <v>0.97582181906787857</v>
      </c>
      <c r="X79" s="82">
        <f t="shared" si="98"/>
        <v>2.7722604357218624E-5</v>
      </c>
      <c r="Y79" s="82">
        <f t="shared" si="99"/>
        <v>4.92591332512472E-4</v>
      </c>
      <c r="Z79" s="82">
        <f t="shared" si="100"/>
        <v>0</v>
      </c>
      <c r="AA79" s="82">
        <f t="shared" si="101"/>
        <v>0.97530150513100888</v>
      </c>
      <c r="AC79" s="46">
        <f t="shared" si="77"/>
        <v>0</v>
      </c>
      <c r="AD79" s="15">
        <f t="shared" si="78"/>
        <v>0</v>
      </c>
      <c r="AE79" s="46">
        <f t="shared" si="102"/>
        <v>0</v>
      </c>
      <c r="AF79" s="15">
        <f t="shared" si="103"/>
        <v>0</v>
      </c>
      <c r="AG79" s="46">
        <f>SUMPRODUCT(AE80:AE$605, $I79:$I$604) / $I79</f>
        <v>0</v>
      </c>
      <c r="AI79" s="46">
        <f t="shared" si="79"/>
        <v>-47000</v>
      </c>
      <c r="AJ79" s="46">
        <f>IF(E79&gt;Mat_Year,0,  -SUM($AD$5:AD79))</f>
        <v>-9306</v>
      </c>
      <c r="AK79" s="24">
        <f t="shared" si="104"/>
        <v>-0.25798655614827654</v>
      </c>
      <c r="AL79" s="79">
        <f t="shared" si="105"/>
        <v>-23.151792628086184</v>
      </c>
      <c r="AM79" s="24">
        <f t="shared" si="106"/>
        <v>-23.989809129904344</v>
      </c>
      <c r="AN79" s="79">
        <f t="shared" si="107"/>
        <v>-23.409779184234459</v>
      </c>
      <c r="AO79" s="15">
        <f t="shared" si="108"/>
        <v>-6962.3306952133571</v>
      </c>
      <c r="AP79" s="46">
        <f>SUMPRODUCT(AN80:AN$605, $I80:$I$605) / $I79</f>
        <v>-6793.9942039552261</v>
      </c>
      <c r="AR79" s="46">
        <v>0</v>
      </c>
      <c r="AS79" s="46">
        <v>0</v>
      </c>
      <c r="AT79" s="46">
        <v>0</v>
      </c>
      <c r="AU79" s="95">
        <f t="shared" si="80"/>
        <v>-1.8931810608428215</v>
      </c>
      <c r="AV79" s="47">
        <f t="shared" si="81"/>
        <v>0</v>
      </c>
      <c r="AW79" s="96">
        <f t="shared" si="116"/>
        <v>-1.8931810608428215</v>
      </c>
      <c r="AX79" s="95">
        <f t="shared" si="82"/>
        <v>-21.708476164331017</v>
      </c>
      <c r="AY79" s="11">
        <f t="shared" si="83"/>
        <v>0</v>
      </c>
      <c r="AZ79" s="96">
        <f t="shared" si="117"/>
        <v>-21.708476164331017</v>
      </c>
      <c r="BA79" s="95">
        <f t="shared" si="118"/>
        <v>-1.8474073866164982</v>
      </c>
      <c r="BB79" s="64">
        <f t="shared" si="119"/>
        <v>-1.1295222696504913E-2</v>
      </c>
      <c r="BC79" s="95">
        <f t="shared" si="120"/>
        <v>-1.8931810608428215</v>
      </c>
      <c r="BD79" s="96">
        <f t="shared" si="121"/>
        <v>-1.1575087250348942E-2</v>
      </c>
      <c r="BE79" s="96">
        <f t="shared" si="122"/>
        <v>-1.8474073866164982</v>
      </c>
      <c r="BF79" s="96">
        <f t="shared" si="123"/>
        <v>-1.1295222696504913E-2</v>
      </c>
      <c r="BG79" s="15">
        <f t="shared" si="109"/>
        <v>-237.54591120328973</v>
      </c>
      <c r="BH79" s="46">
        <f>(SUMPRODUCT(BE80:BE$605,$I79:$I$604)+SUMPRODUCT(BF80:BF$605,$I80:$I$605)) / $I79</f>
        <v>-231.80248318253095</v>
      </c>
      <c r="BJ79" s="46">
        <f t="shared" si="67"/>
        <v>-1.8474073866164982</v>
      </c>
      <c r="BK79" s="46">
        <f t="shared" si="68"/>
        <v>-23.421074406930963</v>
      </c>
      <c r="BM79" s="49">
        <f t="shared" si="110"/>
        <v>7203.7176710744525</v>
      </c>
      <c r="BN79" s="46">
        <f t="shared" si="69"/>
        <v>7025.7966871377594</v>
      </c>
      <c r="BP79" s="46">
        <f>Reserve!BX79</f>
        <v>9662.3450929574738</v>
      </c>
      <c r="BQ79" s="46">
        <f t="shared" si="84"/>
        <v>9423.6997122566427</v>
      </c>
      <c r="BR79" s="15">
        <f t="shared" si="111"/>
        <v>5.7803649293164199</v>
      </c>
      <c r="BT79" s="49">
        <f t="shared" si="112"/>
        <v>34.430094715217344</v>
      </c>
      <c r="BU79" s="46">
        <f t="shared" si="85"/>
        <v>33.597637655682739</v>
      </c>
      <c r="BV79" s="46">
        <f>SUMPRODUCT(BU80:BU$605, $I80:$I$605) / $I79</f>
        <v>2321.0047380683313</v>
      </c>
      <c r="BX79" s="46">
        <f>-BZ79*Others!$Q$43</f>
        <v>-3.6120373226116347</v>
      </c>
      <c r="BZ79" s="50">
        <f t="shared" si="70"/>
        <v>14.109520791451697</v>
      </c>
      <c r="CA79" s="46">
        <f t="shared" si="113"/>
        <v>10.497483468840063</v>
      </c>
      <c r="CB79" s="46">
        <f t="shared" si="86"/>
        <v>10.497483468840063</v>
      </c>
      <c r="CD79" s="46">
        <f>SUMPRODUCT(BZ80:BZ$605, $I80:$I$605) / $I79</f>
        <v>2397.9030251188801</v>
      </c>
      <c r="CE79" s="46">
        <f>SUMPRODUCT(CA80:CA$605, $I80:$I$605) / $I79</f>
        <v>1784.0398506884471</v>
      </c>
      <c r="CF79" s="46">
        <f>SUMPRODUCT(CB80:CB$605, $I80:$I$605) / $I79</f>
        <v>1784.0398506884471</v>
      </c>
      <c r="CH79" s="46">
        <f t="shared" si="87"/>
        <v>37337.654907042524</v>
      </c>
      <c r="CI79" s="46">
        <f t="shared" si="88"/>
        <v>0</v>
      </c>
      <c r="CK79" s="46">
        <f>NPV((1+CK$3)^(1/12)-1,$CB$6:$CB79)+$CB$5</f>
        <v>-207.5343355302827</v>
      </c>
      <c r="CL79" s="46">
        <f>NPV((1+CL$3)^(1/12)-1,$CB$6:$CB79)+$CB$5</f>
        <v>-241.31049769689184</v>
      </c>
      <c r="CM79" s="46">
        <f>NPV((1+CM$3)^(1/12)-1,$CB$6:$CB79)+$CB$5</f>
        <v>-312.31870272967518</v>
      </c>
      <c r="CN79" s="46">
        <f>NPV((1+CN$3)^(1/12)-1,$CB$6:$CB79)+$CB$5</f>
        <v>-312.31870272967518</v>
      </c>
    </row>
    <row r="80" spans="1:92" x14ac:dyDescent="0.25">
      <c r="A80" s="61">
        <f t="shared" si="71"/>
        <v>6.2499999999999947</v>
      </c>
      <c r="B80" s="32">
        <f t="shared" si="89"/>
        <v>3</v>
      </c>
      <c r="C80" s="62">
        <f t="shared" si="90"/>
        <v>7</v>
      </c>
      <c r="D80" s="64">
        <f t="shared" si="91"/>
        <v>6.7499999999999947</v>
      </c>
      <c r="E80" s="28">
        <f t="shared" si="72"/>
        <v>6</v>
      </c>
      <c r="G80" s="68">
        <f>INDEX(Others!$D$11:$E$60, MATCH(C80, Others!$A$11:$A$60, 0), MATCH(G$3, Others!$D$10:$E$10, 0))</f>
        <v>4.3613141551184675E-2</v>
      </c>
      <c r="H80" s="16">
        <f t="shared" si="114"/>
        <v>3.5637406369586344E-3</v>
      </c>
      <c r="I80" s="69">
        <f t="shared" si="115"/>
        <v>0.81194226799665203</v>
      </c>
      <c r="K80" s="80">
        <f>INDEX(Mortality!$B$7:$F$32, MATCH( E80,Mortality!$A$7:$A$32, 0), MATCH( K$3,Mortality!$B$6:$F$6,0))</f>
        <v>0.34099999999999997</v>
      </c>
      <c r="L80" s="11">
        <f t="shared" si="73"/>
        <v>0</v>
      </c>
      <c r="M80" s="80">
        <f t="shared" si="92"/>
        <v>0.34099999999999997</v>
      </c>
      <c r="N80" s="76">
        <f>INDEX(Myopia!$H:$H, MATCH(E80, Myopia!$A:$A, 0)) * Trend_Factor^(A80)</f>
        <v>6.0576427608593999</v>
      </c>
      <c r="O80" s="11">
        <f t="shared" si="74"/>
        <v>0</v>
      </c>
      <c r="P80" s="80">
        <f t="shared" si="93"/>
        <v>6.0576427608593999</v>
      </c>
      <c r="Q80" s="76">
        <f>VLOOKUP(C80,Others!$L$10:$M$61,2)</f>
        <v>0</v>
      </c>
      <c r="R80" s="11">
        <f t="shared" si="75"/>
        <v>0</v>
      </c>
      <c r="S80" s="80">
        <f t="shared" si="94"/>
        <v>0</v>
      </c>
      <c r="T80" s="78">
        <f t="shared" si="95"/>
        <v>2.8416666666666665E-5</v>
      </c>
      <c r="U80" s="81">
        <f t="shared" si="96"/>
        <v>5.0480356340495004E-4</v>
      </c>
      <c r="V80" s="81">
        <f t="shared" si="97"/>
        <v>0</v>
      </c>
      <c r="W80" s="77">
        <f t="shared" si="76"/>
        <v>0.97530150513100888</v>
      </c>
      <c r="X80" s="82">
        <f t="shared" si="98"/>
        <v>2.7707822501421254E-5</v>
      </c>
      <c r="Y80" s="82">
        <f t="shared" si="99"/>
        <v>4.923286799149595E-4</v>
      </c>
      <c r="Z80" s="82">
        <f t="shared" si="100"/>
        <v>0</v>
      </c>
      <c r="AA80" s="82">
        <f t="shared" si="101"/>
        <v>0.9747814686285925</v>
      </c>
      <c r="AC80" s="46">
        <f t="shared" si="77"/>
        <v>0</v>
      </c>
      <c r="AD80" s="15">
        <f t="shared" si="78"/>
        <v>0</v>
      </c>
      <c r="AE80" s="46">
        <f t="shared" si="102"/>
        <v>0</v>
      </c>
      <c r="AF80" s="15">
        <f t="shared" si="103"/>
        <v>0</v>
      </c>
      <c r="AG80" s="46">
        <f>SUMPRODUCT(AE81:AE$605, $I80:$I$604) / $I80</f>
        <v>0</v>
      </c>
      <c r="AI80" s="46">
        <f t="shared" si="79"/>
        <v>-47000</v>
      </c>
      <c r="AJ80" s="46">
        <f>IF(E80&gt;Mat_Year,0,  -SUM($AD$5:AD80))</f>
        <v>-9306</v>
      </c>
      <c r="AK80" s="24">
        <f t="shared" si="104"/>
        <v>-0.25784899619822621</v>
      </c>
      <c r="AL80" s="79">
        <f t="shared" si="105"/>
        <v>-23.139447956003096</v>
      </c>
      <c r="AM80" s="24">
        <f t="shared" si="106"/>
        <v>-23.989809129904341</v>
      </c>
      <c r="AN80" s="79">
        <f t="shared" si="107"/>
        <v>-23.397296952201323</v>
      </c>
      <c r="AO80" s="15">
        <f t="shared" si="108"/>
        <v>-6966.8804000483906</v>
      </c>
      <c r="AP80" s="46">
        <f>SUMPRODUCT(AN81:AN$605, $I81:$I$605) / $I80</f>
        <v>-6794.8089402349206</v>
      </c>
      <c r="AR80" s="46">
        <v>0</v>
      </c>
      <c r="AS80" s="46">
        <v>0</v>
      </c>
      <c r="AT80" s="46">
        <v>0</v>
      </c>
      <c r="AU80" s="95">
        <f t="shared" si="80"/>
        <v>-1.8952978237770288</v>
      </c>
      <c r="AV80" s="47">
        <f t="shared" si="81"/>
        <v>0</v>
      </c>
      <c r="AW80" s="96">
        <f t="shared" si="116"/>
        <v>-1.8952978237770288</v>
      </c>
      <c r="AX80" s="95">
        <f t="shared" si="82"/>
        <v>-21.732748379309928</v>
      </c>
      <c r="AY80" s="11">
        <f t="shared" si="83"/>
        <v>0</v>
      </c>
      <c r="AZ80" s="96">
        <f t="shared" si="117"/>
        <v>-21.732748379309928</v>
      </c>
      <c r="BA80" s="95">
        <f t="shared" si="118"/>
        <v>-1.8484868202012619</v>
      </c>
      <c r="BB80" s="64">
        <f t="shared" si="119"/>
        <v>-1.1301822455071601E-2</v>
      </c>
      <c r="BC80" s="95">
        <f t="shared" si="120"/>
        <v>-1.8952978237770288</v>
      </c>
      <c r="BD80" s="96">
        <f t="shared" si="121"/>
        <v>-1.1588029338223432E-2</v>
      </c>
      <c r="BE80" s="96">
        <f t="shared" si="122"/>
        <v>-1.8484868202012619</v>
      </c>
      <c r="BF80" s="96">
        <f t="shared" si="123"/>
        <v>-1.1301822455071601E-2</v>
      </c>
      <c r="BG80" s="15">
        <f t="shared" si="109"/>
        <v>-236.60600309475029</v>
      </c>
      <c r="BH80" s="46">
        <f>(SUMPRODUCT(BE81:BE$605,$I80:$I$604)+SUMPRODUCT(BF81:BF$605,$I81:$I$605)) / $I80</f>
        <v>-230.76219094134211</v>
      </c>
      <c r="BJ80" s="46">
        <f t="shared" si="67"/>
        <v>-1.8484868202012619</v>
      </c>
      <c r="BK80" s="46">
        <f t="shared" si="68"/>
        <v>-23.408598774656394</v>
      </c>
      <c r="BM80" s="49">
        <f t="shared" si="110"/>
        <v>7207.3293935926495</v>
      </c>
      <c r="BN80" s="46">
        <f t="shared" si="69"/>
        <v>7025.5711311762661</v>
      </c>
      <c r="BP80" s="46">
        <f>Reserve!BX80</f>
        <v>9661.5665885350518</v>
      </c>
      <c r="BQ80" s="46">
        <f t="shared" si="84"/>
        <v>9417.9160684251383</v>
      </c>
      <c r="BR80" s="15">
        <f t="shared" si="111"/>
        <v>5.7836438315043779</v>
      </c>
      <c r="BT80" s="49">
        <f t="shared" si="112"/>
        <v>34.427337506216666</v>
      </c>
      <c r="BU80" s="46">
        <f t="shared" si="85"/>
        <v>33.577034087466352</v>
      </c>
      <c r="BV80" s="46">
        <f>SUMPRODUCT(BU81:BU$605, $I81:$I$605) / $I80</f>
        <v>2295.6991628844926</v>
      </c>
      <c r="BX80" s="46">
        <f>-BZ80*Others!$Q$43</f>
        <v>-3.6105196349729467</v>
      </c>
      <c r="BZ80" s="50">
        <f t="shared" si="70"/>
        <v>14.103592324113073</v>
      </c>
      <c r="CA80" s="46">
        <f t="shared" si="113"/>
        <v>10.493072689140126</v>
      </c>
      <c r="CB80" s="46">
        <f t="shared" si="86"/>
        <v>10.493072689140126</v>
      </c>
      <c r="CD80" s="46">
        <f>SUMPRODUCT(BZ81:BZ$605, $I81:$I$605) / $I80</f>
        <v>2392.3449372488694</v>
      </c>
      <c r="CE80" s="46">
        <f>SUMPRODUCT(CA81:CA$605, $I81:$I$605) / $I80</f>
        <v>1779.9046333131587</v>
      </c>
      <c r="CF80" s="46">
        <f>SUMPRODUCT(CB81:CB$605, $I81:$I$605) / $I80</f>
        <v>1779.9046333131587</v>
      </c>
      <c r="CH80" s="46">
        <f t="shared" si="87"/>
        <v>37338.433411464946</v>
      </c>
      <c r="CI80" s="46">
        <f t="shared" si="88"/>
        <v>0</v>
      </c>
      <c r="CK80" s="46">
        <f>NPV((1+CK$3)^(1/12)-1,$CB$6:$CB80)+$CB$5</f>
        <v>-198.81125208492801</v>
      </c>
      <c r="CL80" s="46">
        <f>NPV((1+CL$3)^(1/12)-1,$CB$6:$CB80)+$CB$5</f>
        <v>-233.57533305209637</v>
      </c>
      <c r="CM80" s="46">
        <f>NPV((1+CM$3)^(1/12)-1,$CB$6:$CB80)+$CB$5</f>
        <v>-306.53510073088336</v>
      </c>
      <c r="CN80" s="46">
        <f>NPV((1+CN$3)^(1/12)-1,$CB$6:$CB80)+$CB$5</f>
        <v>-306.53510073088336</v>
      </c>
    </row>
    <row r="81" spans="1:92" x14ac:dyDescent="0.25">
      <c r="A81" s="61">
        <f t="shared" si="71"/>
        <v>6.3333333333333277</v>
      </c>
      <c r="B81" s="32">
        <f t="shared" si="89"/>
        <v>4</v>
      </c>
      <c r="C81" s="62">
        <f t="shared" si="90"/>
        <v>7</v>
      </c>
      <c r="D81" s="64">
        <f t="shared" si="91"/>
        <v>6.8333333333333277</v>
      </c>
      <c r="E81" s="28">
        <f t="shared" si="72"/>
        <v>6</v>
      </c>
      <c r="G81" s="68">
        <f>INDEX(Others!$D$11:$E$60, MATCH(C81, Others!$A$11:$A$60, 0), MATCH(G$3, Others!$D$10:$E$10, 0))</f>
        <v>4.3613141551184675E-2</v>
      </c>
      <c r="H81" s="16">
        <f t="shared" si="114"/>
        <v>3.5637406369586344E-3</v>
      </c>
      <c r="I81" s="69">
        <f t="shared" si="115"/>
        <v>0.80905899159062378</v>
      </c>
      <c r="K81" s="80">
        <f>INDEX(Mortality!$B$7:$F$32, MATCH( E81,Mortality!$A$7:$A$32, 0), MATCH( K$3,Mortality!$B$6:$F$6,0))</f>
        <v>0.34099999999999997</v>
      </c>
      <c r="L81" s="11">
        <f t="shared" si="73"/>
        <v>0</v>
      </c>
      <c r="M81" s="80">
        <f t="shared" si="92"/>
        <v>0.34099999999999997</v>
      </c>
      <c r="N81" s="76">
        <f>INDEX(Myopia!$H:$H, MATCH(E81, Myopia!$A:$A, 0)) * Trend_Factor^(A81)</f>
        <v>6.0576427608593999</v>
      </c>
      <c r="O81" s="11">
        <f t="shared" si="74"/>
        <v>0</v>
      </c>
      <c r="P81" s="80">
        <f t="shared" si="93"/>
        <v>6.0576427608593999</v>
      </c>
      <c r="Q81" s="76">
        <f>VLOOKUP(C81,Others!$L$10:$M$61,2)</f>
        <v>0</v>
      </c>
      <c r="R81" s="11">
        <f t="shared" si="75"/>
        <v>0</v>
      </c>
      <c r="S81" s="80">
        <f t="shared" si="94"/>
        <v>0</v>
      </c>
      <c r="T81" s="78">
        <f t="shared" si="95"/>
        <v>2.8416666666666665E-5</v>
      </c>
      <c r="U81" s="81">
        <f t="shared" si="96"/>
        <v>5.0480356340495004E-4</v>
      </c>
      <c r="V81" s="81">
        <f t="shared" si="97"/>
        <v>0</v>
      </c>
      <c r="W81" s="77">
        <f t="shared" si="76"/>
        <v>0.9747814686285925</v>
      </c>
      <c r="X81" s="82">
        <f t="shared" si="98"/>
        <v>2.7693048527396396E-5</v>
      </c>
      <c r="Y81" s="82">
        <f t="shared" si="99"/>
        <v>4.9206616736535789E-4</v>
      </c>
      <c r="Z81" s="82">
        <f t="shared" si="100"/>
        <v>0</v>
      </c>
      <c r="AA81" s="82">
        <f t="shared" si="101"/>
        <v>0.97426170941269974</v>
      </c>
      <c r="AC81" s="46">
        <f t="shared" si="77"/>
        <v>0</v>
      </c>
      <c r="AD81" s="15">
        <f t="shared" si="78"/>
        <v>0</v>
      </c>
      <c r="AE81" s="46">
        <f t="shared" si="102"/>
        <v>0</v>
      </c>
      <c r="AF81" s="15">
        <f t="shared" si="103"/>
        <v>0</v>
      </c>
      <c r="AG81" s="46">
        <f>SUMPRODUCT(AE82:AE$605, $I81:$I$604) / $I81</f>
        <v>0</v>
      </c>
      <c r="AI81" s="46">
        <f t="shared" si="79"/>
        <v>-47000</v>
      </c>
      <c r="AJ81" s="46">
        <f>IF(E81&gt;Mat_Year,0,  -SUM($AD$5:AD81))</f>
        <v>-9306</v>
      </c>
      <c r="AK81" s="24">
        <f t="shared" si="104"/>
        <v>-0.25771150959595085</v>
      </c>
      <c r="AL81" s="79">
        <f t="shared" si="105"/>
        <v>-23.127109866171821</v>
      </c>
      <c r="AM81" s="24">
        <f t="shared" si="106"/>
        <v>-23.989809129904341</v>
      </c>
      <c r="AN81" s="79">
        <f t="shared" si="107"/>
        <v>-23.384821375767771</v>
      </c>
      <c r="AO81" s="15">
        <f t="shared" si="108"/>
        <v>-6971.4487547250319</v>
      </c>
      <c r="AP81" s="46">
        <f>SUMPRODUCT(AN82:AN$605, $I82:$I$605) / $I81</f>
        <v>-6795.6390555998387</v>
      </c>
      <c r="AR81" s="46">
        <v>0</v>
      </c>
      <c r="AS81" s="46">
        <v>0</v>
      </c>
      <c r="AT81" s="46">
        <v>0</v>
      </c>
      <c r="AU81" s="95">
        <f t="shared" si="80"/>
        <v>-1.8974169534607312</v>
      </c>
      <c r="AV81" s="47">
        <f t="shared" si="81"/>
        <v>0</v>
      </c>
      <c r="AW81" s="96">
        <f t="shared" si="116"/>
        <v>-1.8974169534607312</v>
      </c>
      <c r="AX81" s="95">
        <f t="shared" si="82"/>
        <v>-21.757047733016382</v>
      </c>
      <c r="AY81" s="11">
        <f t="shared" si="83"/>
        <v>0</v>
      </c>
      <c r="AZ81" s="96">
        <f t="shared" si="117"/>
        <v>-21.757047733016382</v>
      </c>
      <c r="BA81" s="95">
        <f t="shared" si="118"/>
        <v>-1.8495668844952413</v>
      </c>
      <c r="BB81" s="64">
        <f t="shared" si="119"/>
        <v>-1.1308426069853821E-2</v>
      </c>
      <c r="BC81" s="95">
        <f t="shared" si="120"/>
        <v>-1.8974169534607312</v>
      </c>
      <c r="BD81" s="96">
        <f t="shared" si="121"/>
        <v>-1.160098589662717E-2</v>
      </c>
      <c r="BE81" s="96">
        <f t="shared" si="122"/>
        <v>-1.8495668844952413</v>
      </c>
      <c r="BF81" s="96">
        <f t="shared" si="123"/>
        <v>-1.1308426069853821E-2</v>
      </c>
      <c r="BG81" s="15">
        <f t="shared" si="109"/>
        <v>-235.66010254034401</v>
      </c>
      <c r="BH81" s="46">
        <f>(SUMPRODUCT(BE82:BE$605,$I81:$I$604)+SUMPRODUCT(BF82:BF$605,$I82:$I$605)) / $I81</f>
        <v>-229.71710085144124</v>
      </c>
      <c r="BJ81" s="46">
        <f t="shared" si="67"/>
        <v>-1.8495668844952413</v>
      </c>
      <c r="BK81" s="46">
        <f t="shared" si="68"/>
        <v>-23.396129801837624</v>
      </c>
      <c r="BM81" s="49">
        <f t="shared" si="110"/>
        <v>7210.9537802591849</v>
      </c>
      <c r="BN81" s="46">
        <f t="shared" si="69"/>
        <v>7025.3561564512829</v>
      </c>
      <c r="BP81" s="46">
        <f>Reserve!BX81</f>
        <v>9660.7811150764828</v>
      </c>
      <c r="BQ81" s="46">
        <f t="shared" si="84"/>
        <v>9412.1291234363416</v>
      </c>
      <c r="BR81" s="15">
        <f t="shared" si="111"/>
        <v>5.7869449887966766</v>
      </c>
      <c r="BT81" s="49">
        <f t="shared" si="112"/>
        <v>34.424555566341866</v>
      </c>
      <c r="BU81" s="46">
        <f t="shared" si="85"/>
        <v>33.556418831845313</v>
      </c>
      <c r="BV81" s="46">
        <f>SUMPRODUCT(BU82:BU$605, $I82:$I$605) / $I81</f>
        <v>2270.3240204496506</v>
      </c>
      <c r="BX81" s="46">
        <f>-BZ81*Others!$Q$43</f>
        <v>-3.6090027863831358</v>
      </c>
      <c r="BZ81" s="50">
        <f t="shared" si="70"/>
        <v>14.097667134309123</v>
      </c>
      <c r="CA81" s="46">
        <f t="shared" si="113"/>
        <v>10.488664347925987</v>
      </c>
      <c r="CB81" s="46">
        <f t="shared" si="86"/>
        <v>10.488664347925987</v>
      </c>
      <c r="CD81" s="46">
        <f>SUMPRODUCT(BZ82:BZ$605, $I82:$I$605) / $I81</f>
        <v>2386.7729669850564</v>
      </c>
      <c r="CE81" s="46">
        <f>SUMPRODUCT(CA82:CA$605, $I82:$I$605) / $I81</f>
        <v>1775.7590874368821</v>
      </c>
      <c r="CF81" s="46">
        <f>SUMPRODUCT(CB82:CB$605, $I82:$I$605) / $I81</f>
        <v>1775.7590874368821</v>
      </c>
      <c r="CH81" s="46">
        <f t="shared" si="87"/>
        <v>37339.218884923517</v>
      </c>
      <c r="CI81" s="46">
        <f t="shared" si="88"/>
        <v>0</v>
      </c>
      <c r="CK81" s="46">
        <f>NPV((1+CK$3)^(1/12)-1,$CB$6:$CB81)+$CB$5</f>
        <v>-190.11328490786684</v>
      </c>
      <c r="CL81" s="46">
        <f>NPV((1+CL$3)^(1/12)-1,$CB$6:$CB81)+$CB$5</f>
        <v>-225.8747910596955</v>
      </c>
      <c r="CM81" s="46">
        <f>NPV((1+CM$3)^(1/12)-1,$CB$6:$CB81)+$CB$5</f>
        <v>-300.79966371447699</v>
      </c>
      <c r="CN81" s="46">
        <f>NPV((1+CN$3)^(1/12)-1,$CB$6:$CB81)+$CB$5</f>
        <v>-300.79966371447699</v>
      </c>
    </row>
    <row r="82" spans="1:92" x14ac:dyDescent="0.25">
      <c r="A82" s="61">
        <f t="shared" si="71"/>
        <v>6.4166666666666607</v>
      </c>
      <c r="B82" s="32">
        <f t="shared" si="89"/>
        <v>5</v>
      </c>
      <c r="C82" s="62">
        <f t="shared" si="90"/>
        <v>7</v>
      </c>
      <c r="D82" s="64">
        <f t="shared" si="91"/>
        <v>6.9166666666666607</v>
      </c>
      <c r="E82" s="28">
        <f t="shared" si="72"/>
        <v>6</v>
      </c>
      <c r="G82" s="68">
        <f>INDEX(Others!$D$11:$E$60, MATCH(C82, Others!$A$11:$A$60, 0), MATCH(G$3, Others!$D$10:$E$10, 0))</f>
        <v>4.3613141551184675E-2</v>
      </c>
      <c r="H82" s="16">
        <f t="shared" si="114"/>
        <v>3.5637406369586344E-3</v>
      </c>
      <c r="I82" s="69">
        <f t="shared" si="115"/>
        <v>0.80618595394560255</v>
      </c>
      <c r="K82" s="80">
        <f>INDEX(Mortality!$B$7:$F$32, MATCH( E82,Mortality!$A$7:$A$32, 0), MATCH( K$3,Mortality!$B$6:$F$6,0))</f>
        <v>0.34099999999999997</v>
      </c>
      <c r="L82" s="11">
        <f t="shared" si="73"/>
        <v>0</v>
      </c>
      <c r="M82" s="80">
        <f t="shared" si="92"/>
        <v>0.34099999999999997</v>
      </c>
      <c r="N82" s="76">
        <f>INDEX(Myopia!$H:$H, MATCH(E82, Myopia!$A:$A, 0)) * Trend_Factor^(A82)</f>
        <v>6.0576427608593999</v>
      </c>
      <c r="O82" s="11">
        <f t="shared" si="74"/>
        <v>0</v>
      </c>
      <c r="P82" s="80">
        <f t="shared" si="93"/>
        <v>6.0576427608593999</v>
      </c>
      <c r="Q82" s="76">
        <f>VLOOKUP(C82,Others!$L$10:$M$61,2)</f>
        <v>0</v>
      </c>
      <c r="R82" s="11">
        <f t="shared" si="75"/>
        <v>0</v>
      </c>
      <c r="S82" s="80">
        <f t="shared" si="94"/>
        <v>0</v>
      </c>
      <c r="T82" s="78">
        <f t="shared" si="95"/>
        <v>2.8416666666666665E-5</v>
      </c>
      <c r="U82" s="81">
        <f t="shared" si="96"/>
        <v>5.0480356340495004E-4</v>
      </c>
      <c r="V82" s="81">
        <f t="shared" si="97"/>
        <v>0</v>
      </c>
      <c r="W82" s="77">
        <f t="shared" si="76"/>
        <v>0.97426170941269974</v>
      </c>
      <c r="X82" s="82">
        <f t="shared" si="98"/>
        <v>2.7678282430941432E-5</v>
      </c>
      <c r="Y82" s="82">
        <f t="shared" si="99"/>
        <v>4.9180379478899262E-4</v>
      </c>
      <c r="Z82" s="82">
        <f t="shared" si="100"/>
        <v>0</v>
      </c>
      <c r="AA82" s="82">
        <f t="shared" si="101"/>
        <v>0.97374222733547977</v>
      </c>
      <c r="AC82" s="46">
        <f t="shared" si="77"/>
        <v>0</v>
      </c>
      <c r="AD82" s="15">
        <f t="shared" si="78"/>
        <v>0</v>
      </c>
      <c r="AE82" s="46">
        <f t="shared" si="102"/>
        <v>0</v>
      </c>
      <c r="AF82" s="15">
        <f t="shared" si="103"/>
        <v>0</v>
      </c>
      <c r="AG82" s="46">
        <f>SUMPRODUCT(AE83:AE$605, $I82:$I$604) / $I82</f>
        <v>0</v>
      </c>
      <c r="AI82" s="46">
        <f t="shared" si="79"/>
        <v>-47000</v>
      </c>
      <c r="AJ82" s="46">
        <f>IF(E82&gt;Mat_Year,0,  -SUM($AD$5:AD82))</f>
        <v>-9306</v>
      </c>
      <c r="AK82" s="24">
        <f t="shared" si="104"/>
        <v>-0.25757409630234096</v>
      </c>
      <c r="AL82" s="79">
        <f t="shared" si="105"/>
        <v>-23.114778355082652</v>
      </c>
      <c r="AM82" s="24">
        <f t="shared" si="106"/>
        <v>-23.989809129904341</v>
      </c>
      <c r="AN82" s="79">
        <f t="shared" si="107"/>
        <v>-23.372352451384995</v>
      </c>
      <c r="AO82" s="15">
        <f t="shared" si="108"/>
        <v>-6976.0358356914439</v>
      </c>
      <c r="AP82" s="46">
        <f>SUMPRODUCT(AN83:AN$605, $I83:$I$605) / $I82</f>
        <v>-6796.4845982049974</v>
      </c>
      <c r="AR82" s="46">
        <v>0</v>
      </c>
      <c r="AS82" s="46">
        <v>0</v>
      </c>
      <c r="AT82" s="46">
        <v>0</v>
      </c>
      <c r="AU82" s="95">
        <f t="shared" si="80"/>
        <v>-1.8995384525401879</v>
      </c>
      <c r="AV82" s="47">
        <f t="shared" si="81"/>
        <v>0</v>
      </c>
      <c r="AW82" s="96">
        <f t="shared" si="116"/>
        <v>-1.8995384525401879</v>
      </c>
      <c r="AX82" s="95">
        <f t="shared" si="82"/>
        <v>-21.781374255794152</v>
      </c>
      <c r="AY82" s="11">
        <f t="shared" si="83"/>
        <v>0</v>
      </c>
      <c r="AZ82" s="96">
        <f t="shared" si="117"/>
        <v>-21.781374255794152</v>
      </c>
      <c r="BA82" s="95">
        <f t="shared" si="118"/>
        <v>-1.8506475798669579</v>
      </c>
      <c r="BB82" s="64">
        <f t="shared" si="119"/>
        <v>-1.131503354310474E-2</v>
      </c>
      <c r="BC82" s="95">
        <f t="shared" si="120"/>
        <v>-1.8995384525401879</v>
      </c>
      <c r="BD82" s="96">
        <f t="shared" si="121"/>
        <v>-1.1613956941739627E-2</v>
      </c>
      <c r="BE82" s="96">
        <f t="shared" si="122"/>
        <v>-1.8506475798669579</v>
      </c>
      <c r="BF82" s="96">
        <f t="shared" si="123"/>
        <v>-1.131503354310474E-2</v>
      </c>
      <c r="BG82" s="15">
        <f t="shared" si="109"/>
        <v>-234.70818258391668</v>
      </c>
      <c r="BH82" s="46">
        <f>(SUMPRODUCT(BE83:BE$605,$I82:$I$604)+SUMPRODUCT(BF83:BF$605,$I83:$I$605)) / $I82</f>
        <v>-228.6671951773547</v>
      </c>
      <c r="BJ82" s="46">
        <f t="shared" si="67"/>
        <v>-1.8506475798669579</v>
      </c>
      <c r="BK82" s="46">
        <f t="shared" si="68"/>
        <v>-23.3836674849281</v>
      </c>
      <c r="BM82" s="49">
        <f t="shared" si="110"/>
        <v>7214.5908805924728</v>
      </c>
      <c r="BN82" s="46">
        <f t="shared" si="69"/>
        <v>7025.1517933823552</v>
      </c>
      <c r="BP82" s="46">
        <f>Reserve!BX82</f>
        <v>9659.9886406381993</v>
      </c>
      <c r="BQ82" s="46">
        <f t="shared" si="84"/>
        <v>9406.3388549704741</v>
      </c>
      <c r="BR82" s="15">
        <f t="shared" si="111"/>
        <v>5.7902684658674843</v>
      </c>
      <c r="BT82" s="49">
        <f t="shared" si="112"/>
        <v>34.421748782185823</v>
      </c>
      <c r="BU82" s="46">
        <f t="shared" si="85"/>
        <v>33.535791809506875</v>
      </c>
      <c r="BV82" s="46">
        <f>SUMPRODUCT(BU83:BU$605, $I83:$I$605) / $I82</f>
        <v>2244.8790746108834</v>
      </c>
      <c r="BX82" s="46">
        <f>-BZ82*Others!$Q$43</f>
        <v>-3.6074867739083012</v>
      </c>
      <c r="BZ82" s="50">
        <f t="shared" si="70"/>
        <v>14.091745210579301</v>
      </c>
      <c r="CA82" s="46">
        <f t="shared" si="113"/>
        <v>10.484258436671</v>
      </c>
      <c r="CB82" s="46">
        <f t="shared" si="86"/>
        <v>10.484258436671</v>
      </c>
      <c r="CD82" s="46">
        <f>SUMPRODUCT(BZ83:BZ$605, $I83:$I$605) / $I82</f>
        <v>2381.1870615881162</v>
      </c>
      <c r="CE82" s="46">
        <f>SUMPRODUCT(CA83:CA$605, $I83:$I$605) / $I82</f>
        <v>1771.6031738215584</v>
      </c>
      <c r="CF82" s="46">
        <f>SUMPRODUCT(CB83:CB$605, $I83:$I$605) / $I82</f>
        <v>1771.6031738215584</v>
      </c>
      <c r="CH82" s="46">
        <f t="shared" si="87"/>
        <v>37340.011359361801</v>
      </c>
      <c r="CI82" s="46">
        <f t="shared" si="88"/>
        <v>0</v>
      </c>
      <c r="CK82" s="46">
        <f>NPV((1+CK$3)^(1/12)-1,$CB$6:$CB82)+$CB$5</f>
        <v>-181.4403612040494</v>
      </c>
      <c r="CL82" s="46">
        <f>NPV((1+CL$3)^(1/12)-1,$CB$6:$CB82)+$CB$5</f>
        <v>-218.20871632586716</v>
      </c>
      <c r="CM82" s="46">
        <f>NPV((1+CM$3)^(1/12)-1,$CB$6:$CB82)+$CB$5</f>
        <v>-295.11199025607829</v>
      </c>
      <c r="CN82" s="46">
        <f>NPV((1+CN$3)^(1/12)-1,$CB$6:$CB82)+$CB$5</f>
        <v>-295.11199025607829</v>
      </c>
    </row>
    <row r="83" spans="1:92" x14ac:dyDescent="0.25">
      <c r="A83" s="61">
        <f t="shared" si="71"/>
        <v>6.4999999999999938</v>
      </c>
      <c r="B83" s="32">
        <f t="shared" si="89"/>
        <v>6</v>
      </c>
      <c r="C83" s="62">
        <f t="shared" si="90"/>
        <v>7</v>
      </c>
      <c r="D83" s="64">
        <f t="shared" si="91"/>
        <v>6.9999999999999938</v>
      </c>
      <c r="E83" s="28">
        <f t="shared" si="72"/>
        <v>7</v>
      </c>
      <c r="G83" s="68">
        <f>INDEX(Others!$D$11:$E$60, MATCH(C83, Others!$A$11:$A$60, 0), MATCH(G$3, Others!$D$10:$E$10, 0))</f>
        <v>4.3613141551184675E-2</v>
      </c>
      <c r="H83" s="16">
        <f t="shared" si="114"/>
        <v>3.5637406369586344E-3</v>
      </c>
      <c r="I83" s="69">
        <f t="shared" si="115"/>
        <v>0.80332311870287276</v>
      </c>
      <c r="K83" s="80">
        <f>INDEX(Mortality!$B$7:$F$32, MATCH( E83,Mortality!$A$7:$A$32, 0), MATCH( K$3,Mortality!$B$6:$F$6,0))</f>
        <v>0.34400000000000003</v>
      </c>
      <c r="L83" s="11">
        <f t="shared" si="73"/>
        <v>0</v>
      </c>
      <c r="M83" s="80">
        <f t="shared" si="92"/>
        <v>0.34400000000000003</v>
      </c>
      <c r="N83" s="76">
        <f>INDEX(Myopia!$H:$H, MATCH(E83, Myopia!$A:$A, 0)) * Trend_Factor^(A83)</f>
        <v>12.16603036559686</v>
      </c>
      <c r="O83" s="11">
        <f t="shared" si="74"/>
        <v>0</v>
      </c>
      <c r="P83" s="80">
        <f>IFERROR( N83*(1+O83), 0)</f>
        <v>12.16603036559686</v>
      </c>
      <c r="Q83" s="76">
        <f>VLOOKUP(C83,Others!$L$10:$M$61,2)</f>
        <v>0</v>
      </c>
      <c r="R83" s="11">
        <f t="shared" si="75"/>
        <v>0</v>
      </c>
      <c r="S83" s="80">
        <f t="shared" si="94"/>
        <v>0</v>
      </c>
      <c r="T83" s="78">
        <f t="shared" si="95"/>
        <v>2.8666666666666668E-5</v>
      </c>
      <c r="U83" s="81">
        <f>(P83/1000)/12</f>
        <v>1.0138358637997384E-3</v>
      </c>
      <c r="V83" s="81">
        <f t="shared" si="97"/>
        <v>0</v>
      </c>
      <c r="W83" s="77">
        <f t="shared" si="76"/>
        <v>0.97374222733547977</v>
      </c>
      <c r="X83" s="82">
        <f t="shared" si="98"/>
        <v>2.7899793771596001E-5</v>
      </c>
      <c r="Y83" s="82">
        <f>W83 * (1-T83/2)*(U83)</f>
        <v>9.8720064209025958E-4</v>
      </c>
      <c r="Z83" s="82">
        <f t="shared" si="100"/>
        <v>0</v>
      </c>
      <c r="AA83" s="82">
        <f t="shared" si="101"/>
        <v>0.97272712689961793</v>
      </c>
      <c r="AC83" s="46">
        <f t="shared" si="77"/>
        <v>0</v>
      </c>
      <c r="AD83" s="15">
        <f t="shared" si="78"/>
        <v>0</v>
      </c>
      <c r="AE83" s="46">
        <f t="shared" si="102"/>
        <v>0</v>
      </c>
      <c r="AF83" s="15">
        <f t="shared" si="103"/>
        <v>0</v>
      </c>
      <c r="AG83" s="46">
        <f>SUMPRODUCT(AE84:AE$605, $I83:$I$604) / $I83</f>
        <v>0</v>
      </c>
      <c r="AI83" s="46">
        <f t="shared" si="79"/>
        <v>-47000</v>
      </c>
      <c r="AJ83" s="46">
        <f>IF(E83&gt;Mat_Year,0,  -SUM($AD$5:AD83))</f>
        <v>-9306</v>
      </c>
      <c r="AK83" s="24">
        <f t="shared" si="104"/>
        <v>-0.25963548083847238</v>
      </c>
      <c r="AL83" s="79">
        <f t="shared" si="105"/>
        <v>-46.398430178242201</v>
      </c>
      <c r="AM83" s="24">
        <f t="shared" si="106"/>
        <v>-47.916239379650257</v>
      </c>
      <c r="AN83" s="79">
        <f t="shared" si="107"/>
        <v>-46.65806565908067</v>
      </c>
      <c r="AO83" s="15">
        <f t="shared" si="108"/>
        <v>-6956.715289459421</v>
      </c>
      <c r="AP83" s="46">
        <f>SUMPRODUCT(AN84:AN$605, $I84:$I$605) / $I83</f>
        <v>-6774.0474408970031</v>
      </c>
      <c r="AR83" s="46">
        <v>0</v>
      </c>
      <c r="AS83" s="46">
        <v>0</v>
      </c>
      <c r="AT83" s="46">
        <v>0</v>
      </c>
      <c r="AU83" s="95">
        <f t="shared" si="80"/>
        <v>-1.9016623236646164</v>
      </c>
      <c r="AV83" s="47">
        <f t="shared" si="81"/>
        <v>0</v>
      </c>
      <c r="AW83" s="96">
        <f t="shared" si="116"/>
        <v>-1.9016623236646164</v>
      </c>
      <c r="AX83" s="95">
        <f t="shared" si="82"/>
        <v>-21.805727978020933</v>
      </c>
      <c r="AY83" s="11">
        <f t="shared" si="83"/>
        <v>0</v>
      </c>
      <c r="AZ83" s="96">
        <f t="shared" si="117"/>
        <v>-21.805727978020933</v>
      </c>
      <c r="BA83" s="95">
        <f t="shared" si="118"/>
        <v>-1.8517289066851477</v>
      </c>
      <c r="BB83" s="64">
        <f t="shared" si="119"/>
        <v>-2.2135003974774109E-2</v>
      </c>
      <c r="BC83" s="95">
        <f t="shared" si="120"/>
        <v>-1.9016623236646164</v>
      </c>
      <c r="BD83" s="96">
        <f t="shared" si="121"/>
        <v>-2.2731892849449178E-2</v>
      </c>
      <c r="BE83" s="96">
        <f t="shared" si="122"/>
        <v>-1.8517289066851477</v>
      </c>
      <c r="BF83" s="96">
        <f t="shared" si="123"/>
        <v>-2.2135003974774109E-2</v>
      </c>
      <c r="BG83" s="15">
        <f t="shared" si="109"/>
        <v>-233.73911120578271</v>
      </c>
      <c r="BH83" s="46">
        <f>(SUMPRODUCT(BE84:BE$605,$I83:$I$604)+SUMPRODUCT(BF84:BF$605,$I84:$I$605)) / $I83</f>
        <v>-227.60164276093425</v>
      </c>
      <c r="BJ83" s="46">
        <f t="shared" si="67"/>
        <v>-1.8517289066851477</v>
      </c>
      <c r="BK83" s="46">
        <f t="shared" si="68"/>
        <v>-46.680200663055444</v>
      </c>
      <c r="BM83" s="49">
        <f t="shared" si="110"/>
        <v>7197.9580809824456</v>
      </c>
      <c r="BN83" s="46">
        <f t="shared" si="69"/>
        <v>7001.6490836579414</v>
      </c>
      <c r="BP83" s="46">
        <f>Reserve!BX83</f>
        <v>9634.4292991131388</v>
      </c>
      <c r="BQ83" s="46">
        <f t="shared" si="84"/>
        <v>9371.6707314438227</v>
      </c>
      <c r="BR83" s="15">
        <f t="shared" si="111"/>
        <v>34.66812352665147</v>
      </c>
      <c r="BT83" s="49">
        <f t="shared" si="112"/>
        <v>34.418917039900528</v>
      </c>
      <c r="BU83" s="46">
        <f t="shared" si="85"/>
        <v>33.515152940907839</v>
      </c>
      <c r="BV83" s="46">
        <f>SUMPRODUCT(BU84:BU$605, $I84:$I$605) / $I83</f>
        <v>2219.3640884532242</v>
      </c>
      <c r="BX83" s="46">
        <f>-BZ83*Others!$Q$43</f>
        <v>-5.030744805841592</v>
      </c>
      <c r="BZ83" s="50">
        <f t="shared" si="70"/>
        <v>19.651346897818719</v>
      </c>
      <c r="CA83" s="46">
        <f t="shared" si="113"/>
        <v>14.620602091977126</v>
      </c>
      <c r="CB83" s="46">
        <f t="shared" si="86"/>
        <v>14.620602091977126</v>
      </c>
      <c r="CD83" s="46">
        <f>SUMPRODUCT(BZ84:BZ$605, $I84:$I$605) / $I83</f>
        <v>2370.0216477858789</v>
      </c>
      <c r="CE83" s="46">
        <f>SUMPRODUCT(CA84:CA$605, $I84:$I$605) / $I83</f>
        <v>1763.296105952694</v>
      </c>
      <c r="CF83" s="46">
        <f>SUMPRODUCT(CB84:CB$605, $I84:$I$605) / $I83</f>
        <v>1763.296105952694</v>
      </c>
      <c r="CH83" s="46">
        <f t="shared" si="87"/>
        <v>37365.570700886863</v>
      </c>
      <c r="CI83" s="46">
        <f t="shared" si="88"/>
        <v>0</v>
      </c>
      <c r="CK83" s="46">
        <f>NPV((1+CK$3)^(1/12)-1,$CB$6:$CB83)+$CB$5</f>
        <v>-169.37547313550135</v>
      </c>
      <c r="CL83" s="46">
        <f>NPV((1+CL$3)^(1/12)-1,$CB$6:$CB83)+$CB$5</f>
        <v>-207.56153099403713</v>
      </c>
      <c r="CM83" s="46">
        <f>NPV((1+CM$3)^(1/12)-1,$CB$6:$CB83)+$CB$5</f>
        <v>-287.24311239810669</v>
      </c>
      <c r="CN83" s="46">
        <f>NPV((1+CN$3)^(1/12)-1,$CB$6:$CB83)+$CB$5</f>
        <v>-287.24311239810669</v>
      </c>
    </row>
    <row r="84" spans="1:92" x14ac:dyDescent="0.25">
      <c r="A84" s="61">
        <f t="shared" si="71"/>
        <v>6.5833333333333268</v>
      </c>
      <c r="B84" s="32">
        <f t="shared" si="89"/>
        <v>7</v>
      </c>
      <c r="C84" s="62">
        <f t="shared" si="90"/>
        <v>7</v>
      </c>
      <c r="D84" s="64">
        <f t="shared" si="91"/>
        <v>7.0833333333333268</v>
      </c>
      <c r="E84" s="28">
        <f t="shared" si="72"/>
        <v>7</v>
      </c>
      <c r="G84" s="68">
        <f>INDEX(Others!$D$11:$E$60, MATCH(C84, Others!$A$11:$A$60, 0), MATCH(G$3, Others!$D$10:$E$10, 0))</f>
        <v>4.3613141551184675E-2</v>
      </c>
      <c r="H84" s="16">
        <f t="shared" si="114"/>
        <v>3.5637406369586344E-3</v>
      </c>
      <c r="I84" s="69">
        <f t="shared" si="115"/>
        <v>0.80047044963283165</v>
      </c>
      <c r="K84" s="80">
        <f>INDEX(Mortality!$B$7:$F$32, MATCH( E84,Mortality!$A$7:$A$32, 0), MATCH( K$3,Mortality!$B$6:$F$6,0))</f>
        <v>0.34400000000000003</v>
      </c>
      <c r="L84" s="11">
        <f t="shared" si="73"/>
        <v>0</v>
      </c>
      <c r="M84" s="80">
        <f t="shared" si="92"/>
        <v>0.34400000000000003</v>
      </c>
      <c r="N84" s="76">
        <f>INDEX(Myopia!$H:$H, MATCH(E84, Myopia!$A:$A, 0)) * Trend_Factor^(A84)</f>
        <v>12.16603036559686</v>
      </c>
      <c r="O84" s="11">
        <f t="shared" si="74"/>
        <v>0</v>
      </c>
      <c r="P84" s="80">
        <f t="shared" si="93"/>
        <v>12.16603036559686</v>
      </c>
      <c r="Q84" s="76">
        <f>VLOOKUP(C84,Others!$L$10:$M$61,2)</f>
        <v>0</v>
      </c>
      <c r="R84" s="11">
        <f t="shared" si="75"/>
        <v>0</v>
      </c>
      <c r="S84" s="80">
        <f t="shared" si="94"/>
        <v>0</v>
      </c>
      <c r="T84" s="78">
        <f t="shared" si="95"/>
        <v>2.8666666666666668E-5</v>
      </c>
      <c r="U84" s="81">
        <f t="shared" si="96"/>
        <v>1.0138358637997384E-3</v>
      </c>
      <c r="V84" s="81">
        <f t="shared" si="97"/>
        <v>0</v>
      </c>
      <c r="W84" s="77">
        <f t="shared" si="76"/>
        <v>0.97272712689961793</v>
      </c>
      <c r="X84" s="82">
        <f t="shared" si="98"/>
        <v>2.7870708976849551E-5</v>
      </c>
      <c r="Y84" s="82">
        <f t="shared" si="99"/>
        <v>9.8617151161410578E-4</v>
      </c>
      <c r="Z84" s="82">
        <f t="shared" si="100"/>
        <v>0</v>
      </c>
      <c r="AA84" s="82">
        <f t="shared" si="101"/>
        <v>0.97171308467902695</v>
      </c>
      <c r="AC84" s="46">
        <f t="shared" si="77"/>
        <v>0</v>
      </c>
      <c r="AD84" s="15">
        <f t="shared" si="78"/>
        <v>0</v>
      </c>
      <c r="AE84" s="46">
        <f t="shared" si="102"/>
        <v>0</v>
      </c>
      <c r="AF84" s="15">
        <f t="shared" si="103"/>
        <v>0</v>
      </c>
      <c r="AG84" s="46">
        <f>SUMPRODUCT(AE85:AE$605, $I84:$I$604) / $I84</f>
        <v>0</v>
      </c>
      <c r="AI84" s="46">
        <f t="shared" si="79"/>
        <v>-47000</v>
      </c>
      <c r="AJ84" s="46">
        <f>IF(E84&gt;Mat_Year,0,  -SUM($AD$5:AD84))</f>
        <v>-9306</v>
      </c>
      <c r="AK84" s="24">
        <f t="shared" si="104"/>
        <v>-0.2593648177385619</v>
      </c>
      <c r="AL84" s="79">
        <f t="shared" si="105"/>
        <v>-46.350061045862972</v>
      </c>
      <c r="AM84" s="24">
        <f t="shared" si="106"/>
        <v>-47.916239379650271</v>
      </c>
      <c r="AN84" s="79">
        <f t="shared" si="107"/>
        <v>-46.609425863601537</v>
      </c>
      <c r="AO84" s="15">
        <f t="shared" si="108"/>
        <v>-6940.8766101697847</v>
      </c>
      <c r="AP84" s="46">
        <f>SUMPRODUCT(AN85:AN$605, $I85:$I$605) / $I84</f>
        <v>-6751.5789631752141</v>
      </c>
      <c r="AR84" s="46">
        <v>0</v>
      </c>
      <c r="AS84" s="46">
        <v>0</v>
      </c>
      <c r="AT84" s="46">
        <v>0</v>
      </c>
      <c r="AU84" s="95">
        <f t="shared" si="80"/>
        <v>-1.9037885694861969</v>
      </c>
      <c r="AV84" s="47">
        <f t="shared" si="81"/>
        <v>0</v>
      </c>
      <c r="AW84" s="96">
        <f t="shared" si="116"/>
        <v>-1.9037885694861969</v>
      </c>
      <c r="AX84" s="95">
        <f t="shared" si="82"/>
        <v>-21.830108930108388</v>
      </c>
      <c r="AY84" s="11">
        <f t="shared" si="83"/>
        <v>0</v>
      </c>
      <c r="AZ84" s="96">
        <f t="shared" si="117"/>
        <v>-21.830108930108388</v>
      </c>
      <c r="BA84" s="95">
        <f t="shared" si="118"/>
        <v>-1.8518667854206419</v>
      </c>
      <c r="BB84" s="64">
        <f t="shared" si="119"/>
        <v>-2.2136652135229553E-2</v>
      </c>
      <c r="BC84" s="95">
        <f t="shared" si="120"/>
        <v>-1.9037885694861969</v>
      </c>
      <c r="BD84" s="96">
        <f t="shared" si="121"/>
        <v>-2.2757309345104733E-2</v>
      </c>
      <c r="BE84" s="96">
        <f t="shared" si="122"/>
        <v>-1.8518667854206419</v>
      </c>
      <c r="BF84" s="96">
        <f t="shared" si="123"/>
        <v>-2.2136652135229553E-2</v>
      </c>
      <c r="BG84" s="15">
        <f t="shared" si="109"/>
        <v>-232.88355666180985</v>
      </c>
      <c r="BH84" s="46">
        <f>(SUMPRODUCT(BE85:BE$605,$I84:$I$604)+SUMPRODUCT(BF85:BF$605,$I85:$I$605)) / $I84</f>
        <v>-226.53215297380666</v>
      </c>
      <c r="BJ84" s="46">
        <f t="shared" si="67"/>
        <v>-1.8518667854206419</v>
      </c>
      <c r="BK84" s="46">
        <f t="shared" si="68"/>
        <v>-46.631562515736768</v>
      </c>
      <c r="BM84" s="49">
        <f t="shared" si="110"/>
        <v>7181.246425691601</v>
      </c>
      <c r="BN84" s="46">
        <f t="shared" si="69"/>
        <v>6978.1111161490226</v>
      </c>
      <c r="BP84" s="46">
        <f>Reserve!BX84</f>
        <v>9608.762241637327</v>
      </c>
      <c r="BQ84" s="46">
        <f t="shared" si="84"/>
        <v>9336.9599977687685</v>
      </c>
      <c r="BR84" s="15">
        <f t="shared" si="111"/>
        <v>34.710733675054144</v>
      </c>
      <c r="BT84" s="49">
        <f t="shared" si="112"/>
        <v>34.327822598465133</v>
      </c>
      <c r="BU84" s="46">
        <f t="shared" si="85"/>
        <v>33.391604248924764</v>
      </c>
      <c r="BV84" s="46">
        <f>SUMPRODUCT(BU85:BU$605, $I85:$I$605) / $I84</f>
        <v>2193.8817221945274</v>
      </c>
      <c r="BX84" s="46">
        <f>-BZ84*Others!$Q$43</f>
        <v>-5.022440607442304</v>
      </c>
      <c r="BZ84" s="50">
        <f t="shared" si="70"/>
        <v>19.6189086228215</v>
      </c>
      <c r="CA84" s="46">
        <f t="shared" si="113"/>
        <v>14.596468015379196</v>
      </c>
      <c r="CB84" s="46">
        <f t="shared" si="86"/>
        <v>14.596468015379196</v>
      </c>
      <c r="CD84" s="46">
        <f>SUMPRODUCT(BZ85:BZ$605, $I85:$I$605) / $I84</f>
        <v>2358.8488816197441</v>
      </c>
      <c r="CE84" s="46">
        <f>SUMPRODUCT(CA85:CA$605, $I85:$I$605) / $I84</f>
        <v>1754.9835679250893</v>
      </c>
      <c r="CF84" s="46">
        <f>SUMPRODUCT(CB85:CB$605, $I85:$I$605) / $I84</f>
        <v>1754.9835679250893</v>
      </c>
      <c r="CH84" s="46">
        <f t="shared" si="87"/>
        <v>37391.237758362673</v>
      </c>
      <c r="CI84" s="46">
        <f t="shared" si="88"/>
        <v>0</v>
      </c>
      <c r="CK84" s="46">
        <f>NPV((1+CK$3)^(1/12)-1,$CB$6:$CB84)+$CB$5</f>
        <v>-157.3601335217495</v>
      </c>
      <c r="CL84" s="46">
        <f>NPV((1+CL$3)^(1/12)-1,$CB$6:$CB84)+$CB$5</f>
        <v>-196.97505148880828</v>
      </c>
      <c r="CM84" s="46">
        <f>NPV((1+CM$3)^(1/12)-1,$CB$6:$CB84)+$CB$5</f>
        <v>-279.44937199583234</v>
      </c>
      <c r="CN84" s="46">
        <f>NPV((1+CN$3)^(1/12)-1,$CB$6:$CB84)+$CB$5</f>
        <v>-279.44937199583234</v>
      </c>
    </row>
    <row r="85" spans="1:92" x14ac:dyDescent="0.25">
      <c r="A85" s="61">
        <f t="shared" si="71"/>
        <v>6.6666666666666599</v>
      </c>
      <c r="B85" s="32">
        <f t="shared" si="89"/>
        <v>8</v>
      </c>
      <c r="C85" s="62">
        <f t="shared" si="90"/>
        <v>7</v>
      </c>
      <c r="D85" s="64">
        <f t="shared" si="91"/>
        <v>7.1666666666666599</v>
      </c>
      <c r="E85" s="28">
        <f t="shared" si="72"/>
        <v>7</v>
      </c>
      <c r="G85" s="68">
        <f>INDEX(Others!$D$11:$E$60, MATCH(C85, Others!$A$11:$A$60, 0), MATCH(G$3, Others!$D$10:$E$10, 0))</f>
        <v>4.3613141551184675E-2</v>
      </c>
      <c r="H85" s="16">
        <f t="shared" si="114"/>
        <v>3.5637406369586344E-3</v>
      </c>
      <c r="I85" s="69">
        <f t="shared" si="115"/>
        <v>0.79762791063453098</v>
      </c>
      <c r="K85" s="80">
        <f>INDEX(Mortality!$B$7:$F$32, MATCH( E85,Mortality!$A$7:$A$32, 0), MATCH( K$3,Mortality!$B$6:$F$6,0))</f>
        <v>0.34400000000000003</v>
      </c>
      <c r="L85" s="11">
        <f t="shared" si="73"/>
        <v>0</v>
      </c>
      <c r="M85" s="80">
        <f t="shared" si="92"/>
        <v>0.34400000000000003</v>
      </c>
      <c r="N85" s="76">
        <f>INDEX(Myopia!$H:$H, MATCH(E85, Myopia!$A:$A, 0)) * Trend_Factor^(A85)</f>
        <v>12.16603036559686</v>
      </c>
      <c r="O85" s="11">
        <f t="shared" si="74"/>
        <v>0</v>
      </c>
      <c r="P85" s="80">
        <f t="shared" si="93"/>
        <v>12.16603036559686</v>
      </c>
      <c r="Q85" s="76">
        <f>VLOOKUP(C85,Others!$L$10:$M$61,2)</f>
        <v>0</v>
      </c>
      <c r="R85" s="11">
        <f t="shared" si="75"/>
        <v>0</v>
      </c>
      <c r="S85" s="80">
        <f t="shared" si="94"/>
        <v>0</v>
      </c>
      <c r="T85" s="78">
        <f t="shared" si="95"/>
        <v>2.8666666666666668E-5</v>
      </c>
      <c r="U85" s="81">
        <f t="shared" si="96"/>
        <v>1.0138358637997384E-3</v>
      </c>
      <c r="V85" s="81">
        <f t="shared" si="97"/>
        <v>0</v>
      </c>
      <c r="W85" s="77">
        <f t="shared" si="76"/>
        <v>0.97171308467902695</v>
      </c>
      <c r="X85" s="82">
        <f t="shared" si="98"/>
        <v>2.7841654502229923E-5</v>
      </c>
      <c r="Y85" s="82">
        <f t="shared" si="99"/>
        <v>9.8514345397916737E-4</v>
      </c>
      <c r="Z85" s="82">
        <f t="shared" si="100"/>
        <v>0</v>
      </c>
      <c r="AA85" s="82">
        <f t="shared" si="101"/>
        <v>0.97070009957054559</v>
      </c>
      <c r="AC85" s="46">
        <f t="shared" si="77"/>
        <v>0</v>
      </c>
      <c r="AD85" s="15">
        <f t="shared" si="78"/>
        <v>0</v>
      </c>
      <c r="AE85" s="46">
        <f t="shared" si="102"/>
        <v>0</v>
      </c>
      <c r="AF85" s="15">
        <f t="shared" si="103"/>
        <v>0</v>
      </c>
      <c r="AG85" s="46">
        <f>SUMPRODUCT(AE86:AE$605, $I85:$I$604) / $I85</f>
        <v>0</v>
      </c>
      <c r="AI85" s="46">
        <f t="shared" si="79"/>
        <v>-47000</v>
      </c>
      <c r="AJ85" s="46">
        <f>IF(E85&gt;Mat_Year,0,  -SUM($AD$5:AD85))</f>
        <v>-9306</v>
      </c>
      <c r="AK85" s="24">
        <f t="shared" si="104"/>
        <v>-0.25909443679775168</v>
      </c>
      <c r="AL85" s="79">
        <f t="shared" si="105"/>
        <v>-46.301742337020869</v>
      </c>
      <c r="AM85" s="24">
        <f t="shared" si="106"/>
        <v>-47.916239379650264</v>
      </c>
      <c r="AN85" s="79">
        <f t="shared" si="107"/>
        <v>-46.560836773818622</v>
      </c>
      <c r="AO85" s="15">
        <f t="shared" si="108"/>
        <v>-6924.964898397785</v>
      </c>
      <c r="AP85" s="46">
        <f>SUMPRODUCT(AN86:AN$605, $I86:$I$605) / $I85</f>
        <v>-6729.0790027160965</v>
      </c>
      <c r="AR85" s="46">
        <v>0</v>
      </c>
      <c r="AS85" s="46">
        <v>0</v>
      </c>
      <c r="AT85" s="46">
        <v>0</v>
      </c>
      <c r="AU85" s="95">
        <f t="shared" si="80"/>
        <v>-1.9059171926600744</v>
      </c>
      <c r="AV85" s="47">
        <f t="shared" si="81"/>
        <v>0</v>
      </c>
      <c r="AW85" s="96">
        <f t="shared" si="116"/>
        <v>-1.9059171926600744</v>
      </c>
      <c r="AX85" s="95">
        <f t="shared" si="82"/>
        <v>-21.854517142502186</v>
      </c>
      <c r="AY85" s="11">
        <f t="shared" si="83"/>
        <v>0</v>
      </c>
      <c r="AZ85" s="96">
        <f t="shared" si="117"/>
        <v>-21.854517142502186</v>
      </c>
      <c r="BA85" s="95">
        <f t="shared" si="118"/>
        <v>-1.8520046744225123</v>
      </c>
      <c r="BB85" s="64">
        <f t="shared" si="119"/>
        <v>-2.2138300418406136E-2</v>
      </c>
      <c r="BC85" s="95">
        <f t="shared" si="120"/>
        <v>-1.9059171926600744</v>
      </c>
      <c r="BD85" s="96">
        <f t="shared" si="121"/>
        <v>-2.2782754258906357E-2</v>
      </c>
      <c r="BE85" s="96">
        <f t="shared" si="122"/>
        <v>-1.8520046744225123</v>
      </c>
      <c r="BF85" s="96">
        <f t="shared" si="123"/>
        <v>-2.2138300418406136E-2</v>
      </c>
      <c r="BG85" s="15">
        <f t="shared" si="109"/>
        <v>-232.02189548394409</v>
      </c>
      <c r="BH85" s="46">
        <f>(SUMPRODUCT(BE86:BE$605,$I85:$I$604)+SUMPRODUCT(BF86:BF$605,$I86:$I$605)) / $I85</f>
        <v>-225.45871177377811</v>
      </c>
      <c r="BJ85" s="46">
        <f t="shared" si="67"/>
        <v>-1.8520046744225123</v>
      </c>
      <c r="BK85" s="46">
        <f t="shared" si="68"/>
        <v>-46.582975074237027</v>
      </c>
      <c r="BM85" s="49">
        <f t="shared" si="110"/>
        <v>7164.4555486979807</v>
      </c>
      <c r="BN85" s="46">
        <f t="shared" si="69"/>
        <v>6954.5377144898775</v>
      </c>
      <c r="BP85" s="46">
        <f>Reserve!BX85</f>
        <v>9582.9870242784691</v>
      </c>
      <c r="BQ85" s="46">
        <f t="shared" si="84"/>
        <v>9302.2064586503566</v>
      </c>
      <c r="BR85" s="15">
        <f t="shared" si="111"/>
        <v>34.753539118411936</v>
      </c>
      <c r="BT85" s="49">
        <f t="shared" si="112"/>
        <v>34.236344276846516</v>
      </c>
      <c r="BU85" s="46">
        <f t="shared" si="85"/>
        <v>33.267903705387681</v>
      </c>
      <c r="BV85" s="46">
        <f>SUMPRODUCT(BU86:BU$605, $I86:$I$605) / $I85</f>
        <v>2168.432243935205</v>
      </c>
      <c r="BX85" s="46">
        <f>-BZ85*Others!$Q$43</f>
        <v>-5.0141345472358605</v>
      </c>
      <c r="BZ85" s="50">
        <f t="shared" si="70"/>
        <v>19.586463075140081</v>
      </c>
      <c r="CA85" s="46">
        <f t="shared" si="113"/>
        <v>14.572328527904221</v>
      </c>
      <c r="CB85" s="46">
        <f t="shared" si="86"/>
        <v>14.572328527904221</v>
      </c>
      <c r="CD85" s="46">
        <f>SUMPRODUCT(BZ86:BZ$605, $I86:$I$605) / $I85</f>
        <v>2347.6687441604768</v>
      </c>
      <c r="CE85" s="46">
        <f>SUMPRODUCT(CA86:CA$605, $I86:$I$605) / $I85</f>
        <v>1746.6655456553945</v>
      </c>
      <c r="CF85" s="46">
        <f>SUMPRODUCT(CB86:CB$605, $I86:$I$605) / $I85</f>
        <v>1746.6655456553945</v>
      </c>
      <c r="CH85" s="46">
        <f t="shared" si="87"/>
        <v>37417.012975721533</v>
      </c>
      <c r="CI85" s="46">
        <f t="shared" si="88"/>
        <v>0</v>
      </c>
      <c r="CK85" s="46">
        <f>NPV((1+CK$3)^(1/12)-1,$CB$6:$CB85)+$CB$5</f>
        <v>-145.39417603133711</v>
      </c>
      <c r="CL85" s="46">
        <f>NPV((1+CL$3)^(1/12)-1,$CB$6:$CB85)+$CB$5</f>
        <v>-186.44896437548687</v>
      </c>
      <c r="CM85" s="46">
        <f>NPV((1+CM$3)^(1/12)-1,$CB$6:$CB85)+$CB$5</f>
        <v>-271.73007555446941</v>
      </c>
      <c r="CN85" s="46">
        <f>NPV((1+CN$3)^(1/12)-1,$CB$6:$CB85)+$CB$5</f>
        <v>-271.73007555446941</v>
      </c>
    </row>
    <row r="86" spans="1:92" x14ac:dyDescent="0.25">
      <c r="A86" s="61">
        <f t="shared" si="71"/>
        <v>6.7499999999999929</v>
      </c>
      <c r="B86" s="32">
        <f t="shared" si="89"/>
        <v>9</v>
      </c>
      <c r="C86" s="62">
        <f t="shared" si="90"/>
        <v>7</v>
      </c>
      <c r="D86" s="64">
        <f t="shared" si="91"/>
        <v>7.2499999999999929</v>
      </c>
      <c r="E86" s="28">
        <f t="shared" si="72"/>
        <v>7</v>
      </c>
      <c r="G86" s="68">
        <f>INDEX(Others!$D$11:$E$60, MATCH(C86, Others!$A$11:$A$60, 0), MATCH(G$3, Others!$D$10:$E$10, 0))</f>
        <v>4.3613141551184675E-2</v>
      </c>
      <c r="H86" s="16">
        <f t="shared" si="114"/>
        <v>3.5637406369586344E-3</v>
      </c>
      <c r="I86" s="69">
        <f t="shared" si="115"/>
        <v>0.79479546573521986</v>
      </c>
      <c r="K86" s="80">
        <f>INDEX(Mortality!$B$7:$F$32, MATCH( E86,Mortality!$A$7:$A$32, 0), MATCH( K$3,Mortality!$B$6:$F$6,0))</f>
        <v>0.34400000000000003</v>
      </c>
      <c r="L86" s="11">
        <f t="shared" si="73"/>
        <v>0</v>
      </c>
      <c r="M86" s="80">
        <f t="shared" si="92"/>
        <v>0.34400000000000003</v>
      </c>
      <c r="N86" s="76">
        <f>INDEX(Myopia!$H:$H, MATCH(E86, Myopia!$A:$A, 0)) * Trend_Factor^(A86)</f>
        <v>12.16603036559686</v>
      </c>
      <c r="O86" s="11">
        <f t="shared" si="74"/>
        <v>0</v>
      </c>
      <c r="P86" s="80">
        <f t="shared" si="93"/>
        <v>12.16603036559686</v>
      </c>
      <c r="Q86" s="76">
        <f>VLOOKUP(C86,Others!$L$10:$M$61,2)</f>
        <v>0</v>
      </c>
      <c r="R86" s="11">
        <f t="shared" si="75"/>
        <v>0</v>
      </c>
      <c r="S86" s="80">
        <f t="shared" si="94"/>
        <v>0</v>
      </c>
      <c r="T86" s="78">
        <f t="shared" si="95"/>
        <v>2.8666666666666668E-5</v>
      </c>
      <c r="U86" s="81">
        <f t="shared" si="96"/>
        <v>1.0138358637997384E-3</v>
      </c>
      <c r="V86" s="81">
        <f t="shared" si="97"/>
        <v>0</v>
      </c>
      <c r="W86" s="77">
        <f t="shared" si="76"/>
        <v>0.97070009957054559</v>
      </c>
      <c r="X86" s="82">
        <f t="shared" si="98"/>
        <v>2.7812630316129187E-5</v>
      </c>
      <c r="Y86" s="82">
        <f t="shared" si="99"/>
        <v>9.8411646806703624E-4</v>
      </c>
      <c r="Z86" s="82">
        <f t="shared" si="100"/>
        <v>0</v>
      </c>
      <c r="AA86" s="82">
        <f t="shared" si="101"/>
        <v>0.96968817047216238</v>
      </c>
      <c r="AC86" s="46">
        <f t="shared" si="77"/>
        <v>0</v>
      </c>
      <c r="AD86" s="15">
        <f t="shared" si="78"/>
        <v>0</v>
      </c>
      <c r="AE86" s="46">
        <f t="shared" si="102"/>
        <v>0</v>
      </c>
      <c r="AF86" s="15">
        <f t="shared" si="103"/>
        <v>0</v>
      </c>
      <c r="AG86" s="46">
        <f>SUMPRODUCT(AE87:AE$605, $I86:$I$604) / $I86</f>
        <v>0</v>
      </c>
      <c r="AI86" s="46">
        <f t="shared" si="79"/>
        <v>-47000</v>
      </c>
      <c r="AJ86" s="46">
        <f>IF(E86&gt;Mat_Year,0,  -SUM($AD$5:AD86))</f>
        <v>-9306</v>
      </c>
      <c r="AK86" s="24">
        <f t="shared" si="104"/>
        <v>-0.25882433772189822</v>
      </c>
      <c r="AL86" s="79">
        <f t="shared" si="105"/>
        <v>-46.253473999150707</v>
      </c>
      <c r="AM86" s="24">
        <f t="shared" si="106"/>
        <v>-47.916239379650257</v>
      </c>
      <c r="AN86" s="79">
        <f t="shared" si="107"/>
        <v>-46.512298336872604</v>
      </c>
      <c r="AO86" s="15">
        <f t="shared" si="108"/>
        <v>-6908.9798173891195</v>
      </c>
      <c r="AP86" s="46">
        <f>SUMPRODUCT(AN87:AN$605, $I87:$I$605) / $I86</f>
        <v>-6706.5473966705085</v>
      </c>
      <c r="AR86" s="46">
        <v>0</v>
      </c>
      <c r="AS86" s="46">
        <v>0</v>
      </c>
      <c r="AT86" s="46">
        <v>0</v>
      </c>
      <c r="AU86" s="95">
        <f t="shared" si="80"/>
        <v>-1.9080481958443631</v>
      </c>
      <c r="AV86" s="47">
        <f t="shared" si="81"/>
        <v>0</v>
      </c>
      <c r="AW86" s="96">
        <f t="shared" si="116"/>
        <v>-1.9080481958443631</v>
      </c>
      <c r="AX86" s="95">
        <f t="shared" si="82"/>
        <v>-21.878952645682027</v>
      </c>
      <c r="AY86" s="11">
        <f t="shared" si="83"/>
        <v>0</v>
      </c>
      <c r="AZ86" s="96">
        <f t="shared" si="117"/>
        <v>-21.878952645682027</v>
      </c>
      <c r="BA86" s="95">
        <f t="shared" si="118"/>
        <v>-1.8521425736915231</v>
      </c>
      <c r="BB86" s="64">
        <f t="shared" si="119"/>
        <v>-2.2139948824312985E-2</v>
      </c>
      <c r="BC86" s="95">
        <f t="shared" si="120"/>
        <v>-1.9080481958443631</v>
      </c>
      <c r="BD86" s="96">
        <f t="shared" si="121"/>
        <v>-2.2808227622628328E-2</v>
      </c>
      <c r="BE86" s="96">
        <f t="shared" si="122"/>
        <v>-1.8521425736915231</v>
      </c>
      <c r="BF86" s="96">
        <f t="shared" si="123"/>
        <v>-2.2139948824312985E-2</v>
      </c>
      <c r="BG86" s="15">
        <f t="shared" si="109"/>
        <v>-231.15409709742661</v>
      </c>
      <c r="BH86" s="46">
        <f>(SUMPRODUCT(BE87:BE$605,$I86:$I$604)+SUMPRODUCT(BF87:BF$605,$I87:$I$605)) / $I86</f>
        <v>-224.38130506861157</v>
      </c>
      <c r="BJ86" s="46">
        <f t="shared" si="67"/>
        <v>-1.8521425736915231</v>
      </c>
      <c r="BK86" s="46">
        <f t="shared" si="68"/>
        <v>-46.534438285696915</v>
      </c>
      <c r="BM86" s="49">
        <f t="shared" si="110"/>
        <v>7147.585082289188</v>
      </c>
      <c r="BN86" s="46">
        <f t="shared" si="69"/>
        <v>6930.9287017391225</v>
      </c>
      <c r="BP86" s="46">
        <f>Reserve!BX86</f>
        <v>9557.1032012932974</v>
      </c>
      <c r="BQ86" s="46">
        <f t="shared" si="84"/>
        <v>9267.4099182757436</v>
      </c>
      <c r="BR86" s="15">
        <f t="shared" si="111"/>
        <v>34.79654037461296</v>
      </c>
      <c r="BT86" s="49">
        <f t="shared" si="112"/>
        <v>34.144480492975681</v>
      </c>
      <c r="BU86" s="46">
        <f t="shared" si="85"/>
        <v>33.144050614316043</v>
      </c>
      <c r="BV86" s="46">
        <f>SUMPRODUCT(BU87:BU$605, $I87:$I$605) / $I86</f>
        <v>2143.0159234270923</v>
      </c>
      <c r="BX86" s="46">
        <f>-BZ86*Others!$Q$43</f>
        <v>-5.0058265931623849</v>
      </c>
      <c r="BZ86" s="50">
        <f t="shared" si="70"/>
        <v>19.554010129540565</v>
      </c>
      <c r="CA86" s="46">
        <f t="shared" si="113"/>
        <v>14.548183536378179</v>
      </c>
      <c r="CB86" s="46">
        <f t="shared" si="86"/>
        <v>14.548183536378179</v>
      </c>
      <c r="CD86" s="46">
        <f>SUMPRODUCT(BZ87:BZ$605, $I87:$I$605) / $I86</f>
        <v>2336.4812165366184</v>
      </c>
      <c r="CE86" s="46">
        <f>SUMPRODUCT(CA87:CA$605, $I87:$I$605) / $I86</f>
        <v>1738.3420251032439</v>
      </c>
      <c r="CF86" s="46">
        <f>SUMPRODUCT(CB87:CB$605, $I87:$I$605) / $I86</f>
        <v>1738.3420251032439</v>
      </c>
      <c r="CH86" s="46">
        <f t="shared" si="87"/>
        <v>37442.896798706701</v>
      </c>
      <c r="CI86" s="46">
        <f t="shared" si="88"/>
        <v>0</v>
      </c>
      <c r="CK86" s="46">
        <f>NPV((1+CK$3)^(1/12)-1,$CB$6:$CB86)+$CB$5</f>
        <v>-133.47743491671872</v>
      </c>
      <c r="CL86" s="46">
        <f>NPV((1+CL$3)^(1/12)-1,$CB$6:$CB86)+$CB$5</f>
        <v>-175.98295781466675</v>
      </c>
      <c r="CM86" s="46">
        <f>NPV((1+CM$3)^(1/12)-1,$CB$6:$CB86)+$CB$5</f>
        <v>-264.08453587561206</v>
      </c>
      <c r="CN86" s="46">
        <f>NPV((1+CN$3)^(1/12)-1,$CB$6:$CB86)+$CB$5</f>
        <v>-264.08453587561206</v>
      </c>
    </row>
    <row r="87" spans="1:92" x14ac:dyDescent="0.25">
      <c r="A87" s="61">
        <f t="shared" si="71"/>
        <v>6.8333333333333259</v>
      </c>
      <c r="B87" s="32">
        <f t="shared" si="89"/>
        <v>10</v>
      </c>
      <c r="C87" s="62">
        <f t="shared" si="90"/>
        <v>7</v>
      </c>
      <c r="D87" s="64">
        <f t="shared" si="91"/>
        <v>7.3333333333333259</v>
      </c>
      <c r="E87" s="28">
        <f t="shared" si="72"/>
        <v>7</v>
      </c>
      <c r="G87" s="68">
        <f>INDEX(Others!$D$11:$E$60, MATCH(C87, Others!$A$11:$A$60, 0), MATCH(G$3, Others!$D$10:$E$10, 0))</f>
        <v>4.3613141551184675E-2</v>
      </c>
      <c r="H87" s="16">
        <f t="shared" si="114"/>
        <v>3.5637406369586344E-3</v>
      </c>
      <c r="I87" s="69">
        <f t="shared" si="115"/>
        <v>0.79197307908989001</v>
      </c>
      <c r="K87" s="80">
        <f>INDEX(Mortality!$B$7:$F$32, MATCH( E87,Mortality!$A$7:$A$32, 0), MATCH( K$3,Mortality!$B$6:$F$6,0))</f>
        <v>0.34400000000000003</v>
      </c>
      <c r="L87" s="11">
        <f t="shared" si="73"/>
        <v>0</v>
      </c>
      <c r="M87" s="80">
        <f t="shared" si="92"/>
        <v>0.34400000000000003</v>
      </c>
      <c r="N87" s="76">
        <f>INDEX(Myopia!$H:$H, MATCH(E87, Myopia!$A:$A, 0)) * Trend_Factor^(A87)</f>
        <v>12.16603036559686</v>
      </c>
      <c r="O87" s="11">
        <f t="shared" si="74"/>
        <v>0</v>
      </c>
      <c r="P87" s="80">
        <f t="shared" si="93"/>
        <v>12.16603036559686</v>
      </c>
      <c r="Q87" s="76">
        <f>VLOOKUP(C87,Others!$L$10:$M$61,2)</f>
        <v>0</v>
      </c>
      <c r="R87" s="11">
        <f t="shared" si="75"/>
        <v>0</v>
      </c>
      <c r="S87" s="80">
        <f t="shared" si="94"/>
        <v>0</v>
      </c>
      <c r="T87" s="78">
        <f t="shared" si="95"/>
        <v>2.8666666666666668E-5</v>
      </c>
      <c r="U87" s="81">
        <f t="shared" si="96"/>
        <v>1.0138358637997384E-3</v>
      </c>
      <c r="V87" s="81">
        <f t="shared" si="97"/>
        <v>0</v>
      </c>
      <c r="W87" s="77">
        <f t="shared" si="76"/>
        <v>0.96968817047216238</v>
      </c>
      <c r="X87" s="82">
        <f t="shared" si="98"/>
        <v>2.778363638697237E-5</v>
      </c>
      <c r="Y87" s="82">
        <f t="shared" si="99"/>
        <v>9.8309055276046982E-4</v>
      </c>
      <c r="Z87" s="82">
        <f t="shared" si="100"/>
        <v>0</v>
      </c>
      <c r="AA87" s="82">
        <f t="shared" si="101"/>
        <v>0.96867729628301491</v>
      </c>
      <c r="AC87" s="46">
        <f t="shared" si="77"/>
        <v>0</v>
      </c>
      <c r="AD87" s="15">
        <f t="shared" si="78"/>
        <v>0</v>
      </c>
      <c r="AE87" s="46">
        <f t="shared" si="102"/>
        <v>0</v>
      </c>
      <c r="AF87" s="15">
        <f t="shared" si="103"/>
        <v>0</v>
      </c>
      <c r="AG87" s="46">
        <f>SUMPRODUCT(AE88:AE$605, $I87:$I$604) / $I87</f>
        <v>0</v>
      </c>
      <c r="AI87" s="46">
        <f t="shared" si="79"/>
        <v>-47000</v>
      </c>
      <c r="AJ87" s="46">
        <f>IF(E87&gt;Mat_Year,0,  -SUM($AD$5:AD87))</f>
        <v>-9306</v>
      </c>
      <c r="AK87" s="24">
        <f t="shared" si="104"/>
        <v>-0.25855452021716485</v>
      </c>
      <c r="AL87" s="79">
        <f t="shared" si="105"/>
        <v>-46.205255979742084</v>
      </c>
      <c r="AM87" s="24">
        <f t="shared" si="106"/>
        <v>-47.916239379650271</v>
      </c>
      <c r="AN87" s="79">
        <f t="shared" si="107"/>
        <v>-46.463810499959251</v>
      </c>
      <c r="AO87" s="15">
        <f t="shared" si="108"/>
        <v>-6892.9210288366976</v>
      </c>
      <c r="AP87" s="46">
        <f>SUMPRODUCT(AN88:AN$605, $I88:$I$605) / $I87</f>
        <v>-6683.9839816617523</v>
      </c>
      <c r="AR87" s="46">
        <v>0</v>
      </c>
      <c r="AS87" s="46">
        <v>0</v>
      </c>
      <c r="AT87" s="46">
        <v>0</v>
      </c>
      <c r="AU87" s="95">
        <f t="shared" si="80"/>
        <v>-1.9101815817001497</v>
      </c>
      <c r="AV87" s="47">
        <f t="shared" si="81"/>
        <v>0</v>
      </c>
      <c r="AW87" s="96">
        <f t="shared" si="116"/>
        <v>-1.9101815817001497</v>
      </c>
      <c r="AX87" s="95">
        <f t="shared" si="82"/>
        <v>-21.903415470161715</v>
      </c>
      <c r="AY87" s="11">
        <f t="shared" si="83"/>
        <v>0</v>
      </c>
      <c r="AZ87" s="96">
        <f t="shared" si="117"/>
        <v>-21.903415470161715</v>
      </c>
      <c r="BA87" s="95">
        <f t="shared" si="118"/>
        <v>-1.8522804832284396</v>
      </c>
      <c r="BB87" s="64">
        <f t="shared" si="119"/>
        <v>-2.2141597352959265E-2</v>
      </c>
      <c r="BC87" s="95">
        <f t="shared" si="120"/>
        <v>-1.9101815817001497</v>
      </c>
      <c r="BD87" s="96">
        <f t="shared" si="121"/>
        <v>-2.2833729468080485E-2</v>
      </c>
      <c r="BE87" s="96">
        <f t="shared" si="122"/>
        <v>-1.8522804832284396</v>
      </c>
      <c r="BF87" s="96">
        <f t="shared" si="123"/>
        <v>-2.2141597352959265E-2</v>
      </c>
      <c r="BG87" s="15">
        <f t="shared" si="109"/>
        <v>-230.28013078381494</v>
      </c>
      <c r="BH87" s="46">
        <f>(SUMPRODUCT(BE88:BE$605,$I87:$I$604)+SUMPRODUCT(BF88:BF$605,$I88:$I$605)) / $I87</f>
        <v>-223.29991871584778</v>
      </c>
      <c r="BJ87" s="46">
        <f t="shared" si="67"/>
        <v>-1.8522804832284396</v>
      </c>
      <c r="BK87" s="46">
        <f t="shared" si="68"/>
        <v>-46.485952097312207</v>
      </c>
      <c r="BM87" s="49">
        <f t="shared" si="110"/>
        <v>7130.6346570545902</v>
      </c>
      <c r="BN87" s="46">
        <f t="shared" si="69"/>
        <v>6907.2839003776035</v>
      </c>
      <c r="BP87" s="46">
        <f>Reserve!BX87</f>
        <v>9531.1103251202258</v>
      </c>
      <c r="BQ87" s="46">
        <f t="shared" si="84"/>
        <v>9232.5701803125867</v>
      </c>
      <c r="BR87" s="15">
        <f t="shared" si="111"/>
        <v>34.839737963156949</v>
      </c>
      <c r="BT87" s="49">
        <f t="shared" si="112"/>
        <v>34.052229658329708</v>
      </c>
      <c r="BU87" s="46">
        <f t="shared" si="85"/>
        <v>33.020044277883642</v>
      </c>
      <c r="BV87" s="46">
        <f>SUMPRODUCT(BU88:BU$605, $I88:$I$605) / $I87</f>
        <v>2117.6330320811753</v>
      </c>
      <c r="BX87" s="46">
        <f>-BZ87*Others!$Q$43</f>
        <v>-4.9975167130879852</v>
      </c>
      <c r="BZ87" s="50">
        <f t="shared" si="70"/>
        <v>19.521549660499943</v>
      </c>
      <c r="CA87" s="46">
        <f t="shared" si="113"/>
        <v>14.524032947411957</v>
      </c>
      <c r="CB87" s="46">
        <f t="shared" si="86"/>
        <v>14.524032947411957</v>
      </c>
      <c r="CD87" s="46">
        <f>SUMPRODUCT(BZ88:BZ$605, $I88:$I$605) / $I87</f>
        <v>2325.2862799349809</v>
      </c>
      <c r="CE87" s="46">
        <f>SUMPRODUCT(CA88:CA$605, $I88:$I$605) / $I87</f>
        <v>1730.0129922716255</v>
      </c>
      <c r="CF87" s="46">
        <f>SUMPRODUCT(CB88:CB$605, $I88:$I$605) / $I87</f>
        <v>1730.0129922716255</v>
      </c>
      <c r="CH87" s="46">
        <f t="shared" si="87"/>
        <v>37468.889674879771</v>
      </c>
      <c r="CI87" s="46">
        <f t="shared" si="88"/>
        <v>0</v>
      </c>
      <c r="CK87" s="46">
        <f>NPV((1+CK$3)^(1/12)-1,$CB$6:$CB87)+$CB$5</f>
        <v>-121.60974501222154</v>
      </c>
      <c r="CL87" s="46">
        <f>NPV((1+CL$3)^(1/12)-1,$CB$6:$CB87)+$CB$5</f>
        <v>-165.57672155411706</v>
      </c>
      <c r="CM87" s="46">
        <f>NPV((1+CM$3)^(1/12)-1,$CB$6:$CB87)+$CB$5</f>
        <v>-256.5120720005313</v>
      </c>
      <c r="CN87" s="46">
        <f>NPV((1+CN$3)^(1/12)-1,$CB$6:$CB87)+$CB$5</f>
        <v>-256.5120720005313</v>
      </c>
    </row>
    <row r="88" spans="1:92" x14ac:dyDescent="0.25">
      <c r="A88" s="61">
        <f t="shared" si="71"/>
        <v>6.916666666666659</v>
      </c>
      <c r="B88" s="32">
        <f t="shared" si="89"/>
        <v>11</v>
      </c>
      <c r="C88" s="62">
        <f t="shared" si="90"/>
        <v>7</v>
      </c>
      <c r="D88" s="64">
        <f t="shared" si="91"/>
        <v>7.416666666666659</v>
      </c>
      <c r="E88" s="28">
        <f t="shared" si="72"/>
        <v>7</v>
      </c>
      <c r="G88" s="68">
        <f>INDEX(Others!$D$11:$E$60, MATCH(C88, Others!$A$11:$A$60, 0), MATCH(G$3, Others!$D$10:$E$10, 0))</f>
        <v>4.3613141551184675E-2</v>
      </c>
      <c r="H88" s="16">
        <f t="shared" si="114"/>
        <v>3.5637406369586344E-3</v>
      </c>
      <c r="I88" s="69">
        <f t="shared" si="115"/>
        <v>0.78916071498082152</v>
      </c>
      <c r="K88" s="80">
        <f>INDEX(Mortality!$B$7:$F$32, MATCH( E88,Mortality!$A$7:$A$32, 0), MATCH( K$3,Mortality!$B$6:$F$6,0))</f>
        <v>0.34400000000000003</v>
      </c>
      <c r="L88" s="11">
        <f t="shared" si="73"/>
        <v>0</v>
      </c>
      <c r="M88" s="80">
        <f t="shared" si="92"/>
        <v>0.34400000000000003</v>
      </c>
      <c r="N88" s="76">
        <f>INDEX(Myopia!$H:$H, MATCH(E88, Myopia!$A:$A, 0)) * Trend_Factor^(A88)</f>
        <v>12.16603036559686</v>
      </c>
      <c r="O88" s="11">
        <f t="shared" si="74"/>
        <v>0</v>
      </c>
      <c r="P88" s="80">
        <f t="shared" si="93"/>
        <v>12.16603036559686</v>
      </c>
      <c r="Q88" s="76">
        <f>VLOOKUP(C88,Others!$L$10:$M$61,2)</f>
        <v>0</v>
      </c>
      <c r="R88" s="11">
        <f t="shared" si="75"/>
        <v>0</v>
      </c>
      <c r="S88" s="80">
        <f t="shared" si="94"/>
        <v>0</v>
      </c>
      <c r="T88" s="78">
        <f t="shared" si="95"/>
        <v>2.8666666666666668E-5</v>
      </c>
      <c r="U88" s="81">
        <f t="shared" si="96"/>
        <v>1.0138358637997384E-3</v>
      </c>
      <c r="V88" s="81">
        <f t="shared" si="97"/>
        <v>0</v>
      </c>
      <c r="W88" s="77">
        <f t="shared" si="76"/>
        <v>0.96867729628301491</v>
      </c>
      <c r="X88" s="82">
        <f t="shared" si="98"/>
        <v>2.7754672683217406E-5</v>
      </c>
      <c r="Y88" s="82">
        <f t="shared" si="99"/>
        <v>9.8206570694338974E-4</v>
      </c>
      <c r="Z88" s="82">
        <f t="shared" si="100"/>
        <v>0</v>
      </c>
      <c r="AA88" s="82">
        <f t="shared" si="101"/>
        <v>0.96766747590338831</v>
      </c>
      <c r="AC88" s="46">
        <f t="shared" si="77"/>
        <v>0</v>
      </c>
      <c r="AD88" s="15">
        <f t="shared" si="78"/>
        <v>0</v>
      </c>
      <c r="AE88" s="46">
        <f t="shared" si="102"/>
        <v>0</v>
      </c>
      <c r="AF88" s="15">
        <f t="shared" si="103"/>
        <v>0</v>
      </c>
      <c r="AG88" s="46">
        <f>SUMPRODUCT(AE89:AE$605, $I88:$I$604) / $I88</f>
        <v>0</v>
      </c>
      <c r="AI88" s="46">
        <f t="shared" si="79"/>
        <v>-47000</v>
      </c>
      <c r="AJ88" s="46">
        <f>IF(E88&gt;Mat_Year,0,  -SUM($AD$5:AD88))</f>
        <v>-9306</v>
      </c>
      <c r="AK88" s="24">
        <f t="shared" si="104"/>
        <v>-0.2582849839900212</v>
      </c>
      <c r="AL88" s="79">
        <f t="shared" si="105"/>
        <v>-46.157088226339319</v>
      </c>
      <c r="AM88" s="24">
        <f t="shared" si="106"/>
        <v>-47.916239379650264</v>
      </c>
      <c r="AN88" s="79">
        <f t="shared" si="107"/>
        <v>-46.415373210329342</v>
      </c>
      <c r="AO88" s="15">
        <f t="shared" si="108"/>
        <v>-6876.7881928734878</v>
      </c>
      <c r="AP88" s="46">
        <f>SUMPRODUCT(AN89:AN$605, $I89:$I$605) / $I88</f>
        <v>-6661.3885937836503</v>
      </c>
      <c r="AR88" s="46">
        <v>0</v>
      </c>
      <c r="AS88" s="46">
        <v>0</v>
      </c>
      <c r="AT88" s="46">
        <v>0</v>
      </c>
      <c r="AU88" s="95">
        <f t="shared" si="80"/>
        <v>-1.912317352891495</v>
      </c>
      <c r="AV88" s="47">
        <f t="shared" si="81"/>
        <v>0</v>
      </c>
      <c r="AW88" s="96">
        <f t="shared" si="116"/>
        <v>-1.912317352891495</v>
      </c>
      <c r="AX88" s="95">
        <f t="shared" si="82"/>
        <v>-21.92790564648914</v>
      </c>
      <c r="AY88" s="11">
        <f t="shared" si="83"/>
        <v>0</v>
      </c>
      <c r="AZ88" s="96">
        <f t="shared" si="117"/>
        <v>-21.92790564648914</v>
      </c>
      <c r="BA88" s="95">
        <f t="shared" si="118"/>
        <v>-1.8524184030340254</v>
      </c>
      <c r="BB88" s="64">
        <f t="shared" si="119"/>
        <v>-2.2143246004354085E-2</v>
      </c>
      <c r="BC88" s="95">
        <f t="shared" si="120"/>
        <v>-1.912317352891495</v>
      </c>
      <c r="BD88" s="96">
        <f t="shared" si="121"/>
        <v>-2.2859259827108173E-2</v>
      </c>
      <c r="BE88" s="96">
        <f t="shared" si="122"/>
        <v>-1.8524184030340254</v>
      </c>
      <c r="BF88" s="96">
        <f t="shared" si="123"/>
        <v>-2.2143246004354085E-2</v>
      </c>
      <c r="BG88" s="15">
        <f t="shared" si="109"/>
        <v>-229.39996568031825</v>
      </c>
      <c r="BH88" s="46">
        <f>(SUMPRODUCT(BE89:BE$605,$I88:$I$604)+SUMPRODUCT(BF89:BF$605,$I89:$I$605)) / $I88</f>
        <v>-222.21453852262709</v>
      </c>
      <c r="BJ88" s="46">
        <f t="shared" si="67"/>
        <v>-1.8524184030340254</v>
      </c>
      <c r="BK88" s="46">
        <f t="shared" si="68"/>
        <v>-46.437516456333697</v>
      </c>
      <c r="BM88" s="49">
        <f t="shared" si="110"/>
        <v>7113.6039018774873</v>
      </c>
      <c r="BN88" s="46">
        <f t="shared" si="69"/>
        <v>6883.6031323062825</v>
      </c>
      <c r="BP88" s="46">
        <f>Reserve!BX88</f>
        <v>9505.0079463719667</v>
      </c>
      <c r="BQ88" s="46">
        <f t="shared" si="84"/>
        <v>9197.6870479074096</v>
      </c>
      <c r="BR88" s="15">
        <f t="shared" si="111"/>
        <v>34.883132405177093</v>
      </c>
      <c r="BT88" s="49">
        <f t="shared" si="112"/>
        <v>33.959590177905703</v>
      </c>
      <c r="BU88" s="46">
        <f t="shared" si="85"/>
        <v>32.895883996412927</v>
      </c>
      <c r="BV88" s="46">
        <f>SUMPRODUCT(BU89:BU$605, $I89:$I$605) / $I88</f>
        <v>2092.283842975356</v>
      </c>
      <c r="BX88" s="46">
        <f>-BZ88*Others!$Q$43</f>
        <v>-4.9892048748089088</v>
      </c>
      <c r="BZ88" s="50">
        <f t="shared" si="70"/>
        <v>19.489081542222301</v>
      </c>
      <c r="CA88" s="46">
        <f t="shared" si="113"/>
        <v>14.499876667413393</v>
      </c>
      <c r="CB88" s="46">
        <f t="shared" si="86"/>
        <v>14.499876667413393</v>
      </c>
      <c r="CD88" s="46">
        <f>SUMPRODUCT(BZ89:BZ$605, $I89:$I$605) / $I88</f>
        <v>2314.0839156011252</v>
      </c>
      <c r="CE88" s="46">
        <f>SUMPRODUCT(CA89:CA$605, $I89:$I$605) / $I88</f>
        <v>1721.6784332072368</v>
      </c>
      <c r="CF88" s="46">
        <f>SUMPRODUCT(CB89:CB$605, $I89:$I$605) / $I88</f>
        <v>1721.6784332072368</v>
      </c>
      <c r="CH88" s="46">
        <f t="shared" si="87"/>
        <v>37494.992053628033</v>
      </c>
      <c r="CI88" s="46">
        <f t="shared" si="88"/>
        <v>0</v>
      </c>
      <c r="CK88" s="46">
        <f>NPV((1+CK$3)^(1/12)-1,$CB$6:$CB88)+$CB$5</f>
        <v>-109.79094173200156</v>
      </c>
      <c r="CL88" s="46">
        <f>NPV((1+CL$3)^(1/12)-1,$CB$6:$CB88)+$CB$5</f>
        <v>-155.22994692070426</v>
      </c>
      <c r="CM88" s="46">
        <f>NPV((1+CM$3)^(1/12)-1,$CB$6:$CB88)+$CB$5</f>
        <v>-249.01200915397391</v>
      </c>
      <c r="CN88" s="46">
        <f>NPV((1+CN$3)^(1/12)-1,$CB$6:$CB88)+$CB$5</f>
        <v>-249.01200915397391</v>
      </c>
    </row>
    <row r="89" spans="1:92" x14ac:dyDescent="0.25">
      <c r="A89" s="61">
        <f t="shared" si="71"/>
        <v>6.999999999999992</v>
      </c>
      <c r="B89" s="32">
        <f t="shared" si="89"/>
        <v>12</v>
      </c>
      <c r="C89" s="62">
        <f t="shared" si="90"/>
        <v>7</v>
      </c>
      <c r="D89" s="64">
        <f t="shared" si="91"/>
        <v>7.499999999999992</v>
      </c>
      <c r="E89" s="28">
        <f t="shared" si="72"/>
        <v>7</v>
      </c>
      <c r="G89" s="68">
        <f>INDEX(Others!$D$11:$E$60, MATCH(C89, Others!$A$11:$A$60, 0), MATCH(G$3, Others!$D$10:$E$10, 0))</f>
        <v>4.3613141551184675E-2</v>
      </c>
      <c r="H89" s="16">
        <f t="shared" si="114"/>
        <v>3.5637406369586344E-3</v>
      </c>
      <c r="I89" s="69">
        <f t="shared" si="115"/>
        <v>0.78635833781713138</v>
      </c>
      <c r="K89" s="80">
        <f>INDEX(Mortality!$B$7:$F$32, MATCH( E89,Mortality!$A$7:$A$32, 0), MATCH( K$3,Mortality!$B$6:$F$6,0))</f>
        <v>0.34400000000000003</v>
      </c>
      <c r="L89" s="11">
        <f t="shared" si="73"/>
        <v>0</v>
      </c>
      <c r="M89" s="80">
        <f t="shared" si="92"/>
        <v>0.34400000000000003</v>
      </c>
      <c r="N89" s="76">
        <f>INDEX(Myopia!$H:$H, MATCH(E89, Myopia!$A:$A, 0)) * Trend_Factor^(A89)</f>
        <v>12.16603036559686</v>
      </c>
      <c r="O89" s="11">
        <f t="shared" si="74"/>
        <v>0</v>
      </c>
      <c r="P89" s="80">
        <f t="shared" si="93"/>
        <v>12.16603036559686</v>
      </c>
      <c r="Q89" s="76">
        <f>VLOOKUP(C89,Others!$L$10:$M$61,2)</f>
        <v>0</v>
      </c>
      <c r="R89" s="11">
        <f t="shared" si="75"/>
        <v>0</v>
      </c>
      <c r="S89" s="80">
        <f t="shared" si="94"/>
        <v>0</v>
      </c>
      <c r="T89" s="78">
        <f t="shared" si="95"/>
        <v>2.8666666666666668E-5</v>
      </c>
      <c r="U89" s="81">
        <f t="shared" si="96"/>
        <v>1.0138358637997384E-3</v>
      </c>
      <c r="V89" s="81">
        <f t="shared" si="97"/>
        <v>0</v>
      </c>
      <c r="W89" s="77">
        <f t="shared" si="76"/>
        <v>0.96766747590338831</v>
      </c>
      <c r="X89" s="82">
        <f t="shared" si="98"/>
        <v>2.7725739173355119E-5</v>
      </c>
      <c r="Y89" s="82">
        <f t="shared" si="99"/>
        <v>9.8104192950088228E-4</v>
      </c>
      <c r="Z89" s="82">
        <f t="shared" si="100"/>
        <v>0</v>
      </c>
      <c r="AA89" s="82">
        <f t="shared" si="101"/>
        <v>0.96665870823471411</v>
      </c>
      <c r="AC89" s="46">
        <f t="shared" si="77"/>
        <v>0</v>
      </c>
      <c r="AD89" s="15">
        <f t="shared" si="78"/>
        <v>0</v>
      </c>
      <c r="AE89" s="46">
        <f t="shared" si="102"/>
        <v>0</v>
      </c>
      <c r="AF89" s="15">
        <f t="shared" si="103"/>
        <v>0</v>
      </c>
      <c r="AG89" s="46">
        <f>SUMPRODUCT(AE90:AE$605, $I89:$I$604) / $I89</f>
        <v>0</v>
      </c>
      <c r="AI89" s="46">
        <f t="shared" si="79"/>
        <v>-47000</v>
      </c>
      <c r="AJ89" s="46">
        <f>IF(E89&gt;Mat_Year,0,  -SUM($AD$5:AD89))</f>
        <v>-9306</v>
      </c>
      <c r="AK89" s="24">
        <f t="shared" si="104"/>
        <v>-0.25801572874724277</v>
      </c>
      <c r="AL89" s="79">
        <f t="shared" si="105"/>
        <v>-46.108970686541468</v>
      </c>
      <c r="AM89" s="24">
        <f t="shared" si="106"/>
        <v>-47.916239379650271</v>
      </c>
      <c r="AN89" s="79">
        <f t="shared" si="107"/>
        <v>-46.366986415288714</v>
      </c>
      <c r="AO89" s="15">
        <f t="shared" si="108"/>
        <v>-6860.5809680653292</v>
      </c>
      <c r="AP89" s="46">
        <f>SUMPRODUCT(AN90:AN$605, $I90:$I$605) / $I89</f>
        <v>-6638.761068598601</v>
      </c>
      <c r="AR89" s="46">
        <v>0</v>
      </c>
      <c r="AS89" s="46">
        <v>0</v>
      </c>
      <c r="AT89" s="46">
        <v>0</v>
      </c>
      <c r="AU89" s="95">
        <f t="shared" si="80"/>
        <v>-1.9144555120854394</v>
      </c>
      <c r="AV89" s="47">
        <f t="shared" si="81"/>
        <v>0</v>
      </c>
      <c r="AW89" s="96">
        <f t="shared" si="116"/>
        <v>-1.9144555120854394</v>
      </c>
      <c r="AX89" s="95">
        <f t="shared" si="82"/>
        <v>-21.952423205246369</v>
      </c>
      <c r="AY89" s="11">
        <f t="shared" si="83"/>
        <v>0</v>
      </c>
      <c r="AZ89" s="96">
        <f t="shared" si="117"/>
        <v>-21.952423205246369</v>
      </c>
      <c r="BA89" s="95">
        <f t="shared" si="118"/>
        <v>-1.8525563331090458</v>
      </c>
      <c r="BB89" s="64">
        <f t="shared" si="119"/>
        <v>-2.2144894778506608E-2</v>
      </c>
      <c r="BC89" s="95">
        <f t="shared" si="120"/>
        <v>-1.9144555120854394</v>
      </c>
      <c r="BD89" s="96">
        <f t="shared" si="121"/>
        <v>-2.2884818731592409E-2</v>
      </c>
      <c r="BE89" s="96">
        <f t="shared" si="122"/>
        <v>-1.8525563331090458</v>
      </c>
      <c r="BF89" s="96">
        <f t="shared" si="123"/>
        <v>-2.2144894778506608E-2</v>
      </c>
      <c r="BG89" s="15">
        <f t="shared" si="109"/>
        <v>-228.513570779128</v>
      </c>
      <c r="BH89" s="46">
        <f>(SUMPRODUCT(BE90:BE$605,$I89:$I$604)+SUMPRODUCT(BF90:BF$605,$I90:$I$605)) / $I89</f>
        <v>-221.12515024550908</v>
      </c>
      <c r="BJ89" s="46">
        <f t="shared" si="67"/>
        <v>-1.8525563331090458</v>
      </c>
      <c r="BK89" s="46">
        <f t="shared" si="68"/>
        <v>-46.389131310067221</v>
      </c>
      <c r="BM89" s="49">
        <f t="shared" si="110"/>
        <v>7096.4924439272399</v>
      </c>
      <c r="BN89" s="46">
        <f t="shared" si="69"/>
        <v>6859.8862188441153</v>
      </c>
      <c r="BP89" s="46">
        <f>Reserve!BX89</f>
        <v>9478.795613828117</v>
      </c>
      <c r="BQ89" s="46">
        <f t="shared" si="84"/>
        <v>9162.7603236839623</v>
      </c>
      <c r="BR89" s="15">
        <f t="shared" si="111"/>
        <v>34.926724223447309</v>
      </c>
      <c r="BT89" s="49">
        <f t="shared" si="112"/>
        <v>33.866560450194442</v>
      </c>
      <c r="BU89" s="46">
        <f t="shared" si="85"/>
        <v>32.771569068369175</v>
      </c>
      <c r="BV89" s="46">
        <f>SUMPRODUCT(BU90:BU$605, $I90:$I$605) / $I89</f>
        <v>2066.9686308622499</v>
      </c>
      <c r="BX89" s="46">
        <f>-BZ89*Others!$Q$43</f>
        <v>-4.9808910460518963</v>
      </c>
      <c r="BZ89" s="50">
        <f t="shared" si="70"/>
        <v>19.45660564864022</v>
      </c>
      <c r="CA89" s="46">
        <f t="shared" si="113"/>
        <v>14.475714602588324</v>
      </c>
      <c r="CB89" s="46">
        <f t="shared" si="86"/>
        <v>14.475714602588324</v>
      </c>
      <c r="CD89" s="46">
        <f>SUMPRODUCT(BZ90:BZ$605, $I90:$I$605) / $I89</f>
        <v>2302.8741048398447</v>
      </c>
      <c r="CE89" s="46">
        <f>SUMPRODUCT(CA90:CA$605, $I90:$I$605) / $I89</f>
        <v>1713.3383340008445</v>
      </c>
      <c r="CF89" s="46">
        <f>SUMPRODUCT(CB90:CB$605, $I90:$I$605) / $I89</f>
        <v>1713.3383340008445</v>
      </c>
      <c r="CH89" s="46">
        <f t="shared" si="87"/>
        <v>37521.204386171885</v>
      </c>
      <c r="CI89" s="46">
        <f t="shared" si="88"/>
        <v>0</v>
      </c>
      <c r="CK89" s="46">
        <f>NPV((1+CK$3)^(1/12)-1,$CB$6:$CB89)+$CB$5</f>
        <v>-98.020861068008116</v>
      </c>
      <c r="CL89" s="46">
        <f>NPV((1+CL$3)^(1/12)-1,$CB$6:$CB89)+$CB$5</f>
        <v>-144.94232681235292</v>
      </c>
      <c r="CM89" s="46">
        <f>NPV((1+CM$3)^(1/12)-1,$CB$6:$CB89)+$CB$5</f>
        <v>-241.58367868846494</v>
      </c>
      <c r="CN89" s="46">
        <f>NPV((1+CN$3)^(1/12)-1,$CB$6:$CB89)+$CB$5</f>
        <v>-241.58367868846494</v>
      </c>
    </row>
    <row r="90" spans="1:92" x14ac:dyDescent="0.25">
      <c r="A90" s="61">
        <f t="shared" si="71"/>
        <v>7.083333333333325</v>
      </c>
      <c r="B90" s="32">
        <f t="shared" si="89"/>
        <v>1</v>
      </c>
      <c r="C90" s="62">
        <f t="shared" si="90"/>
        <v>8</v>
      </c>
      <c r="D90" s="64">
        <f t="shared" si="91"/>
        <v>7.583333333333325</v>
      </c>
      <c r="E90" s="28">
        <f t="shared" si="72"/>
        <v>7</v>
      </c>
      <c r="G90" s="68">
        <f>INDEX(Others!$D$11:$E$60, MATCH(C90, Others!$A$11:$A$60, 0), MATCH(G$3, Others!$D$10:$E$10, 0))</f>
        <v>4.6507166616977402E-2</v>
      </c>
      <c r="H90" s="16">
        <f t="shared" si="114"/>
        <v>3.7953601286573324E-3</v>
      </c>
      <c r="I90" s="69">
        <f t="shared" si="115"/>
        <v>0.78338510920825843</v>
      </c>
      <c r="K90" s="80">
        <f>INDEX(Mortality!$B$7:$F$32, MATCH( E90,Mortality!$A$7:$A$32, 0), MATCH( K$3,Mortality!$B$6:$F$6,0))</f>
        <v>0.34400000000000003</v>
      </c>
      <c r="L90" s="11">
        <f t="shared" si="73"/>
        <v>0</v>
      </c>
      <c r="M90" s="80">
        <f t="shared" si="92"/>
        <v>0.34400000000000003</v>
      </c>
      <c r="N90" s="76">
        <f>INDEX(Myopia!$H:$H, MATCH(E90, Myopia!$A:$A, 0)) * Trend_Factor^(A90)</f>
        <v>12.16603036559686</v>
      </c>
      <c r="O90" s="11">
        <f t="shared" si="74"/>
        <v>0</v>
      </c>
      <c r="P90" s="80">
        <f t="shared" si="93"/>
        <v>12.16603036559686</v>
      </c>
      <c r="Q90" s="76">
        <f>VLOOKUP(C90,Others!$L$10:$M$61,2)</f>
        <v>0</v>
      </c>
      <c r="R90" s="11">
        <f t="shared" si="75"/>
        <v>0</v>
      </c>
      <c r="S90" s="80">
        <f t="shared" si="94"/>
        <v>0</v>
      </c>
      <c r="T90" s="78">
        <f t="shared" si="95"/>
        <v>2.8666666666666668E-5</v>
      </c>
      <c r="U90" s="81">
        <f t="shared" si="96"/>
        <v>1.0138358637997384E-3</v>
      </c>
      <c r="V90" s="81">
        <f t="shared" si="97"/>
        <v>0</v>
      </c>
      <c r="W90" s="77">
        <f t="shared" si="76"/>
        <v>0.96665870823471411</v>
      </c>
      <c r="X90" s="82">
        <f t="shared" si="98"/>
        <v>2.7696835825909177E-5</v>
      </c>
      <c r="Y90" s="82">
        <f t="shared" si="99"/>
        <v>9.8001921931919469E-4</v>
      </c>
      <c r="Z90" s="82">
        <f t="shared" si="100"/>
        <v>0</v>
      </c>
      <c r="AA90" s="82">
        <f t="shared" si="101"/>
        <v>0.96565099217956896</v>
      </c>
      <c r="AC90" s="46">
        <f t="shared" si="77"/>
        <v>0</v>
      </c>
      <c r="AD90" s="15">
        <f t="shared" si="78"/>
        <v>0</v>
      </c>
      <c r="AE90" s="46">
        <f t="shared" si="102"/>
        <v>0</v>
      </c>
      <c r="AF90" s="15">
        <f t="shared" si="103"/>
        <v>0</v>
      </c>
      <c r="AG90" s="46">
        <f>SUMPRODUCT(AE91:AE$605, $I90:$I$604) / $I90</f>
        <v>0</v>
      </c>
      <c r="AI90" s="46">
        <f t="shared" si="79"/>
        <v>-47000</v>
      </c>
      <c r="AJ90" s="46">
        <f>IF(E90&gt;Mat_Year,0,  -SUM($AD$5:AD90))</f>
        <v>-9306</v>
      </c>
      <c r="AK90" s="24">
        <f t="shared" si="104"/>
        <v>-0.25774675419591081</v>
      </c>
      <c r="AL90" s="79">
        <f t="shared" si="105"/>
        <v>-46.060903308002153</v>
      </c>
      <c r="AM90" s="24">
        <f t="shared" si="106"/>
        <v>-47.916239379650271</v>
      </c>
      <c r="AN90" s="79">
        <f t="shared" si="107"/>
        <v>-46.318650062198067</v>
      </c>
      <c r="AO90" s="15">
        <f t="shared" si="108"/>
        <v>-6845.8897139454702</v>
      </c>
      <c r="AP90" s="46">
        <f>SUMPRODUCT(AN91:AN$605, $I91:$I$605) / $I90</f>
        <v>-6617.638907599845</v>
      </c>
      <c r="AR90" s="46">
        <v>0</v>
      </c>
      <c r="AS90" s="46">
        <v>0</v>
      </c>
      <c r="AT90" s="46">
        <v>0</v>
      </c>
      <c r="AU90" s="95">
        <f t="shared" si="80"/>
        <v>-1.916596061952005</v>
      </c>
      <c r="AV90" s="47">
        <f t="shared" si="81"/>
        <v>0</v>
      </c>
      <c r="AW90" s="96">
        <f t="shared" si="116"/>
        <v>-1.916596061952005</v>
      </c>
      <c r="AX90" s="95">
        <f t="shared" si="82"/>
        <v>-21.976968177049656</v>
      </c>
      <c r="AY90" s="11">
        <f t="shared" si="83"/>
        <v>0</v>
      </c>
      <c r="AZ90" s="96">
        <f t="shared" si="117"/>
        <v>-21.976968177049656</v>
      </c>
      <c r="BA90" s="95">
        <f t="shared" si="118"/>
        <v>-1.8526942734542653</v>
      </c>
      <c r="BB90" s="64">
        <f t="shared" si="119"/>
        <v>-2.2146543675425963E-2</v>
      </c>
      <c r="BC90" s="95">
        <f t="shared" si="120"/>
        <v>-1.916596061952005</v>
      </c>
      <c r="BD90" s="96">
        <f t="shared" si="121"/>
        <v>-2.2910406213449811E-2</v>
      </c>
      <c r="BE90" s="96">
        <f t="shared" si="122"/>
        <v>-1.8526942734542653</v>
      </c>
      <c r="BF90" s="96">
        <f t="shared" si="123"/>
        <v>-2.2146543675425963E-2</v>
      </c>
      <c r="BG90" s="15">
        <f t="shared" si="109"/>
        <v>-227.67345443667219</v>
      </c>
      <c r="BH90" s="46">
        <f>(SUMPRODUCT(BE91:BE$605,$I90:$I$604)+SUMPRODUCT(BF91:BF$605,$I91:$I$605)) / $I90</f>
        <v>-220.08252736508857</v>
      </c>
      <c r="BJ90" s="46">
        <f t="shared" si="67"/>
        <v>-1.8526942734542653</v>
      </c>
      <c r="BK90" s="46">
        <f t="shared" si="68"/>
        <v>-46.340796605873493</v>
      </c>
      <c r="BM90" s="49">
        <f t="shared" si="110"/>
        <v>7080.9448655269653</v>
      </c>
      <c r="BN90" s="46">
        <f t="shared" si="69"/>
        <v>6837.7214349649385</v>
      </c>
      <c r="BP90" s="46">
        <f>Reserve!BX90</f>
        <v>9454.1377723507685</v>
      </c>
      <c r="BQ90" s="46">
        <f t="shared" si="84"/>
        <v>9129.3975200728601</v>
      </c>
      <c r="BR90" s="15">
        <f t="shared" si="111"/>
        <v>33.362803611102208</v>
      </c>
      <c r="BT90" s="49">
        <f t="shared" si="112"/>
        <v>35.968168768138973</v>
      </c>
      <c r="BU90" s="46">
        <f t="shared" si="85"/>
        <v>34.768943558977405</v>
      </c>
      <c r="BV90" s="46">
        <f>SUMPRODUCT(BU91:BU$605, $I91:$I$605) / $I90</f>
        <v>2040.0445776320328</v>
      </c>
      <c r="BX90" s="46">
        <f>-BZ90*Others!$Q$43</f>
        <v>-5.1041936104324739</v>
      </c>
      <c r="BZ90" s="50">
        <f t="shared" si="70"/>
        <v>19.938256290751852</v>
      </c>
      <c r="CA90" s="46">
        <f t="shared" si="113"/>
        <v>14.834062680319377</v>
      </c>
      <c r="CB90" s="46">
        <f t="shared" si="86"/>
        <v>14.834062680319377</v>
      </c>
      <c r="CD90" s="46">
        <f>SUMPRODUCT(BZ91:BZ$605, $I91:$I$605) / $I90</f>
        <v>2291.6760851079193</v>
      </c>
      <c r="CE90" s="46">
        <f>SUMPRODUCT(CA91:CA$605, $I91:$I$605) / $I90</f>
        <v>1705.0070073202921</v>
      </c>
      <c r="CF90" s="46">
        <f>SUMPRODUCT(CB91:CB$605, $I91:$I$605) / $I90</f>
        <v>1705.0070073202921</v>
      </c>
      <c r="CH90" s="46">
        <f t="shared" si="87"/>
        <v>37545.862227649231</v>
      </c>
      <c r="CI90" s="46">
        <f t="shared" si="88"/>
        <v>0</v>
      </c>
      <c r="CK90" s="46">
        <f>NPV((1+CK$3)^(1/12)-1,$CB$6:$CB90)+$CB$5</f>
        <v>-85.989084231424386</v>
      </c>
      <c r="CL90" s="46">
        <f>NPV((1+CL$3)^(1/12)-1,$CB$6:$CB90)+$CB$5</f>
        <v>-134.44281173954494</v>
      </c>
      <c r="CM90" s="46">
        <f>NPV((1+CM$3)^(1/12)-1,$CB$6:$CB90)+$CB$5</f>
        <v>-234.03167969818332</v>
      </c>
      <c r="CN90" s="46">
        <f>NPV((1+CN$3)^(1/12)-1,$CB$6:$CB90)+$CB$5</f>
        <v>-234.03167969818332</v>
      </c>
    </row>
    <row r="91" spans="1:92" x14ac:dyDescent="0.25">
      <c r="A91" s="61">
        <f t="shared" si="71"/>
        <v>7.1666666666666581</v>
      </c>
      <c r="B91" s="32">
        <f t="shared" si="89"/>
        <v>2</v>
      </c>
      <c r="C91" s="62">
        <f t="shared" si="90"/>
        <v>8</v>
      </c>
      <c r="D91" s="64">
        <f t="shared" si="91"/>
        <v>7.6666666666666581</v>
      </c>
      <c r="E91" s="28">
        <f t="shared" si="72"/>
        <v>7</v>
      </c>
      <c r="G91" s="68">
        <f>INDEX(Others!$D$11:$E$60, MATCH(C91, Others!$A$11:$A$60, 0), MATCH(G$3, Others!$D$10:$E$10, 0))</f>
        <v>4.6507166616977402E-2</v>
      </c>
      <c r="H91" s="16">
        <f t="shared" si="114"/>
        <v>3.7953601286573324E-3</v>
      </c>
      <c r="I91" s="69">
        <f t="shared" si="115"/>
        <v>0.78042312240599643</v>
      </c>
      <c r="K91" s="80">
        <f>INDEX(Mortality!$B$7:$F$32, MATCH( E91,Mortality!$A$7:$A$32, 0), MATCH( K$3,Mortality!$B$6:$F$6,0))</f>
        <v>0.34400000000000003</v>
      </c>
      <c r="L91" s="11">
        <f t="shared" si="73"/>
        <v>0</v>
      </c>
      <c r="M91" s="80">
        <f t="shared" si="92"/>
        <v>0.34400000000000003</v>
      </c>
      <c r="N91" s="76">
        <f>INDEX(Myopia!$H:$H, MATCH(E91, Myopia!$A:$A, 0)) * Trend_Factor^(A91)</f>
        <v>12.16603036559686</v>
      </c>
      <c r="O91" s="11">
        <f t="shared" si="74"/>
        <v>0</v>
      </c>
      <c r="P91" s="80">
        <f t="shared" si="93"/>
        <v>12.16603036559686</v>
      </c>
      <c r="Q91" s="76">
        <f>VLOOKUP(C91,Others!$L$10:$M$61,2)</f>
        <v>0</v>
      </c>
      <c r="R91" s="11">
        <f t="shared" si="75"/>
        <v>0</v>
      </c>
      <c r="S91" s="80">
        <f t="shared" si="94"/>
        <v>0</v>
      </c>
      <c r="T91" s="78">
        <f t="shared" si="95"/>
        <v>2.8666666666666668E-5</v>
      </c>
      <c r="U91" s="81">
        <f t="shared" si="96"/>
        <v>1.0138358637997384E-3</v>
      </c>
      <c r="V91" s="81">
        <f t="shared" si="97"/>
        <v>0</v>
      </c>
      <c r="W91" s="77">
        <f t="shared" si="76"/>
        <v>0.96565099217956896</v>
      </c>
      <c r="X91" s="82">
        <f t="shared" si="98"/>
        <v>2.7667962609436055E-5</v>
      </c>
      <c r="Y91" s="82">
        <f t="shared" si="99"/>
        <v>9.7899757528573626E-4</v>
      </c>
      <c r="Z91" s="82">
        <f t="shared" si="100"/>
        <v>0</v>
      </c>
      <c r="AA91" s="82">
        <f t="shared" si="101"/>
        <v>0.96464432664167377</v>
      </c>
      <c r="AC91" s="46">
        <f t="shared" si="77"/>
        <v>0</v>
      </c>
      <c r="AD91" s="15">
        <f t="shared" si="78"/>
        <v>0</v>
      </c>
      <c r="AE91" s="46">
        <f t="shared" si="102"/>
        <v>0</v>
      </c>
      <c r="AF91" s="15">
        <f t="shared" si="103"/>
        <v>0</v>
      </c>
      <c r="AG91" s="46">
        <f>SUMPRODUCT(AE92:AE$605, $I91:$I$604) / $I91</f>
        <v>0</v>
      </c>
      <c r="AI91" s="46">
        <f t="shared" si="79"/>
        <v>-47000</v>
      </c>
      <c r="AJ91" s="46">
        <f>IF(E91&gt;Mat_Year,0,  -SUM($AD$5:AD91))</f>
        <v>-9306</v>
      </c>
      <c r="AK91" s="24">
        <f t="shared" si="104"/>
        <v>-0.25747806004341195</v>
      </c>
      <c r="AL91" s="79">
        <f t="shared" si="105"/>
        <v>-46.012886038429606</v>
      </c>
      <c r="AM91" s="24">
        <f t="shared" si="106"/>
        <v>-47.916239379650271</v>
      </c>
      <c r="AN91" s="79">
        <f t="shared" si="107"/>
        <v>-46.270364098473017</v>
      </c>
      <c r="AO91" s="15">
        <f t="shared" si="108"/>
        <v>-6831.1273118129511</v>
      </c>
      <c r="AP91" s="46">
        <f>SUMPRODUCT(AN92:AN$605, $I92:$I$605) / $I91</f>
        <v>-6596.4848663571283</v>
      </c>
      <c r="AR91" s="46">
        <v>0</v>
      </c>
      <c r="AS91" s="46">
        <v>0</v>
      </c>
      <c r="AT91" s="46">
        <v>0</v>
      </c>
      <c r="AU91" s="95">
        <f t="shared" si="80"/>
        <v>-1.9187390051641995</v>
      </c>
      <c r="AV91" s="47">
        <f t="shared" si="81"/>
        <v>0</v>
      </c>
      <c r="AW91" s="96">
        <f t="shared" si="116"/>
        <v>-1.9187390051641995</v>
      </c>
      <c r="AX91" s="95">
        <f t="shared" si="82"/>
        <v>-22.001540592549485</v>
      </c>
      <c r="AY91" s="11">
        <f t="shared" si="83"/>
        <v>0</v>
      </c>
      <c r="AZ91" s="96">
        <f t="shared" si="117"/>
        <v>-22.001540592549485</v>
      </c>
      <c r="BA91" s="95">
        <f t="shared" si="118"/>
        <v>-1.8528322240704482</v>
      </c>
      <c r="BB91" s="64">
        <f t="shared" si="119"/>
        <v>-2.2148192695121294E-2</v>
      </c>
      <c r="BC91" s="95">
        <f t="shared" si="120"/>
        <v>-1.9187390051641995</v>
      </c>
      <c r="BD91" s="96">
        <f t="shared" si="121"/>
        <v>-2.2936022304632705E-2</v>
      </c>
      <c r="BE91" s="96">
        <f t="shared" si="122"/>
        <v>-1.8528322240704482</v>
      </c>
      <c r="BF91" s="96">
        <f t="shared" si="123"/>
        <v>-2.2148192695121294E-2</v>
      </c>
      <c r="BG91" s="15">
        <f t="shared" si="109"/>
        <v>-226.82709281721438</v>
      </c>
      <c r="BH91" s="46">
        <f>(SUMPRODUCT(BE92:BE$605,$I91:$I$604)+SUMPRODUCT(BF92:BF$605,$I92:$I$605)) / $I91</f>
        <v>-219.03580723215023</v>
      </c>
      <c r="BJ91" s="46">
        <f t="shared" ref="BJ91:BJ154" si="124">SUM(AE91,BE91)</f>
        <v>-1.8528322240704482</v>
      </c>
      <c r="BK91" s="46">
        <f t="shared" ref="BK91:BK154" si="125">SUM(AN91,BF91)</f>
        <v>-46.292512291168137</v>
      </c>
      <c r="BM91" s="49">
        <f t="shared" si="110"/>
        <v>7065.3198130723804</v>
      </c>
      <c r="BN91" s="46">
        <f t="shared" ref="BN91:BN154" si="126">MAX(BN92/(1+H92) - (BJ92 + BK92/(1+H92)),0)</f>
        <v>6815.5206735892825</v>
      </c>
      <c r="BP91" s="46">
        <f>Reserve!BX91</f>
        <v>9429.3714660782844</v>
      </c>
      <c r="BQ91" s="46">
        <f t="shared" si="84"/>
        <v>9095.9896885492981</v>
      </c>
      <c r="BR91" s="15">
        <f t="shared" si="111"/>
        <v>33.407831523561981</v>
      </c>
      <c r="BT91" s="49">
        <f t="shared" si="112"/>
        <v>35.874575246495858</v>
      </c>
      <c r="BU91" s="46">
        <f t="shared" si="85"/>
        <v>34.642319180799333</v>
      </c>
      <c r="BV91" s="46">
        <f>SUMPRODUCT(BU92:BU$605, $I92:$I$605) / $I91</f>
        <v>2013.1449623018621</v>
      </c>
      <c r="BX91" s="46">
        <f>-BZ91*Others!$Q$43</f>
        <v>-5.0956303844154194</v>
      </c>
      <c r="BZ91" s="50">
        <f t="shared" si="70"/>
        <v>19.904806189122731</v>
      </c>
      <c r="CA91" s="46">
        <f t="shared" si="113"/>
        <v>14.809175804707312</v>
      </c>
      <c r="CB91" s="46">
        <f t="shared" si="86"/>
        <v>14.809175804707312</v>
      </c>
      <c r="CD91" s="46">
        <f>SUMPRODUCT(BZ92:BZ$605, $I92:$I$605) / $I91</f>
        <v>2280.4690149600128</v>
      </c>
      <c r="CE91" s="46">
        <f>SUMPRODUCT(CA92:CA$605, $I92:$I$605) / $I91</f>
        <v>1696.66894713025</v>
      </c>
      <c r="CF91" s="46">
        <f>SUMPRODUCT(CB92:CB$605, $I92:$I$605) / $I91</f>
        <v>1696.66894713025</v>
      </c>
      <c r="CH91" s="46">
        <f t="shared" si="87"/>
        <v>37570.628533921714</v>
      </c>
      <c r="CI91" s="46">
        <f t="shared" si="88"/>
        <v>0</v>
      </c>
      <c r="CK91" s="46">
        <f>NPV((1+CK$3)^(1/12)-1,$CB$6:$CB91)+$CB$5</f>
        <v>-74.007043863166928</v>
      </c>
      <c r="CL91" s="46">
        <f>NPV((1+CL$3)^(1/12)-1,$CB$6:$CB91)+$CB$5</f>
        <v>-124.00344282062667</v>
      </c>
      <c r="CM91" s="46">
        <f>NPV((1+CM$3)^(1/12)-1,$CB$6:$CB91)+$CB$5</f>
        <v>-226.55199463786442</v>
      </c>
      <c r="CN91" s="46">
        <f>NPV((1+CN$3)^(1/12)-1,$CB$6:$CB91)+$CB$5</f>
        <v>-226.55199463786442</v>
      </c>
    </row>
    <row r="92" spans="1:92" x14ac:dyDescent="0.25">
      <c r="A92" s="61">
        <f t="shared" si="71"/>
        <v>7.2499999999999911</v>
      </c>
      <c r="B92" s="32">
        <f t="shared" si="89"/>
        <v>3</v>
      </c>
      <c r="C92" s="62">
        <f t="shared" si="90"/>
        <v>8</v>
      </c>
      <c r="D92" s="64">
        <f t="shared" si="91"/>
        <v>7.7499999999999911</v>
      </c>
      <c r="E92" s="28">
        <f t="shared" si="72"/>
        <v>7</v>
      </c>
      <c r="G92" s="68">
        <f>INDEX(Others!$D$11:$E$60, MATCH(C92, Others!$A$11:$A$60, 0), MATCH(G$3, Others!$D$10:$E$10, 0))</f>
        <v>4.6507166616977402E-2</v>
      </c>
      <c r="H92" s="16">
        <f t="shared" si="114"/>
        <v>3.7953601286573324E-3</v>
      </c>
      <c r="I92" s="69">
        <f t="shared" si="115"/>
        <v>0.77747233490496404</v>
      </c>
      <c r="K92" s="80">
        <f>INDEX(Mortality!$B$7:$F$32, MATCH( E92,Mortality!$A$7:$A$32, 0), MATCH( K$3,Mortality!$B$6:$F$6,0))</f>
        <v>0.34400000000000003</v>
      </c>
      <c r="L92" s="11">
        <f t="shared" si="73"/>
        <v>0</v>
      </c>
      <c r="M92" s="80">
        <f t="shared" si="92"/>
        <v>0.34400000000000003</v>
      </c>
      <c r="N92" s="76">
        <f>INDEX(Myopia!$H:$H, MATCH(E92, Myopia!$A:$A, 0)) * Trend_Factor^(A92)</f>
        <v>12.16603036559686</v>
      </c>
      <c r="O92" s="11">
        <f t="shared" si="74"/>
        <v>0</v>
      </c>
      <c r="P92" s="80">
        <f t="shared" si="93"/>
        <v>12.16603036559686</v>
      </c>
      <c r="Q92" s="76">
        <f>VLOOKUP(C92,Others!$L$10:$M$61,2)</f>
        <v>0</v>
      </c>
      <c r="R92" s="11">
        <f t="shared" si="75"/>
        <v>0</v>
      </c>
      <c r="S92" s="80">
        <f t="shared" si="94"/>
        <v>0</v>
      </c>
      <c r="T92" s="78">
        <f t="shared" si="95"/>
        <v>2.8666666666666668E-5</v>
      </c>
      <c r="U92" s="81">
        <f t="shared" si="96"/>
        <v>1.0138358637997384E-3</v>
      </c>
      <c r="V92" s="81">
        <f t="shared" si="97"/>
        <v>0</v>
      </c>
      <c r="W92" s="77">
        <f t="shared" si="76"/>
        <v>0.96464432664167377</v>
      </c>
      <c r="X92" s="82">
        <f t="shared" si="98"/>
        <v>2.763911949252502E-5</v>
      </c>
      <c r="Y92" s="82">
        <f t="shared" si="99"/>
        <v>9.779769962890753E-4</v>
      </c>
      <c r="Z92" s="82">
        <f t="shared" si="100"/>
        <v>0</v>
      </c>
      <c r="AA92" s="82">
        <f t="shared" si="101"/>
        <v>0.96363871052589212</v>
      </c>
      <c r="AC92" s="46">
        <f t="shared" si="77"/>
        <v>0</v>
      </c>
      <c r="AD92" s="15">
        <f t="shared" si="78"/>
        <v>0</v>
      </c>
      <c r="AE92" s="46">
        <f t="shared" si="102"/>
        <v>0</v>
      </c>
      <c r="AF92" s="15">
        <f t="shared" si="103"/>
        <v>0</v>
      </c>
      <c r="AG92" s="46">
        <f>SUMPRODUCT(AE93:AE$605, $I92:$I$604) / $I92</f>
        <v>0</v>
      </c>
      <c r="AI92" s="46">
        <f t="shared" si="79"/>
        <v>-47000</v>
      </c>
      <c r="AJ92" s="46">
        <f>IF(E92&gt;Mat_Year,0,  -SUM($AD$5:AD92))</f>
        <v>-9306</v>
      </c>
      <c r="AK92" s="24">
        <f t="shared" si="104"/>
        <v>-0.25720964599743784</v>
      </c>
      <c r="AL92" s="79">
        <f t="shared" si="105"/>
        <v>-45.964918825586537</v>
      </c>
      <c r="AM92" s="24">
        <f t="shared" si="106"/>
        <v>-47.916239379650257</v>
      </c>
      <c r="AN92" s="79">
        <f t="shared" si="107"/>
        <v>-46.222128471583972</v>
      </c>
      <c r="AO92" s="15">
        <f t="shared" si="108"/>
        <v>-6816.2934171063289</v>
      </c>
      <c r="AP92" s="46">
        <f>SUMPRODUCT(AN93:AN$605, $I93:$I$605) / $I92</f>
        <v>-6575.2987735366078</v>
      </c>
      <c r="AR92" s="46">
        <v>0</v>
      </c>
      <c r="AS92" s="46">
        <v>0</v>
      </c>
      <c r="AT92" s="46">
        <v>0</v>
      </c>
      <c r="AU92" s="95">
        <f t="shared" si="80"/>
        <v>-1.9208843443980188</v>
      </c>
      <c r="AV92" s="47">
        <f t="shared" si="81"/>
        <v>0</v>
      </c>
      <c r="AW92" s="96">
        <f t="shared" si="116"/>
        <v>-1.9208843443980188</v>
      </c>
      <c r="AX92" s="95">
        <f t="shared" si="82"/>
        <v>-22.026140482430613</v>
      </c>
      <c r="AY92" s="11">
        <f t="shared" si="83"/>
        <v>0</v>
      </c>
      <c r="AZ92" s="96">
        <f t="shared" si="117"/>
        <v>-22.026140482430613</v>
      </c>
      <c r="BA92" s="95">
        <f t="shared" si="118"/>
        <v>-1.8529701849583597</v>
      </c>
      <c r="BB92" s="64">
        <f t="shared" si="119"/>
        <v>-2.2149841837601738E-2</v>
      </c>
      <c r="BC92" s="95">
        <f t="shared" si="120"/>
        <v>-1.9208843443980188</v>
      </c>
      <c r="BD92" s="96">
        <f t="shared" si="121"/>
        <v>-2.2961667037129121E-2</v>
      </c>
      <c r="BE92" s="96">
        <f t="shared" si="122"/>
        <v>-1.8529701849583597</v>
      </c>
      <c r="BF92" s="96">
        <f t="shared" si="123"/>
        <v>-2.2149841837601738E-2</v>
      </c>
      <c r="BG92" s="15">
        <f t="shared" si="109"/>
        <v>-225.97445324185728</v>
      </c>
      <c r="BH92" s="46">
        <f>(SUMPRODUCT(BE93:BE$605,$I92:$I$604)+SUMPRODUCT(BF93:BF$605,$I93:$I$605)) / $I92</f>
        <v>-217.98497428571181</v>
      </c>
      <c r="BJ92" s="46">
        <f t="shared" si="124"/>
        <v>-1.8529701849583597</v>
      </c>
      <c r="BK92" s="46">
        <f t="shared" si="125"/>
        <v>-46.244278313421574</v>
      </c>
      <c r="BM92" s="49">
        <f t="shared" si="110"/>
        <v>7049.6169089294726</v>
      </c>
      <c r="BN92" s="46">
        <f t="shared" si="126"/>
        <v>6793.2837478223228</v>
      </c>
      <c r="BP92" s="46">
        <f>Reserve!BX92</f>
        <v>9404.4962288778206</v>
      </c>
      <c r="BQ92" s="46">
        <f t="shared" si="84"/>
        <v>9062.5366191414378</v>
      </c>
      <c r="BR92" s="15">
        <f t="shared" si="111"/>
        <v>33.453069407860312</v>
      </c>
      <c r="BT92" s="49">
        <f t="shared" si="112"/>
        <v>35.780570052800158</v>
      </c>
      <c r="BU92" s="46">
        <f t="shared" si="85"/>
        <v>34.515523905438648</v>
      </c>
      <c r="BV92" s="46">
        <f>SUMPRODUCT(BU93:BU$605, $I93:$I$605) / $I92</f>
        <v>1986.2700485195514</v>
      </c>
      <c r="BX92" s="46">
        <f>-BZ92*Others!$Q$43</f>
        <v>-5.087064272619271</v>
      </c>
      <c r="BZ92" s="50">
        <f t="shared" si="70"/>
        <v>19.871344814919027</v>
      </c>
      <c r="CA92" s="46">
        <f t="shared" si="113"/>
        <v>14.784280542299756</v>
      </c>
      <c r="CB92" s="46">
        <f t="shared" si="86"/>
        <v>14.784280542299756</v>
      </c>
      <c r="CD92" s="46">
        <f>SUMPRODUCT(BZ93:BZ$605, $I93:$I$605) / $I92</f>
        <v>2269.2528713191118</v>
      </c>
      <c r="CE92" s="46">
        <f>SUMPRODUCT(CA93:CA$605, $I93:$I$605) / $I92</f>
        <v>1688.3241362614192</v>
      </c>
      <c r="CF92" s="46">
        <f>SUMPRODUCT(CB93:CB$605, $I93:$I$605) / $I92</f>
        <v>1688.3241362614192</v>
      </c>
      <c r="CH92" s="46">
        <f t="shared" si="87"/>
        <v>37595.503771122181</v>
      </c>
      <c r="CI92" s="46">
        <f t="shared" si="88"/>
        <v>0</v>
      </c>
      <c r="CK92" s="46">
        <f>NPV((1+CK$3)^(1/12)-1,$CB$6:$CB92)+$CB$5</f>
        <v>-62.074574832192638</v>
      </c>
      <c r="CL92" s="46">
        <f>NPV((1+CL$3)^(1/12)-1,$CB$6:$CB92)+$CB$5</f>
        <v>-113.62391071111983</v>
      </c>
      <c r="CM92" s="46">
        <f>NPV((1+CM$3)^(1/12)-1,$CB$6:$CB92)+$CB$5</f>
        <v>-219.14395619121126</v>
      </c>
      <c r="CN92" s="46">
        <f>NPV((1+CN$3)^(1/12)-1,$CB$6:$CB92)+$CB$5</f>
        <v>-219.14395619121126</v>
      </c>
    </row>
    <row r="93" spans="1:92" x14ac:dyDescent="0.25">
      <c r="A93" s="61">
        <f t="shared" si="71"/>
        <v>7.3333333333333242</v>
      </c>
      <c r="B93" s="32">
        <f t="shared" si="89"/>
        <v>4</v>
      </c>
      <c r="C93" s="62">
        <f t="shared" si="90"/>
        <v>8</v>
      </c>
      <c r="D93" s="64">
        <f t="shared" si="91"/>
        <v>7.8333333333333242</v>
      </c>
      <c r="E93" s="28">
        <f t="shared" si="72"/>
        <v>7</v>
      </c>
      <c r="G93" s="68">
        <f>INDEX(Others!$D$11:$E$60, MATCH(C93, Others!$A$11:$A$60, 0), MATCH(G$3, Others!$D$10:$E$10, 0))</f>
        <v>4.6507166616977402E-2</v>
      </c>
      <c r="H93" s="16">
        <f t="shared" si="114"/>
        <v>3.7953601286573324E-3</v>
      </c>
      <c r="I93" s="69">
        <f t="shared" si="115"/>
        <v>0.77453270436049304</v>
      </c>
      <c r="K93" s="80">
        <f>INDEX(Mortality!$B$7:$F$32, MATCH( E93,Mortality!$A$7:$A$32, 0), MATCH( K$3,Mortality!$B$6:$F$6,0))</f>
        <v>0.34400000000000003</v>
      </c>
      <c r="L93" s="11">
        <f t="shared" si="73"/>
        <v>0</v>
      </c>
      <c r="M93" s="80">
        <f t="shared" si="92"/>
        <v>0.34400000000000003</v>
      </c>
      <c r="N93" s="76">
        <f>INDEX(Myopia!$H:$H, MATCH(E93, Myopia!$A:$A, 0)) * Trend_Factor^(A93)</f>
        <v>12.16603036559686</v>
      </c>
      <c r="O93" s="11">
        <f t="shared" si="74"/>
        <v>0</v>
      </c>
      <c r="P93" s="80">
        <f t="shared" si="93"/>
        <v>12.16603036559686</v>
      </c>
      <c r="Q93" s="76">
        <f>VLOOKUP(C93,Others!$L$10:$M$61,2)</f>
        <v>0</v>
      </c>
      <c r="R93" s="11">
        <f t="shared" si="75"/>
        <v>0</v>
      </c>
      <c r="S93" s="80">
        <f t="shared" si="94"/>
        <v>0</v>
      </c>
      <c r="T93" s="78">
        <f t="shared" si="95"/>
        <v>2.8666666666666668E-5</v>
      </c>
      <c r="U93" s="81">
        <f t="shared" si="96"/>
        <v>1.0138358637997384E-3</v>
      </c>
      <c r="V93" s="81">
        <f t="shared" si="97"/>
        <v>0</v>
      </c>
      <c r="W93" s="77">
        <f t="shared" si="76"/>
        <v>0.96363871052589212</v>
      </c>
      <c r="X93" s="82">
        <f t="shared" si="98"/>
        <v>2.7610306443798076E-5</v>
      </c>
      <c r="Y93" s="82">
        <f t="shared" si="99"/>
        <v>9.7695748121893978E-4</v>
      </c>
      <c r="Z93" s="82">
        <f t="shared" si="100"/>
        <v>0</v>
      </c>
      <c r="AA93" s="82">
        <f t="shared" si="101"/>
        <v>0.96263414273822934</v>
      </c>
      <c r="AC93" s="46">
        <f t="shared" si="77"/>
        <v>0</v>
      </c>
      <c r="AD93" s="15">
        <f t="shared" si="78"/>
        <v>0</v>
      </c>
      <c r="AE93" s="46">
        <f t="shared" si="102"/>
        <v>0</v>
      </c>
      <c r="AF93" s="15">
        <f t="shared" si="103"/>
        <v>0</v>
      </c>
      <c r="AG93" s="46">
        <f>SUMPRODUCT(AE94:AE$605, $I93:$I$604) / $I93</f>
        <v>0</v>
      </c>
      <c r="AI93" s="46">
        <f t="shared" si="79"/>
        <v>-47000</v>
      </c>
      <c r="AJ93" s="46">
        <f>IF(E93&gt;Mat_Year,0,  -SUM($AD$5:AD93))</f>
        <v>-9306</v>
      </c>
      <c r="AK93" s="24">
        <f t="shared" si="104"/>
        <v>-0.2569415117659849</v>
      </c>
      <c r="AL93" s="79">
        <f t="shared" si="105"/>
        <v>-45.917001617290168</v>
      </c>
      <c r="AM93" s="24">
        <f t="shared" si="106"/>
        <v>-47.916239379650264</v>
      </c>
      <c r="AN93" s="79">
        <f t="shared" si="107"/>
        <v>-46.173943129056155</v>
      </c>
      <c r="AO93" s="15">
        <f t="shared" si="108"/>
        <v>-6801.3876835954907</v>
      </c>
      <c r="AP93" s="46">
        <f>SUMPRODUCT(AN94:AN$605, $I94:$I$605) / $I93</f>
        <v>-6554.0804572066427</v>
      </c>
      <c r="AR93" s="46">
        <v>0</v>
      </c>
      <c r="AS93" s="46">
        <v>0</v>
      </c>
      <c r="AT93" s="46">
        <v>0</v>
      </c>
      <c r="AU93" s="95">
        <f t="shared" si="80"/>
        <v>-1.9230320823324512</v>
      </c>
      <c r="AV93" s="47">
        <f t="shared" si="81"/>
        <v>0</v>
      </c>
      <c r="AW93" s="96">
        <f t="shared" si="116"/>
        <v>-1.9230320823324512</v>
      </c>
      <c r="AX93" s="95">
        <f t="shared" si="82"/>
        <v>-22.050767877412103</v>
      </c>
      <c r="AY93" s="11">
        <f t="shared" si="83"/>
        <v>0</v>
      </c>
      <c r="AZ93" s="96">
        <f t="shared" si="117"/>
        <v>-22.050767877412103</v>
      </c>
      <c r="BA93" s="95">
        <f t="shared" si="118"/>
        <v>-1.8531081561187643</v>
      </c>
      <c r="BB93" s="64">
        <f t="shared" si="119"/>
        <v>-2.2151491102876442E-2</v>
      </c>
      <c r="BC93" s="95">
        <f t="shared" si="120"/>
        <v>-1.9230320823324512</v>
      </c>
      <c r="BD93" s="96">
        <f t="shared" si="121"/>
        <v>-2.2987340442962884E-2</v>
      </c>
      <c r="BE93" s="96">
        <f t="shared" si="122"/>
        <v>-1.8531081561187643</v>
      </c>
      <c r="BF93" s="96">
        <f t="shared" si="123"/>
        <v>-2.2151491102876442E-2</v>
      </c>
      <c r="BG93" s="15">
        <f t="shared" si="109"/>
        <v>-225.11550287072242</v>
      </c>
      <c r="BH93" s="46">
        <f>(SUMPRODUCT(BE94:BE$605,$I93:$I$604)+SUMPRODUCT(BF94:BF$605,$I94:$I$605)) / $I93</f>
        <v>-216.93001290573073</v>
      </c>
      <c r="BJ93" s="46">
        <f t="shared" si="124"/>
        <v>-1.8531081561187643</v>
      </c>
      <c r="BK93" s="46">
        <f t="shared" si="125"/>
        <v>-46.19609462015903</v>
      </c>
      <c r="BM93" s="49">
        <f t="shared" si="110"/>
        <v>7033.8357736326698</v>
      </c>
      <c r="BN93" s="46">
        <f t="shared" si="126"/>
        <v>6771.0104701123755</v>
      </c>
      <c r="BP93" s="46">
        <f>Reserve!BX93</f>
        <v>9379.5115926337003</v>
      </c>
      <c r="BQ93" s="46">
        <f t="shared" si="84"/>
        <v>9029.0381012782254</v>
      </c>
      <c r="BR93" s="15">
        <f t="shared" si="111"/>
        <v>33.498517863212328</v>
      </c>
      <c r="BT93" s="49">
        <f t="shared" si="112"/>
        <v>35.686151417899708</v>
      </c>
      <c r="BU93" s="46">
        <f t="shared" si="85"/>
        <v>34.388556935976609</v>
      </c>
      <c r="BV93" s="46">
        <f>SUMPRODUCT(BU94:BU$605, $I94:$I$605) / $I93</f>
        <v>1959.420101730472</v>
      </c>
      <c r="BX93" s="46">
        <f>-BZ93*Others!$Q$43</f>
        <v>-5.0784952378652521</v>
      </c>
      <c r="BZ93" s="50">
        <f t="shared" si="70"/>
        <v>19.837872022911142</v>
      </c>
      <c r="CA93" s="46">
        <f t="shared" si="113"/>
        <v>14.759376785045891</v>
      </c>
      <c r="CB93" s="46">
        <f t="shared" si="86"/>
        <v>14.759376785045891</v>
      </c>
      <c r="CD93" s="46">
        <f>SUMPRODUCT(BZ94:BZ$605, $I94:$I$605) / $I93</f>
        <v>2258.0276311658467</v>
      </c>
      <c r="CE93" s="46">
        <f>SUMPRODUCT(CA94:CA$605, $I94:$I$605) / $I93</f>
        <v>1679.9725575873897</v>
      </c>
      <c r="CF93" s="46">
        <f>SUMPRODUCT(CB94:CB$605, $I94:$I$605) / $I93</f>
        <v>1679.9725575873897</v>
      </c>
      <c r="CH93" s="46">
        <f t="shared" si="87"/>
        <v>37620.488407366298</v>
      </c>
      <c r="CI93" s="46">
        <f t="shared" si="88"/>
        <v>0</v>
      </c>
      <c r="CK93" s="46">
        <f>NPV((1+CK$3)^(1/12)-1,$CB$6:$CB93)+$CB$5</f>
        <v>-50.191512589275931</v>
      </c>
      <c r="CL93" s="46">
        <f>NPV((1+CL$3)^(1/12)-1,$CB$6:$CB93)+$CB$5</f>
        <v>-103.3039076383435</v>
      </c>
      <c r="CM93" s="46">
        <f>NPV((1+CM$3)^(1/12)-1,$CB$6:$CB93)+$CB$5</f>
        <v>-211.80690309499454</v>
      </c>
      <c r="CN93" s="46">
        <f>NPV((1+CN$3)^(1/12)-1,$CB$6:$CB93)+$CB$5</f>
        <v>-211.80690309499454</v>
      </c>
    </row>
    <row r="94" spans="1:92" x14ac:dyDescent="0.25">
      <c r="A94" s="61">
        <f t="shared" si="71"/>
        <v>7.4166666666666572</v>
      </c>
      <c r="B94" s="32">
        <f t="shared" si="89"/>
        <v>5</v>
      </c>
      <c r="C94" s="62">
        <f t="shared" si="90"/>
        <v>8</v>
      </c>
      <c r="D94" s="64">
        <f t="shared" si="91"/>
        <v>7.9166666666666572</v>
      </c>
      <c r="E94" s="28">
        <f t="shared" si="72"/>
        <v>7</v>
      </c>
      <c r="G94" s="68">
        <f>INDEX(Others!$D$11:$E$60, MATCH(C94, Others!$A$11:$A$60, 0), MATCH(G$3, Others!$D$10:$E$10, 0))</f>
        <v>4.6507166616977402E-2</v>
      </c>
      <c r="H94" s="16">
        <f t="shared" si="114"/>
        <v>3.7953601286573324E-3</v>
      </c>
      <c r="I94" s="69">
        <f t="shared" si="115"/>
        <v>0.77160418858802104</v>
      </c>
      <c r="K94" s="80">
        <f>INDEX(Mortality!$B$7:$F$32, MATCH( E94,Mortality!$A$7:$A$32, 0), MATCH( K$3,Mortality!$B$6:$F$6,0))</f>
        <v>0.34400000000000003</v>
      </c>
      <c r="L94" s="11">
        <f t="shared" si="73"/>
        <v>0</v>
      </c>
      <c r="M94" s="80">
        <f t="shared" si="92"/>
        <v>0.34400000000000003</v>
      </c>
      <c r="N94" s="76">
        <f>INDEX(Myopia!$H:$H, MATCH(E94, Myopia!$A:$A, 0)) * Trend_Factor^(A94)</f>
        <v>12.16603036559686</v>
      </c>
      <c r="O94" s="11">
        <f t="shared" si="74"/>
        <v>0</v>
      </c>
      <c r="P94" s="80">
        <f t="shared" si="93"/>
        <v>12.16603036559686</v>
      </c>
      <c r="Q94" s="76">
        <f>VLOOKUP(C94,Others!$L$10:$M$61,2)</f>
        <v>0</v>
      </c>
      <c r="R94" s="11">
        <f t="shared" si="75"/>
        <v>0</v>
      </c>
      <c r="S94" s="80">
        <f t="shared" si="94"/>
        <v>0</v>
      </c>
      <c r="T94" s="78">
        <f t="shared" si="95"/>
        <v>2.8666666666666668E-5</v>
      </c>
      <c r="U94" s="81">
        <f t="shared" si="96"/>
        <v>1.0138358637997384E-3</v>
      </c>
      <c r="V94" s="81">
        <f t="shared" si="97"/>
        <v>0</v>
      </c>
      <c r="W94" s="77">
        <f t="shared" si="76"/>
        <v>0.96263414273822934</v>
      </c>
      <c r="X94" s="82">
        <f t="shared" si="98"/>
        <v>2.7581523431909933E-5</v>
      </c>
      <c r="Y94" s="82">
        <f t="shared" si="99"/>
        <v>9.7593902896621408E-4</v>
      </c>
      <c r="Z94" s="82">
        <f t="shared" si="100"/>
        <v>0</v>
      </c>
      <c r="AA94" s="82">
        <f t="shared" si="101"/>
        <v>0.96163062218583117</v>
      </c>
      <c r="AC94" s="46">
        <f t="shared" si="77"/>
        <v>0</v>
      </c>
      <c r="AD94" s="15">
        <f t="shared" si="78"/>
        <v>0</v>
      </c>
      <c r="AE94" s="46">
        <f t="shared" si="102"/>
        <v>0</v>
      </c>
      <c r="AF94" s="15">
        <f t="shared" si="103"/>
        <v>0</v>
      </c>
      <c r="AG94" s="46">
        <f>SUMPRODUCT(AE95:AE$605, $I94:$I$604) / $I94</f>
        <v>0</v>
      </c>
      <c r="AI94" s="46">
        <f t="shared" si="79"/>
        <v>-47000</v>
      </c>
      <c r="AJ94" s="46">
        <f>IF(E94&gt;Mat_Year,0,  -SUM($AD$5:AD94))</f>
        <v>-9306</v>
      </c>
      <c r="AK94" s="24">
        <f t="shared" si="104"/>
        <v>-0.25667365705735384</v>
      </c>
      <c r="AL94" s="79">
        <f t="shared" si="105"/>
        <v>-45.869134361412058</v>
      </c>
      <c r="AM94" s="24">
        <f t="shared" si="106"/>
        <v>-47.916239379650257</v>
      </c>
      <c r="AN94" s="79">
        <f t="shared" si="107"/>
        <v>-46.125808018469414</v>
      </c>
      <c r="AO94" s="15">
        <f t="shared" si="108"/>
        <v>-6786.4097633735719</v>
      </c>
      <c r="AP94" s="46">
        <f>SUMPRODUCT(AN95:AN$605, $I95:$I$605) / $I94</f>
        <v>-6532.8297448354679</v>
      </c>
      <c r="AR94" s="46">
        <v>0</v>
      </c>
      <c r="AS94" s="46">
        <v>0</v>
      </c>
      <c r="AT94" s="46">
        <v>0</v>
      </c>
      <c r="AU94" s="95">
        <f t="shared" si="80"/>
        <v>-1.9251822216494805</v>
      </c>
      <c r="AV94" s="47">
        <f t="shared" si="81"/>
        <v>0</v>
      </c>
      <c r="AW94" s="96">
        <f t="shared" si="116"/>
        <v>-1.9251822216494805</v>
      </c>
      <c r="AX94" s="95">
        <f t="shared" si="82"/>
        <v>-22.075422808247371</v>
      </c>
      <c r="AY94" s="11">
        <f t="shared" si="83"/>
        <v>0</v>
      </c>
      <c r="AZ94" s="96">
        <f t="shared" si="117"/>
        <v>-22.075422808247371</v>
      </c>
      <c r="BA94" s="95">
        <f t="shared" si="118"/>
        <v>-1.8532461375524274</v>
      </c>
      <c r="BB94" s="64">
        <f t="shared" si="119"/>
        <v>-2.2153140490954546E-2</v>
      </c>
      <c r="BC94" s="95">
        <f t="shared" si="120"/>
        <v>-1.9251822216494805</v>
      </c>
      <c r="BD94" s="96">
        <f t="shared" si="121"/>
        <v>-2.3013042554193598E-2</v>
      </c>
      <c r="BE94" s="96">
        <f t="shared" si="122"/>
        <v>-1.8532461375524274</v>
      </c>
      <c r="BF94" s="96">
        <f t="shared" si="123"/>
        <v>-2.2153140490954546E-2</v>
      </c>
      <c r="BG94" s="15">
        <f t="shared" si="109"/>
        <v>-224.25020870216727</v>
      </c>
      <c r="BH94" s="46">
        <f>(SUMPRODUCT(BE95:BE$605,$I94:$I$604)+SUMPRODUCT(BF95:BF$605,$I95:$I$605)) / $I94</f>
        <v>-215.8709074128798</v>
      </c>
      <c r="BJ94" s="46">
        <f t="shared" si="124"/>
        <v>-1.8532461375524274</v>
      </c>
      <c r="BK94" s="46">
        <f t="shared" si="125"/>
        <v>-46.147961158960371</v>
      </c>
      <c r="BM94" s="49">
        <f t="shared" si="110"/>
        <v>7017.9760258759625</v>
      </c>
      <c r="BN94" s="46">
        <f t="shared" si="126"/>
        <v>6748.7006522483489</v>
      </c>
      <c r="BP94" s="46">
        <f>Reserve!BX94</f>
        <v>9354.4170872390332</v>
      </c>
      <c r="BQ94" s="46">
        <f t="shared" si="84"/>
        <v>8995.4939237874423</v>
      </c>
      <c r="BR94" s="15">
        <f t="shared" si="111"/>
        <v>33.544177490783113</v>
      </c>
      <c r="BT94" s="49">
        <f t="shared" si="112"/>
        <v>35.591317565116732</v>
      </c>
      <c r="BU94" s="46">
        <f t="shared" si="85"/>
        <v>34.261417473220227</v>
      </c>
      <c r="BV94" s="46">
        <f>SUMPRODUCT(BU95:BU$605, $I95:$I$605) / $I94</f>
        <v>1932.5953891866491</v>
      </c>
      <c r="BX94" s="46">
        <f>-BZ94*Others!$Q$43</f>
        <v>-5.0699232428775796</v>
      </c>
      <c r="BZ94" s="50">
        <f t="shared" si="70"/>
        <v>19.804387667490545</v>
      </c>
      <c r="CA94" s="46">
        <f t="shared" si="113"/>
        <v>14.734464424612966</v>
      </c>
      <c r="CB94" s="46">
        <f t="shared" si="86"/>
        <v>14.734464424612966</v>
      </c>
      <c r="CD94" s="46">
        <f>SUMPRODUCT(BZ95:BZ$605, $I95:$I$605) / $I94</f>
        <v>2246.7932715390893</v>
      </c>
      <c r="CE94" s="46">
        <f>SUMPRODUCT(CA95:CA$605, $I95:$I$605) / $I94</f>
        <v>1671.6141940250823</v>
      </c>
      <c r="CF94" s="46">
        <f>SUMPRODUCT(CB95:CB$605, $I95:$I$605) / $I94</f>
        <v>1671.6141940250823</v>
      </c>
      <c r="CH94" s="46">
        <f t="shared" si="87"/>
        <v>37645.582912760969</v>
      </c>
      <c r="CI94" s="46">
        <f t="shared" si="88"/>
        <v>0</v>
      </c>
      <c r="CK94" s="46">
        <f>NPV((1+CK$3)^(1/12)-1,$CB$6:$CB94)+$CB$5</f>
        <v>-38.35769316498488</v>
      </c>
      <c r="CL94" s="46">
        <f>NPV((1+CL$3)^(1/12)-1,$CB$6:$CB94)+$CB$5</f>
        <v>-93.043127393431973</v>
      </c>
      <c r="CM94" s="46">
        <f>NPV((1+CM$3)^(1/12)-1,$CB$6:$CB94)+$CB$5</f>
        <v>-204.54018008459639</v>
      </c>
      <c r="CN94" s="46">
        <f>NPV((1+CN$3)^(1/12)-1,$CB$6:$CB94)+$CB$5</f>
        <v>-204.54018008459639</v>
      </c>
    </row>
    <row r="95" spans="1:92" x14ac:dyDescent="0.25">
      <c r="A95" s="61">
        <f t="shared" si="71"/>
        <v>7.4999999999999902</v>
      </c>
      <c r="B95" s="32">
        <f t="shared" si="89"/>
        <v>6</v>
      </c>
      <c r="C95" s="62">
        <f t="shared" si="90"/>
        <v>8</v>
      </c>
      <c r="D95" s="64">
        <f t="shared" si="91"/>
        <v>7.9999999999999902</v>
      </c>
      <c r="E95" s="28">
        <f t="shared" si="72"/>
        <v>8</v>
      </c>
      <c r="G95" s="68">
        <f>INDEX(Others!$D$11:$E$60, MATCH(C95, Others!$A$11:$A$60, 0), MATCH(G$3, Others!$D$10:$E$10, 0))</f>
        <v>4.6507166616977402E-2</v>
      </c>
      <c r="H95" s="16">
        <f t="shared" si="114"/>
        <v>3.7953601286573324E-3</v>
      </c>
      <c r="I95" s="69">
        <f t="shared" si="115"/>
        <v>0.76868674556248584</v>
      </c>
      <c r="K95" s="80">
        <f>INDEX(Mortality!$B$7:$F$32, MATCH( E95,Mortality!$A$7:$A$32, 0), MATCH( K$3,Mortality!$B$6:$F$6,0))</f>
        <v>0.34799999999999998</v>
      </c>
      <c r="L95" s="11">
        <f t="shared" si="73"/>
        <v>0</v>
      </c>
      <c r="M95" s="80">
        <f t="shared" si="92"/>
        <v>0.34799999999999998</v>
      </c>
      <c r="N95" s="76">
        <f>INDEX(Myopia!$H:$H, MATCH(E95, Myopia!$A:$A, 0)) * Trend_Factor^(A95)</f>
        <v>12.019797148499897</v>
      </c>
      <c r="O95" s="11">
        <f t="shared" si="74"/>
        <v>0</v>
      </c>
      <c r="P95" s="80">
        <f t="shared" si="93"/>
        <v>12.019797148499897</v>
      </c>
      <c r="Q95" s="76">
        <f>VLOOKUP(C95,Others!$L$10:$M$61,2)</f>
        <v>0</v>
      </c>
      <c r="R95" s="11">
        <f t="shared" si="75"/>
        <v>0</v>
      </c>
      <c r="S95" s="80">
        <f t="shared" si="94"/>
        <v>0</v>
      </c>
      <c r="T95" s="78">
        <f t="shared" si="95"/>
        <v>2.9E-5</v>
      </c>
      <c r="U95" s="81">
        <f t="shared" si="96"/>
        <v>1.0016497623749913E-3</v>
      </c>
      <c r="V95" s="81">
        <f t="shared" si="97"/>
        <v>0</v>
      </c>
      <c r="W95" s="77">
        <f t="shared" si="76"/>
        <v>0.96163062218583117</v>
      </c>
      <c r="X95" s="82">
        <f t="shared" si="98"/>
        <v>2.7873321395668131E-5</v>
      </c>
      <c r="Y95" s="82">
        <f t="shared" si="99"/>
        <v>9.6320311755723189E-4</v>
      </c>
      <c r="Z95" s="82">
        <f t="shared" si="100"/>
        <v>0</v>
      </c>
      <c r="AA95" s="82">
        <f t="shared" si="101"/>
        <v>0.96063954574687827</v>
      </c>
      <c r="AC95" s="46">
        <f t="shared" si="77"/>
        <v>0</v>
      </c>
      <c r="AD95" s="15">
        <f t="shared" si="78"/>
        <v>0</v>
      </c>
      <c r="AE95" s="46">
        <f t="shared" si="102"/>
        <v>0</v>
      </c>
      <c r="AF95" s="15">
        <f t="shared" si="103"/>
        <v>0</v>
      </c>
      <c r="AG95" s="46">
        <f>SUMPRODUCT(AE96:AE$605, $I95:$I$604) / $I95</f>
        <v>0</v>
      </c>
      <c r="AI95" s="46">
        <f t="shared" si="79"/>
        <v>-47000</v>
      </c>
      <c r="AJ95" s="46">
        <f>IF(E95&gt;Mat_Year,0,  -SUM($AD$5:AD95))</f>
        <v>-9306</v>
      </c>
      <c r="AK95" s="24">
        <f t="shared" si="104"/>
        <v>-0.25938912890808763</v>
      </c>
      <c r="AL95" s="79">
        <f t="shared" si="105"/>
        <v>-45.2705465251899</v>
      </c>
      <c r="AM95" s="24">
        <f t="shared" si="106"/>
        <v>-47.346595047697555</v>
      </c>
      <c r="AN95" s="79">
        <f t="shared" si="107"/>
        <v>-45.52993565409799</v>
      </c>
      <c r="AO95" s="15">
        <f t="shared" si="108"/>
        <v>-6771.9289511807892</v>
      </c>
      <c r="AP95" s="46">
        <f>SUMPRODUCT(AN96:AN$605, $I96:$I$605) / $I95</f>
        <v>-6512.0942507222253</v>
      </c>
      <c r="AR95" s="46">
        <v>0</v>
      </c>
      <c r="AS95" s="46">
        <v>0</v>
      </c>
      <c r="AT95" s="46">
        <v>0</v>
      </c>
      <c r="AU95" s="95">
        <f t="shared" si="80"/>
        <v>-1.9273347650340886</v>
      </c>
      <c r="AV95" s="47">
        <f t="shared" si="81"/>
        <v>0</v>
      </c>
      <c r="AW95" s="96">
        <f t="shared" si="116"/>
        <v>-1.9273347650340886</v>
      </c>
      <c r="AX95" s="95">
        <f t="shared" si="82"/>
        <v>-22.100105305724213</v>
      </c>
      <c r="AY95" s="11">
        <f t="shared" si="83"/>
        <v>0</v>
      </c>
      <c r="AZ95" s="96">
        <f t="shared" si="117"/>
        <v>-22.100105305724213</v>
      </c>
      <c r="BA95" s="95">
        <f t="shared" si="118"/>
        <v>-1.8533841292601134</v>
      </c>
      <c r="BB95" s="64">
        <f t="shared" si="119"/>
        <v>-2.1902893666881248E-2</v>
      </c>
      <c r="BC95" s="95">
        <f t="shared" si="120"/>
        <v>-1.9273347650340886</v>
      </c>
      <c r="BD95" s="96">
        <f t="shared" si="121"/>
        <v>-2.2776826321415339E-2</v>
      </c>
      <c r="BE95" s="96">
        <f t="shared" si="122"/>
        <v>-1.8533841292601134</v>
      </c>
      <c r="BF95" s="96">
        <f t="shared" si="123"/>
        <v>-2.1902893666881248E-2</v>
      </c>
      <c r="BG95" s="15">
        <f t="shared" si="109"/>
        <v>-223.37879951908056</v>
      </c>
      <c r="BH95" s="46">
        <f>(SUMPRODUCT(BE96:BE$605,$I95:$I$604)+SUMPRODUCT(BF96:BF$605,$I96:$I$605)) / $I95</f>
        <v>-214.8078939646575</v>
      </c>
      <c r="BJ95" s="46">
        <f t="shared" si="124"/>
        <v>-1.8533841292601134</v>
      </c>
      <c r="BK95" s="46">
        <f t="shared" si="125"/>
        <v>-45.551838547764874</v>
      </c>
      <c r="BM95" s="49">
        <f t="shared" si="110"/>
        <v>7002.5246977073493</v>
      </c>
      <c r="BN95" s="46">
        <f t="shared" si="126"/>
        <v>6726.9021446868837</v>
      </c>
      <c r="BP95" s="46">
        <f>Reserve!BX95</f>
        <v>9329.8102298750673</v>
      </c>
      <c r="BQ95" s="46">
        <f t="shared" si="84"/>
        <v>8962.5846611317629</v>
      </c>
      <c r="BR95" s="15">
        <f t="shared" si="111"/>
        <v>32.909262655679413</v>
      </c>
      <c r="BT95" s="49">
        <f t="shared" si="112"/>
        <v>35.496066710216105</v>
      </c>
      <c r="BU95" s="46">
        <f t="shared" si="85"/>
        <v>34.134104715694882</v>
      </c>
      <c r="BV95" s="46">
        <f>SUMPRODUCT(BU96:BU$605, $I96:$I$605) / $I95</f>
        <v>1905.7961799559002</v>
      </c>
      <c r="BX95" s="46">
        <f>-BZ95*Others!$Q$43</f>
        <v>-5.0273650417534226</v>
      </c>
      <c r="BZ95" s="50">
        <f t="shared" si="70"/>
        <v>19.638144694349307</v>
      </c>
      <c r="CA95" s="46">
        <f t="shared" si="113"/>
        <v>14.610779652595884</v>
      </c>
      <c r="CB95" s="46">
        <f t="shared" si="86"/>
        <v>14.610779652595884</v>
      </c>
      <c r="CD95" s="46">
        <f>SUMPRODUCT(BZ96:BZ$605, $I96:$I$605) / $I95</f>
        <v>2235.6825164448751</v>
      </c>
      <c r="CE95" s="46">
        <f>SUMPRODUCT(CA96:CA$605, $I96:$I$605) / $I95</f>
        <v>1663.3477922349869</v>
      </c>
      <c r="CF95" s="46">
        <f>SUMPRODUCT(CB96:CB$605, $I96:$I$605) / $I95</f>
        <v>1663.3477922349869</v>
      </c>
      <c r="CH95" s="46">
        <f t="shared" si="87"/>
        <v>37670.189770124933</v>
      </c>
      <c r="CI95" s="46">
        <f t="shared" si="88"/>
        <v>0</v>
      </c>
      <c r="CK95" s="46">
        <f>NPV((1+CK$3)^(1/12)-1,$CB$6:$CB95)+$CB$5</f>
        <v>-26.652078977032147</v>
      </c>
      <c r="CL95" s="46">
        <f>NPV((1+CL$3)^(1/12)-1,$CB$6:$CB95)+$CB$5</f>
        <v>-82.909763278675769</v>
      </c>
      <c r="CM95" s="46">
        <f>NPV((1+CM$3)^(1/12)-1,$CB$6:$CB95)+$CB$5</f>
        <v>-197.39146065350974</v>
      </c>
      <c r="CN95" s="46">
        <f>NPV((1+CN$3)^(1/12)-1,$CB$6:$CB95)+$CB$5</f>
        <v>-197.39146065350974</v>
      </c>
    </row>
    <row r="96" spans="1:92" x14ac:dyDescent="0.25">
      <c r="A96" s="61">
        <f t="shared" si="71"/>
        <v>7.5833333333333233</v>
      </c>
      <c r="B96" s="32">
        <f t="shared" si="89"/>
        <v>7</v>
      </c>
      <c r="C96" s="62">
        <f t="shared" si="90"/>
        <v>8</v>
      </c>
      <c r="D96" s="64">
        <f t="shared" si="91"/>
        <v>8.0833333333333233</v>
      </c>
      <c r="E96" s="28">
        <f t="shared" si="72"/>
        <v>8</v>
      </c>
      <c r="G96" s="68">
        <f>INDEX(Others!$D$11:$E$60, MATCH(C96, Others!$A$11:$A$60, 0), MATCH(G$3, Others!$D$10:$E$10, 0))</f>
        <v>4.6507166616977402E-2</v>
      </c>
      <c r="H96" s="16">
        <f t="shared" si="114"/>
        <v>3.7953601286573324E-3</v>
      </c>
      <c r="I96" s="69">
        <f t="shared" si="115"/>
        <v>0.76578033341772234</v>
      </c>
      <c r="K96" s="80">
        <f>INDEX(Mortality!$B$7:$F$32, MATCH( E96,Mortality!$A$7:$A$32, 0), MATCH( K$3,Mortality!$B$6:$F$6,0))</f>
        <v>0.34799999999999998</v>
      </c>
      <c r="L96" s="11">
        <f t="shared" si="73"/>
        <v>0</v>
      </c>
      <c r="M96" s="80">
        <f t="shared" si="92"/>
        <v>0.34799999999999998</v>
      </c>
      <c r="N96" s="76">
        <f>INDEX(Myopia!$H:$H, MATCH(E96, Myopia!$A:$A, 0)) * Trend_Factor^(A96)</f>
        <v>12.019797148499897</v>
      </c>
      <c r="O96" s="11">
        <f t="shared" si="74"/>
        <v>0</v>
      </c>
      <c r="P96" s="80">
        <f t="shared" si="93"/>
        <v>12.019797148499897</v>
      </c>
      <c r="Q96" s="76">
        <f>VLOOKUP(C96,Others!$L$10:$M$61,2)</f>
        <v>0</v>
      </c>
      <c r="R96" s="11">
        <f t="shared" si="75"/>
        <v>0</v>
      </c>
      <c r="S96" s="80">
        <f t="shared" si="94"/>
        <v>0</v>
      </c>
      <c r="T96" s="78">
        <f t="shared" si="95"/>
        <v>2.9E-5</v>
      </c>
      <c r="U96" s="81">
        <f t="shared" si="96"/>
        <v>1.0016497623749913E-3</v>
      </c>
      <c r="V96" s="81">
        <f t="shared" si="97"/>
        <v>0</v>
      </c>
      <c r="W96" s="77">
        <f t="shared" si="76"/>
        <v>0.96063954574687827</v>
      </c>
      <c r="X96" s="82">
        <f t="shared" si="98"/>
        <v>2.7844594573254953E-5</v>
      </c>
      <c r="Y96" s="82">
        <f t="shared" si="99"/>
        <v>9.6221042047197572E-4</v>
      </c>
      <c r="Z96" s="82">
        <f t="shared" si="100"/>
        <v>0</v>
      </c>
      <c r="AA96" s="82">
        <f t="shared" si="101"/>
        <v>0.95964949073183303</v>
      </c>
      <c r="AC96" s="46">
        <f t="shared" si="77"/>
        <v>0</v>
      </c>
      <c r="AD96" s="15">
        <f t="shared" si="78"/>
        <v>0</v>
      </c>
      <c r="AE96" s="46">
        <f t="shared" si="102"/>
        <v>0</v>
      </c>
      <c r="AF96" s="15">
        <f t="shared" si="103"/>
        <v>0</v>
      </c>
      <c r="AG96" s="46">
        <f>SUMPRODUCT(AE97:AE$605, $I96:$I$604) / $I96</f>
        <v>0</v>
      </c>
      <c r="AI96" s="46">
        <f t="shared" si="79"/>
        <v>-47000</v>
      </c>
      <c r="AJ96" s="46">
        <f>IF(E96&gt;Mat_Year,0,  -SUM($AD$5:AD96))</f>
        <v>-9306</v>
      </c>
      <c r="AK96" s="24">
        <f t="shared" si="104"/>
        <v>-0.25912179709871058</v>
      </c>
      <c r="AL96" s="79">
        <f t="shared" si="105"/>
        <v>-45.223889762182857</v>
      </c>
      <c r="AM96" s="24">
        <f t="shared" si="106"/>
        <v>-47.346595047697541</v>
      </c>
      <c r="AN96" s="79">
        <f t="shared" si="107"/>
        <v>-45.483011559281564</v>
      </c>
      <c r="AO96" s="15">
        <f t="shared" si="108"/>
        <v>-6757.2972721930937</v>
      </c>
      <c r="AP96" s="46">
        <f>SUMPRODUCT(AN97:AN$605, $I97:$I$605) / $I96</f>
        <v>-6491.3269820361929</v>
      </c>
      <c r="AR96" s="46">
        <v>0</v>
      </c>
      <c r="AS96" s="46">
        <v>0</v>
      </c>
      <c r="AT96" s="46">
        <v>0</v>
      </c>
      <c r="AU96" s="95">
        <f t="shared" si="80"/>
        <v>-1.9294897151742603</v>
      </c>
      <c r="AV96" s="47">
        <f t="shared" si="81"/>
        <v>0</v>
      </c>
      <c r="AW96" s="96">
        <f t="shared" si="116"/>
        <v>-1.9294897151742603</v>
      </c>
      <c r="AX96" s="95">
        <f t="shared" si="82"/>
        <v>-22.124815400664847</v>
      </c>
      <c r="AY96" s="11">
        <f t="shared" si="83"/>
        <v>0</v>
      </c>
      <c r="AZ96" s="96">
        <f t="shared" si="117"/>
        <v>-22.124815400664847</v>
      </c>
      <c r="BA96" s="95">
        <f t="shared" si="118"/>
        <v>-1.8535441235082748</v>
      </c>
      <c r="BB96" s="64">
        <f t="shared" si="119"/>
        <v>-2.1904784444378184E-2</v>
      </c>
      <c r="BC96" s="95">
        <f t="shared" si="120"/>
        <v>-1.92948971517426</v>
      </c>
      <c r="BD96" s="96">
        <f t="shared" si="121"/>
        <v>-2.28022930571192E-2</v>
      </c>
      <c r="BE96" s="96">
        <f t="shared" si="122"/>
        <v>-1.8535441235082748</v>
      </c>
      <c r="BF96" s="96">
        <f t="shared" si="123"/>
        <v>-2.1904784444378184E-2</v>
      </c>
      <c r="BG96" s="15">
        <f t="shared" si="109"/>
        <v>-222.49831838760807</v>
      </c>
      <c r="BH96" s="46">
        <f>(SUMPRODUCT(BE97:BE$605,$I96:$I$604)+SUMPRODUCT(BF97:BF$605,$I97:$I$605)) / $I96</f>
        <v>-213.7406835053161</v>
      </c>
      <c r="BJ96" s="46">
        <f t="shared" si="124"/>
        <v>-1.8535441235082748</v>
      </c>
      <c r="BK96" s="46">
        <f t="shared" si="125"/>
        <v>-45.504916343725945</v>
      </c>
      <c r="BM96" s="49">
        <f t="shared" si="110"/>
        <v>6986.9965339409455</v>
      </c>
      <c r="BN96" s="46">
        <f t="shared" si="126"/>
        <v>6705.0676655415109</v>
      </c>
      <c r="BP96" s="46">
        <f>Reserve!BX96</f>
        <v>9305.0954627225692</v>
      </c>
      <c r="BQ96" s="46">
        <f t="shared" si="84"/>
        <v>8929.6301220128043</v>
      </c>
      <c r="BR96" s="15">
        <f t="shared" si="111"/>
        <v>32.954539118958564</v>
      </c>
      <c r="BT96" s="49">
        <f t="shared" si="112"/>
        <v>35.402666646073506</v>
      </c>
      <c r="BU96" s="46">
        <f t="shared" si="85"/>
        <v>34.00920160511221</v>
      </c>
      <c r="BV96" s="46">
        <f>SUMPRODUCT(BU97:BU$605, $I97:$I$605) / $I96</f>
        <v>1879.0201611855402</v>
      </c>
      <c r="BX96" s="46">
        <f>-BZ96*Others!$Q$43</f>
        <v>-5.0189517457501589</v>
      </c>
      <c r="BZ96" s="50">
        <f t="shared" si="70"/>
        <v>19.605280256836558</v>
      </c>
      <c r="CA96" s="46">
        <f t="shared" si="113"/>
        <v>14.5863285110864</v>
      </c>
      <c r="CB96" s="46">
        <f t="shared" si="86"/>
        <v>14.5863285110864</v>
      </c>
      <c r="CD96" s="46">
        <f>SUMPRODUCT(BZ97:BZ$605, $I97:$I$605) / $I96</f>
        <v>2224.5624564712894</v>
      </c>
      <c r="CE96" s="46">
        <f>SUMPRODUCT(CA97:CA$605, $I97:$I$605) / $I96</f>
        <v>1655.0744676146392</v>
      </c>
      <c r="CF96" s="46">
        <f>SUMPRODUCT(CB97:CB$605, $I97:$I$605) / $I96</f>
        <v>1655.0744676146392</v>
      </c>
      <c r="CH96" s="46">
        <f t="shared" si="87"/>
        <v>37694.904537277427</v>
      </c>
      <c r="CI96" s="46">
        <f t="shared" si="88"/>
        <v>0.90453727743079071</v>
      </c>
      <c r="CK96" s="46">
        <f>NPV((1+CK$3)^(1/12)-1,$CB$6:$CB96)+$CB$5</f>
        <v>-14.994804120439767</v>
      </c>
      <c r="CL96" s="46">
        <f>NPV((1+CL$3)^(1/12)-1,$CB$6:$CB96)+$CB$5</f>
        <v>-72.834405604316544</v>
      </c>
      <c r="CM96" s="46">
        <f>NPV((1+CM$3)^(1/12)-1,$CB$6:$CB96)+$CB$5</f>
        <v>-190.31116388595535</v>
      </c>
      <c r="CN96" s="46">
        <f>NPV((1+CN$3)^(1/12)-1,$CB$6:$CB96)+$CB$5</f>
        <v>-190.31116388595535</v>
      </c>
    </row>
    <row r="97" spans="1:92" x14ac:dyDescent="0.25">
      <c r="A97" s="61">
        <f t="shared" si="71"/>
        <v>7.6666666666666563</v>
      </c>
      <c r="B97" s="32">
        <f t="shared" si="89"/>
        <v>8</v>
      </c>
      <c r="C97" s="62">
        <f t="shared" si="90"/>
        <v>8</v>
      </c>
      <c r="D97" s="64">
        <f t="shared" si="91"/>
        <v>8.1666666666666572</v>
      </c>
      <c r="E97" s="28">
        <f t="shared" si="72"/>
        <v>8</v>
      </c>
      <c r="G97" s="68">
        <f>INDEX(Others!$D$11:$E$60, MATCH(C97, Others!$A$11:$A$60, 0), MATCH(G$3, Others!$D$10:$E$10, 0))</f>
        <v>4.6507166616977402E-2</v>
      </c>
      <c r="H97" s="16">
        <f t="shared" si="114"/>
        <v>3.7953601286573324E-3</v>
      </c>
      <c r="I97" s="69">
        <f t="shared" si="115"/>
        <v>0.76288491044586182</v>
      </c>
      <c r="K97" s="80">
        <f>INDEX(Mortality!$B$7:$F$32, MATCH( E97,Mortality!$A$7:$A$32, 0), MATCH( K$3,Mortality!$B$6:$F$6,0))</f>
        <v>0.34799999999999998</v>
      </c>
      <c r="L97" s="11">
        <f t="shared" si="73"/>
        <v>0</v>
      </c>
      <c r="M97" s="80">
        <f t="shared" si="92"/>
        <v>0.34799999999999998</v>
      </c>
      <c r="N97" s="76">
        <f>INDEX(Myopia!$H:$H, MATCH(E97, Myopia!$A:$A, 0)) * Trend_Factor^(A97)</f>
        <v>12.019797148499897</v>
      </c>
      <c r="O97" s="11">
        <f t="shared" si="74"/>
        <v>0</v>
      </c>
      <c r="P97" s="80">
        <f t="shared" si="93"/>
        <v>12.019797148499897</v>
      </c>
      <c r="Q97" s="76">
        <f>VLOOKUP(C97,Others!$L$10:$M$61,2)</f>
        <v>0</v>
      </c>
      <c r="R97" s="11">
        <f t="shared" si="75"/>
        <v>0</v>
      </c>
      <c r="S97" s="80">
        <f t="shared" si="94"/>
        <v>0</v>
      </c>
      <c r="T97" s="78">
        <f t="shared" si="95"/>
        <v>2.9E-5</v>
      </c>
      <c r="U97" s="81">
        <f t="shared" si="96"/>
        <v>1.0016497623749913E-3</v>
      </c>
      <c r="V97" s="81">
        <f t="shared" si="97"/>
        <v>0</v>
      </c>
      <c r="W97" s="77">
        <f t="shared" si="76"/>
        <v>0.95964949073183303</v>
      </c>
      <c r="X97" s="82">
        <f t="shared" si="98"/>
        <v>2.7815897357300013E-5</v>
      </c>
      <c r="Y97" s="82">
        <f t="shared" si="99"/>
        <v>9.6121874648089892E-4</v>
      </c>
      <c r="Z97" s="82">
        <f t="shared" si="100"/>
        <v>0</v>
      </c>
      <c r="AA97" s="82">
        <f t="shared" si="101"/>
        <v>0.95866045608799488</v>
      </c>
      <c r="AC97" s="46">
        <f t="shared" si="77"/>
        <v>0</v>
      </c>
      <c r="AD97" s="15">
        <f t="shared" si="78"/>
        <v>0</v>
      </c>
      <c r="AE97" s="46">
        <f t="shared" si="102"/>
        <v>0</v>
      </c>
      <c r="AF97" s="15">
        <f t="shared" si="103"/>
        <v>0</v>
      </c>
      <c r="AG97" s="46">
        <f>SUMPRODUCT(AE98:AE$605, $I97:$I$604) / $I97</f>
        <v>0</v>
      </c>
      <c r="AI97" s="46">
        <f t="shared" si="79"/>
        <v>-47000</v>
      </c>
      <c r="AJ97" s="46">
        <f>IF(E97&gt;Mat_Year,0,  -SUM($AD$5:AD97))</f>
        <v>-9306</v>
      </c>
      <c r="AK97" s="24">
        <f t="shared" si="104"/>
        <v>-0.25885474080703391</v>
      </c>
      <c r="AL97" s="79">
        <f t="shared" si="105"/>
        <v>-45.177281084602249</v>
      </c>
      <c r="AM97" s="24">
        <f t="shared" si="106"/>
        <v>-47.346595047697548</v>
      </c>
      <c r="AN97" s="79">
        <f t="shared" si="107"/>
        <v>-45.436135825409281</v>
      </c>
      <c r="AO97" s="15">
        <f t="shared" si="108"/>
        <v>-6742.5949081534218</v>
      </c>
      <c r="AP97" s="46">
        <f>SUMPRODUCT(AN98:AN$605, $I98:$I$605) / $I97</f>
        <v>-6470.5277698204818</v>
      </c>
      <c r="AR97" s="46">
        <v>0</v>
      </c>
      <c r="AS97" s="46">
        <v>0</v>
      </c>
      <c r="AT97" s="46">
        <v>0</v>
      </c>
      <c r="AU97" s="95">
        <f t="shared" si="80"/>
        <v>-1.9316470747609853</v>
      </c>
      <c r="AV97" s="47">
        <f t="shared" si="81"/>
        <v>0</v>
      </c>
      <c r="AW97" s="96">
        <f t="shared" si="116"/>
        <v>-1.9316470747609853</v>
      </c>
      <c r="AX97" s="95">
        <f t="shared" si="82"/>
        <v>-22.149553123925962</v>
      </c>
      <c r="AY97" s="11">
        <f t="shared" si="83"/>
        <v>0</v>
      </c>
      <c r="AZ97" s="96">
        <f t="shared" si="117"/>
        <v>-22.149553123925962</v>
      </c>
      <c r="BA97" s="95">
        <f t="shared" si="118"/>
        <v>-1.8537041315680145</v>
      </c>
      <c r="BB97" s="64">
        <f t="shared" si="119"/>
        <v>-2.1906675385097378E-2</v>
      </c>
      <c r="BC97" s="95">
        <f t="shared" si="120"/>
        <v>-1.9316470747609853</v>
      </c>
      <c r="BD97" s="96">
        <f t="shared" si="121"/>
        <v>-2.2827788267142463E-2</v>
      </c>
      <c r="BE97" s="96">
        <f t="shared" si="122"/>
        <v>-1.8537041315680145</v>
      </c>
      <c r="BF97" s="96">
        <f t="shared" si="123"/>
        <v>-2.1906675385097378E-2</v>
      </c>
      <c r="BG97" s="15">
        <f t="shared" si="109"/>
        <v>-221.6113926444927</v>
      </c>
      <c r="BH97" s="46">
        <f>(SUMPRODUCT(BE98:BE$605,$I97:$I$604)+SUMPRODUCT(BF98:BF$605,$I98:$I$605)) / $I97</f>
        <v>-212.66926009165971</v>
      </c>
      <c r="BJ97" s="46">
        <f t="shared" si="124"/>
        <v>-1.8537041315680145</v>
      </c>
      <c r="BK97" s="46">
        <f t="shared" si="125"/>
        <v>-45.458042500794377</v>
      </c>
      <c r="BM97" s="49">
        <f t="shared" si="110"/>
        <v>6971.3911609374827</v>
      </c>
      <c r="BN97" s="46">
        <f t="shared" si="126"/>
        <v>6683.1970299121431</v>
      </c>
      <c r="BP97" s="46">
        <f>Reserve!BX97</f>
        <v>9280.2723235846152</v>
      </c>
      <c r="BQ97" s="46">
        <f t="shared" si="84"/>
        <v>8896.6300983484234</v>
      </c>
      <c r="BR97" s="15">
        <f t="shared" si="111"/>
        <v>33.000023664380933</v>
      </c>
      <c r="BT97" s="49">
        <f t="shared" si="112"/>
        <v>35.308857016277308</v>
      </c>
      <c r="BU97" s="46">
        <f t="shared" si="85"/>
        <v>33.884126653993626</v>
      </c>
      <c r="BV97" s="46">
        <f>SUMPRODUCT(BU98:BU$605, $I98:$I$605) / $I97</f>
        <v>1852.2675927322534</v>
      </c>
      <c r="BX97" s="46">
        <f>-BZ97*Others!$Q$43</f>
        <v>-5.0105353436191145</v>
      </c>
      <c r="BZ97" s="50">
        <f t="shared" si="70"/>
        <v>19.572403686012166</v>
      </c>
      <c r="CA97" s="46">
        <f t="shared" si="113"/>
        <v>14.561868342393051</v>
      </c>
      <c r="CB97" s="46">
        <f t="shared" si="86"/>
        <v>14.561868342393051</v>
      </c>
      <c r="CD97" s="46">
        <f>SUMPRODUCT(BZ98:BZ$605, $I98:$I$605) / $I97</f>
        <v>2213.4330684362762</v>
      </c>
      <c r="CE97" s="46">
        <f>SUMPRODUCT(CA98:CA$605, $I98:$I$605) / $I97</f>
        <v>1646.794202916589</v>
      </c>
      <c r="CF97" s="46">
        <f>SUMPRODUCT(CB98:CB$605, $I98:$I$605) / $I97</f>
        <v>1646.794202916589</v>
      </c>
      <c r="CH97" s="46">
        <f t="shared" si="87"/>
        <v>37719.727676415387</v>
      </c>
      <c r="CI97" s="46">
        <f t="shared" si="88"/>
        <v>25.727676415384849</v>
      </c>
      <c r="CK97" s="46">
        <f>NPV((1+CK$3)^(1/12)-1,$CB$6:$CB97)+$CB$5</f>
        <v>-3.3857087921904849</v>
      </c>
      <c r="CL97" s="46">
        <f>NPV((1+CL$3)^(1/12)-1,$CB$6:$CB97)+$CB$5</f>
        <v>-62.816756683772269</v>
      </c>
      <c r="CM97" s="46">
        <f>NPV((1+CM$3)^(1/12)-1,$CB$6:$CB97)+$CB$5</f>
        <v>-183.29865893928786</v>
      </c>
      <c r="CN97" s="46">
        <f>NPV((1+CN$3)^(1/12)-1,$CB$6:$CB97)+$CB$5</f>
        <v>-183.29865893928786</v>
      </c>
    </row>
    <row r="98" spans="1:92" x14ac:dyDescent="0.25">
      <c r="A98" s="61">
        <f t="shared" si="71"/>
        <v>7.7499999999999893</v>
      </c>
      <c r="B98" s="32">
        <f t="shared" si="89"/>
        <v>9</v>
      </c>
      <c r="C98" s="62">
        <f t="shared" si="90"/>
        <v>8</v>
      </c>
      <c r="D98" s="64">
        <f t="shared" si="91"/>
        <v>8.2499999999999893</v>
      </c>
      <c r="E98" s="28">
        <f t="shared" si="72"/>
        <v>8</v>
      </c>
      <c r="G98" s="68">
        <f>INDEX(Others!$D$11:$E$60, MATCH(C98, Others!$A$11:$A$60, 0), MATCH(G$3, Others!$D$10:$E$10, 0))</f>
        <v>4.6507166616977402E-2</v>
      </c>
      <c r="H98" s="16">
        <f t="shared" si="114"/>
        <v>3.7953601286573324E-3</v>
      </c>
      <c r="I98" s="69">
        <f t="shared" si="115"/>
        <v>0.76000043509673343</v>
      </c>
      <c r="K98" s="80">
        <f>INDEX(Mortality!$B$7:$F$32, MATCH( E98,Mortality!$A$7:$A$32, 0), MATCH( K$3,Mortality!$B$6:$F$6,0))</f>
        <v>0.34799999999999998</v>
      </c>
      <c r="L98" s="11">
        <f t="shared" si="73"/>
        <v>0</v>
      </c>
      <c r="M98" s="80">
        <f t="shared" si="92"/>
        <v>0.34799999999999998</v>
      </c>
      <c r="N98" s="76">
        <f>INDEX(Myopia!$H:$H, MATCH(E98, Myopia!$A:$A, 0)) * Trend_Factor^(A98)</f>
        <v>12.019797148499897</v>
      </c>
      <c r="O98" s="11">
        <f t="shared" si="74"/>
        <v>0</v>
      </c>
      <c r="P98" s="80">
        <f t="shared" si="93"/>
        <v>12.019797148499897</v>
      </c>
      <c r="Q98" s="76">
        <f>VLOOKUP(C98,Others!$L$10:$M$61,2)</f>
        <v>0</v>
      </c>
      <c r="R98" s="11">
        <f t="shared" si="75"/>
        <v>0</v>
      </c>
      <c r="S98" s="80">
        <f t="shared" si="94"/>
        <v>0</v>
      </c>
      <c r="T98" s="78">
        <f t="shared" si="95"/>
        <v>2.9E-5</v>
      </c>
      <c r="U98" s="81">
        <f t="shared" si="96"/>
        <v>1.0016497623749913E-3</v>
      </c>
      <c r="V98" s="81">
        <f t="shared" si="97"/>
        <v>0</v>
      </c>
      <c r="W98" s="77">
        <f t="shared" si="76"/>
        <v>0.95866045608799488</v>
      </c>
      <c r="X98" s="82">
        <f t="shared" si="98"/>
        <v>2.7787229717290288E-5</v>
      </c>
      <c r="Y98" s="82">
        <f t="shared" si="99"/>
        <v>9.602280945295793E-4</v>
      </c>
      <c r="Z98" s="82">
        <f t="shared" si="100"/>
        <v>0</v>
      </c>
      <c r="AA98" s="82">
        <f t="shared" si="101"/>
        <v>0.95767244076374802</v>
      </c>
      <c r="AC98" s="46">
        <f t="shared" si="77"/>
        <v>0</v>
      </c>
      <c r="AD98" s="15">
        <f t="shared" si="78"/>
        <v>0</v>
      </c>
      <c r="AE98" s="46">
        <f t="shared" si="102"/>
        <v>0</v>
      </c>
      <c r="AF98" s="15">
        <f t="shared" si="103"/>
        <v>0</v>
      </c>
      <c r="AG98" s="46">
        <f>SUMPRODUCT(AE99:AE$605, $I98:$I$604) / $I98</f>
        <v>0</v>
      </c>
      <c r="AI98" s="46">
        <f t="shared" si="79"/>
        <v>-47000</v>
      </c>
      <c r="AJ98" s="46">
        <f>IF(E98&gt;Mat_Year,0,  -SUM($AD$5:AD98))</f>
        <v>-9306</v>
      </c>
      <c r="AK98" s="24">
        <f t="shared" si="104"/>
        <v>-0.25858795974910342</v>
      </c>
      <c r="AL98" s="79">
        <f t="shared" si="105"/>
        <v>-45.13072044289023</v>
      </c>
      <c r="AM98" s="24">
        <f t="shared" si="106"/>
        <v>-47.346595047697548</v>
      </c>
      <c r="AN98" s="79">
        <f t="shared" si="107"/>
        <v>-45.38930840263933</v>
      </c>
      <c r="AO98" s="15">
        <f t="shared" si="108"/>
        <v>-6727.8215175851328</v>
      </c>
      <c r="AP98" s="46">
        <f>SUMPRODUCT(AN99:AN$605, $I99:$I$605) / $I98</f>
        <v>-6449.6964445267895</v>
      </c>
      <c r="AR98" s="46">
        <v>0</v>
      </c>
      <c r="AS98" s="46">
        <v>0</v>
      </c>
      <c r="AT98" s="46">
        <v>0</v>
      </c>
      <c r="AU98" s="95">
        <f t="shared" si="80"/>
        <v>-1.9338068464882623</v>
      </c>
      <c r="AV98" s="47">
        <f t="shared" si="81"/>
        <v>0</v>
      </c>
      <c r="AW98" s="96">
        <f t="shared" si="116"/>
        <v>-1.9338068464882623</v>
      </c>
      <c r="AX98" s="95">
        <f t="shared" si="82"/>
        <v>-22.174318506398738</v>
      </c>
      <c r="AY98" s="11">
        <f t="shared" si="83"/>
        <v>0</v>
      </c>
      <c r="AZ98" s="96">
        <f t="shared" si="117"/>
        <v>-22.174318506398738</v>
      </c>
      <c r="BA98" s="95">
        <f t="shared" si="118"/>
        <v>-1.8538641534405247</v>
      </c>
      <c r="BB98" s="64">
        <f t="shared" si="119"/>
        <v>-2.190856648905291E-2</v>
      </c>
      <c r="BC98" s="95">
        <f t="shared" si="120"/>
        <v>-1.9338068464882623</v>
      </c>
      <c r="BD98" s="96">
        <f t="shared" si="121"/>
        <v>-2.2853311983322213E-2</v>
      </c>
      <c r="BE98" s="96">
        <f t="shared" si="122"/>
        <v>-1.8538641534405247</v>
      </c>
      <c r="BF98" s="96">
        <f t="shared" si="123"/>
        <v>-2.190856648905291E-2</v>
      </c>
      <c r="BG98" s="15">
        <f t="shared" si="109"/>
        <v>-220.71798870627359</v>
      </c>
      <c r="BH98" s="46">
        <f>(SUMPRODUCT(BE99:BE$605,$I98:$I$604)+SUMPRODUCT(BF99:BF$605,$I99:$I$605)) / $I98</f>
        <v>-211.59360771998115</v>
      </c>
      <c r="BJ98" s="46">
        <f t="shared" si="124"/>
        <v>-1.8538641534405247</v>
      </c>
      <c r="BK98" s="46">
        <f t="shared" si="125"/>
        <v>-45.411216969128382</v>
      </c>
      <c r="BM98" s="49">
        <f t="shared" si="110"/>
        <v>6955.7082032499175</v>
      </c>
      <c r="BN98" s="46">
        <f t="shared" si="126"/>
        <v>6661.2900522467726</v>
      </c>
      <c r="BP98" s="46">
        <f>Reserve!BX98</f>
        <v>9255.340348305077</v>
      </c>
      <c r="BQ98" s="46">
        <f t="shared" si="84"/>
        <v>8863.5843814605214</v>
      </c>
      <c r="BR98" s="15">
        <f t="shared" si="111"/>
        <v>33.045716887902017</v>
      </c>
      <c r="BT98" s="49">
        <f t="shared" si="112"/>
        <v>35.214636066613508</v>
      </c>
      <c r="BU98" s="46">
        <f t="shared" si="85"/>
        <v>33.758879072592457</v>
      </c>
      <c r="BV98" s="46">
        <f>SUMPRODUCT(BU99:BU$605, $I99:$I$605) / $I98</f>
        <v>1825.5387362287208</v>
      </c>
      <c r="BX98" s="46">
        <f>-BZ98*Others!$Q$43</f>
        <v>-5.0021157985089451</v>
      </c>
      <c r="BZ98" s="50">
        <f t="shared" si="70"/>
        <v>19.539514837925566</v>
      </c>
      <c r="CA98" s="46">
        <f t="shared" si="113"/>
        <v>14.53739903941662</v>
      </c>
      <c r="CB98" s="46">
        <f t="shared" si="86"/>
        <v>14.53739903941662</v>
      </c>
      <c r="CD98" s="46">
        <f>SUMPRODUCT(BZ99:BZ$605, $I99:$I$605) / $I98</f>
        <v>2202.2943292137456</v>
      </c>
      <c r="CE98" s="46">
        <f>SUMPRODUCT(CA99:CA$605, $I99:$I$605) / $I98</f>
        <v>1638.5069809350264</v>
      </c>
      <c r="CF98" s="46">
        <f>SUMPRODUCT(CB99:CB$605, $I99:$I$605) / $I98</f>
        <v>1638.5069809350264</v>
      </c>
      <c r="CH98" s="46">
        <f t="shared" si="87"/>
        <v>37744.659651694921</v>
      </c>
      <c r="CI98" s="46">
        <f t="shared" si="88"/>
        <v>50.659651694923014</v>
      </c>
      <c r="CK98" s="46">
        <f>NPV((1+CK$3)^(1/12)-1,$CB$6:$CB98)+$CB$5</f>
        <v>8.1753662495495973</v>
      </c>
      <c r="CL98" s="46">
        <f>NPV((1+CL$3)^(1/12)-1,$CB$6:$CB98)+$CB$5</f>
        <v>-52.856520339401186</v>
      </c>
      <c r="CM98" s="46">
        <f>NPV((1+CM$3)^(1/12)-1,$CB$6:$CB98)+$CB$5</f>
        <v>-176.35332068668265</v>
      </c>
      <c r="CN98" s="46">
        <f>NPV((1+CN$3)^(1/12)-1,$CB$6:$CB98)+$CB$5</f>
        <v>-176.35332068668265</v>
      </c>
    </row>
    <row r="99" spans="1:92" x14ac:dyDescent="0.25">
      <c r="A99" s="61">
        <f t="shared" si="71"/>
        <v>7.8333333333333224</v>
      </c>
      <c r="B99" s="32">
        <f t="shared" si="89"/>
        <v>10</v>
      </c>
      <c r="C99" s="62">
        <f t="shared" si="90"/>
        <v>8</v>
      </c>
      <c r="D99" s="64">
        <f t="shared" si="91"/>
        <v>8.3333333333333215</v>
      </c>
      <c r="E99" s="28">
        <f t="shared" si="72"/>
        <v>8</v>
      </c>
      <c r="G99" s="68">
        <f>INDEX(Others!$D$11:$E$60, MATCH(C99, Others!$A$11:$A$60, 0), MATCH(G$3, Others!$D$10:$E$10, 0))</f>
        <v>4.6507166616977402E-2</v>
      </c>
      <c r="H99" s="16">
        <f t="shared" si="114"/>
        <v>3.7953601286573324E-3</v>
      </c>
      <c r="I99" s="69">
        <f t="shared" si="115"/>
        <v>0.75712686597726797</v>
      </c>
      <c r="K99" s="80">
        <f>INDEX(Mortality!$B$7:$F$32, MATCH( E99,Mortality!$A$7:$A$32, 0), MATCH( K$3,Mortality!$B$6:$F$6,0))</f>
        <v>0.34799999999999998</v>
      </c>
      <c r="L99" s="11">
        <f t="shared" si="73"/>
        <v>0</v>
      </c>
      <c r="M99" s="80">
        <f t="shared" si="92"/>
        <v>0.34799999999999998</v>
      </c>
      <c r="N99" s="76">
        <f>INDEX(Myopia!$H:$H, MATCH(E99, Myopia!$A:$A, 0)) * Trend_Factor^(A99)</f>
        <v>12.019797148499897</v>
      </c>
      <c r="O99" s="11">
        <f t="shared" si="74"/>
        <v>0</v>
      </c>
      <c r="P99" s="80">
        <f t="shared" si="93"/>
        <v>12.019797148499897</v>
      </c>
      <c r="Q99" s="76">
        <f>VLOOKUP(C99,Others!$L$10:$M$61,2)</f>
        <v>0</v>
      </c>
      <c r="R99" s="11">
        <f t="shared" si="75"/>
        <v>0</v>
      </c>
      <c r="S99" s="80">
        <f t="shared" si="94"/>
        <v>0</v>
      </c>
      <c r="T99" s="78">
        <f t="shared" si="95"/>
        <v>2.9E-5</v>
      </c>
      <c r="U99" s="81">
        <f t="shared" si="96"/>
        <v>1.0016497623749913E-3</v>
      </c>
      <c r="V99" s="81">
        <f t="shared" si="97"/>
        <v>0</v>
      </c>
      <c r="W99" s="77">
        <f t="shared" si="76"/>
        <v>0.95767244076374802</v>
      </c>
      <c r="X99" s="82">
        <f t="shared" si="98"/>
        <v>2.7758591622744194E-5</v>
      </c>
      <c r="Y99" s="82">
        <f t="shared" si="99"/>
        <v>9.592384635646816E-4</v>
      </c>
      <c r="Z99" s="82">
        <f t="shared" si="100"/>
        <v>0</v>
      </c>
      <c r="AA99" s="82">
        <f t="shared" si="101"/>
        <v>0.95668544370856057</v>
      </c>
      <c r="AC99" s="46">
        <f t="shared" si="77"/>
        <v>0</v>
      </c>
      <c r="AD99" s="15">
        <f t="shared" si="78"/>
        <v>0</v>
      </c>
      <c r="AE99" s="46">
        <f t="shared" si="102"/>
        <v>0</v>
      </c>
      <c r="AF99" s="15">
        <f t="shared" si="103"/>
        <v>0</v>
      </c>
      <c r="AG99" s="46">
        <f>SUMPRODUCT(AE100:AE$605, $I99:$I$604) / $I99</f>
        <v>0</v>
      </c>
      <c r="AI99" s="46">
        <f t="shared" si="79"/>
        <v>-47000</v>
      </c>
      <c r="AJ99" s="46">
        <f>IF(E99&gt;Mat_Year,0,  -SUM($AD$5:AD99))</f>
        <v>-9306</v>
      </c>
      <c r="AK99" s="24">
        <f t="shared" si="104"/>
        <v>-0.25832145364125747</v>
      </c>
      <c r="AL99" s="79">
        <f t="shared" si="105"/>
        <v>-45.084207787540038</v>
      </c>
      <c r="AM99" s="24">
        <f t="shared" si="106"/>
        <v>-47.346595047697548</v>
      </c>
      <c r="AN99" s="79">
        <f t="shared" si="107"/>
        <v>-45.342529241181296</v>
      </c>
      <c r="AO99" s="15">
        <f t="shared" si="108"/>
        <v>-6712.9767573619265</v>
      </c>
      <c r="AP99" s="46">
        <f>SUMPRODUCT(AN100:AN$605, $I100:$I$605) / $I99</f>
        <v>-6428.8328360131072</v>
      </c>
      <c r="AR99" s="46">
        <v>0</v>
      </c>
      <c r="AS99" s="46">
        <v>0</v>
      </c>
      <c r="AT99" s="46">
        <v>0</v>
      </c>
      <c r="AU99" s="95">
        <f t="shared" si="80"/>
        <v>-1.9359690330531016</v>
      </c>
      <c r="AV99" s="47">
        <f t="shared" si="81"/>
        <v>0</v>
      </c>
      <c r="AW99" s="96">
        <f t="shared" si="116"/>
        <v>-1.9359690330531016</v>
      </c>
      <c r="AX99" s="95">
        <f t="shared" si="82"/>
        <v>-22.199111579008896</v>
      </c>
      <c r="AY99" s="11">
        <f t="shared" si="83"/>
        <v>0</v>
      </c>
      <c r="AZ99" s="96">
        <f t="shared" si="117"/>
        <v>-22.199111579008896</v>
      </c>
      <c r="BA99" s="95">
        <f t="shared" si="118"/>
        <v>-1.8540241891269971</v>
      </c>
      <c r="BB99" s="64">
        <f t="shared" si="119"/>
        <v>-2.1910457756258869E-2</v>
      </c>
      <c r="BC99" s="95">
        <f t="shared" si="120"/>
        <v>-1.9359690330531016</v>
      </c>
      <c r="BD99" s="96">
        <f t="shared" si="121"/>
        <v>-2.2878864237531136E-2</v>
      </c>
      <c r="BE99" s="96">
        <f t="shared" si="122"/>
        <v>-1.8540241891269971</v>
      </c>
      <c r="BF99" s="96">
        <f t="shared" si="123"/>
        <v>-2.1910457756258869E-2</v>
      </c>
      <c r="BG99" s="15">
        <f t="shared" si="109"/>
        <v>-219.8180728245103</v>
      </c>
      <c r="BH99" s="46">
        <f>(SUMPRODUCT(BE100:BE$605,$I99:$I$604)+SUMPRODUCT(BF100:BF$605,$I100:$I$605)) / $I99</f>
        <v>-210.51371032583208</v>
      </c>
      <c r="BJ99" s="46">
        <f t="shared" si="124"/>
        <v>-1.8540241891269971</v>
      </c>
      <c r="BK99" s="46">
        <f t="shared" si="125"/>
        <v>-45.364439698937552</v>
      </c>
      <c r="BM99" s="49">
        <f t="shared" si="110"/>
        <v>6939.9472836146924</v>
      </c>
      <c r="BN99" s="46">
        <f t="shared" si="126"/>
        <v>6639.3465463389421</v>
      </c>
      <c r="BP99" s="46">
        <f>Reserve!BX99</f>
        <v>9230.2990707603622</v>
      </c>
      <c r="BQ99" s="46">
        <f t="shared" si="84"/>
        <v>8830.4927620730905</v>
      </c>
      <c r="BR99" s="15">
        <f t="shared" si="111"/>
        <v>33.09161938743091</v>
      </c>
      <c r="BT99" s="49">
        <f t="shared" si="112"/>
        <v>35.120002035432194</v>
      </c>
      <c r="BU99" s="46">
        <f t="shared" si="85"/>
        <v>33.633458068900147</v>
      </c>
      <c r="BV99" s="46">
        <f>SUMPRODUCT(BU100:BU$605, $I100:$I$605) / $I99</f>
        <v>1798.8338550926233</v>
      </c>
      <c r="BX99" s="46">
        <f>-BZ99*Others!$Q$43</f>
        <v>-4.9936930734762264</v>
      </c>
      <c r="BZ99" s="50">
        <f t="shared" si="70"/>
        <v>19.506613568266509</v>
      </c>
      <c r="CA99" s="46">
        <f t="shared" si="113"/>
        <v>14.512920494790283</v>
      </c>
      <c r="CB99" s="46">
        <f t="shared" si="86"/>
        <v>14.512920494790283</v>
      </c>
      <c r="CD99" s="46">
        <f>SUMPRODUCT(BZ100:BZ$605, $I100:$I$605) / $I99</f>
        <v>2191.1462157341448</v>
      </c>
      <c r="CE99" s="46">
        <f>SUMPRODUCT(CA100:CA$605, $I100:$I$605) / $I99</f>
        <v>1630.2127845062039</v>
      </c>
      <c r="CF99" s="46">
        <f>SUMPRODUCT(CB100:CB$605, $I100:$I$605) / $I99</f>
        <v>1630.2127845062039</v>
      </c>
      <c r="CH99" s="46">
        <f t="shared" si="87"/>
        <v>37769.70092923964</v>
      </c>
      <c r="CI99" s="46">
        <f t="shared" si="88"/>
        <v>75.700929239637844</v>
      </c>
      <c r="CK99" s="46">
        <f>NPV((1+CK$3)^(1/12)-1,$CB$6:$CB99)+$CB$5</f>
        <v>19.688579687387346</v>
      </c>
      <c r="CL99" s="46">
        <f>NPV((1+CL$3)^(1/12)-1,$CB$6:$CB99)+$CB$5</f>
        <v>-42.953401894847616</v>
      </c>
      <c r="CM99" s="46">
        <f>NPV((1+CM$3)^(1/12)-1,$CB$6:$CB99)+$CB$5</f>
        <v>-169.47452966576918</v>
      </c>
      <c r="CN99" s="46">
        <f>NPV((1+CN$3)^(1/12)-1,$CB$6:$CB99)+$CB$5</f>
        <v>-169.47452966576918</v>
      </c>
    </row>
    <row r="100" spans="1:92" x14ac:dyDescent="0.25">
      <c r="A100" s="61">
        <f t="shared" si="71"/>
        <v>7.9166666666666554</v>
      </c>
      <c r="B100" s="32">
        <f t="shared" si="89"/>
        <v>11</v>
      </c>
      <c r="C100" s="62">
        <f t="shared" si="90"/>
        <v>8</v>
      </c>
      <c r="D100" s="64">
        <f t="shared" si="91"/>
        <v>8.4166666666666554</v>
      </c>
      <c r="E100" s="28">
        <f t="shared" si="72"/>
        <v>8</v>
      </c>
      <c r="G100" s="68">
        <f>INDEX(Others!$D$11:$E$60, MATCH(C100, Others!$A$11:$A$60, 0), MATCH(G$3, Others!$D$10:$E$10, 0))</f>
        <v>4.6507166616977402E-2</v>
      </c>
      <c r="H100" s="16">
        <f t="shared" si="114"/>
        <v>3.7953601286573324E-3</v>
      </c>
      <c r="I100" s="69">
        <f t="shared" si="115"/>
        <v>0.75426416185090395</v>
      </c>
      <c r="K100" s="80">
        <f>INDEX(Mortality!$B$7:$F$32, MATCH( E100,Mortality!$A$7:$A$32, 0), MATCH( K$3,Mortality!$B$6:$F$6,0))</f>
        <v>0.34799999999999998</v>
      </c>
      <c r="L100" s="11">
        <f t="shared" si="73"/>
        <v>0</v>
      </c>
      <c r="M100" s="80">
        <f t="shared" si="92"/>
        <v>0.34799999999999998</v>
      </c>
      <c r="N100" s="76">
        <f>INDEX(Myopia!$H:$H, MATCH(E100, Myopia!$A:$A, 0)) * Trend_Factor^(A100)</f>
        <v>12.019797148499897</v>
      </c>
      <c r="O100" s="11">
        <f t="shared" si="74"/>
        <v>0</v>
      </c>
      <c r="P100" s="80">
        <f t="shared" si="93"/>
        <v>12.019797148499897</v>
      </c>
      <c r="Q100" s="76">
        <f>VLOOKUP(C100,Others!$L$10:$M$61,2)</f>
        <v>0</v>
      </c>
      <c r="R100" s="11">
        <f t="shared" si="75"/>
        <v>0</v>
      </c>
      <c r="S100" s="80">
        <f t="shared" si="94"/>
        <v>0</v>
      </c>
      <c r="T100" s="78">
        <f t="shared" si="95"/>
        <v>2.9E-5</v>
      </c>
      <c r="U100" s="81">
        <f t="shared" si="96"/>
        <v>1.0016497623749913E-3</v>
      </c>
      <c r="V100" s="81">
        <f t="shared" si="97"/>
        <v>0</v>
      </c>
      <c r="W100" s="77">
        <f t="shared" si="76"/>
        <v>0.95668544370856057</v>
      </c>
      <c r="X100" s="82">
        <f t="shared" si="98"/>
        <v>2.7729983043211559E-5</v>
      </c>
      <c r="Y100" s="82">
        <f t="shared" si="99"/>
        <v>9.5824985253395618E-4</v>
      </c>
      <c r="Z100" s="82">
        <f t="shared" si="100"/>
        <v>0</v>
      </c>
      <c r="AA100" s="82">
        <f t="shared" si="101"/>
        <v>0.95569946387298343</v>
      </c>
      <c r="AC100" s="46">
        <f t="shared" si="77"/>
        <v>0</v>
      </c>
      <c r="AD100" s="15">
        <f t="shared" si="78"/>
        <v>0</v>
      </c>
      <c r="AE100" s="46">
        <f t="shared" si="102"/>
        <v>0</v>
      </c>
      <c r="AF100" s="15">
        <f t="shared" si="103"/>
        <v>0</v>
      </c>
      <c r="AG100" s="46">
        <f>SUMPRODUCT(AE101:AE$605, $I100:$I$604) / $I100</f>
        <v>0</v>
      </c>
      <c r="AI100" s="46">
        <f t="shared" si="79"/>
        <v>-47000</v>
      </c>
      <c r="AJ100" s="46">
        <f>IF(E100&gt;Mat_Year,0,  -SUM($AD$5:AD100))</f>
        <v>-9306</v>
      </c>
      <c r="AK100" s="24">
        <f t="shared" si="104"/>
        <v>-0.25805522220012678</v>
      </c>
      <c r="AL100" s="79">
        <f t="shared" si="105"/>
        <v>-45.037743069095939</v>
      </c>
      <c r="AM100" s="24">
        <f t="shared" si="106"/>
        <v>-47.346595047697548</v>
      </c>
      <c r="AN100" s="79">
        <f t="shared" si="107"/>
        <v>-45.295798291296066</v>
      </c>
      <c r="AO100" s="15">
        <f t="shared" si="108"/>
        <v>-6698.0602826998784</v>
      </c>
      <c r="AP100" s="46">
        <f>SUMPRODUCT(AN101:AN$605, $I101:$I$605) / $I100</f>
        <v>-6407.9367735414198</v>
      </c>
      <c r="AR100" s="46">
        <v>0</v>
      </c>
      <c r="AS100" s="46">
        <v>0</v>
      </c>
      <c r="AT100" s="46">
        <v>0</v>
      </c>
      <c r="AU100" s="95">
        <f t="shared" si="80"/>
        <v>-1.9381336371555302</v>
      </c>
      <c r="AV100" s="47">
        <f t="shared" si="81"/>
        <v>0</v>
      </c>
      <c r="AW100" s="96">
        <f t="shared" si="116"/>
        <v>-1.9381336371555302</v>
      </c>
      <c r="AX100" s="95">
        <f t="shared" si="82"/>
        <v>-22.223932372716746</v>
      </c>
      <c r="AY100" s="11">
        <f t="shared" si="83"/>
        <v>0</v>
      </c>
      <c r="AZ100" s="96">
        <f t="shared" si="117"/>
        <v>-22.223932372716746</v>
      </c>
      <c r="BA100" s="95">
        <f t="shared" si="118"/>
        <v>-1.8541842386286247</v>
      </c>
      <c r="BB100" s="64">
        <f t="shared" si="119"/>
        <v>-2.1912349186729352E-2</v>
      </c>
      <c r="BC100" s="95">
        <f t="shared" si="120"/>
        <v>-1.9381336371555302</v>
      </c>
      <c r="BD100" s="96">
        <f t="shared" si="121"/>
        <v>-2.2904445061677568E-2</v>
      </c>
      <c r="BE100" s="96">
        <f t="shared" si="122"/>
        <v>-1.8541842386286247</v>
      </c>
      <c r="BF100" s="96">
        <f t="shared" si="123"/>
        <v>-2.1912349186729352E-2</v>
      </c>
      <c r="BG100" s="15">
        <f t="shared" si="109"/>
        <v>-218.91161108498284</v>
      </c>
      <c r="BH100" s="46">
        <f>(SUMPRODUCT(BE101:BE$605,$I100:$I$604)+SUMPRODUCT(BF101:BF$605,$I101:$I$605)) / $I100</f>
        <v>-209.42955178379265</v>
      </c>
      <c r="BJ100" s="46">
        <f t="shared" si="124"/>
        <v>-1.8541842386286247</v>
      </c>
      <c r="BK100" s="46">
        <f t="shared" si="125"/>
        <v>-45.317710640482794</v>
      </c>
      <c r="BM100" s="49">
        <f t="shared" si="110"/>
        <v>6924.1080229429635</v>
      </c>
      <c r="BN100" s="46">
        <f t="shared" si="126"/>
        <v>6617.3663253252134</v>
      </c>
      <c r="BP100" s="46">
        <f>Reserve!BX100</f>
        <v>9205.1480228511118</v>
      </c>
      <c r="BQ100" s="46">
        <f t="shared" si="84"/>
        <v>8797.3550303102602</v>
      </c>
      <c r="BR100" s="15">
        <f t="shared" si="111"/>
        <v>33.137731762830299</v>
      </c>
      <c r="BT100" s="49">
        <f t="shared" si="112"/>
        <v>35.024953153616224</v>
      </c>
      <c r="BU100" s="46">
        <f t="shared" si="85"/>
        <v>33.507862848638887</v>
      </c>
      <c r="BV100" s="46">
        <f>SUMPRODUCT(BU101:BU$605, $I101:$I$605) / $I100</f>
        <v>1772.1532145356819</v>
      </c>
      <c r="BX100" s="46">
        <f>-BZ100*Others!$Q$43</f>
        <v>-4.9852671314835879</v>
      </c>
      <c r="BZ100" s="50">
        <f t="shared" si="70"/>
        <v>19.473699732357765</v>
      </c>
      <c r="CA100" s="46">
        <f t="shared" si="113"/>
        <v>14.488432600874177</v>
      </c>
      <c r="CB100" s="46">
        <f t="shared" si="86"/>
        <v>14.488432600874177</v>
      </c>
      <c r="CD100" s="46">
        <f>SUMPRODUCT(BZ101:BZ$605, $I101:$I$605) / $I100</f>
        <v>2179.9887049850427</v>
      </c>
      <c r="CE100" s="46">
        <f>SUMPRODUCT(CA101:CA$605, $I101:$I$605) / $I100</f>
        <v>1621.911596508872</v>
      </c>
      <c r="CF100" s="46">
        <f>SUMPRODUCT(CB101:CB$605, $I101:$I$605) / $I100</f>
        <v>1621.911596508872</v>
      </c>
      <c r="CH100" s="46">
        <f t="shared" si="87"/>
        <v>37794.851977148886</v>
      </c>
      <c r="CI100" s="46">
        <f t="shared" si="88"/>
        <v>100.85197714888818</v>
      </c>
      <c r="CK100" s="46">
        <f>NPV((1+CK$3)^(1/12)-1,$CB$6:$CB100)+$CB$5</f>
        <v>31.154089646649936</v>
      </c>
      <c r="CL100" s="46">
        <f>NPV((1+CL$3)^(1/12)-1,$CB$6:$CB100)+$CB$5</f>
        <v>-33.107108167428692</v>
      </c>
      <c r="CM100" s="46">
        <f>NPV((1+CM$3)^(1/12)-1,$CB$6:$CB100)+$CB$5</f>
        <v>-162.66167202772795</v>
      </c>
      <c r="CN100" s="46">
        <f>NPV((1+CN$3)^(1/12)-1,$CB$6:$CB100)+$CB$5</f>
        <v>-162.66167202772795</v>
      </c>
    </row>
    <row r="101" spans="1:92" x14ac:dyDescent="0.25">
      <c r="A101" s="61">
        <f t="shared" si="71"/>
        <v>7.9999999999999885</v>
      </c>
      <c r="B101" s="32">
        <f t="shared" si="89"/>
        <v>12</v>
      </c>
      <c r="C101" s="62">
        <f t="shared" si="90"/>
        <v>8</v>
      </c>
      <c r="D101" s="64">
        <f t="shared" si="91"/>
        <v>8.4999999999999893</v>
      </c>
      <c r="E101" s="28">
        <f t="shared" si="72"/>
        <v>8</v>
      </c>
      <c r="G101" s="68">
        <f>INDEX(Others!$D$11:$E$60, MATCH(C101, Others!$A$11:$A$60, 0), MATCH(G$3, Others!$D$10:$E$10, 0))</f>
        <v>4.6507166616977402E-2</v>
      </c>
      <c r="H101" s="16">
        <f t="shared" si="114"/>
        <v>3.7953601286573324E-3</v>
      </c>
      <c r="I101" s="69">
        <f t="shared" si="115"/>
        <v>0.75141228163699547</v>
      </c>
      <c r="K101" s="80">
        <f>INDEX(Mortality!$B$7:$F$32, MATCH( E101,Mortality!$A$7:$A$32, 0), MATCH( K$3,Mortality!$B$6:$F$6,0))</f>
        <v>0.34799999999999998</v>
      </c>
      <c r="L101" s="11">
        <f t="shared" si="73"/>
        <v>0</v>
      </c>
      <c r="M101" s="80">
        <f t="shared" si="92"/>
        <v>0.34799999999999998</v>
      </c>
      <c r="N101" s="76">
        <f>INDEX(Myopia!$H:$H, MATCH(E101, Myopia!$A:$A, 0)) * Trend_Factor^(A101)</f>
        <v>12.019797148499897</v>
      </c>
      <c r="O101" s="11">
        <f t="shared" si="74"/>
        <v>0</v>
      </c>
      <c r="P101" s="80">
        <f t="shared" si="93"/>
        <v>12.019797148499897</v>
      </c>
      <c r="Q101" s="76">
        <f>VLOOKUP(C101,Others!$L$10:$M$61,2)</f>
        <v>0</v>
      </c>
      <c r="R101" s="11">
        <f t="shared" si="75"/>
        <v>0</v>
      </c>
      <c r="S101" s="80">
        <f t="shared" si="94"/>
        <v>0</v>
      </c>
      <c r="T101" s="78">
        <f t="shared" si="95"/>
        <v>2.9E-5</v>
      </c>
      <c r="U101" s="81">
        <f t="shared" si="96"/>
        <v>1.0016497623749913E-3</v>
      </c>
      <c r="V101" s="81">
        <f t="shared" si="97"/>
        <v>0</v>
      </c>
      <c r="W101" s="77">
        <f t="shared" si="76"/>
        <v>0.95569946387298343</v>
      </c>
      <c r="X101" s="82">
        <f t="shared" si="98"/>
        <v>2.7701403948273612E-5</v>
      </c>
      <c r="Y101" s="82">
        <f t="shared" si="99"/>
        <v>9.5726226038623759E-4</v>
      </c>
      <c r="Z101" s="82">
        <f t="shared" si="100"/>
        <v>0</v>
      </c>
      <c r="AA101" s="82">
        <f t="shared" si="101"/>
        <v>0.9547145002086489</v>
      </c>
      <c r="AC101" s="46">
        <f t="shared" si="77"/>
        <v>0</v>
      </c>
      <c r="AD101" s="15">
        <f t="shared" si="78"/>
        <v>0</v>
      </c>
      <c r="AE101" s="46">
        <f t="shared" si="102"/>
        <v>0</v>
      </c>
      <c r="AF101" s="15">
        <f t="shared" si="103"/>
        <v>0</v>
      </c>
      <c r="AG101" s="46">
        <f>SUMPRODUCT(AE102:AE$605, $I101:$I$604) / $I101</f>
        <v>0</v>
      </c>
      <c r="AI101" s="46">
        <f t="shared" si="79"/>
        <v>-47000</v>
      </c>
      <c r="AJ101" s="46">
        <f>IF(E101&gt;Mat_Year,0,  -SUM($AD$5:AD101))</f>
        <v>-9306</v>
      </c>
      <c r="AK101" s="24">
        <f t="shared" si="104"/>
        <v>-0.25778926514263423</v>
      </c>
      <c r="AL101" s="79">
        <f t="shared" si="105"/>
        <v>-44.991326238153164</v>
      </c>
      <c r="AM101" s="24">
        <f t="shared" si="106"/>
        <v>-47.346595047697548</v>
      </c>
      <c r="AN101" s="79">
        <f t="shared" si="107"/>
        <v>-45.249115503295798</v>
      </c>
      <c r="AO101" s="15">
        <f t="shared" si="108"/>
        <v>-6683.0717471494145</v>
      </c>
      <c r="AP101" s="46">
        <f>SUMPRODUCT(AN102:AN$605, $I102:$I$605) / $I101</f>
        <v>-6387.0080857753783</v>
      </c>
      <c r="AR101" s="46">
        <v>0</v>
      </c>
      <c r="AS101" s="46">
        <v>0</v>
      </c>
      <c r="AT101" s="46">
        <v>0</v>
      </c>
      <c r="AU101" s="95">
        <f t="shared" si="80"/>
        <v>-1.9403006614985931</v>
      </c>
      <c r="AV101" s="47">
        <f t="shared" si="81"/>
        <v>0</v>
      </c>
      <c r="AW101" s="96">
        <f t="shared" si="116"/>
        <v>-1.9403006614985931</v>
      </c>
      <c r="AX101" s="95">
        <f t="shared" si="82"/>
        <v>-22.248780918517198</v>
      </c>
      <c r="AY101" s="11">
        <f t="shared" si="83"/>
        <v>0</v>
      </c>
      <c r="AZ101" s="96">
        <f t="shared" si="117"/>
        <v>-22.248780918517198</v>
      </c>
      <c r="BA101" s="95">
        <f t="shared" si="118"/>
        <v>-1.8543443019466006</v>
      </c>
      <c r="BB101" s="64">
        <f t="shared" si="119"/>
        <v>-2.1914240780478451E-2</v>
      </c>
      <c r="BC101" s="95">
        <f t="shared" si="120"/>
        <v>-1.9403006614985931</v>
      </c>
      <c r="BD101" s="96">
        <f t="shared" si="121"/>
        <v>-2.2930054487705506E-2</v>
      </c>
      <c r="BE101" s="96">
        <f t="shared" si="122"/>
        <v>-1.8543443019466006</v>
      </c>
      <c r="BF101" s="96">
        <f t="shared" si="123"/>
        <v>-2.1914240780478451E-2</v>
      </c>
      <c r="BG101" s="15">
        <f t="shared" si="109"/>
        <v>-217.9985694068877</v>
      </c>
      <c r="BH101" s="46">
        <f>(SUMPRODUCT(BE102:BE$605,$I101:$I$604)+SUMPRODUCT(BF102:BF$605,$I102:$I$605)) / $I101</f>
        <v>-208.34111590723995</v>
      </c>
      <c r="BJ101" s="46">
        <f t="shared" si="124"/>
        <v>-1.8543443019466006</v>
      </c>
      <c r="BK101" s="46">
        <f t="shared" si="125"/>
        <v>-45.271029744076273</v>
      </c>
      <c r="BM101" s="49">
        <f t="shared" si="110"/>
        <v>6908.1900403117743</v>
      </c>
      <c r="BN101" s="46">
        <f t="shared" si="126"/>
        <v>6595.3492016826212</v>
      </c>
      <c r="BP101" s="46">
        <f>Reserve!BX101</f>
        <v>9179.8867344938553</v>
      </c>
      <c r="BQ101" s="46">
        <f t="shared" si="84"/>
        <v>8764.1709756943073</v>
      </c>
      <c r="BR101" s="15">
        <f t="shared" si="111"/>
        <v>33.184054615952846</v>
      </c>
      <c r="BT101" s="49">
        <f t="shared" si="112"/>
        <v>34.929487644549724</v>
      </c>
      <c r="BU101" s="46">
        <f t="shared" si="85"/>
        <v>33.382092615254173</v>
      </c>
      <c r="BV101" s="46">
        <f>SUMPRODUCT(BU102:BU$605, $I102:$I$605) / $I101</f>
        <v>1745.4970815727484</v>
      </c>
      <c r="BX101" s="46">
        <f>-BZ101*Others!$Q$43</f>
        <v>-4.9768379354071408</v>
      </c>
      <c r="BZ101" s="50">
        <f t="shared" si="70"/>
        <v>19.440773185184142</v>
      </c>
      <c r="CA101" s="46">
        <f t="shared" si="113"/>
        <v>14.463935249777002</v>
      </c>
      <c r="CB101" s="46">
        <f t="shared" si="86"/>
        <v>14.463935249777002</v>
      </c>
      <c r="CD101" s="46">
        <f>SUMPRODUCT(BZ102:BZ$605, $I102:$I$605) / $I101</f>
        <v>2168.821774011682</v>
      </c>
      <c r="CE101" s="46">
        <f>SUMPRODUCT(CA102:CA$605, $I102:$I$605) / $I101</f>
        <v>1613.6033998646913</v>
      </c>
      <c r="CF101" s="46">
        <f>SUMPRODUCT(CB102:CB$605, $I102:$I$605) / $I101</f>
        <v>1613.6033998646913</v>
      </c>
      <c r="CH101" s="46">
        <f t="shared" si="87"/>
        <v>37820.113265506145</v>
      </c>
      <c r="CI101" s="46">
        <f t="shared" si="88"/>
        <v>126.11326550614467</v>
      </c>
      <c r="CK101" s="46">
        <f>NPV((1+CK$3)^(1/12)-1,$CB$6:$CB101)+$CB$5</f>
        <v>42.572053697342653</v>
      </c>
      <c r="CL101" s="46">
        <f>NPV((1+CL$3)^(1/12)-1,$CB$6:$CB101)+$CB$5</f>
        <v>-23.31734746054542</v>
      </c>
      <c r="CM101" s="46">
        <f>NPV((1+CM$3)^(1/12)-1,$CB$6:$CB101)+$CB$5</f>
        <v>-155.91413948683123</v>
      </c>
      <c r="CN101" s="46">
        <f>NPV((1+CN$3)^(1/12)-1,$CB$6:$CB101)+$CB$5</f>
        <v>-155.91413948683123</v>
      </c>
    </row>
    <row r="102" spans="1:92" x14ac:dyDescent="0.25">
      <c r="A102" s="61">
        <f t="shared" si="71"/>
        <v>8.0833333333333215</v>
      </c>
      <c r="B102" s="32">
        <f t="shared" si="89"/>
        <v>1</v>
      </c>
      <c r="C102" s="62">
        <f t="shared" si="90"/>
        <v>9</v>
      </c>
      <c r="D102" s="64">
        <f t="shared" si="91"/>
        <v>8.5833333333333215</v>
      </c>
      <c r="E102" s="28">
        <f t="shared" si="72"/>
        <v>8</v>
      </c>
      <c r="G102" s="68">
        <f>INDEX(Others!$D$11:$E$60, MATCH(C102, Others!$A$11:$A$60, 0), MATCH(G$3, Others!$D$10:$E$10, 0))</f>
        <v>4.9403172915208016E-2</v>
      </c>
      <c r="H102" s="16">
        <f t="shared" si="114"/>
        <v>4.026551179866944E-3</v>
      </c>
      <c r="I102" s="69">
        <f t="shared" si="115"/>
        <v>0.74839881550341913</v>
      </c>
      <c r="K102" s="80">
        <f>INDEX(Mortality!$B$7:$F$32, MATCH( E102,Mortality!$A$7:$A$32, 0), MATCH( K$3,Mortality!$B$6:$F$6,0))</f>
        <v>0.34799999999999998</v>
      </c>
      <c r="L102" s="11">
        <f t="shared" si="73"/>
        <v>0</v>
      </c>
      <c r="M102" s="80">
        <f t="shared" si="92"/>
        <v>0.34799999999999998</v>
      </c>
      <c r="N102" s="76">
        <f>INDEX(Myopia!$H:$H, MATCH(E102, Myopia!$A:$A, 0)) * Trend_Factor^(A102)</f>
        <v>12.019797148499897</v>
      </c>
      <c r="O102" s="11">
        <f t="shared" si="74"/>
        <v>0</v>
      </c>
      <c r="P102" s="80">
        <f t="shared" si="93"/>
        <v>12.019797148499897</v>
      </c>
      <c r="Q102" s="76">
        <f>VLOOKUP(C102,Others!$L$10:$M$61,2)</f>
        <v>0</v>
      </c>
      <c r="R102" s="11">
        <f t="shared" si="75"/>
        <v>0</v>
      </c>
      <c r="S102" s="80">
        <f t="shared" si="94"/>
        <v>0</v>
      </c>
      <c r="T102" s="78">
        <f t="shared" si="95"/>
        <v>2.9E-5</v>
      </c>
      <c r="U102" s="81">
        <f t="shared" si="96"/>
        <v>1.0016497623749913E-3</v>
      </c>
      <c r="V102" s="81">
        <f t="shared" si="97"/>
        <v>0</v>
      </c>
      <c r="W102" s="77">
        <f t="shared" si="76"/>
        <v>0.9547145002086489</v>
      </c>
      <c r="X102" s="82">
        <f t="shared" si="98"/>
        <v>2.7672854307542903E-5</v>
      </c>
      <c r="Y102" s="82">
        <f t="shared" si="99"/>
        <v>9.5627568607144393E-4</v>
      </c>
      <c r="Z102" s="82">
        <f t="shared" si="100"/>
        <v>0</v>
      </c>
      <c r="AA102" s="82">
        <f t="shared" si="101"/>
        <v>0.95373055166826992</v>
      </c>
      <c r="AC102" s="46">
        <f t="shared" si="77"/>
        <v>0</v>
      </c>
      <c r="AD102" s="15">
        <f t="shared" si="78"/>
        <v>0</v>
      </c>
      <c r="AE102" s="46">
        <f t="shared" si="102"/>
        <v>0</v>
      </c>
      <c r="AF102" s="15">
        <f t="shared" si="103"/>
        <v>0</v>
      </c>
      <c r="AG102" s="46">
        <f>SUMPRODUCT(AE103:AE$605, $I102:$I$604) / $I102</f>
        <v>0</v>
      </c>
      <c r="AI102" s="46">
        <f t="shared" si="79"/>
        <v>-47000</v>
      </c>
      <c r="AJ102" s="46">
        <f>IF(E102&gt;Mat_Year,0,  -SUM($AD$5:AD102))</f>
        <v>-9306</v>
      </c>
      <c r="AK102" s="24">
        <f t="shared" si="104"/>
        <v>-0.25752358218599425</v>
      </c>
      <c r="AL102" s="79">
        <f t="shared" si="105"/>
        <v>-44.944957245357863</v>
      </c>
      <c r="AM102" s="24">
        <f t="shared" si="106"/>
        <v>-47.346595047697548</v>
      </c>
      <c r="AN102" s="79">
        <f t="shared" si="107"/>
        <v>-45.202480827543859</v>
      </c>
      <c r="AO102" s="15">
        <f t="shared" si="108"/>
        <v>-6669.5574629900757</v>
      </c>
      <c r="AP102" s="46">
        <f>SUMPRODUCT(AN103:AN$605, $I103:$I$605) / $I102</f>
        <v>-6367.5232198914346</v>
      </c>
      <c r="AR102" s="46">
        <v>0</v>
      </c>
      <c r="AS102" s="46">
        <v>0</v>
      </c>
      <c r="AT102" s="46">
        <v>0</v>
      </c>
      <c r="AU102" s="95">
        <f t="shared" si="80"/>
        <v>-1.9424701087883574</v>
      </c>
      <c r="AV102" s="47">
        <f t="shared" si="81"/>
        <v>0</v>
      </c>
      <c r="AW102" s="96">
        <f t="shared" si="116"/>
        <v>-1.9424701087883574</v>
      </c>
      <c r="AX102" s="95">
        <f t="shared" si="82"/>
        <v>-22.273657247439829</v>
      </c>
      <c r="AY102" s="11">
        <f t="shared" si="83"/>
        <v>0</v>
      </c>
      <c r="AZ102" s="96">
        <f t="shared" si="117"/>
        <v>-22.273657247439829</v>
      </c>
      <c r="BA102" s="95">
        <f t="shared" si="118"/>
        <v>-1.8545043790821165</v>
      </c>
      <c r="BB102" s="64">
        <f t="shared" si="119"/>
        <v>-2.1916132537520262E-2</v>
      </c>
      <c r="BC102" s="95">
        <f t="shared" si="120"/>
        <v>-1.9424701087883574</v>
      </c>
      <c r="BD102" s="96">
        <f t="shared" si="121"/>
        <v>-2.2955692547594681E-2</v>
      </c>
      <c r="BE102" s="96">
        <f t="shared" si="122"/>
        <v>-1.8545043790821165</v>
      </c>
      <c r="BF102" s="96">
        <f t="shared" si="123"/>
        <v>-2.1916132537520262E-2</v>
      </c>
      <c r="BG102" s="15">
        <f t="shared" si="109"/>
        <v>-217.12891577491709</v>
      </c>
      <c r="BH102" s="46">
        <f>(SUMPRODUCT(BE103:BE$605,$I102:$I$604)+SUMPRODUCT(BF103:BF$605,$I103:$I$605)) / $I102</f>
        <v>-207.29612430489578</v>
      </c>
      <c r="BJ102" s="46">
        <f t="shared" si="124"/>
        <v>-1.8545043790821165</v>
      </c>
      <c r="BK102" s="46">
        <f t="shared" si="125"/>
        <v>-45.224396960081378</v>
      </c>
      <c r="BM102" s="49">
        <f t="shared" si="110"/>
        <v>6893.7912628421391</v>
      </c>
      <c r="BN102" s="46">
        <f t="shared" si="126"/>
        <v>6574.8193441963322</v>
      </c>
      <c r="BP102" s="46">
        <f>Reserve!BX102</f>
        <v>9156.12508678224</v>
      </c>
      <c r="BQ102" s="46">
        <f t="shared" si="84"/>
        <v>8732.4762301605115</v>
      </c>
      <c r="BR102" s="15">
        <f t="shared" si="111"/>
        <v>31.694745533795867</v>
      </c>
      <c r="BT102" s="49">
        <f t="shared" si="112"/>
        <v>36.955462306512743</v>
      </c>
      <c r="BU102" s="46">
        <f t="shared" si="85"/>
        <v>35.281915725941879</v>
      </c>
      <c r="BV102" s="46">
        <f>SUMPRODUCT(BU103:BU$605, $I103:$I$605) / $I102</f>
        <v>1717.2434991800671</v>
      </c>
      <c r="BX102" s="46">
        <f>-BZ102*Others!$Q$43</f>
        <v>-5.0938265396670088</v>
      </c>
      <c r="BZ102" s="50">
        <f t="shared" si="70"/>
        <v>19.897759920574252</v>
      </c>
      <c r="CA102" s="46">
        <f t="shared" si="113"/>
        <v>14.803933380907242</v>
      </c>
      <c r="CB102" s="46">
        <f t="shared" si="86"/>
        <v>14.803933380907242</v>
      </c>
      <c r="CD102" s="46">
        <f>SUMPRODUCT(BZ103:BZ$605, $I103:$I$605) / $I102</f>
        <v>2157.6568859641757</v>
      </c>
      <c r="CE102" s="46">
        <f>SUMPRODUCT(CA103:CA$605, $I103:$I$605) / $I102</f>
        <v>1605.2967231573468</v>
      </c>
      <c r="CF102" s="46">
        <f>SUMPRODUCT(CB103:CB$605, $I103:$I$605) / $I102</f>
        <v>1605.2967231573468</v>
      </c>
      <c r="CH102" s="46">
        <f t="shared" si="87"/>
        <v>37843.874913217762</v>
      </c>
      <c r="CI102" s="46">
        <f t="shared" si="88"/>
        <v>149.87491321775997</v>
      </c>
      <c r="CK102" s="46">
        <f>NPV((1+CK$3)^(1/12)-1,$CB$6:$CB102)+$CB$5</f>
        <v>54.229664599014882</v>
      </c>
      <c r="CL102" s="46">
        <f>NPV((1+CL$3)^(1/12)-1,$CB$6:$CB102)+$CB$5</f>
        <v>-13.338119246506267</v>
      </c>
      <c r="CM102" s="46">
        <f>NPV((1+CM$3)^(1/12)-1,$CB$6:$CB102)+$CB$5</f>
        <v>-149.0626302056628</v>
      </c>
      <c r="CN102" s="46">
        <f>NPV((1+CN$3)^(1/12)-1,$CB$6:$CB102)+$CB$5</f>
        <v>-149.0626302056628</v>
      </c>
    </row>
    <row r="103" spans="1:92" x14ac:dyDescent="0.25">
      <c r="A103" s="61">
        <f t="shared" si="71"/>
        <v>8.1666666666666554</v>
      </c>
      <c r="B103" s="32">
        <f t="shared" si="89"/>
        <v>2</v>
      </c>
      <c r="C103" s="62">
        <f t="shared" si="90"/>
        <v>9</v>
      </c>
      <c r="D103" s="64">
        <f t="shared" si="91"/>
        <v>8.6666666666666554</v>
      </c>
      <c r="E103" s="28">
        <f t="shared" si="72"/>
        <v>8</v>
      </c>
      <c r="G103" s="68">
        <f>INDEX(Others!$D$11:$E$60, MATCH(C103, Others!$A$11:$A$60, 0), MATCH(G$3, Others!$D$10:$E$10, 0))</f>
        <v>4.9403172915208016E-2</v>
      </c>
      <c r="H103" s="16">
        <f t="shared" si="114"/>
        <v>4.026551179866944E-3</v>
      </c>
      <c r="I103" s="69">
        <f t="shared" si="115"/>
        <v>0.7453974345837262</v>
      </c>
      <c r="K103" s="80">
        <f>INDEX(Mortality!$B$7:$F$32, MATCH( E103,Mortality!$A$7:$A$32, 0), MATCH( K$3,Mortality!$B$6:$F$6,0))</f>
        <v>0.34799999999999998</v>
      </c>
      <c r="L103" s="11">
        <f t="shared" si="73"/>
        <v>0</v>
      </c>
      <c r="M103" s="80">
        <f t="shared" si="92"/>
        <v>0.34799999999999998</v>
      </c>
      <c r="N103" s="76">
        <f>INDEX(Myopia!$H:$H, MATCH(E103, Myopia!$A:$A, 0)) * Trend_Factor^(A103)</f>
        <v>12.019797148499897</v>
      </c>
      <c r="O103" s="11">
        <f t="shared" si="74"/>
        <v>0</v>
      </c>
      <c r="P103" s="80">
        <f t="shared" si="93"/>
        <v>12.019797148499897</v>
      </c>
      <c r="Q103" s="76">
        <f>VLOOKUP(C103,Others!$L$10:$M$61,2)</f>
        <v>0</v>
      </c>
      <c r="R103" s="11">
        <f t="shared" si="75"/>
        <v>0</v>
      </c>
      <c r="S103" s="80">
        <f t="shared" si="94"/>
        <v>0</v>
      </c>
      <c r="T103" s="78">
        <f t="shared" si="95"/>
        <v>2.9E-5</v>
      </c>
      <c r="U103" s="81">
        <f t="shared" si="96"/>
        <v>1.0016497623749913E-3</v>
      </c>
      <c r="V103" s="81">
        <f t="shared" si="97"/>
        <v>0</v>
      </c>
      <c r="W103" s="77">
        <f t="shared" si="76"/>
        <v>0.95373055166826992</v>
      </c>
      <c r="X103" s="82">
        <f t="shared" si="98"/>
        <v>2.7644334090663325E-5</v>
      </c>
      <c r="Y103" s="82">
        <f t="shared" si="99"/>
        <v>9.5529012854057545E-4</v>
      </c>
      <c r="Z103" s="82">
        <f t="shared" si="100"/>
        <v>0</v>
      </c>
      <c r="AA103" s="82">
        <f t="shared" si="101"/>
        <v>0.95274761720563872</v>
      </c>
      <c r="AC103" s="46">
        <f t="shared" si="77"/>
        <v>0</v>
      </c>
      <c r="AD103" s="15">
        <f t="shared" si="78"/>
        <v>0</v>
      </c>
      <c r="AE103" s="46">
        <f t="shared" si="102"/>
        <v>0</v>
      </c>
      <c r="AF103" s="15">
        <f t="shared" si="103"/>
        <v>0</v>
      </c>
      <c r="AG103" s="46">
        <f>SUMPRODUCT(AE104:AE$605, $I103:$I$604) / $I103</f>
        <v>0</v>
      </c>
      <c r="AI103" s="46">
        <f t="shared" si="79"/>
        <v>-47000</v>
      </c>
      <c r="AJ103" s="46">
        <f>IF(E103&gt;Mat_Year,0,  -SUM($AD$5:AD103))</f>
        <v>-9306</v>
      </c>
      <c r="AK103" s="24">
        <f t="shared" si="104"/>
        <v>-0.25725817304771292</v>
      </c>
      <c r="AL103" s="79">
        <f t="shared" si="105"/>
        <v>-44.898636041407045</v>
      </c>
      <c r="AM103" s="24">
        <f t="shared" si="106"/>
        <v>-47.346595047697541</v>
      </c>
      <c r="AN103" s="79">
        <f t="shared" si="107"/>
        <v>-45.155894214454754</v>
      </c>
      <c r="AO103" s="15">
        <f t="shared" si="108"/>
        <v>-6655.9747642632419</v>
      </c>
      <c r="AP103" s="46">
        <f>SUMPRODUCT(AN104:AN$605, $I104:$I$605) / $I103</f>
        <v>-6348.0064838108647</v>
      </c>
      <c r="AR103" s="46">
        <v>0</v>
      </c>
      <c r="AS103" s="46">
        <v>0</v>
      </c>
      <c r="AT103" s="46">
        <v>0</v>
      </c>
      <c r="AU103" s="95">
        <f t="shared" si="80"/>
        <v>-1.9446419817339164</v>
      </c>
      <c r="AV103" s="47">
        <f t="shared" si="81"/>
        <v>0</v>
      </c>
      <c r="AW103" s="96">
        <f t="shared" si="116"/>
        <v>-1.9446419817339164</v>
      </c>
      <c r="AX103" s="95">
        <f t="shared" si="82"/>
        <v>-22.298561390548905</v>
      </c>
      <c r="AY103" s="11">
        <f t="shared" si="83"/>
        <v>0</v>
      </c>
      <c r="AZ103" s="96">
        <f t="shared" si="117"/>
        <v>-22.298561390548905</v>
      </c>
      <c r="BA103" s="95">
        <f t="shared" si="118"/>
        <v>-1.8546644700363659</v>
      </c>
      <c r="BB103" s="64">
        <f t="shared" si="119"/>
        <v>-2.1918024457868879E-2</v>
      </c>
      <c r="BC103" s="95">
        <f t="shared" si="120"/>
        <v>-1.9446419817339167</v>
      </c>
      <c r="BD103" s="96">
        <f t="shared" si="121"/>
        <v>-2.2981359273360563E-2</v>
      </c>
      <c r="BE103" s="96">
        <f t="shared" si="122"/>
        <v>-1.8546644700363659</v>
      </c>
      <c r="BF103" s="96">
        <f t="shared" si="123"/>
        <v>-2.1918024457868879E-2</v>
      </c>
      <c r="BG103" s="15">
        <f t="shared" si="109"/>
        <v>-216.25265333287837</v>
      </c>
      <c r="BH103" s="46">
        <f>(SUMPRODUCT(BE104:BE$605,$I103:$I$604)+SUMPRODUCT(BF104:BF$605,$I104:$I$605)) / $I103</f>
        <v>-206.24676236289321</v>
      </c>
      <c r="BJ103" s="46">
        <f t="shared" si="124"/>
        <v>-1.8546644700363659</v>
      </c>
      <c r="BK103" s="46">
        <f t="shared" si="125"/>
        <v>-45.177812238912622</v>
      </c>
      <c r="BM103" s="49">
        <f t="shared" si="110"/>
        <v>6879.3173845945239</v>
      </c>
      <c r="BN103" s="46">
        <f t="shared" si="126"/>
        <v>6554.2532461737592</v>
      </c>
      <c r="BP103" s="46">
        <f>Reserve!BX103</f>
        <v>9132.2548495115043</v>
      </c>
      <c r="BQ103" s="46">
        <f t="shared" si="84"/>
        <v>8700.734047586724</v>
      </c>
      <c r="BR103" s="15">
        <f t="shared" si="111"/>
        <v>31.742182573787431</v>
      </c>
      <c r="BT103" s="49">
        <f t="shared" si="112"/>
        <v>36.859776070726383</v>
      </c>
      <c r="BU103" s="46">
        <f t="shared" si="85"/>
        <v>35.154294566302767</v>
      </c>
      <c r="BV103" s="46">
        <f>SUMPRODUCT(BU104:BU$605, $I104:$I$605) / $I103</f>
        <v>1689.0037734515072</v>
      </c>
      <c r="BX103" s="46">
        <f>-BZ103*Others!$Q$43</f>
        <v>-5.0851841103721487</v>
      </c>
      <c r="BZ103" s="50">
        <f t="shared" si="70"/>
        <v>19.864000431141207</v>
      </c>
      <c r="CA103" s="46">
        <f t="shared" si="113"/>
        <v>14.778816320769058</v>
      </c>
      <c r="CB103" s="46">
        <f t="shared" si="86"/>
        <v>14.778816320769058</v>
      </c>
      <c r="CD103" s="46">
        <f>SUMPRODUCT(BZ104:BZ$605, $I104:$I$605) / $I103</f>
        <v>2146.4808014129617</v>
      </c>
      <c r="CE103" s="46">
        <f>SUMPRODUCT(CA104:CA$605, $I104:$I$605) / $I103</f>
        <v>1596.9817162512438</v>
      </c>
      <c r="CF103" s="46">
        <f>SUMPRODUCT(CB104:CB$605, $I104:$I$605) / $I103</f>
        <v>1596.9817162512438</v>
      </c>
      <c r="CH103" s="46">
        <f t="shared" si="87"/>
        <v>37867.745150488496</v>
      </c>
      <c r="CI103" s="46">
        <f t="shared" si="88"/>
        <v>173.74515048849571</v>
      </c>
      <c r="CK103" s="46">
        <f>NPV((1+CK$3)^(1/12)-1,$CB$6:$CB103)+$CB$5</f>
        <v>65.838865220903585</v>
      </c>
      <c r="CL103" s="46">
        <f>NPV((1+CL$3)^(1/12)-1,$CB$6:$CB103)+$CB$5</f>
        <v>-3.4162452104684462</v>
      </c>
      <c r="CM103" s="46">
        <f>NPV((1+CM$3)^(1/12)-1,$CB$6:$CB103)+$CB$5</f>
        <v>-142.27685623678974</v>
      </c>
      <c r="CN103" s="46">
        <f>NPV((1+CN$3)^(1/12)-1,$CB$6:$CB103)+$CB$5</f>
        <v>-142.27685623678974</v>
      </c>
    </row>
    <row r="104" spans="1:92" x14ac:dyDescent="0.25">
      <c r="A104" s="61">
        <f t="shared" si="71"/>
        <v>8.2499999999999893</v>
      </c>
      <c r="B104" s="32">
        <f t="shared" si="89"/>
        <v>3</v>
      </c>
      <c r="C104" s="62">
        <f t="shared" si="90"/>
        <v>9</v>
      </c>
      <c r="D104" s="64">
        <f t="shared" si="91"/>
        <v>8.7499999999999893</v>
      </c>
      <c r="E104" s="28">
        <f t="shared" si="72"/>
        <v>8</v>
      </c>
      <c r="G104" s="68">
        <f>INDEX(Others!$D$11:$E$60, MATCH(C104, Others!$A$11:$A$60, 0), MATCH(G$3, Others!$D$10:$E$10, 0))</f>
        <v>4.9403172915208016E-2</v>
      </c>
      <c r="H104" s="16">
        <f t="shared" si="114"/>
        <v>4.026551179866944E-3</v>
      </c>
      <c r="I104" s="69">
        <f t="shared" si="115"/>
        <v>0.74240809041133771</v>
      </c>
      <c r="K104" s="80">
        <f>INDEX(Mortality!$B$7:$F$32, MATCH( E104,Mortality!$A$7:$A$32, 0), MATCH( K$3,Mortality!$B$6:$F$6,0))</f>
        <v>0.34799999999999998</v>
      </c>
      <c r="L104" s="11">
        <f t="shared" si="73"/>
        <v>0</v>
      </c>
      <c r="M104" s="80">
        <f t="shared" si="92"/>
        <v>0.34799999999999998</v>
      </c>
      <c r="N104" s="76">
        <f>INDEX(Myopia!$H:$H, MATCH(E104, Myopia!$A:$A, 0)) * Trend_Factor^(A104)</f>
        <v>12.019797148499897</v>
      </c>
      <c r="O104" s="11">
        <f t="shared" si="74"/>
        <v>0</v>
      </c>
      <c r="P104" s="80">
        <f t="shared" si="93"/>
        <v>12.019797148499897</v>
      </c>
      <c r="Q104" s="76">
        <f>VLOOKUP(C104,Others!$L$10:$M$61,2)</f>
        <v>0</v>
      </c>
      <c r="R104" s="11">
        <f t="shared" si="75"/>
        <v>0</v>
      </c>
      <c r="S104" s="80">
        <f t="shared" si="94"/>
        <v>0</v>
      </c>
      <c r="T104" s="78">
        <f t="shared" si="95"/>
        <v>2.9E-5</v>
      </c>
      <c r="U104" s="81">
        <f t="shared" si="96"/>
        <v>1.0016497623749913E-3</v>
      </c>
      <c r="V104" s="81">
        <f t="shared" si="97"/>
        <v>0</v>
      </c>
      <c r="W104" s="77">
        <f t="shared" si="76"/>
        <v>0.95274761720563872</v>
      </c>
      <c r="X104" s="82">
        <f t="shared" si="98"/>
        <v>2.7615843267310051E-5</v>
      </c>
      <c r="Y104" s="82">
        <f t="shared" si="99"/>
        <v>9.5430558674571377E-4</v>
      </c>
      <c r="Z104" s="82">
        <f t="shared" si="100"/>
        <v>0</v>
      </c>
      <c r="AA104" s="82">
        <f t="shared" si="101"/>
        <v>0.95176569577562564</v>
      </c>
      <c r="AC104" s="46">
        <f t="shared" si="77"/>
        <v>0</v>
      </c>
      <c r="AD104" s="15">
        <f t="shared" si="78"/>
        <v>0</v>
      </c>
      <c r="AE104" s="46">
        <f t="shared" si="102"/>
        <v>0</v>
      </c>
      <c r="AF104" s="15">
        <f t="shared" si="103"/>
        <v>0</v>
      </c>
      <c r="AG104" s="46">
        <f>SUMPRODUCT(AE105:AE$605, $I104:$I$604) / $I104</f>
        <v>0</v>
      </c>
      <c r="AI104" s="46">
        <f t="shared" si="79"/>
        <v>-47000</v>
      </c>
      <c r="AJ104" s="46">
        <f>IF(E104&gt;Mat_Year,0,  -SUM($AD$5:AD104))</f>
        <v>-9306</v>
      </c>
      <c r="AK104" s="24">
        <f t="shared" si="104"/>
        <v>-0.25699303744558732</v>
      </c>
      <c r="AL104" s="79">
        <f t="shared" si="105"/>
        <v>-44.852362577048545</v>
      </c>
      <c r="AM104" s="24">
        <f t="shared" si="106"/>
        <v>-47.346595047697548</v>
      </c>
      <c r="AN104" s="79">
        <f t="shared" si="107"/>
        <v>-45.109355614494135</v>
      </c>
      <c r="AO104" s="15">
        <f t="shared" si="108"/>
        <v>-6642.3233046277383</v>
      </c>
      <c r="AP104" s="46">
        <f>SUMPRODUCT(AN105:AN$605, $I105:$I$605) / $I104</f>
        <v>-6328.4577011935617</v>
      </c>
      <c r="AR104" s="46">
        <v>0</v>
      </c>
      <c r="AS104" s="46">
        <v>0</v>
      </c>
      <c r="AT104" s="46">
        <v>0</v>
      </c>
      <c r="AU104" s="95">
        <f t="shared" si="80"/>
        <v>-1.9468162830473923</v>
      </c>
      <c r="AV104" s="47">
        <f t="shared" si="81"/>
        <v>0</v>
      </c>
      <c r="AW104" s="96">
        <f t="shared" si="116"/>
        <v>-1.9468162830473923</v>
      </c>
      <c r="AX104" s="95">
        <f t="shared" si="82"/>
        <v>-22.323493378943429</v>
      </c>
      <c r="AY104" s="11">
        <f t="shared" si="83"/>
        <v>0</v>
      </c>
      <c r="AZ104" s="96">
        <f t="shared" si="117"/>
        <v>-22.323493378943429</v>
      </c>
      <c r="BA104" s="95">
        <f t="shared" si="118"/>
        <v>-1.8548245748105414</v>
      </c>
      <c r="BB104" s="64">
        <f t="shared" si="119"/>
        <v>-2.1919916541538402E-2</v>
      </c>
      <c r="BC104" s="95">
        <f t="shared" si="120"/>
        <v>-1.9468162830473923</v>
      </c>
      <c r="BD104" s="96">
        <f t="shared" si="121"/>
        <v>-2.3007054697054427E-2</v>
      </c>
      <c r="BE104" s="96">
        <f t="shared" si="122"/>
        <v>-1.8548245748105414</v>
      </c>
      <c r="BF104" s="96">
        <f t="shared" si="123"/>
        <v>-2.1919916541538402E-2</v>
      </c>
      <c r="BG104" s="15">
        <f t="shared" si="109"/>
        <v>-215.36974615755838</v>
      </c>
      <c r="BH104" s="46">
        <f>(SUMPRODUCT(BE105:BE$605,$I104:$I$604)+SUMPRODUCT(BF105:BF$605,$I105:$I$605)) / $I104</f>
        <v>-205.19301246979703</v>
      </c>
      <c r="BJ104" s="46">
        <f t="shared" si="124"/>
        <v>-1.8548245748105414</v>
      </c>
      <c r="BK104" s="46">
        <f t="shared" si="125"/>
        <v>-45.131275531035676</v>
      </c>
      <c r="BM104" s="49">
        <f t="shared" si="110"/>
        <v>6864.768022910167</v>
      </c>
      <c r="BN104" s="46">
        <f t="shared" si="126"/>
        <v>6533.6507136633609</v>
      </c>
      <c r="BP104" s="46">
        <f>Reserve!BX104</f>
        <v>9108.2755384537613</v>
      </c>
      <c r="BQ104" s="46">
        <f t="shared" si="84"/>
        <v>8668.9442051725546</v>
      </c>
      <c r="BR104" s="15">
        <f t="shared" si="111"/>
        <v>31.78984241416947</v>
      </c>
      <c r="BT104" s="49">
        <f t="shared" si="112"/>
        <v>36.76365258374468</v>
      </c>
      <c r="BU104" s="46">
        <f t="shared" si="85"/>
        <v>35.026482398938668</v>
      </c>
      <c r="BV104" s="46">
        <f>SUMPRODUCT(BU105:BU$605, $I105:$I$605) / $I104</f>
        <v>1660.7781511893595</v>
      </c>
      <c r="BX104" s="46">
        <f>-BZ104*Others!$Q$43</f>
        <v>-5.0765375250590514</v>
      </c>
      <c r="BZ104" s="50">
        <f t="shared" si="70"/>
        <v>19.83022470726192</v>
      </c>
      <c r="CA104" s="46">
        <f t="shared" si="113"/>
        <v>14.753687182202867</v>
      </c>
      <c r="CB104" s="46">
        <f t="shared" si="86"/>
        <v>14.753687182202867</v>
      </c>
      <c r="CD104" s="46">
        <f>SUMPRODUCT(BZ105:BZ$605, $I105:$I$605) / $I104</f>
        <v>2135.293491509191</v>
      </c>
      <c r="CE104" s="46">
        <f>SUMPRODUCT(CA105:CA$605, $I105:$I$605) / $I104</f>
        <v>1588.6583576828382</v>
      </c>
      <c r="CF104" s="46">
        <f>SUMPRODUCT(CB105:CB$605, $I105:$I$605) / $I104</f>
        <v>1588.6583576828382</v>
      </c>
      <c r="CH104" s="46">
        <f t="shared" si="87"/>
        <v>37891.72446154624</v>
      </c>
      <c r="CI104" s="46">
        <f t="shared" si="88"/>
        <v>197.72446154623867</v>
      </c>
      <c r="CK104" s="46">
        <f>NPV((1+CK$3)^(1/12)-1,$CB$6:$CB104)+$CB$5</f>
        <v>77.399813737745603</v>
      </c>
      <c r="CL104" s="46">
        <f>NPV((1+CL$3)^(1/12)-1,$CB$6:$CB104)+$CB$5</f>
        <v>6.4485677127124745</v>
      </c>
      <c r="CM104" s="46">
        <f>NPV((1+CM$3)^(1/12)-1,$CB$6:$CB104)+$CB$5</f>
        <v>-135.55621181111417</v>
      </c>
      <c r="CN104" s="46">
        <f>NPV((1+CN$3)^(1/12)-1,$CB$6:$CB104)+$CB$5</f>
        <v>-135.55621181111417</v>
      </c>
    </row>
    <row r="105" spans="1:92" x14ac:dyDescent="0.25">
      <c r="A105" s="61">
        <f t="shared" si="71"/>
        <v>8.3333333333333233</v>
      </c>
      <c r="B105" s="32">
        <f t="shared" si="89"/>
        <v>4</v>
      </c>
      <c r="C105" s="62">
        <f t="shared" si="90"/>
        <v>9</v>
      </c>
      <c r="D105" s="64">
        <f t="shared" si="91"/>
        <v>8.8333333333333233</v>
      </c>
      <c r="E105" s="28">
        <f t="shared" si="72"/>
        <v>8</v>
      </c>
      <c r="G105" s="68">
        <f>INDEX(Others!$D$11:$E$60, MATCH(C105, Others!$A$11:$A$60, 0), MATCH(G$3, Others!$D$10:$E$10, 0))</f>
        <v>4.9403172915208016E-2</v>
      </c>
      <c r="H105" s="16">
        <f t="shared" si="114"/>
        <v>4.026551179866944E-3</v>
      </c>
      <c r="I105" s="69">
        <f t="shared" si="115"/>
        <v>0.73943073471404497</v>
      </c>
      <c r="K105" s="80">
        <f>INDEX(Mortality!$B$7:$F$32, MATCH( E105,Mortality!$A$7:$A$32, 0), MATCH( K$3,Mortality!$B$6:$F$6,0))</f>
        <v>0.34799999999999998</v>
      </c>
      <c r="L105" s="11">
        <f t="shared" si="73"/>
        <v>0</v>
      </c>
      <c r="M105" s="80">
        <f t="shared" si="92"/>
        <v>0.34799999999999998</v>
      </c>
      <c r="N105" s="76">
        <f>INDEX(Myopia!$H:$H, MATCH(E105, Myopia!$A:$A, 0)) * Trend_Factor^(A105)</f>
        <v>12.019797148499897</v>
      </c>
      <c r="O105" s="11">
        <f t="shared" si="74"/>
        <v>0</v>
      </c>
      <c r="P105" s="80">
        <f t="shared" si="93"/>
        <v>12.019797148499897</v>
      </c>
      <c r="Q105" s="76">
        <f>VLOOKUP(C105,Others!$L$10:$M$61,2)</f>
        <v>0</v>
      </c>
      <c r="R105" s="11">
        <f t="shared" si="75"/>
        <v>0</v>
      </c>
      <c r="S105" s="80">
        <f t="shared" si="94"/>
        <v>0</v>
      </c>
      <c r="T105" s="78">
        <f t="shared" si="95"/>
        <v>2.9E-5</v>
      </c>
      <c r="U105" s="81">
        <f t="shared" si="96"/>
        <v>1.0016497623749913E-3</v>
      </c>
      <c r="V105" s="81">
        <f t="shared" si="97"/>
        <v>0</v>
      </c>
      <c r="W105" s="77">
        <f t="shared" si="76"/>
        <v>0.95176569577562564</v>
      </c>
      <c r="X105" s="82">
        <f t="shared" si="98"/>
        <v>2.7587381807189494E-5</v>
      </c>
      <c r="Y105" s="82">
        <f t="shared" si="99"/>
        <v>9.5332205964001996E-4</v>
      </c>
      <c r="Z105" s="82">
        <f t="shared" si="100"/>
        <v>0</v>
      </c>
      <c r="AA105" s="82">
        <f t="shared" si="101"/>
        <v>0.9507847863341784</v>
      </c>
      <c r="AC105" s="46">
        <f t="shared" si="77"/>
        <v>0</v>
      </c>
      <c r="AD105" s="15">
        <f t="shared" si="78"/>
        <v>0</v>
      </c>
      <c r="AE105" s="46">
        <f t="shared" si="102"/>
        <v>0</v>
      </c>
      <c r="AF105" s="15">
        <f t="shared" si="103"/>
        <v>0</v>
      </c>
      <c r="AG105" s="46">
        <f>SUMPRODUCT(AE106:AE$605, $I105:$I$604) / $I105</f>
        <v>0</v>
      </c>
      <c r="AI105" s="46">
        <f t="shared" si="79"/>
        <v>-47000</v>
      </c>
      <c r="AJ105" s="46">
        <f>IF(E105&gt;Mat_Year,0,  -SUM($AD$5:AD105))</f>
        <v>-9306</v>
      </c>
      <c r="AK105" s="24">
        <f t="shared" si="104"/>
        <v>-0.25672817509770546</v>
      </c>
      <c r="AL105" s="79">
        <f t="shared" si="105"/>
        <v>-44.806136803080939</v>
      </c>
      <c r="AM105" s="24">
        <f t="shared" si="106"/>
        <v>-47.346595047697548</v>
      </c>
      <c r="AN105" s="79">
        <f t="shared" si="107"/>
        <v>-45.062864978178645</v>
      </c>
      <c r="AO105" s="15">
        <f t="shared" si="108"/>
        <v>-6628.6027359890804</v>
      </c>
      <c r="AP105" s="46">
        <f>SUMPRODUCT(AN106:AN$605, $I106:$I$605) / $I105</f>
        <v>-6308.8766950388626</v>
      </c>
      <c r="AR105" s="46">
        <v>0</v>
      </c>
      <c r="AS105" s="46">
        <v>0</v>
      </c>
      <c r="AT105" s="46">
        <v>0</v>
      </c>
      <c r="AU105" s="95">
        <f t="shared" si="80"/>
        <v>-1.9489930154439392</v>
      </c>
      <c r="AV105" s="47">
        <f t="shared" si="81"/>
        <v>0</v>
      </c>
      <c r="AW105" s="96">
        <f t="shared" si="116"/>
        <v>-1.9489930154439392</v>
      </c>
      <c r="AX105" s="95">
        <f t="shared" si="82"/>
        <v>-22.348453243757167</v>
      </c>
      <c r="AY105" s="11">
        <f t="shared" si="83"/>
        <v>0</v>
      </c>
      <c r="AZ105" s="96">
        <f t="shared" si="117"/>
        <v>-22.348453243757167</v>
      </c>
      <c r="BA105" s="95">
        <f t="shared" si="118"/>
        <v>-1.8549846934058356</v>
      </c>
      <c r="BB105" s="64">
        <f t="shared" si="119"/>
        <v>-2.1921808788542916E-2</v>
      </c>
      <c r="BC105" s="95">
        <f t="shared" si="120"/>
        <v>-1.9489930154439394</v>
      </c>
      <c r="BD105" s="96">
        <f t="shared" si="121"/>
        <v>-2.3032778850763373E-2</v>
      </c>
      <c r="BE105" s="96">
        <f t="shared" si="122"/>
        <v>-1.8549846934058356</v>
      </c>
      <c r="BF105" s="96">
        <f t="shared" si="123"/>
        <v>-2.1921808788542916E-2</v>
      </c>
      <c r="BG105" s="15">
        <f t="shared" si="109"/>
        <v>-214.48015814112861</v>
      </c>
      <c r="BH105" s="46">
        <f>(SUMPRODUCT(BE106:BE$605,$I105:$I$604)+SUMPRODUCT(BF106:BF$605,$I106:$I$605)) / $I105</f>
        <v>-204.13485694325749</v>
      </c>
      <c r="BJ105" s="46">
        <f t="shared" si="124"/>
        <v>-1.8549846934058356</v>
      </c>
      <c r="BK105" s="46">
        <f t="shared" si="125"/>
        <v>-45.084786786967186</v>
      </c>
      <c r="BM105" s="49">
        <f t="shared" si="110"/>
        <v>6850.1427931903745</v>
      </c>
      <c r="BN105" s="46">
        <f t="shared" si="126"/>
        <v>6513.011551982122</v>
      </c>
      <c r="BP105" s="46">
        <f>Reserve!BX105</f>
        <v>9084.1866672441356</v>
      </c>
      <c r="BQ105" s="46">
        <f t="shared" si="84"/>
        <v>8637.1064794355079</v>
      </c>
      <c r="BR105" s="15">
        <f t="shared" si="111"/>
        <v>31.83772573704664</v>
      </c>
      <c r="BT105" s="49">
        <f t="shared" si="112"/>
        <v>36.667089895788322</v>
      </c>
      <c r="BU105" s="46">
        <f t="shared" si="85"/>
        <v>34.898478326732388</v>
      </c>
      <c r="BV105" s="46">
        <f>SUMPRODUCT(BU106:BU$605, $I106:$I$605) / $I105</f>
        <v>1632.566881086796</v>
      </c>
      <c r="BX105" s="46">
        <f>-BZ105*Others!$Q$43</f>
        <v>-5.0678867413519386</v>
      </c>
      <c r="BZ105" s="50">
        <f t="shared" si="70"/>
        <v>19.796432583406009</v>
      </c>
      <c r="CA105" s="46">
        <f t="shared" si="113"/>
        <v>14.728545842054071</v>
      </c>
      <c r="CB105" s="46">
        <f t="shared" si="86"/>
        <v>14.728545842054071</v>
      </c>
      <c r="CD105" s="46">
        <f>SUMPRODUCT(BZ106:BZ$605, $I106:$I$605) / $I105</f>
        <v>2124.0949274533837</v>
      </c>
      <c r="CE105" s="46">
        <f>SUMPRODUCT(CA106:CA$605, $I106:$I$605) / $I105</f>
        <v>1580.3266260253174</v>
      </c>
      <c r="CF105" s="46">
        <f>SUMPRODUCT(CB106:CB$605, $I106:$I$605) / $I105</f>
        <v>1580.3266260253174</v>
      </c>
      <c r="CH105" s="46">
        <f t="shared" si="87"/>
        <v>37915.813332755861</v>
      </c>
      <c r="CI105" s="46">
        <f t="shared" si="88"/>
        <v>221.81333275586439</v>
      </c>
      <c r="CK105" s="46">
        <f>NPV((1+CK$3)^(1/12)-1,$CB$6:$CB105)+$CB$5</f>
        <v>88.91266776602049</v>
      </c>
      <c r="CL105" s="46">
        <f>NPV((1+CL$3)^(1/12)-1,$CB$6:$CB105)+$CB$5</f>
        <v>16.256611104944</v>
      </c>
      <c r="CM105" s="46">
        <f>NPV((1+CM$3)^(1/12)-1,$CB$6:$CB105)+$CB$5</f>
        <v>-128.90009664218258</v>
      </c>
      <c r="CN105" s="46">
        <f>NPV((1+CN$3)^(1/12)-1,$CB$6:$CB105)+$CB$5</f>
        <v>-128.90009664218258</v>
      </c>
    </row>
    <row r="106" spans="1:92" x14ac:dyDescent="0.25">
      <c r="A106" s="61">
        <f t="shared" si="71"/>
        <v>8.4166666666666572</v>
      </c>
      <c r="B106" s="32">
        <f t="shared" si="89"/>
        <v>5</v>
      </c>
      <c r="C106" s="62">
        <f t="shared" si="90"/>
        <v>9</v>
      </c>
      <c r="D106" s="64">
        <f t="shared" si="91"/>
        <v>8.9166666666666572</v>
      </c>
      <c r="E106" s="28">
        <f t="shared" si="72"/>
        <v>8</v>
      </c>
      <c r="G106" s="68">
        <f>INDEX(Others!$D$11:$E$60, MATCH(C106, Others!$A$11:$A$60, 0), MATCH(G$3, Others!$D$10:$E$10, 0))</f>
        <v>4.9403172915208016E-2</v>
      </c>
      <c r="H106" s="16">
        <f t="shared" si="114"/>
        <v>4.026551179866944E-3</v>
      </c>
      <c r="I106" s="69">
        <f t="shared" si="115"/>
        <v>0.73646531941323057</v>
      </c>
      <c r="K106" s="80">
        <f>INDEX(Mortality!$B$7:$F$32, MATCH( E106,Mortality!$A$7:$A$32, 0), MATCH( K$3,Mortality!$B$6:$F$6,0))</f>
        <v>0.34799999999999998</v>
      </c>
      <c r="L106" s="11">
        <f t="shared" si="73"/>
        <v>0</v>
      </c>
      <c r="M106" s="80">
        <f t="shared" si="92"/>
        <v>0.34799999999999998</v>
      </c>
      <c r="N106" s="76">
        <f>INDEX(Myopia!$H:$H, MATCH(E106, Myopia!$A:$A, 0)) * Trend_Factor^(A106)</f>
        <v>12.019797148499897</v>
      </c>
      <c r="O106" s="11">
        <f t="shared" si="74"/>
        <v>0</v>
      </c>
      <c r="P106" s="80">
        <f t="shared" si="93"/>
        <v>12.019797148499897</v>
      </c>
      <c r="Q106" s="76">
        <f>VLOOKUP(C106,Others!$L$10:$M$61,2)</f>
        <v>0</v>
      </c>
      <c r="R106" s="11">
        <f t="shared" si="75"/>
        <v>0</v>
      </c>
      <c r="S106" s="80">
        <f t="shared" si="94"/>
        <v>0</v>
      </c>
      <c r="T106" s="78">
        <f t="shared" si="95"/>
        <v>2.9E-5</v>
      </c>
      <c r="U106" s="81">
        <f t="shared" si="96"/>
        <v>1.0016497623749913E-3</v>
      </c>
      <c r="V106" s="81">
        <f t="shared" si="97"/>
        <v>0</v>
      </c>
      <c r="W106" s="77">
        <f t="shared" si="76"/>
        <v>0.9507847863341784</v>
      </c>
      <c r="X106" s="82">
        <f t="shared" si="98"/>
        <v>2.7558949680039303E-5</v>
      </c>
      <c r="Y106" s="82">
        <f t="shared" si="99"/>
        <v>9.5233954617773484E-4</v>
      </c>
      <c r="Z106" s="82">
        <f t="shared" si="100"/>
        <v>0</v>
      </c>
      <c r="AA106" s="82">
        <f t="shared" si="101"/>
        <v>0.94980488783832062</v>
      </c>
      <c r="AC106" s="46">
        <f t="shared" si="77"/>
        <v>0</v>
      </c>
      <c r="AD106" s="15">
        <f t="shared" si="78"/>
        <v>0</v>
      </c>
      <c r="AE106" s="46">
        <f t="shared" si="102"/>
        <v>0</v>
      </c>
      <c r="AF106" s="15">
        <f t="shared" si="103"/>
        <v>0</v>
      </c>
      <c r="AG106" s="46">
        <f>SUMPRODUCT(AE107:AE$605, $I106:$I$604) / $I106</f>
        <v>0</v>
      </c>
      <c r="AI106" s="46">
        <f t="shared" si="79"/>
        <v>-47000</v>
      </c>
      <c r="AJ106" s="46">
        <f>IF(E106&gt;Mat_Year,0,  -SUM($AD$5:AD106))</f>
        <v>-9306</v>
      </c>
      <c r="AK106" s="24">
        <f t="shared" si="104"/>
        <v>-0.25646358572244576</v>
      </c>
      <c r="AL106" s="79">
        <f t="shared" si="105"/>
        <v>-44.759958670353541</v>
      </c>
      <c r="AM106" s="24">
        <f t="shared" si="106"/>
        <v>-47.346595047697548</v>
      </c>
      <c r="AN106" s="79">
        <f t="shared" si="107"/>
        <v>-45.016422256075984</v>
      </c>
      <c r="AO106" s="15">
        <f t="shared" si="108"/>
        <v>-6614.8127084905864</v>
      </c>
      <c r="AP106" s="46">
        <f>SUMPRODUCT(AN107:AN$605, $I107:$I$605) / $I106</f>
        <v>-6289.2632876828302</v>
      </c>
      <c r="AR106" s="46">
        <v>0</v>
      </c>
      <c r="AS106" s="46">
        <v>0</v>
      </c>
      <c r="AT106" s="46">
        <v>0</v>
      </c>
      <c r="AU106" s="95">
        <f t="shared" si="80"/>
        <v>-1.9511721816417487</v>
      </c>
      <c r="AV106" s="47">
        <f t="shared" si="81"/>
        <v>0</v>
      </c>
      <c r="AW106" s="96">
        <f t="shared" si="116"/>
        <v>-1.9511721816417487</v>
      </c>
      <c r="AX106" s="95">
        <f t="shared" si="82"/>
        <v>-22.373441016158715</v>
      </c>
      <c r="AY106" s="11">
        <f t="shared" si="83"/>
        <v>0</v>
      </c>
      <c r="AZ106" s="96">
        <f t="shared" si="117"/>
        <v>-22.373441016158715</v>
      </c>
      <c r="BA106" s="95">
        <f t="shared" si="118"/>
        <v>-1.8551448258234426</v>
      </c>
      <c r="BB106" s="64">
        <f t="shared" si="119"/>
        <v>-2.1923701198896556E-2</v>
      </c>
      <c r="BC106" s="95">
        <f t="shared" si="120"/>
        <v>-1.9511721816417487</v>
      </c>
      <c r="BD106" s="96">
        <f t="shared" si="121"/>
        <v>-2.3058531766610421E-2</v>
      </c>
      <c r="BE106" s="96">
        <f t="shared" si="122"/>
        <v>-1.8551448258234426</v>
      </c>
      <c r="BF106" s="96">
        <f t="shared" si="123"/>
        <v>-2.1923701198896556E-2</v>
      </c>
      <c r="BG106" s="15">
        <f t="shared" si="109"/>
        <v>-213.58385299020722</v>
      </c>
      <c r="BH106" s="46">
        <f>(SUMPRODUCT(BE107:BE$605,$I106:$I$604)+SUMPRODUCT(BF107:BF$605,$I107:$I$605)) / $I106</f>
        <v>-203.07227802972474</v>
      </c>
      <c r="BJ106" s="46">
        <f t="shared" si="124"/>
        <v>-1.8551448258234426</v>
      </c>
      <c r="BK106" s="46">
        <f t="shared" si="125"/>
        <v>-45.038345957274878</v>
      </c>
      <c r="BM106" s="49">
        <f t="shared" si="110"/>
        <v>6835.4413088867013</v>
      </c>
      <c r="BN106" s="46">
        <f t="shared" si="126"/>
        <v>6492.3355657125567</v>
      </c>
      <c r="BP106" s="46">
        <f>Reserve!BX106</f>
        <v>9059.9877473713823</v>
      </c>
      <c r="BQ106" s="46">
        <f t="shared" si="84"/>
        <v>8605.2206462086342</v>
      </c>
      <c r="BR106" s="15">
        <f t="shared" si="111"/>
        <v>31.885833226873729</v>
      </c>
      <c r="BT106" s="49">
        <f t="shared" si="112"/>
        <v>36.570086048473321</v>
      </c>
      <c r="BU106" s="46">
        <f t="shared" si="85"/>
        <v>34.770281449820224</v>
      </c>
      <c r="BV106" s="46">
        <f>SUMPRODUCT(BU107:BU$605, $I107:$I$605) / $I106</f>
        <v>1604.3702137382274</v>
      </c>
      <c r="BX106" s="46">
        <f>-BZ106*Others!$Q$43</f>
        <v>-5.0592317167604817</v>
      </c>
      <c r="BZ106" s="50">
        <f t="shared" si="70"/>
        <v>19.762623893595631</v>
      </c>
      <c r="CA106" s="46">
        <f t="shared" si="113"/>
        <v>14.703392176835148</v>
      </c>
      <c r="CB106" s="46">
        <f t="shared" si="86"/>
        <v>14.703392176835148</v>
      </c>
      <c r="CD106" s="46">
        <f>SUMPRODUCT(BZ107:BZ$605, $I107:$I$605) / $I106</f>
        <v>2112.8850804960748</v>
      </c>
      <c r="CE106" s="46">
        <f>SUMPRODUCT(CA107:CA$605, $I107:$I$605) / $I106</f>
        <v>1571.9864998890794</v>
      </c>
      <c r="CF106" s="46">
        <f>SUMPRODUCT(CB107:CB$605, $I107:$I$605) / $I106</f>
        <v>1571.9864998890794</v>
      </c>
      <c r="CH106" s="46">
        <f t="shared" si="87"/>
        <v>37940.012252628614</v>
      </c>
      <c r="CI106" s="46">
        <f t="shared" si="88"/>
        <v>246.01225262861772</v>
      </c>
      <c r="CK106" s="46">
        <f>NPV((1+CK$3)^(1/12)-1,$CB$6:$CB106)+$CB$5</f>
        <v>100.37758436589718</v>
      </c>
      <c r="CL106" s="46">
        <f>NPV((1+CL$3)^(1/12)-1,$CB$6:$CB106)+$CB$5</f>
        <v>26.008175072419363</v>
      </c>
      <c r="CM106" s="46">
        <f>NPV((1+CM$3)^(1/12)-1,$CB$6:$CB106)+$CB$5</f>
        <v>-122.30791587696319</v>
      </c>
      <c r="CN106" s="46">
        <f>NPV((1+CN$3)^(1/12)-1,$CB$6:$CB106)+$CB$5</f>
        <v>-122.30791587696319</v>
      </c>
    </row>
    <row r="107" spans="1:92" x14ac:dyDescent="0.25">
      <c r="A107" s="61">
        <f t="shared" si="71"/>
        <v>8.4999999999999911</v>
      </c>
      <c r="B107" s="32">
        <f t="shared" si="89"/>
        <v>6</v>
      </c>
      <c r="C107" s="62">
        <f t="shared" si="90"/>
        <v>9</v>
      </c>
      <c r="D107" s="64">
        <f t="shared" si="91"/>
        <v>8.9999999999999911</v>
      </c>
      <c r="E107" s="28">
        <f t="shared" si="72"/>
        <v>9</v>
      </c>
      <c r="G107" s="68">
        <f>INDEX(Others!$D$11:$E$60, MATCH(C107, Others!$A$11:$A$60, 0), MATCH(G$3, Others!$D$10:$E$10, 0))</f>
        <v>4.9403172915208016E-2</v>
      </c>
      <c r="H107" s="16">
        <f t="shared" si="114"/>
        <v>4.026551179866944E-3</v>
      </c>
      <c r="I107" s="69">
        <f t="shared" si="115"/>
        <v>0.73351179662309152</v>
      </c>
      <c r="K107" s="80">
        <f>INDEX(Mortality!$B$7:$F$32, MATCH( E107,Mortality!$A$7:$A$32, 0), MATCH( K$3,Mortality!$B$6:$F$6,0))</f>
        <v>0.35100000000000003</v>
      </c>
      <c r="L107" s="11">
        <f t="shared" si="73"/>
        <v>0</v>
      </c>
      <c r="M107" s="80">
        <f t="shared" si="92"/>
        <v>0.35100000000000003</v>
      </c>
      <c r="N107" s="76">
        <f>INDEX(Myopia!$H:$H, MATCH(E107, Myopia!$A:$A, 0)) * Trend_Factor^(A107)</f>
        <v>11.877037566228701</v>
      </c>
      <c r="O107" s="11">
        <f t="shared" si="74"/>
        <v>0</v>
      </c>
      <c r="P107" s="80">
        <f t="shared" si="93"/>
        <v>11.877037566228701</v>
      </c>
      <c r="Q107" s="76">
        <f>VLOOKUP(C107,Others!$L$10:$M$61,2)</f>
        <v>0</v>
      </c>
      <c r="R107" s="11">
        <f t="shared" si="75"/>
        <v>0</v>
      </c>
      <c r="S107" s="80">
        <f t="shared" si="94"/>
        <v>0</v>
      </c>
      <c r="T107" s="78">
        <f t="shared" si="95"/>
        <v>2.9250000000000003E-5</v>
      </c>
      <c r="U107" s="81">
        <f t="shared" si="96"/>
        <v>9.8975313051905835E-4</v>
      </c>
      <c r="V107" s="81">
        <f t="shared" si="97"/>
        <v>0</v>
      </c>
      <c r="W107" s="77">
        <f t="shared" si="76"/>
        <v>0.94980488783832062</v>
      </c>
      <c r="X107" s="82">
        <f t="shared" si="98"/>
        <v>2.77680444109895E-5</v>
      </c>
      <c r="Y107" s="82">
        <f t="shared" si="99"/>
        <v>9.4005861256199951E-4</v>
      </c>
      <c r="Z107" s="82">
        <f t="shared" si="100"/>
        <v>0</v>
      </c>
      <c r="AA107" s="82">
        <f t="shared" si="101"/>
        <v>0.94883706118134759</v>
      </c>
      <c r="AC107" s="46">
        <f t="shared" si="77"/>
        <v>0</v>
      </c>
      <c r="AD107" s="15">
        <f t="shared" si="78"/>
        <v>0</v>
      </c>
      <c r="AE107" s="46">
        <f t="shared" si="102"/>
        <v>0</v>
      </c>
      <c r="AF107" s="15">
        <f t="shared" si="103"/>
        <v>0</v>
      </c>
      <c r="AG107" s="46">
        <f>SUMPRODUCT(AE108:AE$605, $I107:$I$604) / $I107</f>
        <v>0</v>
      </c>
      <c r="AI107" s="46">
        <f t="shared" si="79"/>
        <v>-47000</v>
      </c>
      <c r="AJ107" s="46">
        <f>IF(E107&gt;Mat_Year,0,  -SUM($AD$5:AD107))</f>
        <v>-9306</v>
      </c>
      <c r="AK107" s="24">
        <f t="shared" si="104"/>
        <v>-0.25840942128866828</v>
      </c>
      <c r="AL107" s="79">
        <f t="shared" si="105"/>
        <v>-44.182754790413981</v>
      </c>
      <c r="AM107" s="24">
        <f t="shared" si="106"/>
        <v>-46.789782597189152</v>
      </c>
      <c r="AN107" s="79">
        <f t="shared" si="107"/>
        <v>-44.441164211702649</v>
      </c>
      <c r="AO107" s="15">
        <f t="shared" si="108"/>
        <v>-6601.5096829549775</v>
      </c>
      <c r="AP107" s="46">
        <f>SUMPRODUCT(AN108:AN$605, $I108:$I$605) / $I107</f>
        <v>-6270.1461639826402</v>
      </c>
      <c r="AR107" s="46">
        <v>0</v>
      </c>
      <c r="AS107" s="46">
        <v>0</v>
      </c>
      <c r="AT107" s="46">
        <v>0</v>
      </c>
      <c r="AU107" s="95">
        <f t="shared" si="80"/>
        <v>-1.953353784362049</v>
      </c>
      <c r="AV107" s="47">
        <f t="shared" si="81"/>
        <v>0</v>
      </c>
      <c r="AW107" s="96">
        <f t="shared" si="116"/>
        <v>-1.953353784362049</v>
      </c>
      <c r="AX107" s="95">
        <f t="shared" si="82"/>
        <v>-22.398456727351491</v>
      </c>
      <c r="AY107" s="11">
        <f t="shared" si="83"/>
        <v>0</v>
      </c>
      <c r="AZ107" s="96">
        <f t="shared" si="117"/>
        <v>-22.398456727351491</v>
      </c>
      <c r="BA107" s="95">
        <f t="shared" si="118"/>
        <v>-1.8553049720645551</v>
      </c>
      <c r="BB107" s="64">
        <f t="shared" si="119"/>
        <v>-2.1677823495786747E-2</v>
      </c>
      <c r="BC107" s="95">
        <f t="shared" si="120"/>
        <v>-1.953353784362049</v>
      </c>
      <c r="BD107" s="96">
        <f t="shared" si="121"/>
        <v>-2.2823449082393886E-2</v>
      </c>
      <c r="BE107" s="96">
        <f t="shared" si="122"/>
        <v>-1.8553049720645551</v>
      </c>
      <c r="BF107" s="96">
        <f t="shared" si="123"/>
        <v>-2.1677823495786747E-2</v>
      </c>
      <c r="BG107" s="15">
        <f t="shared" si="109"/>
        <v>-212.68105508931129</v>
      </c>
      <c r="BH107" s="46">
        <f>(SUMPRODUCT(BE108:BE$605,$I107:$I$604)+SUMPRODUCT(BF108:BF$605,$I108:$I$605)) / $I107</f>
        <v>-202.00550567443901</v>
      </c>
      <c r="BJ107" s="46">
        <f t="shared" si="124"/>
        <v>-1.8553049720645551</v>
      </c>
      <c r="BK107" s="46">
        <f t="shared" si="125"/>
        <v>-44.462842035198435</v>
      </c>
      <c r="BM107" s="49">
        <f t="shared" si="110"/>
        <v>6821.1413049137673</v>
      </c>
      <c r="BN107" s="46">
        <f t="shared" si="126"/>
        <v>6472.1516696570816</v>
      </c>
      <c r="BP107" s="46">
        <f>Reserve!BX107</f>
        <v>9036.2665323082038</v>
      </c>
      <c r="BQ107" s="46">
        <f t="shared" si="84"/>
        <v>8573.9445805666819</v>
      </c>
      <c r="BR107" s="15">
        <f t="shared" si="111"/>
        <v>31.2760656419523</v>
      </c>
      <c r="BT107" s="49">
        <f t="shared" si="112"/>
        <v>36.47263907477317</v>
      </c>
      <c r="BU107" s="46">
        <f t="shared" si="85"/>
        <v>34.641890865582482</v>
      </c>
      <c r="BV107" s="46">
        <f>SUMPRODUCT(BU108:BU$605, $I108:$I$605) / $I107</f>
        <v>1576.1884016497165</v>
      </c>
      <c r="BX107" s="46">
        <f>-BZ107*Others!$Q$43</f>
        <v>-5.0175512320695796</v>
      </c>
      <c r="BZ107" s="50">
        <f t="shared" si="70"/>
        <v>19.599809500271796</v>
      </c>
      <c r="CA107" s="46">
        <f t="shared" si="113"/>
        <v>14.582258268202217</v>
      </c>
      <c r="CB107" s="46">
        <f t="shared" si="86"/>
        <v>14.582258268202217</v>
      </c>
      <c r="CD107" s="46">
        <f>SUMPRODUCT(BZ108:BZ$605, $I108:$I$605) / $I107</f>
        <v>2101.792910909598</v>
      </c>
      <c r="CE107" s="46">
        <f>SUMPRODUCT(CA108:CA$605, $I108:$I$605) / $I107</f>
        <v>1563.7339257167407</v>
      </c>
      <c r="CF107" s="46">
        <f>SUMPRODUCT(CB108:CB$605, $I108:$I$605) / $I107</f>
        <v>1563.7339257167407</v>
      </c>
      <c r="CH107" s="46">
        <f t="shared" si="87"/>
        <v>37963.733467691796</v>
      </c>
      <c r="CI107" s="46">
        <f t="shared" si="88"/>
        <v>269.73346769179625</v>
      </c>
      <c r="CK107" s="46">
        <f>NPV((1+CK$3)^(1/12)-1,$CB$6:$CB107)+$CB$5</f>
        <v>111.72007360251848</v>
      </c>
      <c r="CL107" s="46">
        <f>NPV((1+CL$3)^(1/12)-1,$CB$6:$CB107)+$CB$5</f>
        <v>35.640158877762815</v>
      </c>
      <c r="CM107" s="46">
        <f>NPV((1+CM$3)^(1/12)-1,$CB$6:$CB107)+$CB$5</f>
        <v>-115.82176626627916</v>
      </c>
      <c r="CN107" s="46">
        <f>NPV((1+CN$3)^(1/12)-1,$CB$6:$CB107)+$CB$5</f>
        <v>-115.82176626627916</v>
      </c>
    </row>
    <row r="108" spans="1:92" x14ac:dyDescent="0.25">
      <c r="A108" s="61">
        <f t="shared" si="71"/>
        <v>8.583333333333325</v>
      </c>
      <c r="B108" s="32">
        <f t="shared" si="89"/>
        <v>7</v>
      </c>
      <c r="C108" s="62">
        <f t="shared" si="90"/>
        <v>9</v>
      </c>
      <c r="D108" s="64">
        <f t="shared" si="91"/>
        <v>9.083333333333325</v>
      </c>
      <c r="E108" s="28">
        <f t="shared" si="72"/>
        <v>9</v>
      </c>
      <c r="G108" s="68">
        <f>INDEX(Others!$D$11:$E$60, MATCH(C108, Others!$A$11:$A$60, 0), MATCH(G$3, Others!$D$10:$E$10, 0))</f>
        <v>4.9403172915208016E-2</v>
      </c>
      <c r="H108" s="16">
        <f t="shared" si="114"/>
        <v>4.026551179866944E-3</v>
      </c>
      <c r="I108" s="69">
        <f t="shared" si="115"/>
        <v>0.73057011864986632</v>
      </c>
      <c r="K108" s="80">
        <f>INDEX(Mortality!$B$7:$F$32, MATCH( E108,Mortality!$A$7:$A$32, 0), MATCH( K$3,Mortality!$B$6:$F$6,0))</f>
        <v>0.35100000000000003</v>
      </c>
      <c r="L108" s="11">
        <f t="shared" si="73"/>
        <v>0</v>
      </c>
      <c r="M108" s="80">
        <f t="shared" si="92"/>
        <v>0.35100000000000003</v>
      </c>
      <c r="N108" s="76">
        <f>INDEX(Myopia!$H:$H, MATCH(E108, Myopia!$A:$A, 0)) * Trend_Factor^(A108)</f>
        <v>11.877037566228701</v>
      </c>
      <c r="O108" s="11">
        <f t="shared" si="74"/>
        <v>0</v>
      </c>
      <c r="P108" s="80">
        <f t="shared" si="93"/>
        <v>11.877037566228701</v>
      </c>
      <c r="Q108" s="76">
        <f>VLOOKUP(C108,Others!$L$10:$M$61,2)</f>
        <v>0</v>
      </c>
      <c r="R108" s="11">
        <f t="shared" si="75"/>
        <v>0</v>
      </c>
      <c r="S108" s="80">
        <f t="shared" si="94"/>
        <v>0</v>
      </c>
      <c r="T108" s="78">
        <f t="shared" si="95"/>
        <v>2.9250000000000003E-5</v>
      </c>
      <c r="U108" s="81">
        <f t="shared" si="96"/>
        <v>9.8975313051905835E-4</v>
      </c>
      <c r="V108" s="81">
        <f t="shared" si="97"/>
        <v>0</v>
      </c>
      <c r="W108" s="77">
        <f t="shared" si="76"/>
        <v>0.94883706118134759</v>
      </c>
      <c r="X108" s="82">
        <f t="shared" si="98"/>
        <v>2.7739749490698941E-5</v>
      </c>
      <c r="Y108" s="82">
        <f t="shared" si="99"/>
        <v>9.3910071710788653E-4</v>
      </c>
      <c r="Z108" s="82">
        <f t="shared" si="100"/>
        <v>0</v>
      </c>
      <c r="AA108" s="82">
        <f t="shared" si="101"/>
        <v>0.94787022071474902</v>
      </c>
      <c r="AC108" s="46">
        <f t="shared" si="77"/>
        <v>0</v>
      </c>
      <c r="AD108" s="15">
        <f t="shared" si="78"/>
        <v>0</v>
      </c>
      <c r="AE108" s="46">
        <f t="shared" si="102"/>
        <v>0</v>
      </c>
      <c r="AF108" s="15">
        <f t="shared" si="103"/>
        <v>0</v>
      </c>
      <c r="AG108" s="46">
        <f>SUMPRODUCT(AE109:AE$605, $I108:$I$604) / $I108</f>
        <v>0</v>
      </c>
      <c r="AI108" s="46">
        <f t="shared" si="79"/>
        <v>-47000</v>
      </c>
      <c r="AJ108" s="46">
        <f>IF(E108&gt;Mat_Year,0,  -SUM($AD$5:AD108))</f>
        <v>-9306</v>
      </c>
      <c r="AK108" s="24">
        <f t="shared" si="104"/>
        <v>-0.25814610876044436</v>
      </c>
      <c r="AL108" s="79">
        <f t="shared" si="105"/>
        <v>-44.137733704070669</v>
      </c>
      <c r="AM108" s="24">
        <f t="shared" si="106"/>
        <v>-46.789782597189145</v>
      </c>
      <c r="AN108" s="79">
        <f t="shared" si="107"/>
        <v>-44.395879812831112</v>
      </c>
      <c r="AO108" s="15">
        <f t="shared" si="108"/>
        <v>-6588.0619595755888</v>
      </c>
      <c r="AP108" s="46">
        <f>SUMPRODUCT(AN109:AN$605, $I109:$I$605) / $I108</f>
        <v>-6250.9973486043318</v>
      </c>
      <c r="AR108" s="46">
        <v>0</v>
      </c>
      <c r="AS108" s="46">
        <v>0</v>
      </c>
      <c r="AT108" s="46">
        <v>0</v>
      </c>
      <c r="AU108" s="95">
        <f t="shared" si="80"/>
        <v>-1.9555378263291132</v>
      </c>
      <c r="AV108" s="47">
        <f t="shared" si="81"/>
        <v>0</v>
      </c>
      <c r="AW108" s="96">
        <f t="shared" si="116"/>
        <v>-1.9555378263291132</v>
      </c>
      <c r="AX108" s="95">
        <f t="shared" si="82"/>
        <v>-22.423500408573826</v>
      </c>
      <c r="AY108" s="11">
        <f t="shared" si="83"/>
        <v>0</v>
      </c>
      <c r="AZ108" s="96">
        <f t="shared" si="117"/>
        <v>-22.423500408573826</v>
      </c>
      <c r="BA108" s="95">
        <f t="shared" si="118"/>
        <v>-1.8554867641630763</v>
      </c>
      <c r="BB108" s="64">
        <f t="shared" si="119"/>
        <v>-2.167994759779909E-2</v>
      </c>
      <c r="BC108" s="95">
        <f t="shared" si="120"/>
        <v>-1.9555378263291132</v>
      </c>
      <c r="BD108" s="96">
        <f t="shared" si="121"/>
        <v>-2.2848967946937609E-2</v>
      </c>
      <c r="BE108" s="96">
        <f t="shared" si="122"/>
        <v>-1.8554867641630763</v>
      </c>
      <c r="BF108" s="96">
        <f t="shared" si="123"/>
        <v>-2.167994759779909E-2</v>
      </c>
      <c r="BG108" s="15">
        <f t="shared" si="109"/>
        <v>-211.76897644290887</v>
      </c>
      <c r="BH108" s="46">
        <f>(SUMPRODUCT(BE109:BE$605,$I108:$I$604)+SUMPRODUCT(BF109:BF$605,$I109:$I$605)) / $I108</f>
        <v>-200.93425325747168</v>
      </c>
      <c r="BJ108" s="46">
        <f t="shared" si="124"/>
        <v>-1.8554867641630763</v>
      </c>
      <c r="BK108" s="46">
        <f t="shared" si="125"/>
        <v>-44.417559760428908</v>
      </c>
      <c r="BM108" s="49">
        <f t="shared" si="110"/>
        <v>6806.7668556953668</v>
      </c>
      <c r="BN108" s="46">
        <f t="shared" si="126"/>
        <v>6451.9316018618056</v>
      </c>
      <c r="BP108" s="46">
        <f>Reserve!BX108</f>
        <v>9012.437223231409</v>
      </c>
      <c r="BQ108" s="46">
        <f t="shared" si="84"/>
        <v>8542.620859962175</v>
      </c>
      <c r="BR108" s="15">
        <f t="shared" si="111"/>
        <v>31.323720604506889</v>
      </c>
      <c r="BT108" s="49">
        <f t="shared" si="112"/>
        <v>36.377115594115892</v>
      </c>
      <c r="BU108" s="46">
        <f t="shared" si="85"/>
        <v>34.515955454575092</v>
      </c>
      <c r="BV108" s="46">
        <f>SUMPRODUCT(BU109:BU$605, $I109:$I$605) / $I108</f>
        <v>1548.0190494634965</v>
      </c>
      <c r="BX108" s="46">
        <f>-BZ108*Others!$Q$43</f>
        <v>-5.0090571608294399</v>
      </c>
      <c r="BZ108" s="50">
        <f t="shared" si="70"/>
        <v>19.566629534489998</v>
      </c>
      <c r="CA108" s="46">
        <f t="shared" si="113"/>
        <v>14.557572373660559</v>
      </c>
      <c r="CB108" s="46">
        <f t="shared" si="86"/>
        <v>14.557572373660559</v>
      </c>
      <c r="CD108" s="46">
        <f>SUMPRODUCT(BZ109:BZ$605, $I109:$I$605) / $I108</f>
        <v>2090.6892581003667</v>
      </c>
      <c r="CE108" s="46">
        <f>SUMPRODUCT(CA109:CA$605, $I109:$I$605) / $I108</f>
        <v>1555.4728080266734</v>
      </c>
      <c r="CF108" s="46">
        <f>SUMPRODUCT(CB109:CB$605, $I109:$I$605) / $I108</f>
        <v>1555.4728080266734</v>
      </c>
      <c r="CH108" s="46">
        <f t="shared" si="87"/>
        <v>37987.562776768595</v>
      </c>
      <c r="CI108" s="46">
        <f t="shared" si="88"/>
        <v>293.56277676859099</v>
      </c>
      <c r="CK108" s="46">
        <f>NPV((1+CK$3)^(1/12)-1,$CB$6:$CB108)+$CB$5</f>
        <v>123.01550388013538</v>
      </c>
      <c r="CL108" s="46">
        <f>NPV((1+CL$3)^(1/12)-1,$CB$6:$CB108)+$CB$5</f>
        <v>45.21682046411911</v>
      </c>
      <c r="CM108" s="46">
        <f>NPV((1+CM$3)^(1/12)-1,$CB$6:$CB108)+$CB$5</f>
        <v>-109.3978223069297</v>
      </c>
      <c r="CN108" s="46">
        <f>NPV((1+CN$3)^(1/12)-1,$CB$6:$CB108)+$CB$5</f>
        <v>-109.3978223069297</v>
      </c>
    </row>
    <row r="109" spans="1:92" x14ac:dyDescent="0.25">
      <c r="A109" s="61">
        <f t="shared" si="71"/>
        <v>8.666666666666659</v>
      </c>
      <c r="B109" s="32">
        <f t="shared" si="89"/>
        <v>8</v>
      </c>
      <c r="C109" s="62">
        <f t="shared" si="90"/>
        <v>9</v>
      </c>
      <c r="D109" s="64">
        <f t="shared" si="91"/>
        <v>9.166666666666659</v>
      </c>
      <c r="E109" s="28">
        <f t="shared" si="72"/>
        <v>9</v>
      </c>
      <c r="G109" s="68">
        <f>INDEX(Others!$D$11:$E$60, MATCH(C109, Others!$A$11:$A$60, 0), MATCH(G$3, Others!$D$10:$E$10, 0))</f>
        <v>4.9403172915208016E-2</v>
      </c>
      <c r="H109" s="16">
        <f t="shared" si="114"/>
        <v>4.026551179866944E-3</v>
      </c>
      <c r="I109" s="69">
        <f t="shared" si="115"/>
        <v>0.7276402379910647</v>
      </c>
      <c r="K109" s="80">
        <f>INDEX(Mortality!$B$7:$F$32, MATCH( E109,Mortality!$A$7:$A$32, 0), MATCH( K$3,Mortality!$B$6:$F$6,0))</f>
        <v>0.35100000000000003</v>
      </c>
      <c r="L109" s="11">
        <f t="shared" si="73"/>
        <v>0</v>
      </c>
      <c r="M109" s="80">
        <f t="shared" si="92"/>
        <v>0.35100000000000003</v>
      </c>
      <c r="N109" s="76">
        <f>INDEX(Myopia!$H:$H, MATCH(E109, Myopia!$A:$A, 0)) * Trend_Factor^(A109)</f>
        <v>11.877037566228701</v>
      </c>
      <c r="O109" s="11">
        <f t="shared" si="74"/>
        <v>0</v>
      </c>
      <c r="P109" s="80">
        <f t="shared" si="93"/>
        <v>11.877037566228701</v>
      </c>
      <c r="Q109" s="76">
        <f>VLOOKUP(C109,Others!$L$10:$M$61,2)</f>
        <v>0</v>
      </c>
      <c r="R109" s="11">
        <f t="shared" si="75"/>
        <v>0</v>
      </c>
      <c r="S109" s="80">
        <f t="shared" si="94"/>
        <v>0</v>
      </c>
      <c r="T109" s="78">
        <f t="shared" si="95"/>
        <v>2.9250000000000003E-5</v>
      </c>
      <c r="U109" s="81">
        <f t="shared" si="96"/>
        <v>9.8975313051905835E-4</v>
      </c>
      <c r="V109" s="81">
        <f t="shared" si="97"/>
        <v>0</v>
      </c>
      <c r="W109" s="77">
        <f t="shared" si="76"/>
        <v>0.94787022071474902</v>
      </c>
      <c r="X109" s="82">
        <f t="shared" si="98"/>
        <v>2.7711483402201592E-5</v>
      </c>
      <c r="Y109" s="82">
        <f t="shared" si="99"/>
        <v>9.3814379772450874E-4</v>
      </c>
      <c r="Z109" s="82">
        <f t="shared" si="100"/>
        <v>0</v>
      </c>
      <c r="AA109" s="82">
        <f t="shared" si="101"/>
        <v>0.94690436543362233</v>
      </c>
      <c r="AC109" s="46">
        <f t="shared" si="77"/>
        <v>0</v>
      </c>
      <c r="AD109" s="15">
        <f t="shared" si="78"/>
        <v>0</v>
      </c>
      <c r="AE109" s="46">
        <f t="shared" si="102"/>
        <v>0</v>
      </c>
      <c r="AF109" s="15">
        <f t="shared" si="103"/>
        <v>0</v>
      </c>
      <c r="AG109" s="46">
        <f>SUMPRODUCT(AE110:AE$605, $I109:$I$604) / $I109</f>
        <v>0</v>
      </c>
      <c r="AI109" s="46">
        <f t="shared" si="79"/>
        <v>-47000</v>
      </c>
      <c r="AJ109" s="46">
        <f>IF(E109&gt;Mat_Year,0,  -SUM($AD$5:AD109))</f>
        <v>-9306</v>
      </c>
      <c r="AK109" s="24">
        <f t="shared" si="104"/>
        <v>-0.257883064540888</v>
      </c>
      <c r="AL109" s="79">
        <f t="shared" si="105"/>
        <v>-44.09275849305191</v>
      </c>
      <c r="AM109" s="24">
        <f t="shared" si="106"/>
        <v>-46.789782597189152</v>
      </c>
      <c r="AN109" s="79">
        <f t="shared" si="107"/>
        <v>-44.350641557592802</v>
      </c>
      <c r="AO109" s="15">
        <f t="shared" si="108"/>
        <v>-6574.5463161580883</v>
      </c>
      <c r="AP109" s="46">
        <f>SUMPRODUCT(AN110:AN$605, $I110:$I$605) / $I109</f>
        <v>-6231.8166677961071</v>
      </c>
      <c r="AR109" s="46">
        <v>0</v>
      </c>
      <c r="AS109" s="46">
        <v>0</v>
      </c>
      <c r="AT109" s="46">
        <v>0</v>
      </c>
      <c r="AU109" s="95">
        <f t="shared" si="80"/>
        <v>-1.9577243102702588</v>
      </c>
      <c r="AV109" s="47">
        <f t="shared" si="81"/>
        <v>0</v>
      </c>
      <c r="AW109" s="96">
        <f t="shared" si="116"/>
        <v>-1.9577243102702588</v>
      </c>
      <c r="AX109" s="95">
        <f t="shared" si="82"/>
        <v>-22.448572091098967</v>
      </c>
      <c r="AY109" s="11">
        <f t="shared" si="83"/>
        <v>0</v>
      </c>
      <c r="AZ109" s="96">
        <f t="shared" si="117"/>
        <v>-22.448572091098967</v>
      </c>
      <c r="BA109" s="95">
        <f t="shared" si="118"/>
        <v>-1.8556685740745</v>
      </c>
      <c r="BB109" s="64">
        <f t="shared" si="119"/>
        <v>-2.1682071907941615E-2</v>
      </c>
      <c r="BC109" s="95">
        <f t="shared" si="120"/>
        <v>-1.9577243102702588</v>
      </c>
      <c r="BD109" s="96">
        <f t="shared" si="121"/>
        <v>-2.28745153440859E-2</v>
      </c>
      <c r="BE109" s="96">
        <f t="shared" si="122"/>
        <v>-1.8556685740745</v>
      </c>
      <c r="BF109" s="96">
        <f t="shared" si="123"/>
        <v>-2.1682071907941615E-2</v>
      </c>
      <c r="BG109" s="15">
        <f t="shared" si="109"/>
        <v>-210.85007035122123</v>
      </c>
      <c r="BH109" s="46">
        <f>(SUMPRODUCT(BE110:BE$605,$I109:$I$604)+SUMPRODUCT(BF110:BF$605,$I110:$I$605)) / $I109</f>
        <v>-199.85850272153243</v>
      </c>
      <c r="BJ109" s="46">
        <f t="shared" si="124"/>
        <v>-1.8556685740745</v>
      </c>
      <c r="BK109" s="46">
        <f t="shared" si="125"/>
        <v>-44.372323629500741</v>
      </c>
      <c r="BM109" s="49">
        <f t="shared" si="110"/>
        <v>6792.3175827501236</v>
      </c>
      <c r="BN109" s="46">
        <f t="shared" si="126"/>
        <v>6431.6751705176412</v>
      </c>
      <c r="BP109" s="46">
        <f>Reserve!BX109</f>
        <v>8988.4993396481095</v>
      </c>
      <c r="BQ109" s="46">
        <f t="shared" si="84"/>
        <v>8511.2492634100272</v>
      </c>
      <c r="BR109" s="15">
        <f t="shared" si="111"/>
        <v>31.371596552147821</v>
      </c>
      <c r="BT109" s="49">
        <f t="shared" si="112"/>
        <v>36.281156857547813</v>
      </c>
      <c r="BU109" s="46">
        <f t="shared" si="85"/>
        <v>34.389828158350277</v>
      </c>
      <c r="BV109" s="46">
        <f>SUMPRODUCT(BU110:BU$605, $I110:$I$605) / $I109</f>
        <v>1519.86239923522</v>
      </c>
      <c r="BX109" s="46">
        <f>-BZ109*Others!$Q$43</f>
        <v>-5.0005587217722516</v>
      </c>
      <c r="BZ109" s="50">
        <f t="shared" si="70"/>
        <v>19.533432506922857</v>
      </c>
      <c r="CA109" s="46">
        <f t="shared" si="113"/>
        <v>14.532873785150606</v>
      </c>
      <c r="CB109" s="46">
        <f t="shared" si="86"/>
        <v>14.532873785150606</v>
      </c>
      <c r="CD109" s="46">
        <f>SUMPRODUCT(BZ110:BZ$605, $I110:$I$605) / $I109</f>
        <v>2079.5740928923833</v>
      </c>
      <c r="CE109" s="46">
        <f>SUMPRODUCT(CA110:CA$605, $I110:$I$605) / $I109</f>
        <v>1547.2031251119338</v>
      </c>
      <c r="CF109" s="46">
        <f>SUMPRODUCT(CB110:CB$605, $I110:$I$605) / $I109</f>
        <v>1547.2031251119338</v>
      </c>
      <c r="CH109" s="46">
        <f t="shared" si="87"/>
        <v>38011.500660351892</v>
      </c>
      <c r="CI109" s="46">
        <f t="shared" si="88"/>
        <v>317.50066035189047</v>
      </c>
      <c r="CK109" s="46">
        <f>NPV((1+CK$3)^(1/12)-1,$CB$6:$CB109)+$CB$5</f>
        <v>134.26402827116556</v>
      </c>
      <c r="CL109" s="46">
        <f>NPV((1+CL$3)^(1/12)-1,$CB$6:$CB109)+$CB$5</f>
        <v>54.738441883194469</v>
      </c>
      <c r="CM109" s="46">
        <f>NPV((1+CM$3)^(1/12)-1,$CB$6:$CB109)+$CB$5</f>
        <v>-103.03551126580328</v>
      </c>
      <c r="CN109" s="46">
        <f>NPV((1+CN$3)^(1/12)-1,$CB$6:$CB109)+$CB$5</f>
        <v>-103.03551126580328</v>
      </c>
    </row>
    <row r="110" spans="1:92" x14ac:dyDescent="0.25">
      <c r="A110" s="61">
        <f t="shared" si="71"/>
        <v>8.7499999999999929</v>
      </c>
      <c r="B110" s="32">
        <f t="shared" si="89"/>
        <v>9</v>
      </c>
      <c r="C110" s="62">
        <f t="shared" si="90"/>
        <v>9</v>
      </c>
      <c r="D110" s="64">
        <f t="shared" si="91"/>
        <v>9.2499999999999929</v>
      </c>
      <c r="E110" s="28">
        <f t="shared" si="72"/>
        <v>9</v>
      </c>
      <c r="G110" s="68">
        <f>INDEX(Others!$D$11:$E$60, MATCH(C110, Others!$A$11:$A$60, 0), MATCH(G$3, Others!$D$10:$E$10, 0))</f>
        <v>4.9403172915208016E-2</v>
      </c>
      <c r="H110" s="16">
        <f t="shared" si="114"/>
        <v>4.026551179866944E-3</v>
      </c>
      <c r="I110" s="69">
        <f t="shared" si="115"/>
        <v>0.72472210733470055</v>
      </c>
      <c r="K110" s="80">
        <f>INDEX(Mortality!$B$7:$F$32, MATCH( E110,Mortality!$A$7:$A$32, 0), MATCH( K$3,Mortality!$B$6:$F$6,0))</f>
        <v>0.35100000000000003</v>
      </c>
      <c r="L110" s="11">
        <f t="shared" si="73"/>
        <v>0</v>
      </c>
      <c r="M110" s="80">
        <f t="shared" si="92"/>
        <v>0.35100000000000003</v>
      </c>
      <c r="N110" s="76">
        <f>INDEX(Myopia!$H:$H, MATCH(E110, Myopia!$A:$A, 0)) * Trend_Factor^(A110)</f>
        <v>11.877037566228701</v>
      </c>
      <c r="O110" s="11">
        <f t="shared" si="74"/>
        <v>0</v>
      </c>
      <c r="P110" s="80">
        <f t="shared" si="93"/>
        <v>11.877037566228701</v>
      </c>
      <c r="Q110" s="76">
        <f>VLOOKUP(C110,Others!$L$10:$M$61,2)</f>
        <v>0</v>
      </c>
      <c r="R110" s="11">
        <f t="shared" si="75"/>
        <v>0</v>
      </c>
      <c r="S110" s="80">
        <f t="shared" si="94"/>
        <v>0</v>
      </c>
      <c r="T110" s="78">
        <f t="shared" si="95"/>
        <v>2.9250000000000003E-5</v>
      </c>
      <c r="U110" s="81">
        <f t="shared" si="96"/>
        <v>9.8975313051905835E-4</v>
      </c>
      <c r="V110" s="81">
        <f t="shared" si="97"/>
        <v>0</v>
      </c>
      <c r="W110" s="77">
        <f t="shared" si="76"/>
        <v>0.94690436543362233</v>
      </c>
      <c r="X110" s="82">
        <f t="shared" si="98"/>
        <v>2.7683246116118604E-5</v>
      </c>
      <c r="Y110" s="82">
        <f t="shared" si="99"/>
        <v>9.3718785341727513E-4</v>
      </c>
      <c r="Z110" s="82">
        <f t="shared" si="100"/>
        <v>0</v>
      </c>
      <c r="AA110" s="82">
        <f t="shared" si="101"/>
        <v>0.94593949433408897</v>
      </c>
      <c r="AC110" s="46">
        <f t="shared" si="77"/>
        <v>0</v>
      </c>
      <c r="AD110" s="15">
        <f t="shared" si="78"/>
        <v>0</v>
      </c>
      <c r="AE110" s="46">
        <f t="shared" si="102"/>
        <v>0</v>
      </c>
      <c r="AF110" s="15">
        <f t="shared" si="103"/>
        <v>0</v>
      </c>
      <c r="AG110" s="46">
        <f>SUMPRODUCT(AE111:AE$605, $I110:$I$604) / $I110</f>
        <v>0</v>
      </c>
      <c r="AI110" s="46">
        <f t="shared" si="79"/>
        <v>-47000</v>
      </c>
      <c r="AJ110" s="46">
        <f>IF(E110&gt;Mat_Year,0,  -SUM($AD$5:AD110))</f>
        <v>-9306</v>
      </c>
      <c r="AK110" s="24">
        <f t="shared" si="104"/>
        <v>-0.25762028835659972</v>
      </c>
      <c r="AL110" s="79">
        <f t="shared" si="105"/>
        <v>-44.047829110611929</v>
      </c>
      <c r="AM110" s="24">
        <f t="shared" si="106"/>
        <v>-46.789782597189138</v>
      </c>
      <c r="AN110" s="79">
        <f t="shared" si="107"/>
        <v>-44.305449398968527</v>
      </c>
      <c r="AO110" s="15">
        <f t="shared" si="108"/>
        <v>-6560.9624096606503</v>
      </c>
      <c r="AP110" s="46">
        <f>SUMPRODUCT(AN111:AN$605, $I111:$I$605) / $I110</f>
        <v>-6212.6039471535678</v>
      </c>
      <c r="AR110" s="46">
        <v>0</v>
      </c>
      <c r="AS110" s="46">
        <v>0</v>
      </c>
      <c r="AT110" s="46">
        <v>0</v>
      </c>
      <c r="AU110" s="95">
        <f t="shared" si="80"/>
        <v>-1.959913238915854</v>
      </c>
      <c r="AV110" s="47">
        <f t="shared" si="81"/>
        <v>0</v>
      </c>
      <c r="AW110" s="96">
        <f t="shared" si="116"/>
        <v>-1.959913238915854</v>
      </c>
      <c r="AX110" s="95">
        <f t="shared" si="82"/>
        <v>-22.473671806235121</v>
      </c>
      <c r="AY110" s="11">
        <f t="shared" si="83"/>
        <v>0</v>
      </c>
      <c r="AZ110" s="96">
        <f t="shared" si="117"/>
        <v>-22.473671806235121</v>
      </c>
      <c r="BA110" s="95">
        <f t="shared" si="118"/>
        <v>-1.8558504018005721</v>
      </c>
      <c r="BB110" s="64">
        <f t="shared" si="119"/>
        <v>-2.1684196426234714E-2</v>
      </c>
      <c r="BC110" s="95">
        <f t="shared" si="120"/>
        <v>-1.959913238915854</v>
      </c>
      <c r="BD110" s="96">
        <f t="shared" si="121"/>
        <v>-2.290009130574102E-2</v>
      </c>
      <c r="BE110" s="96">
        <f t="shared" si="122"/>
        <v>-1.8558504018005721</v>
      </c>
      <c r="BF110" s="96">
        <f t="shared" si="123"/>
        <v>-2.1684196426234714E-2</v>
      </c>
      <c r="BG110" s="15">
        <f t="shared" si="109"/>
        <v>-209.92429984794984</v>
      </c>
      <c r="BH110" s="46">
        <f>(SUMPRODUCT(BE111:BE$605,$I110:$I$604)+SUMPRODUCT(BF111:BF$605,$I111:$I$605)) / $I110</f>
        <v>-198.7782359366204</v>
      </c>
      <c r="BJ110" s="46">
        <f t="shared" si="124"/>
        <v>-1.8558504018005721</v>
      </c>
      <c r="BK110" s="46">
        <f t="shared" si="125"/>
        <v>-44.327133595394763</v>
      </c>
      <c r="BM110" s="49">
        <f t="shared" si="110"/>
        <v>6777.7931056823008</v>
      </c>
      <c r="BN110" s="46">
        <f t="shared" si="126"/>
        <v>6411.3821830901898</v>
      </c>
      <c r="BP110" s="46">
        <f>Reserve!BX110</f>
        <v>8964.4523989519621</v>
      </c>
      <c r="BQ110" s="46">
        <f t="shared" si="84"/>
        <v>8479.829569246629</v>
      </c>
      <c r="BR110" s="15">
        <f t="shared" si="111"/>
        <v>31.419694163398162</v>
      </c>
      <c r="BT110" s="49">
        <f t="shared" si="112"/>
        <v>36.18476093032875</v>
      </c>
      <c r="BU110" s="46">
        <f t="shared" si="85"/>
        <v>34.263508087100277</v>
      </c>
      <c r="BV110" s="46">
        <f>SUMPRODUCT(BU111:BU$605, $I111:$I$605) / $I110</f>
        <v>1491.7186948849956</v>
      </c>
      <c r="BX110" s="46">
        <f>-BZ110*Others!$Q$43</f>
        <v>-4.9920558728455946</v>
      </c>
      <c r="BZ110" s="50">
        <f t="shared" si="70"/>
        <v>19.500218253303103</v>
      </c>
      <c r="CA110" s="46">
        <f t="shared" si="113"/>
        <v>14.508162380457509</v>
      </c>
      <c r="CB110" s="46">
        <f t="shared" si="86"/>
        <v>14.508162380457509</v>
      </c>
      <c r="CD110" s="46">
        <f>SUMPRODUCT(BZ111:BZ$605, $I111:$I$605) / $I110</f>
        <v>2068.4473861564366</v>
      </c>
      <c r="CE110" s="46">
        <f>SUMPRODUCT(CA111:CA$605, $I111:$I$605) / $I110</f>
        <v>1538.9248553003895</v>
      </c>
      <c r="CF110" s="46">
        <f>SUMPRODUCT(CB111:CB$605, $I111:$I$605) / $I110</f>
        <v>1538.9248553003895</v>
      </c>
      <c r="CH110" s="46">
        <f t="shared" si="87"/>
        <v>38035.547601048034</v>
      </c>
      <c r="CI110" s="46">
        <f t="shared" si="88"/>
        <v>341.5476010480379</v>
      </c>
      <c r="CK110" s="46">
        <f>NPV((1+CK$3)^(1/12)-1,$CB$6:$CB110)+$CB$5</f>
        <v>145.46579930948656</v>
      </c>
      <c r="CL110" s="46">
        <f>NPV((1+CL$3)^(1/12)-1,$CB$6:$CB110)+$CB$5</f>
        <v>64.205303762620474</v>
      </c>
      <c r="CM110" s="46">
        <f>NPV((1+CM$3)^(1/12)-1,$CB$6:$CB110)+$CB$5</f>
        <v>-96.734265587624009</v>
      </c>
      <c r="CN110" s="46">
        <f>NPV((1+CN$3)^(1/12)-1,$CB$6:$CB110)+$CB$5</f>
        <v>-96.734265587624009</v>
      </c>
    </row>
    <row r="111" spans="1:92" x14ac:dyDescent="0.25">
      <c r="A111" s="61">
        <f t="shared" si="71"/>
        <v>8.8333333333333268</v>
      </c>
      <c r="B111" s="32">
        <f t="shared" si="89"/>
        <v>10</v>
      </c>
      <c r="C111" s="62">
        <f t="shared" si="90"/>
        <v>9</v>
      </c>
      <c r="D111" s="64">
        <f t="shared" si="91"/>
        <v>9.3333333333333268</v>
      </c>
      <c r="E111" s="28">
        <f t="shared" si="72"/>
        <v>9</v>
      </c>
      <c r="G111" s="68">
        <f>INDEX(Others!$D$11:$E$60, MATCH(C111, Others!$A$11:$A$60, 0), MATCH(G$3, Others!$D$10:$E$10, 0))</f>
        <v>4.9403172915208016E-2</v>
      </c>
      <c r="H111" s="16">
        <f t="shared" si="114"/>
        <v>4.026551179866944E-3</v>
      </c>
      <c r="I111" s="69">
        <f t="shared" si="115"/>
        <v>0.72181567955852766</v>
      </c>
      <c r="K111" s="80">
        <f>INDEX(Mortality!$B$7:$F$32, MATCH( E111,Mortality!$A$7:$A$32, 0), MATCH( K$3,Mortality!$B$6:$F$6,0))</f>
        <v>0.35100000000000003</v>
      </c>
      <c r="L111" s="11">
        <f t="shared" si="73"/>
        <v>0</v>
      </c>
      <c r="M111" s="80">
        <f t="shared" si="92"/>
        <v>0.35100000000000003</v>
      </c>
      <c r="N111" s="76">
        <f>INDEX(Myopia!$H:$H, MATCH(E111, Myopia!$A:$A, 0)) * Trend_Factor^(A111)</f>
        <v>11.877037566228701</v>
      </c>
      <c r="O111" s="11">
        <f t="shared" si="74"/>
        <v>0</v>
      </c>
      <c r="P111" s="80">
        <f t="shared" si="93"/>
        <v>11.877037566228701</v>
      </c>
      <c r="Q111" s="76">
        <f>VLOOKUP(C111,Others!$L$10:$M$61,2)</f>
        <v>0</v>
      </c>
      <c r="R111" s="11">
        <f t="shared" si="75"/>
        <v>0</v>
      </c>
      <c r="S111" s="80">
        <f t="shared" si="94"/>
        <v>0</v>
      </c>
      <c r="T111" s="78">
        <f t="shared" si="95"/>
        <v>2.9250000000000003E-5</v>
      </c>
      <c r="U111" s="81">
        <f t="shared" si="96"/>
        <v>9.8975313051905835E-4</v>
      </c>
      <c r="V111" s="81">
        <f t="shared" si="97"/>
        <v>0</v>
      </c>
      <c r="W111" s="77">
        <f t="shared" si="76"/>
        <v>0.94593949433408897</v>
      </c>
      <c r="X111" s="82">
        <f t="shared" si="98"/>
        <v>2.7655037603101048E-5</v>
      </c>
      <c r="Y111" s="82">
        <f t="shared" si="99"/>
        <v>9.3623288319260852E-4</v>
      </c>
      <c r="Z111" s="82">
        <f t="shared" si="100"/>
        <v>0</v>
      </c>
      <c r="AA111" s="82">
        <f t="shared" si="101"/>
        <v>0.94497560641329326</v>
      </c>
      <c r="AC111" s="46">
        <f t="shared" si="77"/>
        <v>0</v>
      </c>
      <c r="AD111" s="15">
        <f t="shared" si="78"/>
        <v>0</v>
      </c>
      <c r="AE111" s="46">
        <f t="shared" si="102"/>
        <v>0</v>
      </c>
      <c r="AF111" s="15">
        <f t="shared" si="103"/>
        <v>0</v>
      </c>
      <c r="AG111" s="46">
        <f>SUMPRODUCT(AE112:AE$605, $I111:$I$604) / $I111</f>
        <v>0</v>
      </c>
      <c r="AI111" s="46">
        <f t="shared" si="79"/>
        <v>-47000</v>
      </c>
      <c r="AJ111" s="46">
        <f>IF(E111&gt;Mat_Year,0,  -SUM($AD$5:AD111))</f>
        <v>-9306</v>
      </c>
      <c r="AK111" s="24">
        <f t="shared" si="104"/>
        <v>-0.25735777993445835</v>
      </c>
      <c r="AL111" s="79">
        <f t="shared" si="105"/>
        <v>-44.002945510052598</v>
      </c>
      <c r="AM111" s="24">
        <f t="shared" si="106"/>
        <v>-46.789782597189145</v>
      </c>
      <c r="AN111" s="79">
        <f t="shared" si="107"/>
        <v>-44.260303289987057</v>
      </c>
      <c r="AO111" s="15">
        <f t="shared" si="108"/>
        <v>-6547.3098953088584</v>
      </c>
      <c r="AP111" s="46">
        <f>SUMPRODUCT(AN112:AN$605, $I112:$I$605) / $I111</f>
        <v>-6193.359011617038</v>
      </c>
      <c r="AR111" s="46">
        <v>0</v>
      </c>
      <c r="AS111" s="46">
        <v>0</v>
      </c>
      <c r="AT111" s="46">
        <v>0</v>
      </c>
      <c r="AU111" s="95">
        <f t="shared" si="80"/>
        <v>-1.9621046149993189</v>
      </c>
      <c r="AV111" s="47">
        <f t="shared" si="81"/>
        <v>0</v>
      </c>
      <c r="AW111" s="96">
        <f t="shared" si="116"/>
        <v>-1.9621046149993189</v>
      </c>
      <c r="AX111" s="95">
        <f t="shared" si="82"/>
        <v>-22.498799585325521</v>
      </c>
      <c r="AY111" s="11">
        <f t="shared" si="83"/>
        <v>0</v>
      </c>
      <c r="AZ111" s="96">
        <f t="shared" si="117"/>
        <v>-22.498799585325521</v>
      </c>
      <c r="BA111" s="95">
        <f t="shared" si="118"/>
        <v>-1.856032247343038</v>
      </c>
      <c r="BB111" s="64">
        <f t="shared" si="119"/>
        <v>-2.1686321152698789E-2</v>
      </c>
      <c r="BC111" s="95">
        <f t="shared" si="120"/>
        <v>-1.9621046149993189</v>
      </c>
      <c r="BD111" s="96">
        <f t="shared" si="121"/>
        <v>-2.2925695863840915E-2</v>
      </c>
      <c r="BE111" s="96">
        <f t="shared" si="122"/>
        <v>-1.856032247343038</v>
      </c>
      <c r="BF111" s="96">
        <f t="shared" si="123"/>
        <v>-2.1686321152698789E-2</v>
      </c>
      <c r="BG111" s="15">
        <f t="shared" si="109"/>
        <v>-208.99162777731533</v>
      </c>
      <c r="BH111" s="46">
        <f>(SUMPRODUCT(BE112:BE$605,$I111:$I$604)+SUMPRODUCT(BF112:BF$605,$I112:$I$605)) / $I111</f>
        <v>-197.6934346997318</v>
      </c>
      <c r="BJ111" s="46">
        <f t="shared" si="124"/>
        <v>-1.856032247343038</v>
      </c>
      <c r="BK111" s="46">
        <f t="shared" si="125"/>
        <v>-44.281989611139757</v>
      </c>
      <c r="BM111" s="49">
        <f t="shared" si="110"/>
        <v>6763.1930421721272</v>
      </c>
      <c r="BN111" s="46">
        <f t="shared" si="126"/>
        <v>6391.0524463167712</v>
      </c>
      <c r="BP111" s="46">
        <f>Reserve!BX111</f>
        <v>8940.2959164139083</v>
      </c>
      <c r="BQ111" s="46">
        <f t="shared" si="84"/>
        <v>8448.3615551275216</v>
      </c>
      <c r="BR111" s="15">
        <f t="shared" si="111"/>
        <v>31.468014119107465</v>
      </c>
      <c r="BT111" s="49">
        <f t="shared" si="112"/>
        <v>36.087925869208533</v>
      </c>
      <c r="BU111" s="46">
        <f t="shared" si="85"/>
        <v>34.136994348285207</v>
      </c>
      <c r="BV111" s="46">
        <f>SUMPRODUCT(BU112:BU$605, $I112:$I$605) / $I111</f>
        <v>1463.5881822076294</v>
      </c>
      <c r="BX111" s="46">
        <f>-BZ111*Others!$Q$43</f>
        <v>-4.9835485718809291</v>
      </c>
      <c r="BZ111" s="50">
        <f t="shared" si="70"/>
        <v>19.466986608909878</v>
      </c>
      <c r="CA111" s="46">
        <f t="shared" si="113"/>
        <v>14.483438037028948</v>
      </c>
      <c r="CB111" s="46">
        <f t="shared" si="86"/>
        <v>14.483438037028948</v>
      </c>
      <c r="CD111" s="46">
        <f>SUMPRODUCT(BZ112:BZ$605, $I112:$I$605) / $I111</f>
        <v>2057.3091088107481</v>
      </c>
      <c r="CE111" s="46">
        <f>SUMPRODUCT(CA112:CA$605, $I112:$I$605) / $I111</f>
        <v>1530.6379769551968</v>
      </c>
      <c r="CF111" s="46">
        <f>SUMPRODUCT(CB112:CB$605, $I112:$I$605) / $I111</f>
        <v>1530.6379769551968</v>
      </c>
      <c r="CH111" s="46">
        <f t="shared" si="87"/>
        <v>38059.70408358609</v>
      </c>
      <c r="CI111" s="46">
        <f t="shared" si="88"/>
        <v>365.70408358609166</v>
      </c>
      <c r="CK111" s="46">
        <f>NPV((1+CK$3)^(1/12)-1,$CB$6:$CB111)+$CB$5</f>
        <v>156.62096899230448</v>
      </c>
      <c r="CL111" s="46">
        <f>NPV((1+CL$3)^(1/12)-1,$CB$6:$CB111)+$CB$5</f>
        <v>73.617685313157381</v>
      </c>
      <c r="CM111" s="46">
        <f>NPV((1+CM$3)^(1/12)-1,$CB$6:$CB111)+$CB$5</f>
        <v>-90.493522848525686</v>
      </c>
      <c r="CN111" s="46">
        <f>NPV((1+CN$3)^(1/12)-1,$CB$6:$CB111)+$CB$5</f>
        <v>-90.493522848525686</v>
      </c>
    </row>
    <row r="112" spans="1:92" x14ac:dyDescent="0.25">
      <c r="A112" s="61">
        <f t="shared" si="71"/>
        <v>8.9166666666666607</v>
      </c>
      <c r="B112" s="32">
        <f t="shared" si="89"/>
        <v>11</v>
      </c>
      <c r="C112" s="62">
        <f t="shared" si="90"/>
        <v>9</v>
      </c>
      <c r="D112" s="64">
        <f t="shared" si="91"/>
        <v>9.4166666666666607</v>
      </c>
      <c r="E112" s="28">
        <f t="shared" si="72"/>
        <v>9</v>
      </c>
      <c r="G112" s="68">
        <f>INDEX(Others!$D$11:$E$60, MATCH(C112, Others!$A$11:$A$60, 0), MATCH(G$3, Others!$D$10:$E$10, 0))</f>
        <v>4.9403172915208016E-2</v>
      </c>
      <c r="H112" s="16">
        <f t="shared" si="114"/>
        <v>4.026551179866944E-3</v>
      </c>
      <c r="I112" s="69">
        <f t="shared" si="115"/>
        <v>0.7189209077292793</v>
      </c>
      <c r="K112" s="80">
        <f>INDEX(Mortality!$B$7:$F$32, MATCH( E112,Mortality!$A$7:$A$32, 0), MATCH( K$3,Mortality!$B$6:$F$6,0))</f>
        <v>0.35100000000000003</v>
      </c>
      <c r="L112" s="11">
        <f t="shared" si="73"/>
        <v>0</v>
      </c>
      <c r="M112" s="80">
        <f t="shared" si="92"/>
        <v>0.35100000000000003</v>
      </c>
      <c r="N112" s="76">
        <f>INDEX(Myopia!$H:$H, MATCH(E112, Myopia!$A:$A, 0)) * Trend_Factor^(A112)</f>
        <v>11.877037566228701</v>
      </c>
      <c r="O112" s="11">
        <f t="shared" si="74"/>
        <v>0</v>
      </c>
      <c r="P112" s="80">
        <f t="shared" si="93"/>
        <v>11.877037566228701</v>
      </c>
      <c r="Q112" s="76">
        <f>VLOOKUP(C112,Others!$L$10:$M$61,2)</f>
        <v>0</v>
      </c>
      <c r="R112" s="11">
        <f t="shared" si="75"/>
        <v>0</v>
      </c>
      <c r="S112" s="80">
        <f t="shared" si="94"/>
        <v>0</v>
      </c>
      <c r="T112" s="78">
        <f t="shared" si="95"/>
        <v>2.9250000000000003E-5</v>
      </c>
      <c r="U112" s="81">
        <f t="shared" si="96"/>
        <v>9.8975313051905835E-4</v>
      </c>
      <c r="V112" s="81">
        <f t="shared" si="97"/>
        <v>0</v>
      </c>
      <c r="W112" s="77">
        <f t="shared" si="76"/>
        <v>0.94497560641329326</v>
      </c>
      <c r="X112" s="82">
        <f t="shared" si="98"/>
        <v>2.7626857833829923E-5</v>
      </c>
      <c r="Y112" s="82">
        <f t="shared" si="99"/>
        <v>9.352788860579436E-4</v>
      </c>
      <c r="Z112" s="82">
        <f t="shared" si="100"/>
        <v>0</v>
      </c>
      <c r="AA112" s="82">
        <f t="shared" si="101"/>
        <v>0.94401270066940146</v>
      </c>
      <c r="AC112" s="46">
        <f t="shared" si="77"/>
        <v>0</v>
      </c>
      <c r="AD112" s="15">
        <f t="shared" si="78"/>
        <v>0</v>
      </c>
      <c r="AE112" s="46">
        <f t="shared" si="102"/>
        <v>0</v>
      </c>
      <c r="AF112" s="15">
        <f t="shared" si="103"/>
        <v>0</v>
      </c>
      <c r="AG112" s="46">
        <f>SUMPRODUCT(AE113:AE$605, $I112:$I$604) / $I112</f>
        <v>0</v>
      </c>
      <c r="AI112" s="46">
        <f t="shared" si="79"/>
        <v>-47000</v>
      </c>
      <c r="AJ112" s="46">
        <f>IF(E112&gt;Mat_Year,0,  -SUM($AD$5:AD112))</f>
        <v>-9306</v>
      </c>
      <c r="AK112" s="24">
        <f t="shared" si="104"/>
        <v>-0.25709553900162124</v>
      </c>
      <c r="AL112" s="79">
        <f t="shared" si="105"/>
        <v>-43.958107644723349</v>
      </c>
      <c r="AM112" s="24">
        <f t="shared" si="106"/>
        <v>-46.789782597189145</v>
      </c>
      <c r="AN112" s="79">
        <f t="shared" si="107"/>
        <v>-44.215203183724967</v>
      </c>
      <c r="AO112" s="15">
        <f t="shared" si="108"/>
        <v>-6533.5884265869508</v>
      </c>
      <c r="AP112" s="46">
        <f>SUMPRODUCT(AN113:AN$605, $I113:$I$605) / $I112</f>
        <v>-6174.0816854688783</v>
      </c>
      <c r="AR112" s="46">
        <v>0</v>
      </c>
      <c r="AS112" s="46">
        <v>0</v>
      </c>
      <c r="AT112" s="46">
        <v>0</v>
      </c>
      <c r="AU112" s="95">
        <f t="shared" si="80"/>
        <v>-1.96429844125713</v>
      </c>
      <c r="AV112" s="47">
        <f t="shared" si="81"/>
        <v>0</v>
      </c>
      <c r="AW112" s="96">
        <f t="shared" si="116"/>
        <v>-1.96429844125713</v>
      </c>
      <c r="AX112" s="95">
        <f t="shared" si="82"/>
        <v>-22.523955459748422</v>
      </c>
      <c r="AY112" s="11">
        <f t="shared" si="83"/>
        <v>0</v>
      </c>
      <c r="AZ112" s="96">
        <f t="shared" si="117"/>
        <v>-22.523955459748422</v>
      </c>
      <c r="BA112" s="95">
        <f t="shared" si="118"/>
        <v>-1.8562141107036432</v>
      </c>
      <c r="BB112" s="64">
        <f t="shared" si="119"/>
        <v>-2.1688446087354228E-2</v>
      </c>
      <c r="BC112" s="95">
        <f t="shared" si="120"/>
        <v>-1.96429844125713</v>
      </c>
      <c r="BD112" s="96">
        <f t="shared" si="121"/>
        <v>-2.2951329050359209E-2</v>
      </c>
      <c r="BE112" s="96">
        <f t="shared" si="122"/>
        <v>-1.8562141107036432</v>
      </c>
      <c r="BF112" s="96">
        <f t="shared" si="123"/>
        <v>-2.1688446087354228E-2</v>
      </c>
      <c r="BG112" s="15">
        <f t="shared" si="109"/>
        <v>-208.05201679309687</v>
      </c>
      <c r="BH112" s="46">
        <f>(SUMPRODUCT(BE113:BE$605,$I112:$I$604)+SUMPRODUCT(BF113:BF$605,$I113:$I$605)) / $I112</f>
        <v>-196.60408073456537</v>
      </c>
      <c r="BJ112" s="46">
        <f t="shared" si="124"/>
        <v>-1.8562141107036432</v>
      </c>
      <c r="BK112" s="46">
        <f t="shared" si="125"/>
        <v>-44.23689162981232</v>
      </c>
      <c r="BM112" s="49">
        <f t="shared" si="110"/>
        <v>6748.5170079660784</v>
      </c>
      <c r="BN112" s="46">
        <f t="shared" si="126"/>
        <v>6370.6857662034463</v>
      </c>
      <c r="BP112" s="46">
        <f>Reserve!BX112</f>
        <v>8916.0294051728815</v>
      </c>
      <c r="BQ112" s="46">
        <f t="shared" si="84"/>
        <v>8416.8449980250498</v>
      </c>
      <c r="BR112" s="15">
        <f t="shared" si="111"/>
        <v>31.516557102471779</v>
      </c>
      <c r="BT112" s="49">
        <f t="shared" si="112"/>
        <v>35.990649722389783</v>
      </c>
      <c r="BU112" s="46">
        <f t="shared" si="85"/>
        <v>34.010286046623712</v>
      </c>
      <c r="BV112" s="46">
        <f>SUMPRODUCT(BU113:BU$605, $I113:$I$605) / $I112</f>
        <v>1435.4711088829135</v>
      </c>
      <c r="BX112" s="46">
        <f>-BZ112*Others!$Q$43</f>
        <v>-4.9750367765963581</v>
      </c>
      <c r="BZ112" s="50">
        <f t="shared" si="70"/>
        <v>19.433737408579525</v>
      </c>
      <c r="CA112" s="46">
        <f t="shared" si="113"/>
        <v>14.458700631983167</v>
      </c>
      <c r="CB112" s="46">
        <f t="shared" si="86"/>
        <v>14.458700631983167</v>
      </c>
      <c r="CD112" s="46">
        <f>SUMPRODUCT(BZ113:BZ$605, $I113:$I$605) / $I112</f>
        <v>2046.1592318216015</v>
      </c>
      <c r="CE112" s="46">
        <f>SUMPRODUCT(CA113:CA$605, $I113:$I$605) / $I112</f>
        <v>1522.3424684752717</v>
      </c>
      <c r="CF112" s="46">
        <f>SUMPRODUCT(CB113:CB$605, $I113:$I$605) / $I112</f>
        <v>1522.3424684752717</v>
      </c>
      <c r="CH112" s="46">
        <f t="shared" si="87"/>
        <v>38083.970594827115</v>
      </c>
      <c r="CI112" s="46">
        <f t="shared" si="88"/>
        <v>389.97059482711848</v>
      </c>
      <c r="CK112" s="46">
        <f>NPV((1+CK$3)^(1/12)-1,$CB$6:$CB112)+$CB$5</f>
        <v>167.72968878202346</v>
      </c>
      <c r="CL112" s="46">
        <f>NPV((1+CL$3)^(1/12)-1,$CB$6:$CB112)+$CB$5</f>
        <v>82.975864335867527</v>
      </c>
      <c r="CM112" s="46">
        <f>NPV((1+CM$3)^(1/12)-1,$CB$6:$CB112)+$CB$5</f>
        <v>-84.312725710035693</v>
      </c>
      <c r="CN112" s="46">
        <f>NPV((1+CN$3)^(1/12)-1,$CB$6:$CB112)+$CB$5</f>
        <v>-84.312725710035693</v>
      </c>
    </row>
    <row r="113" spans="1:92" x14ac:dyDescent="0.25">
      <c r="A113" s="61">
        <f t="shared" si="71"/>
        <v>8.9999999999999947</v>
      </c>
      <c r="B113" s="32">
        <f t="shared" si="89"/>
        <v>12</v>
      </c>
      <c r="C113" s="62">
        <f t="shared" si="90"/>
        <v>9</v>
      </c>
      <c r="D113" s="64">
        <f t="shared" si="91"/>
        <v>9.4999999999999947</v>
      </c>
      <c r="E113" s="28">
        <f t="shared" si="72"/>
        <v>9</v>
      </c>
      <c r="G113" s="68">
        <f>INDEX(Others!$D$11:$E$60, MATCH(C113, Others!$A$11:$A$60, 0), MATCH(G$3, Others!$D$10:$E$10, 0))</f>
        <v>4.9403172915208016E-2</v>
      </c>
      <c r="H113" s="16">
        <f t="shared" si="114"/>
        <v>4.026551179866944E-3</v>
      </c>
      <c r="I113" s="69">
        <f t="shared" si="115"/>
        <v>0.71603774510190998</v>
      </c>
      <c r="K113" s="80">
        <f>INDEX(Mortality!$B$7:$F$32, MATCH( E113,Mortality!$A$7:$A$32, 0), MATCH( K$3,Mortality!$B$6:$F$6,0))</f>
        <v>0.35100000000000003</v>
      </c>
      <c r="L113" s="11">
        <f t="shared" si="73"/>
        <v>0</v>
      </c>
      <c r="M113" s="80">
        <f t="shared" si="92"/>
        <v>0.35100000000000003</v>
      </c>
      <c r="N113" s="76">
        <f>INDEX(Myopia!$H:$H, MATCH(E113, Myopia!$A:$A, 0)) * Trend_Factor^(A113)</f>
        <v>11.877037566228701</v>
      </c>
      <c r="O113" s="11">
        <f t="shared" si="74"/>
        <v>0</v>
      </c>
      <c r="P113" s="80">
        <f t="shared" si="93"/>
        <v>11.877037566228701</v>
      </c>
      <c r="Q113" s="76">
        <f>VLOOKUP(C113,Others!$L$10:$M$61,2)</f>
        <v>0</v>
      </c>
      <c r="R113" s="11">
        <f t="shared" si="75"/>
        <v>0</v>
      </c>
      <c r="S113" s="80">
        <f t="shared" si="94"/>
        <v>0</v>
      </c>
      <c r="T113" s="78">
        <f t="shared" si="95"/>
        <v>2.9250000000000003E-5</v>
      </c>
      <c r="U113" s="81">
        <f t="shared" si="96"/>
        <v>9.8975313051905835E-4</v>
      </c>
      <c r="V113" s="81">
        <f t="shared" si="97"/>
        <v>0</v>
      </c>
      <c r="W113" s="77">
        <f t="shared" si="76"/>
        <v>0.94401270066940146</v>
      </c>
      <c r="X113" s="82">
        <f t="shared" si="98"/>
        <v>2.7598706779016087E-5</v>
      </c>
      <c r="Y113" s="82">
        <f t="shared" si="99"/>
        <v>9.3432586102172696E-4</v>
      </c>
      <c r="Z113" s="82">
        <f t="shared" si="100"/>
        <v>0</v>
      </c>
      <c r="AA113" s="82">
        <f t="shared" si="101"/>
        <v>0.94305077610160071</v>
      </c>
      <c r="AC113" s="46">
        <f t="shared" si="77"/>
        <v>0</v>
      </c>
      <c r="AD113" s="15">
        <f t="shared" si="78"/>
        <v>0</v>
      </c>
      <c r="AE113" s="46">
        <f t="shared" si="102"/>
        <v>0</v>
      </c>
      <c r="AF113" s="15">
        <f t="shared" si="103"/>
        <v>0</v>
      </c>
      <c r="AG113" s="46">
        <f>SUMPRODUCT(AE114:AE$605, $I113:$I$604) / $I113</f>
        <v>0</v>
      </c>
      <c r="AI113" s="46">
        <f t="shared" si="79"/>
        <v>-47000</v>
      </c>
      <c r="AJ113" s="46">
        <f>IF(E113&gt;Mat_Year,0,  -SUM($AD$5:AD113))</f>
        <v>-9306</v>
      </c>
      <c r="AK113" s="24">
        <f t="shared" si="104"/>
        <v>-0.2568335652855237</v>
      </c>
      <c r="AL113" s="79">
        <f t="shared" si="105"/>
        <v>-43.913315468021167</v>
      </c>
      <c r="AM113" s="24">
        <f t="shared" si="106"/>
        <v>-46.789782597189152</v>
      </c>
      <c r="AN113" s="79">
        <f t="shared" si="107"/>
        <v>-44.170149033306693</v>
      </c>
      <c r="AO113" s="15">
        <f t="shared" si="108"/>
        <v>-6519.7976552290329</v>
      </c>
      <c r="AP113" s="46">
        <f>SUMPRODUCT(AN114:AN$605, $I114:$I$605) / $I113</f>
        <v>-6154.771792330791</v>
      </c>
      <c r="AR113" s="46">
        <v>0</v>
      </c>
      <c r="AS113" s="46">
        <v>0</v>
      </c>
      <c r="AT113" s="46">
        <v>0</v>
      </c>
      <c r="AU113" s="95">
        <f t="shared" si="80"/>
        <v>-1.9664947204288241</v>
      </c>
      <c r="AV113" s="47">
        <f t="shared" si="81"/>
        <v>0</v>
      </c>
      <c r="AW113" s="96">
        <f t="shared" si="116"/>
        <v>-1.9664947204288241</v>
      </c>
      <c r="AX113" s="95">
        <f t="shared" si="82"/>
        <v>-22.549139460917182</v>
      </c>
      <c r="AY113" s="11">
        <f t="shared" si="83"/>
        <v>0</v>
      </c>
      <c r="AZ113" s="96">
        <f t="shared" si="117"/>
        <v>-22.549139460917182</v>
      </c>
      <c r="BA113" s="95">
        <f t="shared" si="118"/>
        <v>-1.856395991884134</v>
      </c>
      <c r="BB113" s="64">
        <f t="shared" si="119"/>
        <v>-2.1690571230221441E-2</v>
      </c>
      <c r="BC113" s="95">
        <f t="shared" si="120"/>
        <v>-1.9664947204288241</v>
      </c>
      <c r="BD113" s="96">
        <f t="shared" si="121"/>
        <v>-2.2976990897305313E-2</v>
      </c>
      <c r="BE113" s="96">
        <f t="shared" si="122"/>
        <v>-1.856395991884134</v>
      </c>
      <c r="BF113" s="96">
        <f t="shared" si="123"/>
        <v>-2.1690571230221441E-2</v>
      </c>
      <c r="BG113" s="15">
        <f t="shared" si="109"/>
        <v>-207.1054293576679</v>
      </c>
      <c r="BH113" s="46">
        <f>(SUMPRODUCT(BE114:BE$605,$I113:$I$604)+SUMPRODUCT(BF114:BF$605,$I114:$I$605)) / $I113</f>
        <v>-195.51015569122802</v>
      </c>
      <c r="BJ113" s="46">
        <f t="shared" si="124"/>
        <v>-1.856395991884134</v>
      </c>
      <c r="BK113" s="46">
        <f t="shared" si="125"/>
        <v>-44.191839604536916</v>
      </c>
      <c r="BM113" s="49">
        <f t="shared" si="110"/>
        <v>6733.7646168671054</v>
      </c>
      <c r="BN113" s="46">
        <f t="shared" si="126"/>
        <v>6350.2819480220214</v>
      </c>
      <c r="BP113" s="46">
        <f>Reserve!BX113</f>
        <v>8891.6523762264769</v>
      </c>
      <c r="BQ113" s="46">
        <f t="shared" si="84"/>
        <v>8385.2796742260216</v>
      </c>
      <c r="BR113" s="15">
        <f t="shared" si="111"/>
        <v>31.565323799028192</v>
      </c>
      <c r="BT113" s="49">
        <f t="shared" si="112"/>
        <v>35.892930529490485</v>
      </c>
      <c r="BU113" s="46">
        <f t="shared" si="85"/>
        <v>33.883382284083524</v>
      </c>
      <c r="BV113" s="46">
        <f>SUMPRODUCT(BU114:BU$605, $I114:$I$605) / $I113</f>
        <v>1407.3677244859671</v>
      </c>
      <c r="BX113" s="46">
        <f>-BZ113*Others!$Q$43</f>
        <v>-4.9665204445928106</v>
      </c>
      <c r="BZ113" s="50">
        <f t="shared" si="70"/>
        <v>19.400470486690665</v>
      </c>
      <c r="CA113" s="46">
        <f t="shared" si="113"/>
        <v>14.433950042097855</v>
      </c>
      <c r="CB113" s="46">
        <f t="shared" si="86"/>
        <v>14.433950042097855</v>
      </c>
      <c r="CD113" s="46">
        <f>SUMPRODUCT(BZ114:BZ$605, $I114:$I$605) / $I113</f>
        <v>2034.9977262039979</v>
      </c>
      <c r="CE113" s="46">
        <f>SUMPRODUCT(CA114:CA$605, $I114:$I$605) / $I113</f>
        <v>1514.0383082957744</v>
      </c>
      <c r="CF113" s="46">
        <f>SUMPRODUCT(CB114:CB$605, $I114:$I$605) / $I113</f>
        <v>1514.0383082957744</v>
      </c>
      <c r="CH113" s="46">
        <f t="shared" si="87"/>
        <v>38108.347623773523</v>
      </c>
      <c r="CI113" s="46">
        <f t="shared" si="88"/>
        <v>414.34762377352308</v>
      </c>
      <c r="CK113" s="46">
        <f>NPV((1+CK$3)^(1/12)-1,$CB$6:$CB113)+$CB$5</f>
        <v>178.79210960809917</v>
      </c>
      <c r="CL113" s="46">
        <f>NPV((1+CL$3)^(1/12)-1,$CB$6:$CB113)+$CB$5</f>
        <v>92.280117229246002</v>
      </c>
      <c r="CM113" s="46">
        <f>NPV((1+CM$3)^(1/12)-1,$CB$6:$CB113)+$CB$5</f>
        <v>-78.191321873474521</v>
      </c>
      <c r="CN113" s="46">
        <f>NPV((1+CN$3)^(1/12)-1,$CB$6:$CB113)+$CB$5</f>
        <v>-78.191321873474521</v>
      </c>
    </row>
    <row r="114" spans="1:92" x14ac:dyDescent="0.25">
      <c r="A114" s="61">
        <f t="shared" si="71"/>
        <v>9.0833333333333286</v>
      </c>
      <c r="B114" s="32">
        <f t="shared" si="89"/>
        <v>1</v>
      </c>
      <c r="C114" s="62">
        <f t="shared" si="90"/>
        <v>10</v>
      </c>
      <c r="D114" s="64">
        <f t="shared" si="91"/>
        <v>9.5833333333333286</v>
      </c>
      <c r="E114" s="28">
        <f t="shared" si="72"/>
        <v>9</v>
      </c>
      <c r="G114" s="68">
        <f>INDEX(Others!$D$11:$E$60, MATCH(C114, Others!$A$11:$A$60, 0), MATCH(G$3, Others!$D$10:$E$10, 0))</f>
        <v>5.2301154917290482E-2</v>
      </c>
      <c r="H114" s="16">
        <f t="shared" si="114"/>
        <v>4.2573152509506329E-3</v>
      </c>
      <c r="I114" s="69">
        <f t="shared" si="115"/>
        <v>0.71300226966530145</v>
      </c>
      <c r="K114" s="80">
        <f>INDEX(Mortality!$B$7:$F$32, MATCH( E114,Mortality!$A$7:$A$32, 0), MATCH( K$3,Mortality!$B$6:$F$6,0))</f>
        <v>0.35100000000000003</v>
      </c>
      <c r="L114" s="11">
        <f t="shared" si="73"/>
        <v>0</v>
      </c>
      <c r="M114" s="80">
        <f t="shared" si="92"/>
        <v>0.35100000000000003</v>
      </c>
      <c r="N114" s="76">
        <f>INDEX(Myopia!$H:$H, MATCH(E114, Myopia!$A:$A, 0)) * Trend_Factor^(A114)</f>
        <v>11.877037566228701</v>
      </c>
      <c r="O114" s="11">
        <f t="shared" si="74"/>
        <v>0</v>
      </c>
      <c r="P114" s="80">
        <f t="shared" si="93"/>
        <v>11.877037566228701</v>
      </c>
      <c r="Q114" s="76">
        <f>VLOOKUP(C114,Others!$L$10:$M$61,2)</f>
        <v>0</v>
      </c>
      <c r="R114" s="11">
        <f t="shared" si="75"/>
        <v>0</v>
      </c>
      <c r="S114" s="80">
        <f t="shared" si="94"/>
        <v>0</v>
      </c>
      <c r="T114" s="78">
        <f t="shared" si="95"/>
        <v>2.9250000000000003E-5</v>
      </c>
      <c r="U114" s="81">
        <f t="shared" si="96"/>
        <v>9.8975313051905835E-4</v>
      </c>
      <c r="V114" s="81">
        <f t="shared" si="97"/>
        <v>0</v>
      </c>
      <c r="W114" s="77">
        <f t="shared" si="76"/>
        <v>0.94305077610160071</v>
      </c>
      <c r="X114" s="82">
        <f t="shared" si="98"/>
        <v>2.7570584409400256E-5</v>
      </c>
      <c r="Y114" s="82">
        <f t="shared" si="99"/>
        <v>9.3337380709341525E-4</v>
      </c>
      <c r="Z114" s="82">
        <f t="shared" si="100"/>
        <v>0</v>
      </c>
      <c r="AA114" s="82">
        <f t="shared" si="101"/>
        <v>0.94208983171009786</v>
      </c>
      <c r="AC114" s="46">
        <f t="shared" si="77"/>
        <v>0</v>
      </c>
      <c r="AD114" s="15">
        <f t="shared" si="78"/>
        <v>0</v>
      </c>
      <c r="AE114" s="46">
        <f t="shared" si="102"/>
        <v>0</v>
      </c>
      <c r="AF114" s="15">
        <f t="shared" si="103"/>
        <v>0</v>
      </c>
      <c r="AG114" s="46">
        <f>SUMPRODUCT(AE115:AE$605, $I114:$I$604) / $I114</f>
        <v>0</v>
      </c>
      <c r="AI114" s="46">
        <f t="shared" si="79"/>
        <v>-47000</v>
      </c>
      <c r="AJ114" s="46">
        <f>IF(E114&gt;Mat_Year,0,  -SUM($AD$5:AD114))</f>
        <v>-9306</v>
      </c>
      <c r="AK114" s="24">
        <f t="shared" si="104"/>
        <v>-0.25657185851387876</v>
      </c>
      <c r="AL114" s="79">
        <f t="shared" si="105"/>
        <v>-43.86856893339052</v>
      </c>
      <c r="AM114" s="24">
        <f t="shared" si="106"/>
        <v>-46.789782597189152</v>
      </c>
      <c r="AN114" s="79">
        <f t="shared" si="107"/>
        <v>-44.1251407919044</v>
      </c>
      <c r="AO114" s="15">
        <f t="shared" si="108"/>
        <v>-6507.4433009059276</v>
      </c>
      <c r="AP114" s="46">
        <f>SUMPRODUCT(AN115:AN$605, $I115:$I$605) / $I114</f>
        <v>-6136.8494553564969</v>
      </c>
      <c r="AR114" s="46">
        <v>0</v>
      </c>
      <c r="AS114" s="46">
        <v>0</v>
      </c>
      <c r="AT114" s="46">
        <v>0</v>
      </c>
      <c r="AU114" s="95">
        <f t="shared" si="80"/>
        <v>-1.9686934552570006</v>
      </c>
      <c r="AV114" s="47">
        <f t="shared" si="81"/>
        <v>0</v>
      </c>
      <c r="AW114" s="96">
        <f t="shared" si="116"/>
        <v>-1.9686934552570006</v>
      </c>
      <c r="AX114" s="95">
        <f t="shared" si="82"/>
        <v>-22.574351620280268</v>
      </c>
      <c r="AY114" s="11">
        <f t="shared" si="83"/>
        <v>0</v>
      </c>
      <c r="AZ114" s="96">
        <f t="shared" si="117"/>
        <v>-22.574351620280268</v>
      </c>
      <c r="BA114" s="95">
        <f t="shared" si="118"/>
        <v>-1.8565778908862562</v>
      </c>
      <c r="BB114" s="64">
        <f t="shared" si="119"/>
        <v>-2.1692696581320822E-2</v>
      </c>
      <c r="BC114" s="95">
        <f t="shared" si="120"/>
        <v>-1.9686934552570006</v>
      </c>
      <c r="BD114" s="96">
        <f t="shared" si="121"/>
        <v>-2.3002681436724393E-2</v>
      </c>
      <c r="BE114" s="96">
        <f t="shared" si="122"/>
        <v>-1.8565778908862562</v>
      </c>
      <c r="BF114" s="96">
        <f t="shared" si="123"/>
        <v>-2.1692696581320822E-2</v>
      </c>
      <c r="BG114" s="15">
        <f t="shared" si="109"/>
        <v>-206.19921467832077</v>
      </c>
      <c r="BH114" s="46">
        <f>(SUMPRODUCT(BE115:BE$605,$I114:$I$604)+SUMPRODUCT(BF115:BF$605,$I115:$I$605)) / $I114</f>
        <v>-194.45632943393099</v>
      </c>
      <c r="BJ114" s="46">
        <f t="shared" si="124"/>
        <v>-1.8565778908862562</v>
      </c>
      <c r="BK114" s="46">
        <f t="shared" si="125"/>
        <v>-44.146833488485719</v>
      </c>
      <c r="BM114" s="49">
        <f t="shared" si="110"/>
        <v>6720.4905219046195</v>
      </c>
      <c r="BN114" s="46">
        <f t="shared" si="126"/>
        <v>6331.3057847904311</v>
      </c>
      <c r="BP114" s="46">
        <f>Reserve!BX114</f>
        <v>8868.722152391776</v>
      </c>
      <c r="BQ114" s="46">
        <f t="shared" si="84"/>
        <v>8355.1329600303852</v>
      </c>
      <c r="BR114" s="15">
        <f t="shared" si="111"/>
        <v>30.146714195636378</v>
      </c>
      <c r="BT114" s="49">
        <f t="shared" si="112"/>
        <v>37.846185918788898</v>
      </c>
      <c r="BU114" s="46">
        <f t="shared" si="85"/>
        <v>35.690875003199345</v>
      </c>
      <c r="BV114" s="46">
        <f>SUMPRODUCT(BU115:BU$605, $I115:$I$605) / $I114</f>
        <v>1377.6684575599177</v>
      </c>
      <c r="BX114" s="46">
        <f>-BZ114*Others!$Q$43</f>
        <v>-5.0775495217827196</v>
      </c>
      <c r="BZ114" s="50">
        <f t="shared" si="70"/>
        <v>19.834177819463747</v>
      </c>
      <c r="CA114" s="46">
        <f t="shared" si="113"/>
        <v>14.756628297681027</v>
      </c>
      <c r="CB114" s="46">
        <f t="shared" si="86"/>
        <v>14.756628297681027</v>
      </c>
      <c r="CD114" s="46">
        <f>SUMPRODUCT(BZ115:BZ$605, $I115:$I$605) / $I114</f>
        <v>2023.8271752399521</v>
      </c>
      <c r="CE114" s="46">
        <f>SUMPRODUCT(CA115:CA$605, $I115:$I$605) / $I114</f>
        <v>1505.7274183785246</v>
      </c>
      <c r="CF114" s="46">
        <f>SUMPRODUCT(CB115:CB$605, $I115:$I$605) / $I114</f>
        <v>1505.7274183785246</v>
      </c>
      <c r="CH114" s="46">
        <f t="shared" si="87"/>
        <v>38131.277847608224</v>
      </c>
      <c r="CI114" s="46">
        <f t="shared" si="88"/>
        <v>437.27784760822396</v>
      </c>
      <c r="CK114" s="46">
        <f>NPV((1+CK$3)^(1/12)-1,$CB$6:$CB114)+$CB$5</f>
        <v>190.07401223299939</v>
      </c>
      <c r="CL114" s="46">
        <f>NPV((1+CL$3)^(1/12)-1,$CB$6:$CB114)+$CB$5</f>
        <v>101.75377455063176</v>
      </c>
      <c r="CM114" s="46">
        <f>NPV((1+CM$3)^(1/12)-1,$CB$6:$CB114)+$CB$5</f>
        <v>-71.982580334141517</v>
      </c>
      <c r="CN114" s="46">
        <f>NPV((1+CN$3)^(1/12)-1,$CB$6:$CB114)+$CB$5</f>
        <v>-71.982580334141517</v>
      </c>
    </row>
    <row r="115" spans="1:92" x14ac:dyDescent="0.25">
      <c r="A115" s="61">
        <f t="shared" si="71"/>
        <v>9.1666666666666625</v>
      </c>
      <c r="B115" s="32">
        <f t="shared" si="89"/>
        <v>2</v>
      </c>
      <c r="C115" s="62">
        <f t="shared" si="90"/>
        <v>10</v>
      </c>
      <c r="D115" s="64">
        <f t="shared" si="91"/>
        <v>9.6666666666666625</v>
      </c>
      <c r="E115" s="28">
        <f t="shared" si="72"/>
        <v>9</v>
      </c>
      <c r="G115" s="68">
        <f>INDEX(Others!$D$11:$E$60, MATCH(C115, Others!$A$11:$A$60, 0), MATCH(G$3, Others!$D$10:$E$10, 0))</f>
        <v>5.2301154917290482E-2</v>
      </c>
      <c r="H115" s="16">
        <f t="shared" si="114"/>
        <v>4.2573152509506329E-3</v>
      </c>
      <c r="I115" s="69">
        <f t="shared" si="115"/>
        <v>0.70997966242061339</v>
      </c>
      <c r="K115" s="80">
        <f>INDEX(Mortality!$B$7:$F$32, MATCH( E115,Mortality!$A$7:$A$32, 0), MATCH( K$3,Mortality!$B$6:$F$6,0))</f>
        <v>0.35100000000000003</v>
      </c>
      <c r="L115" s="11">
        <f t="shared" si="73"/>
        <v>0</v>
      </c>
      <c r="M115" s="80">
        <f t="shared" si="92"/>
        <v>0.35100000000000003</v>
      </c>
      <c r="N115" s="76">
        <f>INDEX(Myopia!$H:$H, MATCH(E115, Myopia!$A:$A, 0)) * Trend_Factor^(A115)</f>
        <v>11.877037566228701</v>
      </c>
      <c r="O115" s="11">
        <f t="shared" si="74"/>
        <v>0</v>
      </c>
      <c r="P115" s="80">
        <f t="shared" si="93"/>
        <v>11.877037566228701</v>
      </c>
      <c r="Q115" s="76">
        <f>VLOOKUP(C115,Others!$L$10:$M$61,2)</f>
        <v>0</v>
      </c>
      <c r="R115" s="11">
        <f t="shared" si="75"/>
        <v>0</v>
      </c>
      <c r="S115" s="80">
        <f t="shared" si="94"/>
        <v>0</v>
      </c>
      <c r="T115" s="78">
        <f t="shared" si="95"/>
        <v>2.9250000000000003E-5</v>
      </c>
      <c r="U115" s="81">
        <f t="shared" si="96"/>
        <v>9.8975313051905835E-4</v>
      </c>
      <c r="V115" s="81">
        <f t="shared" si="97"/>
        <v>0</v>
      </c>
      <c r="W115" s="77">
        <f t="shared" si="76"/>
        <v>0.94208983171009786</v>
      </c>
      <c r="X115" s="82">
        <f t="shared" si="98"/>
        <v>2.754249069575295E-5</v>
      </c>
      <c r="Y115" s="82">
        <f t="shared" si="99"/>
        <v>9.324227232834748E-4</v>
      </c>
      <c r="Z115" s="82">
        <f t="shared" si="100"/>
        <v>0</v>
      </c>
      <c r="AA115" s="82">
        <f t="shared" si="101"/>
        <v>0.94112986649611863</v>
      </c>
      <c r="AC115" s="46">
        <f t="shared" si="77"/>
        <v>0</v>
      </c>
      <c r="AD115" s="15">
        <f t="shared" si="78"/>
        <v>0</v>
      </c>
      <c r="AE115" s="46">
        <f t="shared" si="102"/>
        <v>0</v>
      </c>
      <c r="AF115" s="15">
        <f t="shared" si="103"/>
        <v>0</v>
      </c>
      <c r="AG115" s="46">
        <f>SUMPRODUCT(AE116:AE$605, $I115:$I$604) / $I115</f>
        <v>0</v>
      </c>
      <c r="AI115" s="46">
        <f t="shared" si="79"/>
        <v>-47000</v>
      </c>
      <c r="AJ115" s="46">
        <f>IF(E115&gt;Mat_Year,0,  -SUM($AD$5:AD115))</f>
        <v>-9306</v>
      </c>
      <c r="AK115" s="24">
        <f t="shared" si="104"/>
        <v>-0.25631041841467694</v>
      </c>
      <c r="AL115" s="79">
        <f t="shared" si="105"/>
        <v>-43.823867994323315</v>
      </c>
      <c r="AM115" s="24">
        <f t="shared" si="106"/>
        <v>-46.789782597189152</v>
      </c>
      <c r="AN115" s="79">
        <f t="shared" si="107"/>
        <v>-44.080178412737993</v>
      </c>
      <c r="AO115" s="15">
        <f t="shared" si="108"/>
        <v>-6495.0236949439432</v>
      </c>
      <c r="AP115" s="46">
        <f>SUMPRODUCT(AN116:AN$605, $I116:$I$605) / $I115</f>
        <v>-6118.8957797228377</v>
      </c>
      <c r="AR115" s="46">
        <v>0</v>
      </c>
      <c r="AS115" s="46">
        <v>0</v>
      </c>
      <c r="AT115" s="46">
        <v>0</v>
      </c>
      <c r="AU115" s="95">
        <f t="shared" si="80"/>
        <v>-1.9708946484873244</v>
      </c>
      <c r="AV115" s="47">
        <f t="shared" si="81"/>
        <v>0</v>
      </c>
      <c r="AW115" s="96">
        <f t="shared" si="116"/>
        <v>-1.9708946484873244</v>
      </c>
      <c r="AX115" s="95">
        <f t="shared" si="82"/>
        <v>-22.599591969321317</v>
      </c>
      <c r="AY115" s="11">
        <f t="shared" si="83"/>
        <v>0</v>
      </c>
      <c r="AZ115" s="96">
        <f t="shared" si="117"/>
        <v>-22.599591969321317</v>
      </c>
      <c r="BA115" s="95">
        <f t="shared" si="118"/>
        <v>-1.856759807711756</v>
      </c>
      <c r="BB115" s="64">
        <f t="shared" si="119"/>
        <v>-2.1694822140672775E-2</v>
      </c>
      <c r="BC115" s="95">
        <f t="shared" si="120"/>
        <v>-1.9708946484873244</v>
      </c>
      <c r="BD115" s="96">
        <f t="shared" si="121"/>
        <v>-2.3028400700697466E-2</v>
      </c>
      <c r="BE115" s="96">
        <f t="shared" si="122"/>
        <v>-1.856759807711756</v>
      </c>
      <c r="BF115" s="96">
        <f t="shared" si="123"/>
        <v>-2.1694822140672775E-2</v>
      </c>
      <c r="BG115" s="15">
        <f t="shared" si="109"/>
        <v>-205.28597738722604</v>
      </c>
      <c r="BH115" s="46">
        <f>(SUMPRODUCT(BE116:BE$605,$I115:$I$604)+SUMPRODUCT(BF116:BF$605,$I116:$I$605)) / $I115</f>
        <v>-193.39783188917474</v>
      </c>
      <c r="BJ115" s="46">
        <f t="shared" si="124"/>
        <v>-1.856759807711756</v>
      </c>
      <c r="BK115" s="46">
        <f t="shared" si="125"/>
        <v>-44.101873234878667</v>
      </c>
      <c r="BM115" s="49">
        <f t="shared" si="110"/>
        <v>6707.1440789707922</v>
      </c>
      <c r="BN115" s="46">
        <f t="shared" si="126"/>
        <v>6312.2936116120145</v>
      </c>
      <c r="BP115" s="46">
        <f>Reserve!BX115</f>
        <v>8845.6832031159665</v>
      </c>
      <c r="BQ115" s="46">
        <f t="shared" si="84"/>
        <v>8324.936652015489</v>
      </c>
      <c r="BR115" s="15">
        <f t="shared" si="111"/>
        <v>30.196308014896204</v>
      </c>
      <c r="BT115" s="49">
        <f t="shared" si="112"/>
        <v>37.748555355976208</v>
      </c>
      <c r="BU115" s="46">
        <f t="shared" si="85"/>
        <v>35.56253016261094</v>
      </c>
      <c r="BV115" s="46">
        <f>SUMPRODUCT(BU116:BU$605, $I116:$I$605) / $I115</f>
        <v>1347.9710963324303</v>
      </c>
      <c r="BX115" s="46">
        <f>-BZ115*Others!$Q$43</f>
        <v>-5.0688525145386816</v>
      </c>
      <c r="BZ115" s="50">
        <f t="shared" si="70"/>
        <v>19.800205134916723</v>
      </c>
      <c r="CA115" s="46">
        <f t="shared" si="113"/>
        <v>14.731352620378042</v>
      </c>
      <c r="CB115" s="46">
        <f t="shared" si="86"/>
        <v>14.731352620378042</v>
      </c>
      <c r="CD115" s="46">
        <f>SUMPRODUCT(BZ116:BZ$605, $I116:$I$605) / $I115</f>
        <v>2012.6430404034727</v>
      </c>
      <c r="CE115" s="46">
        <f>SUMPRODUCT(CA116:CA$605, $I116:$I$605) / $I115</f>
        <v>1497.4064220601842</v>
      </c>
      <c r="CF115" s="46">
        <f>SUMPRODUCT(CB116:CB$605, $I116:$I$605) / $I115</f>
        <v>1497.4064220601842</v>
      </c>
      <c r="CH115" s="46">
        <f t="shared" si="87"/>
        <v>38154.316796884035</v>
      </c>
      <c r="CI115" s="46">
        <f t="shared" si="88"/>
        <v>460.31679688403347</v>
      </c>
      <c r="CK115" s="46">
        <f>NPV((1+CK$3)^(1/12)-1,$CB$6:$CB115)+$CB$5</f>
        <v>201.30888259303345</v>
      </c>
      <c r="CL115" s="46">
        <f>NPV((1+CL$3)^(1/12)-1,$CB$6:$CB115)+$CB$5</f>
        <v>111.17283065463243</v>
      </c>
      <c r="CM115" s="46">
        <f>NPV((1+CM$3)^(1/12)-1,$CB$6:$CB115)+$CB$5</f>
        <v>-65.833506922824768</v>
      </c>
      <c r="CN115" s="46">
        <f>NPV((1+CN$3)^(1/12)-1,$CB$6:$CB115)+$CB$5</f>
        <v>-65.833506922824768</v>
      </c>
    </row>
    <row r="116" spans="1:92" x14ac:dyDescent="0.25">
      <c r="A116" s="61">
        <f t="shared" si="71"/>
        <v>9.2499999999999964</v>
      </c>
      <c r="B116" s="32">
        <f t="shared" si="89"/>
        <v>3</v>
      </c>
      <c r="C116" s="62">
        <f t="shared" si="90"/>
        <v>10</v>
      </c>
      <c r="D116" s="64">
        <f t="shared" si="91"/>
        <v>9.7499999999999964</v>
      </c>
      <c r="E116" s="28">
        <f t="shared" si="72"/>
        <v>9</v>
      </c>
      <c r="G116" s="68">
        <f>INDEX(Others!$D$11:$E$60, MATCH(C116, Others!$A$11:$A$60, 0), MATCH(G$3, Others!$D$10:$E$10, 0))</f>
        <v>5.2301154917290482E-2</v>
      </c>
      <c r="H116" s="16">
        <f t="shared" si="114"/>
        <v>4.2573152509506329E-3</v>
      </c>
      <c r="I116" s="69">
        <f t="shared" si="115"/>
        <v>0.70696986881613988</v>
      </c>
      <c r="K116" s="80">
        <f>INDEX(Mortality!$B$7:$F$32, MATCH( E116,Mortality!$A$7:$A$32, 0), MATCH( K$3,Mortality!$B$6:$F$6,0))</f>
        <v>0.35100000000000003</v>
      </c>
      <c r="L116" s="11">
        <f t="shared" si="73"/>
        <v>0</v>
      </c>
      <c r="M116" s="80">
        <f t="shared" si="92"/>
        <v>0.35100000000000003</v>
      </c>
      <c r="N116" s="76">
        <f>INDEX(Myopia!$H:$H, MATCH(E116, Myopia!$A:$A, 0)) * Trend_Factor^(A116)</f>
        <v>11.877037566228701</v>
      </c>
      <c r="O116" s="11">
        <f t="shared" si="74"/>
        <v>0</v>
      </c>
      <c r="P116" s="80">
        <f t="shared" si="93"/>
        <v>11.877037566228701</v>
      </c>
      <c r="Q116" s="76">
        <f>VLOOKUP(C116,Others!$L$10:$M$61,2)</f>
        <v>0</v>
      </c>
      <c r="R116" s="11">
        <f t="shared" si="75"/>
        <v>0</v>
      </c>
      <c r="S116" s="80">
        <f t="shared" si="94"/>
        <v>0</v>
      </c>
      <c r="T116" s="78">
        <f t="shared" si="95"/>
        <v>2.9250000000000003E-5</v>
      </c>
      <c r="U116" s="81">
        <f t="shared" si="96"/>
        <v>9.8975313051905835E-4</v>
      </c>
      <c r="V116" s="81">
        <f t="shared" si="97"/>
        <v>0</v>
      </c>
      <c r="W116" s="77">
        <f t="shared" si="76"/>
        <v>0.94112986649611863</v>
      </c>
      <c r="X116" s="82">
        <f t="shared" si="98"/>
        <v>2.7514425608874476E-5</v>
      </c>
      <c r="Y116" s="82">
        <f t="shared" si="99"/>
        <v>9.3147260860337985E-4</v>
      </c>
      <c r="Z116" s="82">
        <f t="shared" si="100"/>
        <v>0</v>
      </c>
      <c r="AA116" s="82">
        <f t="shared" si="101"/>
        <v>0.94017087946190636</v>
      </c>
      <c r="AC116" s="46">
        <f t="shared" si="77"/>
        <v>0</v>
      </c>
      <c r="AD116" s="15">
        <f t="shared" si="78"/>
        <v>0</v>
      </c>
      <c r="AE116" s="46">
        <f t="shared" si="102"/>
        <v>0</v>
      </c>
      <c r="AF116" s="15">
        <f t="shared" si="103"/>
        <v>0</v>
      </c>
      <c r="AG116" s="46">
        <f>SUMPRODUCT(AE117:AE$605, $I116:$I$604) / $I116</f>
        <v>0</v>
      </c>
      <c r="AI116" s="46">
        <f t="shared" si="79"/>
        <v>-47000</v>
      </c>
      <c r="AJ116" s="46">
        <f>IF(E116&gt;Mat_Year,0,  -SUM($AD$5:AD116))</f>
        <v>-9306</v>
      </c>
      <c r="AK116" s="24">
        <f t="shared" si="104"/>
        <v>-0.2560492447161859</v>
      </c>
      <c r="AL116" s="79">
        <f t="shared" si="105"/>
        <v>-43.779212604358854</v>
      </c>
      <c r="AM116" s="24">
        <f t="shared" si="106"/>
        <v>-46.789782597189152</v>
      </c>
      <c r="AN116" s="79">
        <f t="shared" si="107"/>
        <v>-44.035261849075042</v>
      </c>
      <c r="AO116" s="15">
        <f t="shared" si="108"/>
        <v>-6482.5384927053692</v>
      </c>
      <c r="AP116" s="46">
        <f>SUMPRODUCT(AN117:AN$605, $I117:$I$605) / $I116</f>
        <v>-6100.9105861957541</v>
      </c>
      <c r="AR116" s="46">
        <v>0</v>
      </c>
      <c r="AS116" s="46">
        <v>0</v>
      </c>
      <c r="AT116" s="46">
        <v>0</v>
      </c>
      <c r="AU116" s="95">
        <f t="shared" si="80"/>
        <v>-1.9730983028685323</v>
      </c>
      <c r="AV116" s="47">
        <f t="shared" si="81"/>
        <v>0</v>
      </c>
      <c r="AW116" s="96">
        <f t="shared" si="116"/>
        <v>-1.9730983028685323</v>
      </c>
      <c r="AX116" s="95">
        <f t="shared" si="82"/>
        <v>-22.624860539559165</v>
      </c>
      <c r="AY116" s="11">
        <f t="shared" si="83"/>
        <v>0</v>
      </c>
      <c r="AZ116" s="96">
        <f t="shared" si="117"/>
        <v>-22.624860539559165</v>
      </c>
      <c r="BA116" s="95">
        <f t="shared" si="118"/>
        <v>-1.85694174236238</v>
      </c>
      <c r="BB116" s="64">
        <f t="shared" si="119"/>
        <v>-2.1696947908297709E-2</v>
      </c>
      <c r="BC116" s="95">
        <f t="shared" si="120"/>
        <v>-1.9730983028685323</v>
      </c>
      <c r="BD116" s="96">
        <f t="shared" si="121"/>
        <v>-2.3054148721341414E-2</v>
      </c>
      <c r="BE116" s="96">
        <f t="shared" si="122"/>
        <v>-1.85694174236238</v>
      </c>
      <c r="BF116" s="96">
        <f t="shared" si="123"/>
        <v>-2.1696947908297709E-2</v>
      </c>
      <c r="BG116" s="15">
        <f t="shared" si="109"/>
        <v>-204.36567789287125</v>
      </c>
      <c r="BH116" s="46">
        <f>(SUMPRODUCT(BE117:BE$605,$I116:$I$604)+SUMPRODUCT(BF117:BF$605,$I117:$I$605)) / $I116</f>
        <v>-192.3346431517067</v>
      </c>
      <c r="BJ116" s="46">
        <f t="shared" si="124"/>
        <v>-1.85694174236238</v>
      </c>
      <c r="BK116" s="46">
        <f t="shared" si="125"/>
        <v>-44.056958796983338</v>
      </c>
      <c r="BM116" s="49">
        <f t="shared" si="110"/>
        <v>6693.7249034444812</v>
      </c>
      <c r="BN116" s="46">
        <f t="shared" si="126"/>
        <v>6293.2452293474626</v>
      </c>
      <c r="BP116" s="46">
        <f>Reserve!BX116</f>
        <v>8822.5350259744282</v>
      </c>
      <c r="BQ116" s="46">
        <f t="shared" si="84"/>
        <v>8294.6905144538505</v>
      </c>
      <c r="BR116" s="15">
        <f t="shared" si="111"/>
        <v>30.246137561638534</v>
      </c>
      <c r="BT116" s="49">
        <f t="shared" si="112"/>
        <v>37.650461904207027</v>
      </c>
      <c r="BU116" s="46">
        <f t="shared" si="85"/>
        <v>35.433974185423558</v>
      </c>
      <c r="BV116" s="46">
        <f>SUMPRODUCT(BU117:BU$605, $I117:$I$605) / $I116</f>
        <v>1318.2758600532634</v>
      </c>
      <c r="BX116" s="46">
        <f>-BZ116*Others!$Q$43</f>
        <v>-5.0601500691753918</v>
      </c>
      <c r="BZ116" s="50">
        <f t="shared" si="70"/>
        <v>19.766211207716374</v>
      </c>
      <c r="CA116" s="46">
        <f t="shared" si="113"/>
        <v>14.706061138540981</v>
      </c>
      <c r="CB116" s="46">
        <f t="shared" si="86"/>
        <v>14.706061138540981</v>
      </c>
      <c r="CD116" s="46">
        <f>SUMPRODUCT(BZ117:BZ$605, $I117:$I$605) / $I116</f>
        <v>2001.4452851063859</v>
      </c>
      <c r="CE116" s="46">
        <f>SUMPRODUCT(CA117:CA$605, $I117:$I$605) / $I116</f>
        <v>1489.0752921191513</v>
      </c>
      <c r="CF116" s="46">
        <f>SUMPRODUCT(CB117:CB$605, $I117:$I$605) / $I116</f>
        <v>1489.0752921191513</v>
      </c>
      <c r="CH116" s="46">
        <f t="shared" si="87"/>
        <v>38177.46497402557</v>
      </c>
      <c r="CI116" s="46">
        <f t="shared" si="88"/>
        <v>483.46497402557179</v>
      </c>
      <c r="CK116" s="46">
        <f>NPV((1+CK$3)^(1/12)-1,$CB$6:$CB116)+$CB$5</f>
        <v>212.49687179750151</v>
      </c>
      <c r="CL116" s="46">
        <f>NPV((1+CL$3)^(1/12)-1,$CB$6:$CB116)+$CB$5</f>
        <v>120.53756260116688</v>
      </c>
      <c r="CM116" s="46">
        <f>NPV((1+CM$3)^(1/12)-1,$CB$6:$CB116)+$CB$5</f>
        <v>-59.743552681444498</v>
      </c>
      <c r="CN116" s="46">
        <f>NPV((1+CN$3)^(1/12)-1,$CB$6:$CB116)+$CB$5</f>
        <v>-59.743552681444498</v>
      </c>
    </row>
    <row r="117" spans="1:92" x14ac:dyDescent="0.25">
      <c r="A117" s="61">
        <f t="shared" si="71"/>
        <v>9.3333333333333304</v>
      </c>
      <c r="B117" s="32">
        <f t="shared" si="89"/>
        <v>4</v>
      </c>
      <c r="C117" s="62">
        <f t="shared" si="90"/>
        <v>10</v>
      </c>
      <c r="D117" s="64">
        <f t="shared" si="91"/>
        <v>9.8333333333333304</v>
      </c>
      <c r="E117" s="28">
        <f t="shared" si="72"/>
        <v>9</v>
      </c>
      <c r="G117" s="68">
        <f>INDEX(Others!$D$11:$E$60, MATCH(C117, Others!$A$11:$A$60, 0), MATCH(G$3, Others!$D$10:$E$10, 0))</f>
        <v>5.2301154917290482E-2</v>
      </c>
      <c r="H117" s="16">
        <f t="shared" si="114"/>
        <v>4.2573152509506329E-3</v>
      </c>
      <c r="I117" s="69">
        <f t="shared" si="115"/>
        <v>0.70397283453143422</v>
      </c>
      <c r="K117" s="80">
        <f>INDEX(Mortality!$B$7:$F$32, MATCH( E117,Mortality!$A$7:$A$32, 0), MATCH( K$3,Mortality!$B$6:$F$6,0))</f>
        <v>0.35100000000000003</v>
      </c>
      <c r="L117" s="11">
        <f t="shared" si="73"/>
        <v>0</v>
      </c>
      <c r="M117" s="80">
        <f t="shared" si="92"/>
        <v>0.35100000000000003</v>
      </c>
      <c r="N117" s="76">
        <f>INDEX(Myopia!$H:$H, MATCH(E117, Myopia!$A:$A, 0)) * Trend_Factor^(A117)</f>
        <v>11.877037566228701</v>
      </c>
      <c r="O117" s="11">
        <f t="shared" si="74"/>
        <v>0</v>
      </c>
      <c r="P117" s="80">
        <f t="shared" si="93"/>
        <v>11.877037566228701</v>
      </c>
      <c r="Q117" s="76">
        <f>VLOOKUP(C117,Others!$L$10:$M$61,2)</f>
        <v>0</v>
      </c>
      <c r="R117" s="11">
        <f t="shared" si="75"/>
        <v>0</v>
      </c>
      <c r="S117" s="80">
        <f t="shared" si="94"/>
        <v>0</v>
      </c>
      <c r="T117" s="78">
        <f t="shared" si="95"/>
        <v>2.9250000000000003E-5</v>
      </c>
      <c r="U117" s="81">
        <f t="shared" si="96"/>
        <v>9.8975313051905835E-4</v>
      </c>
      <c r="V117" s="81">
        <f t="shared" si="97"/>
        <v>0</v>
      </c>
      <c r="W117" s="77">
        <f t="shared" si="76"/>
        <v>0.94017087946190636</v>
      </c>
      <c r="X117" s="82">
        <f t="shared" si="98"/>
        <v>2.7486389119594901E-5</v>
      </c>
      <c r="Y117" s="82">
        <f t="shared" si="99"/>
        <v>9.3052346206561217E-4</v>
      </c>
      <c r="Z117" s="82">
        <f t="shared" si="100"/>
        <v>0</v>
      </c>
      <c r="AA117" s="82">
        <f t="shared" si="101"/>
        <v>0.93921286961072115</v>
      </c>
      <c r="AC117" s="46">
        <f t="shared" si="77"/>
        <v>0</v>
      </c>
      <c r="AD117" s="15">
        <f t="shared" si="78"/>
        <v>0</v>
      </c>
      <c r="AE117" s="46">
        <f t="shared" si="102"/>
        <v>0</v>
      </c>
      <c r="AF117" s="15">
        <f t="shared" si="103"/>
        <v>0</v>
      </c>
      <c r="AG117" s="46">
        <f>SUMPRODUCT(AE118:AE$605, $I117:$I$604) / $I117</f>
        <v>0</v>
      </c>
      <c r="AI117" s="46">
        <f t="shared" si="79"/>
        <v>-47000</v>
      </c>
      <c r="AJ117" s="46">
        <f>IF(E117&gt;Mat_Year,0,  -SUM($AD$5:AD117))</f>
        <v>-9306</v>
      </c>
      <c r="AK117" s="24">
        <f t="shared" si="104"/>
        <v>-0.25578833714695015</v>
      </c>
      <c r="AL117" s="79">
        <f t="shared" si="105"/>
        <v>-43.734602717083774</v>
      </c>
      <c r="AM117" s="24">
        <f t="shared" si="106"/>
        <v>-46.789782597189152</v>
      </c>
      <c r="AN117" s="79">
        <f t="shared" si="107"/>
        <v>-43.990391054230727</v>
      </c>
      <c r="AO117" s="15">
        <f t="shared" si="108"/>
        <v>-6469.9873477322344</v>
      </c>
      <c r="AP117" s="46">
        <f>SUMPRODUCT(AN118:AN$605, $I118:$I$605) / $I117</f>
        <v>-6082.893694824822</v>
      </c>
      <c r="AR117" s="46">
        <v>0</v>
      </c>
      <c r="AS117" s="46">
        <v>0</v>
      </c>
      <c r="AT117" s="46">
        <v>0</v>
      </c>
      <c r="AU117" s="95">
        <f t="shared" si="80"/>
        <v>-1.9753044211524331</v>
      </c>
      <c r="AV117" s="47">
        <f t="shared" si="81"/>
        <v>0</v>
      </c>
      <c r="AW117" s="96">
        <f t="shared" si="116"/>
        <v>-1.9753044211524331</v>
      </c>
      <c r="AX117" s="95">
        <f t="shared" si="82"/>
        <v>-22.650157362547894</v>
      </c>
      <c r="AY117" s="11">
        <f t="shared" si="83"/>
        <v>0</v>
      </c>
      <c r="AZ117" s="96">
        <f t="shared" si="117"/>
        <v>-22.650157362547894</v>
      </c>
      <c r="BA117" s="95">
        <f t="shared" si="118"/>
        <v>-1.8571236948398748</v>
      </c>
      <c r="BB117" s="64">
        <f t="shared" si="119"/>
        <v>-2.169907388421603E-2</v>
      </c>
      <c r="BC117" s="95">
        <f t="shared" si="120"/>
        <v>-1.9753044211524331</v>
      </c>
      <c r="BD117" s="96">
        <f t="shared" si="121"/>
        <v>-2.3079925530809026E-2</v>
      </c>
      <c r="BE117" s="96">
        <f t="shared" si="122"/>
        <v>-1.8571236948398748</v>
      </c>
      <c r="BF117" s="96">
        <f t="shared" si="123"/>
        <v>-2.169907388421603E-2</v>
      </c>
      <c r="BG117" s="15">
        <f t="shared" si="109"/>
        <v>-203.43827639183897</v>
      </c>
      <c r="BH117" s="46">
        <f>(SUMPRODUCT(BE118:BE$605,$I117:$I$604)+SUMPRODUCT(BF118:BF$605,$I118:$I$605)) / $I117</f>
        <v>-191.26674323152963</v>
      </c>
      <c r="BJ117" s="46">
        <f t="shared" si="124"/>
        <v>-1.8571236948398748</v>
      </c>
      <c r="BK117" s="46">
        <f t="shared" si="125"/>
        <v>-44.012090128114941</v>
      </c>
      <c r="BM117" s="49">
        <f t="shared" si="110"/>
        <v>6680.2326086703051</v>
      </c>
      <c r="BN117" s="46">
        <f t="shared" si="126"/>
        <v>6274.1604380563513</v>
      </c>
      <c r="BP117" s="46">
        <f>Reserve!BX117</f>
        <v>8799.2771162451045</v>
      </c>
      <c r="BQ117" s="46">
        <f t="shared" si="84"/>
        <v>8264.3943108485164</v>
      </c>
      <c r="BR117" s="15">
        <f t="shared" si="111"/>
        <v>30.296203605334085</v>
      </c>
      <c r="BT117" s="49">
        <f t="shared" si="112"/>
        <v>37.55190342448963</v>
      </c>
      <c r="BU117" s="46">
        <f t="shared" si="85"/>
        <v>35.305206068070987</v>
      </c>
      <c r="BV117" s="46">
        <f>SUMPRODUCT(BU118:BU$605, $I118:$I$605) / $I117</f>
        <v>1288.5829699091573</v>
      </c>
      <c r="BX117" s="46">
        <f>-BZ117*Others!$Q$43</f>
        <v>-5.0514421377152647</v>
      </c>
      <c r="BZ117" s="50">
        <f t="shared" si="70"/>
        <v>19.732195850450253</v>
      </c>
      <c r="CA117" s="46">
        <f t="shared" si="113"/>
        <v>14.680753712734989</v>
      </c>
      <c r="CB117" s="46">
        <f t="shared" si="86"/>
        <v>14.680753712734989</v>
      </c>
      <c r="CD117" s="46">
        <f>SUMPRODUCT(BZ118:BZ$605, $I118:$I$605) / $I117</f>
        <v>1990.2338727921626</v>
      </c>
      <c r="CE117" s="46">
        <f>SUMPRODUCT(CA118:CA$605, $I118:$I$605) / $I117</f>
        <v>1480.7340013573685</v>
      </c>
      <c r="CF117" s="46">
        <f>SUMPRODUCT(CB118:CB$605, $I118:$I$605) / $I117</f>
        <v>1480.7340013573685</v>
      </c>
      <c r="CH117" s="46">
        <f t="shared" si="87"/>
        <v>38200.722883754897</v>
      </c>
      <c r="CI117" s="46">
        <f t="shared" si="88"/>
        <v>506.72288375489552</v>
      </c>
      <c r="CK117" s="46">
        <f>NPV((1+CK$3)^(1/12)-1,$CB$6:$CB117)+$CB$5</f>
        <v>223.63813042061531</v>
      </c>
      <c r="CL117" s="46">
        <f>NPV((1+CL$3)^(1/12)-1,$CB$6:$CB117)+$CB$5</f>
        <v>129.84824605312497</v>
      </c>
      <c r="CM117" s="46">
        <f>NPV((1+CM$3)^(1/12)-1,$CB$6:$CB117)+$CB$5</f>
        <v>-53.712173608787111</v>
      </c>
      <c r="CN117" s="46">
        <f>NPV((1+CN$3)^(1/12)-1,$CB$6:$CB117)+$CB$5</f>
        <v>-53.712173608787111</v>
      </c>
    </row>
    <row r="118" spans="1:92" x14ac:dyDescent="0.25">
      <c r="A118" s="61">
        <f t="shared" si="71"/>
        <v>9.4166666666666643</v>
      </c>
      <c r="B118" s="32">
        <f t="shared" si="89"/>
        <v>5</v>
      </c>
      <c r="C118" s="62">
        <f t="shared" si="90"/>
        <v>10</v>
      </c>
      <c r="D118" s="64">
        <f t="shared" si="91"/>
        <v>9.9166666666666643</v>
      </c>
      <c r="E118" s="28">
        <f t="shared" si="72"/>
        <v>9</v>
      </c>
      <c r="G118" s="68">
        <f>INDEX(Others!$D$11:$E$60, MATCH(C118, Others!$A$11:$A$60, 0), MATCH(G$3, Others!$D$10:$E$10, 0))</f>
        <v>5.2301154917290482E-2</v>
      </c>
      <c r="H118" s="16">
        <f t="shared" si="114"/>
        <v>4.2573152509506329E-3</v>
      </c>
      <c r="I118" s="69">
        <f t="shared" si="115"/>
        <v>0.70098850547632874</v>
      </c>
      <c r="K118" s="80">
        <f>INDEX(Mortality!$B$7:$F$32, MATCH( E118,Mortality!$A$7:$A$32, 0), MATCH( K$3,Mortality!$B$6:$F$6,0))</f>
        <v>0.35100000000000003</v>
      </c>
      <c r="L118" s="11">
        <f t="shared" si="73"/>
        <v>0</v>
      </c>
      <c r="M118" s="80">
        <f t="shared" si="92"/>
        <v>0.35100000000000003</v>
      </c>
      <c r="N118" s="76">
        <f>INDEX(Myopia!$H:$H, MATCH(E118, Myopia!$A:$A, 0)) * Trend_Factor^(A118)</f>
        <v>11.877037566228701</v>
      </c>
      <c r="O118" s="11">
        <f t="shared" si="74"/>
        <v>0</v>
      </c>
      <c r="P118" s="80">
        <f t="shared" si="93"/>
        <v>11.877037566228701</v>
      </c>
      <c r="Q118" s="76">
        <f>VLOOKUP(C118,Others!$L$10:$M$61,2)</f>
        <v>0</v>
      </c>
      <c r="R118" s="11">
        <f t="shared" si="75"/>
        <v>0</v>
      </c>
      <c r="S118" s="80">
        <f t="shared" si="94"/>
        <v>0</v>
      </c>
      <c r="T118" s="78">
        <f t="shared" si="95"/>
        <v>2.9250000000000003E-5</v>
      </c>
      <c r="U118" s="81">
        <f t="shared" si="96"/>
        <v>9.8975313051905835E-4</v>
      </c>
      <c r="V118" s="81">
        <f t="shared" si="97"/>
        <v>0</v>
      </c>
      <c r="W118" s="77">
        <f t="shared" si="76"/>
        <v>0.93921286961072115</v>
      </c>
      <c r="X118" s="82">
        <f t="shared" si="98"/>
        <v>2.7458381198774004E-5</v>
      </c>
      <c r="Y118" s="82">
        <f t="shared" si="99"/>
        <v>9.2957528268365977E-4</v>
      </c>
      <c r="Z118" s="82">
        <f t="shared" si="100"/>
        <v>0</v>
      </c>
      <c r="AA118" s="82">
        <f t="shared" si="101"/>
        <v>0.9382558359468387</v>
      </c>
      <c r="AC118" s="46">
        <f t="shared" si="77"/>
        <v>0</v>
      </c>
      <c r="AD118" s="15">
        <f t="shared" si="78"/>
        <v>0</v>
      </c>
      <c r="AE118" s="46">
        <f t="shared" si="102"/>
        <v>0</v>
      </c>
      <c r="AF118" s="15">
        <f t="shared" si="103"/>
        <v>0</v>
      </c>
      <c r="AG118" s="46">
        <f>SUMPRODUCT(AE119:AE$605, $I118:$I$604) / $I118</f>
        <v>0</v>
      </c>
      <c r="AI118" s="46">
        <f t="shared" si="79"/>
        <v>-47000</v>
      </c>
      <c r="AJ118" s="46">
        <f>IF(E118&gt;Mat_Year,0,  -SUM($AD$5:AD118))</f>
        <v>-9306</v>
      </c>
      <c r="AK118" s="24">
        <f t="shared" si="104"/>
        <v>-0.2555276954357909</v>
      </c>
      <c r="AL118" s="79">
        <f t="shared" si="105"/>
        <v>-43.690038286132008</v>
      </c>
      <c r="AM118" s="24">
        <f t="shared" si="106"/>
        <v>-46.789782597189145</v>
      </c>
      <c r="AN118" s="79">
        <f t="shared" si="107"/>
        <v>-43.945565981567796</v>
      </c>
      <c r="AO118" s="15">
        <f t="shared" si="108"/>
        <v>-6457.3699117366896</v>
      </c>
      <c r="AP118" s="46">
        <f>SUMPRODUCT(AN119:AN$605, $I119:$I$605) / $I118</f>
        <v>-6064.8449249401456</v>
      </c>
      <c r="AR118" s="46">
        <v>0</v>
      </c>
      <c r="AS118" s="46">
        <v>0</v>
      </c>
      <c r="AT118" s="46">
        <v>0</v>
      </c>
      <c r="AU118" s="95">
        <f t="shared" si="80"/>
        <v>-1.9775130060939123</v>
      </c>
      <c r="AV118" s="47">
        <f t="shared" si="81"/>
        <v>0</v>
      </c>
      <c r="AW118" s="96">
        <f t="shared" si="116"/>
        <v>-1.9775130060939123</v>
      </c>
      <c r="AX118" s="95">
        <f t="shared" si="82"/>
        <v>-22.675482469876858</v>
      </c>
      <c r="AY118" s="11">
        <f t="shared" si="83"/>
        <v>0</v>
      </c>
      <c r="AZ118" s="96">
        <f t="shared" si="117"/>
        <v>-22.675482469876858</v>
      </c>
      <c r="BA118" s="95">
        <f t="shared" si="118"/>
        <v>-1.8573056651459869</v>
      </c>
      <c r="BB118" s="64">
        <f t="shared" si="119"/>
        <v>-2.1701200068448147E-2</v>
      </c>
      <c r="BC118" s="95">
        <f t="shared" si="120"/>
        <v>-1.9775130060939123</v>
      </c>
      <c r="BD118" s="96">
        <f t="shared" si="121"/>
        <v>-2.3105731161289049E-2</v>
      </c>
      <c r="BE118" s="96">
        <f t="shared" si="122"/>
        <v>-1.8573056651459869</v>
      </c>
      <c r="BF118" s="96">
        <f t="shared" si="123"/>
        <v>-2.1701200068448147E-2</v>
      </c>
      <c r="BG118" s="15">
        <f t="shared" si="109"/>
        <v>-202.50373286768419</v>
      </c>
      <c r="BH118" s="46">
        <f>(SUMPRODUCT(BE119:BE$605,$I118:$I$604)+SUMPRODUCT(BF119:BF$605,$I119:$I$605)) / $I118</f>
        <v>-190.19411205354058</v>
      </c>
      <c r="BJ118" s="46">
        <f t="shared" si="124"/>
        <v>-1.8573056651459869</v>
      </c>
      <c r="BK118" s="46">
        <f t="shared" si="125"/>
        <v>-43.967267181636245</v>
      </c>
      <c r="BM118" s="49">
        <f t="shared" si="110"/>
        <v>6666.6668059478943</v>
      </c>
      <c r="BN118" s="46">
        <f t="shared" si="126"/>
        <v>6255.0390369936831</v>
      </c>
      <c r="BP118" s="46">
        <f>Reserve!BX118</f>
        <v>8775.908966898065</v>
      </c>
      <c r="BQ118" s="46">
        <f t="shared" si="84"/>
        <v>8234.0478039303016</v>
      </c>
      <c r="BR118" s="15">
        <f t="shared" si="111"/>
        <v>30.3465069182148</v>
      </c>
      <c r="BT118" s="49">
        <f t="shared" si="112"/>
        <v>37.452877768051394</v>
      </c>
      <c r="BU118" s="46">
        <f t="shared" si="85"/>
        <v>35.176224803711129</v>
      </c>
      <c r="BV118" s="46">
        <f>SUMPRODUCT(BU119:BU$605, $I119:$I$605) / $I118</f>
        <v>1258.8926490353558</v>
      </c>
      <c r="BX118" s="46">
        <f>-BZ118*Others!$Q$43</f>
        <v>-5.0427286720367865</v>
      </c>
      <c r="BZ118" s="50">
        <f t="shared" si="70"/>
        <v>19.698158875143697</v>
      </c>
      <c r="CA118" s="46">
        <f t="shared" si="113"/>
        <v>14.65543020310691</v>
      </c>
      <c r="CB118" s="46">
        <f t="shared" si="86"/>
        <v>14.65543020310691</v>
      </c>
      <c r="CD118" s="46">
        <f>SUMPRODUCT(BZ119:BZ$605, $I119:$I$605) / $I118</f>
        <v>1979.0087669366158</v>
      </c>
      <c r="CE118" s="46">
        <f>SUMPRODUCT(CA119:CA$605, $I119:$I$605) / $I118</f>
        <v>1472.3825226008416</v>
      </c>
      <c r="CF118" s="46">
        <f>SUMPRODUCT(CB119:CB$605, $I119:$I$605) / $I118</f>
        <v>1472.3825226008416</v>
      </c>
      <c r="CH118" s="46">
        <f t="shared" si="87"/>
        <v>38224.091033101933</v>
      </c>
      <c r="CI118" s="46">
        <f t="shared" si="88"/>
        <v>530.09103310193495</v>
      </c>
      <c r="CK118" s="46">
        <f>NPV((1+CK$3)^(1/12)-1,$CB$6:$CB118)+$CB$5</f>
        <v>234.73280850334766</v>
      </c>
      <c r="CL118" s="46">
        <f>NPV((1+CL$3)^(1/12)-1,$CB$6:$CB118)+$CB$5</f>
        <v>139.10515528342989</v>
      </c>
      <c r="CM118" s="46">
        <f>NPV((1+CM$3)^(1/12)-1,$CB$6:$CB118)+$CB$5</f>
        <v>-47.73883061610718</v>
      </c>
      <c r="CN118" s="46">
        <f>NPV((1+CN$3)^(1/12)-1,$CB$6:$CB118)+$CB$5</f>
        <v>-47.73883061610718</v>
      </c>
    </row>
    <row r="119" spans="1:92" x14ac:dyDescent="0.25">
      <c r="A119" s="61">
        <f t="shared" si="71"/>
        <v>9.4999999999999982</v>
      </c>
      <c r="B119" s="32">
        <f t="shared" si="89"/>
        <v>6</v>
      </c>
      <c r="C119" s="62">
        <f t="shared" si="90"/>
        <v>10</v>
      </c>
      <c r="D119" s="64">
        <f t="shared" si="91"/>
        <v>9.9999999999999982</v>
      </c>
      <c r="E119" s="28">
        <f t="shared" si="72"/>
        <v>10</v>
      </c>
      <c r="G119" s="68">
        <f>INDEX(Others!$D$11:$E$60, MATCH(C119, Others!$A$11:$A$60, 0), MATCH(G$3, Others!$D$10:$E$10, 0))</f>
        <v>5.2301154917290482E-2</v>
      </c>
      <c r="H119" s="16">
        <f t="shared" si="114"/>
        <v>4.2573152509506329E-3</v>
      </c>
      <c r="I119" s="69">
        <f t="shared" si="115"/>
        <v>0.69801682778995833</v>
      </c>
      <c r="K119" s="80">
        <f>INDEX(Mortality!$B$7:$F$32, MATCH( E119,Mortality!$A$7:$A$32, 0), MATCH( K$3,Mortality!$B$6:$F$6,0))</f>
        <v>0.35499999999999998</v>
      </c>
      <c r="L119" s="11">
        <f t="shared" si="73"/>
        <v>0</v>
      </c>
      <c r="M119" s="80">
        <f t="shared" si="92"/>
        <v>0.35499999999999998</v>
      </c>
      <c r="N119" s="76">
        <f>INDEX(Myopia!$H:$H, MATCH(E119, Myopia!$A:$A, 0)) * Trend_Factor^(A119)</f>
        <v>27.671288125011785</v>
      </c>
      <c r="O119" s="11">
        <f t="shared" si="74"/>
        <v>0</v>
      </c>
      <c r="P119" s="80">
        <f t="shared" si="93"/>
        <v>27.671288125011785</v>
      </c>
      <c r="Q119" s="76">
        <f>VLOOKUP(C119,Others!$L$10:$M$61,2)</f>
        <v>0</v>
      </c>
      <c r="R119" s="11">
        <f t="shared" si="75"/>
        <v>0</v>
      </c>
      <c r="S119" s="80">
        <f t="shared" si="94"/>
        <v>0</v>
      </c>
      <c r="T119" s="78">
        <f t="shared" si="95"/>
        <v>2.9583333333333328E-5</v>
      </c>
      <c r="U119" s="81">
        <f t="shared" si="96"/>
        <v>2.3059406770843155E-3</v>
      </c>
      <c r="V119" s="81">
        <f t="shared" si="97"/>
        <v>0</v>
      </c>
      <c r="W119" s="77">
        <f t="shared" si="76"/>
        <v>0.9382558359468387</v>
      </c>
      <c r="X119" s="82">
        <f t="shared" si="98"/>
        <v>2.7724732454441653E-5</v>
      </c>
      <c r="Y119" s="82">
        <f t="shared" si="99"/>
        <v>2.1635302949292445E-3</v>
      </c>
      <c r="Z119" s="82">
        <f t="shared" si="100"/>
        <v>0</v>
      </c>
      <c r="AA119" s="82">
        <f t="shared" si="101"/>
        <v>0.93606458091945499</v>
      </c>
      <c r="AC119" s="46">
        <f t="shared" si="77"/>
        <v>0</v>
      </c>
      <c r="AD119" s="15">
        <f t="shared" si="78"/>
        <v>0</v>
      </c>
      <c r="AE119" s="46">
        <f t="shared" si="102"/>
        <v>0</v>
      </c>
      <c r="AF119" s="15">
        <f t="shared" si="103"/>
        <v>0</v>
      </c>
      <c r="AG119" s="46">
        <f>SUMPRODUCT(AE120:AE$605, $I119:$I$604) / $I119</f>
        <v>0</v>
      </c>
      <c r="AI119" s="46">
        <f t="shared" si="79"/>
        <v>-47000</v>
      </c>
      <c r="AJ119" s="46">
        <f>IF(E119&gt;Mat_Year,0,  -SUM($AD$5:AD119))</f>
        <v>-9306</v>
      </c>
      <c r="AK119" s="24">
        <f t="shared" si="104"/>
        <v>-0.25800636022103401</v>
      </c>
      <c r="AL119" s="79">
        <f t="shared" si="105"/>
        <v>-101.6859238616745</v>
      </c>
      <c r="AM119" s="24">
        <f t="shared" si="106"/>
        <v>-108.65259379817131</v>
      </c>
      <c r="AN119" s="79">
        <f t="shared" si="107"/>
        <v>-101.94393022189553</v>
      </c>
      <c r="AO119" s="15">
        <f t="shared" si="108"/>
        <v>-6382.8230233903587</v>
      </c>
      <c r="AP119" s="46">
        <f>SUMPRODUCT(AN120:AN$605, $I120:$I$605) / $I119</f>
        <v>-5988.7209515118493</v>
      </c>
      <c r="AR119" s="46">
        <v>0</v>
      </c>
      <c r="AS119" s="46">
        <v>0</v>
      </c>
      <c r="AT119" s="46">
        <v>0</v>
      </c>
      <c r="AU119" s="95">
        <f t="shared" si="80"/>
        <v>-1.9797240604509372</v>
      </c>
      <c r="AV119" s="47">
        <f t="shared" si="81"/>
        <v>0</v>
      </c>
      <c r="AW119" s="96">
        <f t="shared" si="116"/>
        <v>-1.9797240604509372</v>
      </c>
      <c r="AX119" s="95">
        <f t="shared" si="82"/>
        <v>-22.700835893170744</v>
      </c>
      <c r="AY119" s="11">
        <f t="shared" si="83"/>
        <v>0</v>
      </c>
      <c r="AZ119" s="96">
        <f t="shared" si="117"/>
        <v>-22.700835893170744</v>
      </c>
      <c r="BA119" s="95">
        <f t="shared" si="118"/>
        <v>-1.857487653282464</v>
      </c>
      <c r="BB119" s="64">
        <f t="shared" si="119"/>
        <v>-4.9743320776722423E-2</v>
      </c>
      <c r="BC119" s="95">
        <f t="shared" si="120"/>
        <v>-1.9797240604509374</v>
      </c>
      <c r="BD119" s="96">
        <f t="shared" si="121"/>
        <v>-5.301679869278305E-2</v>
      </c>
      <c r="BE119" s="96">
        <f t="shared" si="122"/>
        <v>-1.857487653282464</v>
      </c>
      <c r="BF119" s="96">
        <f t="shared" si="123"/>
        <v>-4.9743320776722423E-2</v>
      </c>
      <c r="BG119" s="15">
        <f t="shared" si="109"/>
        <v>-201.53212185675861</v>
      </c>
      <c r="BH119" s="46">
        <f>(SUMPRODUCT(BE120:BE$605,$I119:$I$604)+SUMPRODUCT(BF120:BF$605,$I120:$I$605)) / $I119</f>
        <v>-189.08868946285321</v>
      </c>
      <c r="BJ119" s="46">
        <f t="shared" si="124"/>
        <v>-1.857487653282464</v>
      </c>
      <c r="BK119" s="46">
        <f t="shared" si="125"/>
        <v>-101.99367354267225</v>
      </c>
      <c r="BM119" s="49">
        <f t="shared" si="110"/>
        <v>6599.7686130870461</v>
      </c>
      <c r="BN119" s="46">
        <f t="shared" si="126"/>
        <v>6177.8096409746986</v>
      </c>
      <c r="BP119" s="46">
        <f>Reserve!BX119</f>
        <v>8686.7417099574341</v>
      </c>
      <c r="BQ119" s="46">
        <f t="shared" si="84"/>
        <v>8131.3512382868557</v>
      </c>
      <c r="BR119" s="15">
        <f t="shared" si="111"/>
        <v>102.69656564344587</v>
      </c>
      <c r="BT119" s="49">
        <f t="shared" si="112"/>
        <v>37.353382776294318</v>
      </c>
      <c r="BU119" s="46">
        <f t="shared" si="85"/>
        <v>35.047029382214269</v>
      </c>
      <c r="BV119" s="46">
        <f>SUMPRODUCT(BU120:BU$605, $I120:$I$605) / $I119</f>
        <v>1229.2051225271896</v>
      </c>
      <c r="BX119" s="46">
        <f>-BZ119*Others!$Q$43</f>
        <v>-8.6764630604045863</v>
      </c>
      <c r="BZ119" s="50">
        <f t="shared" si="70"/>
        <v>33.892433829705418</v>
      </c>
      <c r="CA119" s="46">
        <f t="shared" si="113"/>
        <v>25.215970769300831</v>
      </c>
      <c r="CB119" s="46">
        <f t="shared" si="86"/>
        <v>25.215970769300831</v>
      </c>
      <c r="CD119" s="46">
        <f>SUMPRODUCT(BZ120:BZ$605, $I120:$I$605) / $I119</f>
        <v>1953.5415973121546</v>
      </c>
      <c r="CE119" s="46">
        <f>SUMPRODUCT(CA120:CA$605, $I120:$I$605) / $I119</f>
        <v>1453.434948400243</v>
      </c>
      <c r="CF119" s="46">
        <f>SUMPRODUCT(CB120:CB$605, $I120:$I$605) / $I119</f>
        <v>1453.434948400243</v>
      </c>
      <c r="CH119" s="46">
        <f t="shared" si="87"/>
        <v>38313.258290042562</v>
      </c>
      <c r="CI119" s="46">
        <f t="shared" si="88"/>
        <v>619.25829004256593</v>
      </c>
      <c r="CK119" s="46">
        <f>NPV((1+CK$3)^(1/12)-1,$CB$6:$CB119)+$CB$5</f>
        <v>253.77522490510785</v>
      </c>
      <c r="CL119" s="46">
        <f>NPV((1+CL$3)^(1/12)-1,$CB$6:$CB119)+$CB$5</f>
        <v>154.96786406405158</v>
      </c>
      <c r="CM119" s="46">
        <f>NPV((1+CM$3)^(1/12)-1,$CB$6:$CB119)+$CB$5</f>
        <v>-37.542470081136116</v>
      </c>
      <c r="CN119" s="46">
        <f>NPV((1+CN$3)^(1/12)-1,$CB$6:$CB119)+$CB$5</f>
        <v>-37.542470081136116</v>
      </c>
    </row>
    <row r="120" spans="1:92" x14ac:dyDescent="0.25">
      <c r="A120" s="61">
        <f t="shared" si="71"/>
        <v>9.5833333333333321</v>
      </c>
      <c r="B120" s="32">
        <f t="shared" si="89"/>
        <v>7</v>
      </c>
      <c r="C120" s="62">
        <f t="shared" si="90"/>
        <v>10</v>
      </c>
      <c r="D120" s="64">
        <f t="shared" si="91"/>
        <v>10.083333333333332</v>
      </c>
      <c r="E120" s="28">
        <f t="shared" si="72"/>
        <v>10</v>
      </c>
      <c r="G120" s="68">
        <f>INDEX(Others!$D$11:$E$60, MATCH(C120, Others!$A$11:$A$60, 0), MATCH(G$3, Others!$D$10:$E$10, 0))</f>
        <v>5.2301154917290482E-2</v>
      </c>
      <c r="H120" s="16">
        <f t="shared" si="114"/>
        <v>4.2573152509506329E-3</v>
      </c>
      <c r="I120" s="69">
        <f t="shared" si="115"/>
        <v>0.69505774783978858</v>
      </c>
      <c r="K120" s="80">
        <f>INDEX(Mortality!$B$7:$F$32, MATCH( E120,Mortality!$A$7:$A$32, 0), MATCH( K$3,Mortality!$B$6:$F$6,0))</f>
        <v>0.35499999999999998</v>
      </c>
      <c r="L120" s="11">
        <f t="shared" si="73"/>
        <v>0</v>
      </c>
      <c r="M120" s="80">
        <f t="shared" si="92"/>
        <v>0.35499999999999998</v>
      </c>
      <c r="N120" s="76">
        <f>INDEX(Myopia!$H:$H, MATCH(E120, Myopia!$A:$A, 0)) * Trend_Factor^(A120)</f>
        <v>27.671288125011785</v>
      </c>
      <c r="O120" s="11">
        <f t="shared" si="74"/>
        <v>0</v>
      </c>
      <c r="P120" s="80">
        <f t="shared" si="93"/>
        <v>27.671288125011785</v>
      </c>
      <c r="Q120" s="76">
        <f>VLOOKUP(C120,Others!$L$10:$M$61,2)</f>
        <v>0</v>
      </c>
      <c r="R120" s="11">
        <f t="shared" si="75"/>
        <v>0</v>
      </c>
      <c r="S120" s="80">
        <f t="shared" si="94"/>
        <v>0</v>
      </c>
      <c r="T120" s="78">
        <f t="shared" si="95"/>
        <v>2.9583333333333328E-5</v>
      </c>
      <c r="U120" s="81">
        <f t="shared" si="96"/>
        <v>2.3059406770843155E-3</v>
      </c>
      <c r="V120" s="81">
        <f t="shared" si="97"/>
        <v>0</v>
      </c>
      <c r="W120" s="77">
        <f t="shared" si="76"/>
        <v>0.93606458091945499</v>
      </c>
      <c r="X120" s="82">
        <f t="shared" si="98"/>
        <v>2.7659982567421388E-5</v>
      </c>
      <c r="Y120" s="82">
        <f t="shared" si="99"/>
        <v>2.1584774655686082E-3</v>
      </c>
      <c r="Z120" s="82">
        <f t="shared" si="100"/>
        <v>0</v>
      </c>
      <c r="AA120" s="82">
        <f t="shared" si="101"/>
        <v>0.93387844347131899</v>
      </c>
      <c r="AC120" s="46">
        <f t="shared" si="77"/>
        <v>0</v>
      </c>
      <c r="AD120" s="15">
        <f t="shared" si="78"/>
        <v>0</v>
      </c>
      <c r="AE120" s="46">
        <f t="shared" si="102"/>
        <v>0</v>
      </c>
      <c r="AF120" s="15">
        <f t="shared" si="103"/>
        <v>0</v>
      </c>
      <c r="AG120" s="46">
        <f>SUMPRODUCT(AE121:AE$605, $I120:$I$604) / $I120</f>
        <v>0</v>
      </c>
      <c r="AI120" s="46">
        <f t="shared" si="79"/>
        <v>-47000</v>
      </c>
      <c r="AJ120" s="46">
        <f>IF(E120&gt;Mat_Year,0,  -SUM($AD$5:AD120))</f>
        <v>-9306</v>
      </c>
      <c r="AK120" s="24">
        <f t="shared" si="104"/>
        <v>-0.25740379777242345</v>
      </c>
      <c r="AL120" s="79">
        <f t="shared" si="105"/>
        <v>-101.44844088172458</v>
      </c>
      <c r="AM120" s="24">
        <f t="shared" si="106"/>
        <v>-108.65259379817131</v>
      </c>
      <c r="AN120" s="79">
        <f t="shared" si="107"/>
        <v>-101.70584467949701</v>
      </c>
      <c r="AO120" s="15">
        <f t="shared" si="108"/>
        <v>-6316.3494275846988</v>
      </c>
      <c r="AP120" s="46">
        <f>SUMPRODUCT(AN121:AN$605, $I121:$I$605) / $I120</f>
        <v>-5912.5109798729109</v>
      </c>
      <c r="AR120" s="46">
        <v>0</v>
      </c>
      <c r="AS120" s="46">
        <v>0</v>
      </c>
      <c r="AT120" s="46">
        <v>0</v>
      </c>
      <c r="AU120" s="95">
        <f t="shared" si="80"/>
        <v>-1.9819375869845564</v>
      </c>
      <c r="AV120" s="47">
        <f t="shared" si="81"/>
        <v>0</v>
      </c>
      <c r="AW120" s="96">
        <f t="shared" si="116"/>
        <v>-1.9819375869845564</v>
      </c>
      <c r="AX120" s="95">
        <f t="shared" si="82"/>
        <v>-22.726217664089575</v>
      </c>
      <c r="AY120" s="11">
        <f t="shared" si="83"/>
        <v>0</v>
      </c>
      <c r="AZ120" s="96">
        <f t="shared" si="117"/>
        <v>-22.726217664089575</v>
      </c>
      <c r="BA120" s="95">
        <f t="shared" si="118"/>
        <v>-1.8552215767692146</v>
      </c>
      <c r="BB120" s="64">
        <f t="shared" si="119"/>
        <v>-4.9682635489956738E-2</v>
      </c>
      <c r="BC120" s="95">
        <f t="shared" si="120"/>
        <v>-1.9819375869845564</v>
      </c>
      <c r="BD120" s="96">
        <f t="shared" si="121"/>
        <v>-5.3076076696712181E-2</v>
      </c>
      <c r="BE120" s="96">
        <f t="shared" si="122"/>
        <v>-1.8552215767692146</v>
      </c>
      <c r="BF120" s="96">
        <f t="shared" si="123"/>
        <v>-4.9682635489956738E-2</v>
      </c>
      <c r="BG120" s="15">
        <f t="shared" si="109"/>
        <v>-200.82043587662343</v>
      </c>
      <c r="BH120" s="46">
        <f>(SUMPRODUCT(BE121:BE$605,$I120:$I$604)+SUMPRODUCT(BF121:BF$605,$I121:$I$605)) / $I120</f>
        <v>-187.98089714891381</v>
      </c>
      <c r="BJ120" s="46">
        <f t="shared" si="124"/>
        <v>-1.8552215767692146</v>
      </c>
      <c r="BK120" s="46">
        <f t="shared" si="125"/>
        <v>-101.75552731498696</v>
      </c>
      <c r="BM120" s="49">
        <f t="shared" si="110"/>
        <v>6532.4260557355692</v>
      </c>
      <c r="BN120" s="46">
        <f t="shared" si="126"/>
        <v>6100.491877021821</v>
      </c>
      <c r="BP120" s="46">
        <f>Reserve!BX120</f>
        <v>8597.0112592183505</v>
      </c>
      <c r="BQ120" s="46">
        <f t="shared" si="84"/>
        <v>8028.563493264237</v>
      </c>
      <c r="BR120" s="15">
        <f t="shared" si="111"/>
        <v>102.78774502261876</v>
      </c>
      <c r="BT120" s="49">
        <f t="shared" si="112"/>
        <v>36.973760229755264</v>
      </c>
      <c r="BU120" s="46">
        <f t="shared" si="85"/>
        <v>34.609827374482272</v>
      </c>
      <c r="BV120" s="46">
        <f>SUMPRODUCT(BU121:BU$605, $I121:$I$605) / $I120</f>
        <v>1199.8284088673886</v>
      </c>
      <c r="BX120" s="46">
        <f>-BZ120*Others!$Q$43</f>
        <v>-8.6494268173682851</v>
      </c>
      <c r="BZ120" s="50">
        <f t="shared" si="70"/>
        <v>33.786823505344863</v>
      </c>
      <c r="CA120" s="46">
        <f t="shared" si="113"/>
        <v>25.137396687976576</v>
      </c>
      <c r="CB120" s="46">
        <f t="shared" si="86"/>
        <v>25.137396687976576</v>
      </c>
      <c r="CD120" s="46">
        <f>SUMPRODUCT(BZ121:BZ$605, $I121:$I$605) / $I120</f>
        <v>1928.0716162424137</v>
      </c>
      <c r="CE120" s="46">
        <f>SUMPRODUCT(CA121:CA$605, $I121:$I$605) / $I120</f>
        <v>1434.4852824843556</v>
      </c>
      <c r="CF120" s="46">
        <f>SUMPRODUCT(CB121:CB$605, $I121:$I$605) / $I120</f>
        <v>1434.4852824843556</v>
      </c>
      <c r="CH120" s="46">
        <f t="shared" si="87"/>
        <v>38402.98874078165</v>
      </c>
      <c r="CI120" s="46">
        <f t="shared" si="88"/>
        <v>708.98874078164954</v>
      </c>
      <c r="CK120" s="46">
        <f>NPV((1+CK$3)^(1/12)-1,$CB$6:$CB120)+$CB$5</f>
        <v>272.71160207965727</v>
      </c>
      <c r="CL120" s="46">
        <f>NPV((1+CL$3)^(1/12)-1,$CB$6:$CB120)+$CB$5</f>
        <v>170.71698009362285</v>
      </c>
      <c r="CM120" s="46">
        <f>NPV((1+CM$3)^(1/12)-1,$CB$6:$CB120)+$CB$5</f>
        <v>-27.458294489302602</v>
      </c>
      <c r="CN120" s="46">
        <f>NPV((1+CN$3)^(1/12)-1,$CB$6:$CB120)+$CB$5</f>
        <v>-27.458294489302602</v>
      </c>
    </row>
    <row r="121" spans="1:92" x14ac:dyDescent="0.25">
      <c r="A121" s="61">
        <f t="shared" si="71"/>
        <v>9.6666666666666661</v>
      </c>
      <c r="B121" s="32">
        <f t="shared" si="89"/>
        <v>8</v>
      </c>
      <c r="C121" s="62">
        <f t="shared" si="90"/>
        <v>10</v>
      </c>
      <c r="D121" s="64">
        <f t="shared" si="91"/>
        <v>10.166666666666666</v>
      </c>
      <c r="E121" s="28">
        <f t="shared" si="72"/>
        <v>10</v>
      </c>
      <c r="G121" s="68">
        <f>INDEX(Others!$D$11:$E$60, MATCH(C121, Others!$A$11:$A$60, 0), MATCH(G$3, Others!$D$10:$E$10, 0))</f>
        <v>5.2301154917290482E-2</v>
      </c>
      <c r="H121" s="16">
        <f t="shared" si="114"/>
        <v>4.2573152509506329E-3</v>
      </c>
      <c r="I121" s="69">
        <f t="shared" si="115"/>
        <v>0.69211121222064764</v>
      </c>
      <c r="K121" s="80">
        <f>INDEX(Mortality!$B$7:$F$32, MATCH( E121,Mortality!$A$7:$A$32, 0), MATCH( K$3,Mortality!$B$6:$F$6,0))</f>
        <v>0.35499999999999998</v>
      </c>
      <c r="L121" s="11">
        <f t="shared" si="73"/>
        <v>0</v>
      </c>
      <c r="M121" s="80">
        <f t="shared" si="92"/>
        <v>0.35499999999999998</v>
      </c>
      <c r="N121" s="76">
        <f>INDEX(Myopia!$H:$H, MATCH(E121, Myopia!$A:$A, 0)) * Trend_Factor^(A121)</f>
        <v>27.671288125011785</v>
      </c>
      <c r="O121" s="11">
        <f t="shared" si="74"/>
        <v>0</v>
      </c>
      <c r="P121" s="80">
        <f t="shared" si="93"/>
        <v>27.671288125011785</v>
      </c>
      <c r="Q121" s="76">
        <f>VLOOKUP(C121,Others!$L$10:$M$61,2)</f>
        <v>0</v>
      </c>
      <c r="R121" s="11">
        <f t="shared" si="75"/>
        <v>0</v>
      </c>
      <c r="S121" s="80">
        <f t="shared" si="94"/>
        <v>0</v>
      </c>
      <c r="T121" s="78">
        <f t="shared" si="95"/>
        <v>2.9583333333333328E-5</v>
      </c>
      <c r="U121" s="81">
        <f t="shared" si="96"/>
        <v>2.3059406770843155E-3</v>
      </c>
      <c r="V121" s="81">
        <f t="shared" si="97"/>
        <v>0</v>
      </c>
      <c r="W121" s="77">
        <f t="shared" si="76"/>
        <v>0.93387844347131899</v>
      </c>
      <c r="X121" s="82">
        <f t="shared" si="98"/>
        <v>2.7595383900899862E-5</v>
      </c>
      <c r="Y121" s="82">
        <f t="shared" si="99"/>
        <v>2.1534364368675737E-3</v>
      </c>
      <c r="Z121" s="82">
        <f t="shared" si="100"/>
        <v>0</v>
      </c>
      <c r="AA121" s="82">
        <f t="shared" si="101"/>
        <v>0.93169741165055053</v>
      </c>
      <c r="AC121" s="46">
        <f t="shared" si="77"/>
        <v>0</v>
      </c>
      <c r="AD121" s="15">
        <f t="shared" si="78"/>
        <v>0</v>
      </c>
      <c r="AE121" s="46">
        <f t="shared" si="102"/>
        <v>0</v>
      </c>
      <c r="AF121" s="15">
        <f t="shared" si="103"/>
        <v>0</v>
      </c>
      <c r="AG121" s="46">
        <f>SUMPRODUCT(AE122:AE$605, $I121:$I$604) / $I121</f>
        <v>0</v>
      </c>
      <c r="AI121" s="46">
        <f t="shared" si="79"/>
        <v>-47000</v>
      </c>
      <c r="AJ121" s="46">
        <f>IF(E121&gt;Mat_Year,0,  -SUM($AD$5:AD121))</f>
        <v>-9306</v>
      </c>
      <c r="AK121" s="24">
        <f t="shared" si="104"/>
        <v>-0.2568026425817741</v>
      </c>
      <c r="AL121" s="79">
        <f t="shared" si="105"/>
        <v>-101.21151253277597</v>
      </c>
      <c r="AM121" s="24">
        <f t="shared" si="106"/>
        <v>-108.65259379817135</v>
      </c>
      <c r="AN121" s="79">
        <f t="shared" si="107"/>
        <v>-101.46831517535774</v>
      </c>
      <c r="AO121" s="15">
        <f t="shared" si="108"/>
        <v>-6249.4365606832007</v>
      </c>
      <c r="AP121" s="46">
        <f>SUMPRODUCT(AN122:AN$605, $I122:$I$605) / $I121</f>
        <v>-5836.214087863581</v>
      </c>
      <c r="AR121" s="46">
        <v>0</v>
      </c>
      <c r="AS121" s="46">
        <v>0</v>
      </c>
      <c r="AT121" s="46">
        <v>0</v>
      </c>
      <c r="AU121" s="95">
        <f t="shared" si="80"/>
        <v>-1.9841535884589077</v>
      </c>
      <c r="AV121" s="47">
        <f t="shared" si="81"/>
        <v>0</v>
      </c>
      <c r="AW121" s="96">
        <f t="shared" si="116"/>
        <v>-1.9841535884589077</v>
      </c>
      <c r="AX121" s="95">
        <f t="shared" si="82"/>
        <v>-22.751627814328806</v>
      </c>
      <c r="AY121" s="11">
        <f t="shared" si="83"/>
        <v>0</v>
      </c>
      <c r="AZ121" s="96">
        <f t="shared" si="117"/>
        <v>-22.751627814328806</v>
      </c>
      <c r="BA121" s="95">
        <f t="shared" si="118"/>
        <v>-1.8529582647980367</v>
      </c>
      <c r="BB121" s="64">
        <f t="shared" si="119"/>
        <v>-4.9622024237332203E-2</v>
      </c>
      <c r="BC121" s="95">
        <f t="shared" si="120"/>
        <v>-1.9841535884589077</v>
      </c>
      <c r="BD121" s="96">
        <f t="shared" si="121"/>
        <v>-5.3135420979289562E-2</v>
      </c>
      <c r="BE121" s="96">
        <f t="shared" si="122"/>
        <v>-1.8529582647980367</v>
      </c>
      <c r="BF121" s="96">
        <f t="shared" si="123"/>
        <v>-4.9622024237332203E-2</v>
      </c>
      <c r="BG121" s="15">
        <f t="shared" si="109"/>
        <v>-200.10176215022247</v>
      </c>
      <c r="BH121" s="46">
        <f>(SUMPRODUCT(BE122:BE$605,$I121:$I$604)+SUMPRODUCT(BF122:BF$605,$I122:$I$605)) / $I121</f>
        <v>-186.87072217271785</v>
      </c>
      <c r="BJ121" s="46">
        <f t="shared" si="124"/>
        <v>-1.8529582647980367</v>
      </c>
      <c r="BK121" s="46">
        <f t="shared" si="125"/>
        <v>-101.51793719959508</v>
      </c>
      <c r="BM121" s="49">
        <f t="shared" si="110"/>
        <v>6464.6361948844369</v>
      </c>
      <c r="BN121" s="46">
        <f t="shared" si="126"/>
        <v>6023.0848100362937</v>
      </c>
      <c r="BP121" s="46">
        <f>Reserve!BX121</f>
        <v>8506.7140785622905</v>
      </c>
      <c r="BQ121" s="46">
        <f t="shared" si="84"/>
        <v>7925.6834886477836</v>
      </c>
      <c r="BR121" s="15">
        <f t="shared" si="111"/>
        <v>102.88000461645333</v>
      </c>
      <c r="BT121" s="49">
        <f t="shared" si="112"/>
        <v>36.591739979132214</v>
      </c>
      <c r="BU121" s="46">
        <f t="shared" si="85"/>
        <v>34.172237175619223</v>
      </c>
      <c r="BV121" s="46">
        <f>SUMPRODUCT(BU122:BU$605, $I122:$I$605) / $I121</f>
        <v>1170.7642194753646</v>
      </c>
      <c r="BX121" s="46">
        <f>-BZ121*Others!$Q$43</f>
        <v>-8.6224246598859366</v>
      </c>
      <c r="BZ121" s="50">
        <f t="shared" si="70"/>
        <v>33.681346327679442</v>
      </c>
      <c r="CA121" s="46">
        <f t="shared" si="113"/>
        <v>25.058921667793506</v>
      </c>
      <c r="CB121" s="46">
        <f t="shared" si="86"/>
        <v>25.058921667793506</v>
      </c>
      <c r="CD121" s="46">
        <f>SUMPRODUCT(BZ122:BZ$605, $I122:$I$605) / $I121</f>
        <v>1902.5986786114881</v>
      </c>
      <c r="CE121" s="46">
        <f>SUMPRODUCT(CA122:CA$605, $I122:$I$605) / $I121</f>
        <v>1415.533416886947</v>
      </c>
      <c r="CF121" s="46">
        <f>SUMPRODUCT(CB122:CB$605, $I122:$I$605) / $I121</f>
        <v>1415.533416886947</v>
      </c>
      <c r="CH121" s="46">
        <f t="shared" si="87"/>
        <v>38493.285921437709</v>
      </c>
      <c r="CI121" s="46">
        <f t="shared" si="88"/>
        <v>799.28592143770948</v>
      </c>
      <c r="CK121" s="46">
        <f>NPV((1+CK$3)^(1/12)-1,$CB$6:$CB121)+$CB$5</f>
        <v>291.54242096749988</v>
      </c>
      <c r="CL121" s="46">
        <f>NPV((1+CL$3)^(1/12)-1,$CB$6:$CB121)+$CB$5</f>
        <v>186.35322584589881</v>
      </c>
      <c r="CM121" s="46">
        <f>NPV((1+CM$3)^(1/12)-1,$CB$6:$CB121)+$CB$5</f>
        <v>-17.485127549881554</v>
      </c>
      <c r="CN121" s="46">
        <f>NPV((1+CN$3)^(1/12)-1,$CB$6:$CB121)+$CB$5</f>
        <v>-17.485127549881554</v>
      </c>
    </row>
    <row r="122" spans="1:92" x14ac:dyDescent="0.25">
      <c r="A122" s="61">
        <f t="shared" si="71"/>
        <v>9.75</v>
      </c>
      <c r="B122" s="32">
        <f t="shared" si="89"/>
        <v>9</v>
      </c>
      <c r="C122" s="62">
        <f t="shared" si="90"/>
        <v>10</v>
      </c>
      <c r="D122" s="64">
        <f t="shared" si="91"/>
        <v>10.25</v>
      </c>
      <c r="E122" s="28">
        <f t="shared" si="72"/>
        <v>10</v>
      </c>
      <c r="G122" s="68">
        <f>INDEX(Others!$D$11:$E$60, MATCH(C122, Others!$A$11:$A$60, 0), MATCH(G$3, Others!$D$10:$E$10, 0))</f>
        <v>5.2301154917290482E-2</v>
      </c>
      <c r="H122" s="16">
        <f t="shared" si="114"/>
        <v>4.2573152509506329E-3</v>
      </c>
      <c r="I122" s="69">
        <f t="shared" si="115"/>
        <v>0.68917716775376259</v>
      </c>
      <c r="K122" s="80">
        <f>INDEX(Mortality!$B$7:$F$32, MATCH( E122,Mortality!$A$7:$A$32, 0), MATCH( K$3,Mortality!$B$6:$F$6,0))</f>
        <v>0.35499999999999998</v>
      </c>
      <c r="L122" s="11">
        <f t="shared" si="73"/>
        <v>0</v>
      </c>
      <c r="M122" s="80">
        <f t="shared" si="92"/>
        <v>0.35499999999999998</v>
      </c>
      <c r="N122" s="76">
        <f>INDEX(Myopia!$H:$H, MATCH(E122, Myopia!$A:$A, 0)) * Trend_Factor^(A122)</f>
        <v>27.671288125011785</v>
      </c>
      <c r="O122" s="11">
        <f t="shared" si="74"/>
        <v>0</v>
      </c>
      <c r="P122" s="80">
        <f t="shared" si="93"/>
        <v>27.671288125011785</v>
      </c>
      <c r="Q122" s="76">
        <f>VLOOKUP(C122,Others!$L$10:$M$61,2)</f>
        <v>0</v>
      </c>
      <c r="R122" s="11">
        <f t="shared" si="75"/>
        <v>0</v>
      </c>
      <c r="S122" s="80">
        <f t="shared" si="94"/>
        <v>0</v>
      </c>
      <c r="T122" s="78">
        <f t="shared" si="95"/>
        <v>2.9583333333333328E-5</v>
      </c>
      <c r="U122" s="81">
        <f t="shared" si="96"/>
        <v>2.3059406770843155E-3</v>
      </c>
      <c r="V122" s="81">
        <f t="shared" si="97"/>
        <v>0</v>
      </c>
      <c r="W122" s="77">
        <f t="shared" si="76"/>
        <v>0.93169741165055053</v>
      </c>
      <c r="X122" s="82">
        <f t="shared" si="98"/>
        <v>2.7530936101708284E-5</v>
      </c>
      <c r="Y122" s="82">
        <f t="shared" si="99"/>
        <v>2.148407181266221E-3</v>
      </c>
      <c r="Z122" s="82">
        <f t="shared" si="100"/>
        <v>0</v>
      </c>
      <c r="AA122" s="82">
        <f t="shared" si="101"/>
        <v>0.9295214735331826</v>
      </c>
      <c r="AC122" s="46">
        <f t="shared" si="77"/>
        <v>0</v>
      </c>
      <c r="AD122" s="15">
        <f t="shared" si="78"/>
        <v>0</v>
      </c>
      <c r="AE122" s="46">
        <f t="shared" si="102"/>
        <v>0</v>
      </c>
      <c r="AF122" s="15">
        <f t="shared" si="103"/>
        <v>0</v>
      </c>
      <c r="AG122" s="46">
        <f>SUMPRODUCT(AE123:AE$605, $I122:$I$604) / $I122</f>
        <v>0</v>
      </c>
      <c r="AI122" s="46">
        <f t="shared" si="79"/>
        <v>-47000</v>
      </c>
      <c r="AJ122" s="46">
        <f>IF(E122&gt;Mat_Year,0,  -SUM($AD$5:AD122))</f>
        <v>-9306</v>
      </c>
      <c r="AK122" s="24">
        <f t="shared" si="104"/>
        <v>-0.2562028913624973</v>
      </c>
      <c r="AL122" s="79">
        <f t="shared" si="105"/>
        <v>-100.97513751951239</v>
      </c>
      <c r="AM122" s="24">
        <f t="shared" si="106"/>
        <v>-108.65259379817132</v>
      </c>
      <c r="AN122" s="79">
        <f t="shared" si="107"/>
        <v>-101.23134041087488</v>
      </c>
      <c r="AO122" s="15">
        <f t="shared" si="108"/>
        <v>-6182.0815198927539</v>
      </c>
      <c r="AP122" s="46">
        <f>SUMPRODUCT(AN123:AN$605, $I123:$I$605) / $I122</f>
        <v>-5759.8293506967802</v>
      </c>
      <c r="AR122" s="46">
        <v>0</v>
      </c>
      <c r="AS122" s="46">
        <v>0</v>
      </c>
      <c r="AT122" s="46">
        <v>0</v>
      </c>
      <c r="AU122" s="95">
        <f t="shared" si="80"/>
        <v>-1.9863720676412184</v>
      </c>
      <c r="AV122" s="47">
        <f t="shared" si="81"/>
        <v>0</v>
      </c>
      <c r="AW122" s="96">
        <f t="shared" si="116"/>
        <v>-1.9863720676412184</v>
      </c>
      <c r="AX122" s="95">
        <f t="shared" si="82"/>
        <v>-22.777066375619302</v>
      </c>
      <c r="AY122" s="11">
        <f t="shared" si="83"/>
        <v>0</v>
      </c>
      <c r="AZ122" s="96">
        <f t="shared" si="117"/>
        <v>-22.777066375619302</v>
      </c>
      <c r="BA122" s="95">
        <f t="shared" si="118"/>
        <v>-1.8506977139962755</v>
      </c>
      <c r="BB122" s="64">
        <f t="shared" si="119"/>
        <v>-4.9561486928529429E-2</v>
      </c>
      <c r="BC122" s="95">
        <f t="shared" si="120"/>
        <v>-1.9863720676412184</v>
      </c>
      <c r="BD122" s="96">
        <f t="shared" si="121"/>
        <v>-5.3194831614621178E-2</v>
      </c>
      <c r="BE122" s="96">
        <f t="shared" si="122"/>
        <v>-1.8506977139962755</v>
      </c>
      <c r="BF122" s="96">
        <f t="shared" si="123"/>
        <v>-4.9561486928529429E-2</v>
      </c>
      <c r="BG122" s="15">
        <f t="shared" si="109"/>
        <v>-199.37605194649208</v>
      </c>
      <c r="BH122" s="46">
        <f>(SUMPRODUCT(BE123:BE$605,$I122:$I$604)+SUMPRODUCT(BF123:BF$605,$I123:$I$605)) / $I122</f>
        <v>-185.75815154365239</v>
      </c>
      <c r="BJ122" s="46">
        <f t="shared" si="124"/>
        <v>-1.8506977139962755</v>
      </c>
      <c r="BK122" s="46">
        <f t="shared" si="125"/>
        <v>-101.2809018978034</v>
      </c>
      <c r="BM122" s="49">
        <f t="shared" si="110"/>
        <v>6396.3960721001877</v>
      </c>
      <c r="BN122" s="46">
        <f t="shared" si="126"/>
        <v>5945.587502240428</v>
      </c>
      <c r="BP122" s="46">
        <f>Reserve!BX122</f>
        <v>8415.8466097090586</v>
      </c>
      <c r="BQ122" s="46">
        <f t="shared" si="84"/>
        <v>7822.7101416860032</v>
      </c>
      <c r="BR122" s="15">
        <f t="shared" si="111"/>
        <v>102.97334696178041</v>
      </c>
      <c r="BT122" s="49">
        <f t="shared" si="112"/>
        <v>36.207306970042069</v>
      </c>
      <c r="BU122" s="46">
        <f t="shared" si="85"/>
        <v>33.734254186825133</v>
      </c>
      <c r="BV122" s="46">
        <f>SUMPRODUCT(BU123:BU$605, $I123:$I$605) / $I122</f>
        <v>1142.0142776553794</v>
      </c>
      <c r="BX122" s="46">
        <f>-BZ122*Others!$Q$43</f>
        <v>-8.5954563934223032</v>
      </c>
      <c r="BZ122" s="50">
        <f t="shared" si="70"/>
        <v>33.576001536805869</v>
      </c>
      <c r="CA122" s="46">
        <f t="shared" si="113"/>
        <v>24.980545143383566</v>
      </c>
      <c r="CB122" s="46">
        <f t="shared" si="86"/>
        <v>24.980545143383566</v>
      </c>
      <c r="CD122" s="46">
        <f>SUMPRODUCT(BZ123:BZ$605, $I123:$I$605) / $I122</f>
        <v>1877.1226394455741</v>
      </c>
      <c r="CE122" s="46">
        <f>SUMPRODUCT(CA123:CA$605, $I123:$I$605) / $I122</f>
        <v>1396.5792437475061</v>
      </c>
      <c r="CF122" s="46">
        <f>SUMPRODUCT(CB123:CB$605, $I123:$I$605) / $I122</f>
        <v>1396.5792437475061</v>
      </c>
      <c r="CH122" s="46">
        <f t="shared" si="87"/>
        <v>38584.153390290943</v>
      </c>
      <c r="CI122" s="46">
        <f t="shared" si="88"/>
        <v>890.15339029094139</v>
      </c>
      <c r="CK122" s="46">
        <f>NPV((1+CK$3)^(1/12)-1,$CB$6:$CB122)+$CB$5</f>
        <v>310.26816017758392</v>
      </c>
      <c r="CL122" s="46">
        <f>NPV((1+CL$3)^(1/12)-1,$CB$6:$CB122)+$CB$5</f>
        <v>201.87731919966939</v>
      </c>
      <c r="CM122" s="46">
        <f>NPV((1+CM$3)^(1/12)-1,$CB$6:$CB122)+$CB$5</f>
        <v>-7.6218050976036693</v>
      </c>
      <c r="CN122" s="46">
        <f>NPV((1+CN$3)^(1/12)-1,$CB$6:$CB122)+$CB$5</f>
        <v>-7.6218050976036693</v>
      </c>
    </row>
    <row r="123" spans="1:92" x14ac:dyDescent="0.25">
      <c r="A123" s="61">
        <f t="shared" si="71"/>
        <v>9.8333333333333339</v>
      </c>
      <c r="B123" s="32">
        <f t="shared" si="89"/>
        <v>10</v>
      </c>
      <c r="C123" s="62">
        <f t="shared" si="90"/>
        <v>10</v>
      </c>
      <c r="D123" s="64">
        <f t="shared" si="91"/>
        <v>10.333333333333334</v>
      </c>
      <c r="E123" s="28">
        <f t="shared" si="72"/>
        <v>10</v>
      </c>
      <c r="G123" s="68">
        <f>INDEX(Others!$D$11:$E$60, MATCH(C123, Others!$A$11:$A$60, 0), MATCH(G$3, Others!$D$10:$E$10, 0))</f>
        <v>5.2301154917290482E-2</v>
      </c>
      <c r="H123" s="16">
        <f t="shared" si="114"/>
        <v>4.2573152509506329E-3</v>
      </c>
      <c r="I123" s="69">
        <f t="shared" si="115"/>
        <v>0.68625556148579936</v>
      </c>
      <c r="K123" s="80">
        <f>INDEX(Mortality!$B$7:$F$32, MATCH( E123,Mortality!$A$7:$A$32, 0), MATCH( K$3,Mortality!$B$6:$F$6,0))</f>
        <v>0.35499999999999998</v>
      </c>
      <c r="L123" s="11">
        <f t="shared" si="73"/>
        <v>0</v>
      </c>
      <c r="M123" s="80">
        <f t="shared" si="92"/>
        <v>0.35499999999999998</v>
      </c>
      <c r="N123" s="76">
        <f>INDEX(Myopia!$H:$H, MATCH(E123, Myopia!$A:$A, 0)) * Trend_Factor^(A123)</f>
        <v>27.671288125011785</v>
      </c>
      <c r="O123" s="11">
        <f t="shared" si="74"/>
        <v>0</v>
      </c>
      <c r="P123" s="80">
        <f t="shared" si="93"/>
        <v>27.671288125011785</v>
      </c>
      <c r="Q123" s="76">
        <f>VLOOKUP(C123,Others!$L$10:$M$61,2)</f>
        <v>0</v>
      </c>
      <c r="R123" s="11">
        <f t="shared" si="75"/>
        <v>0</v>
      </c>
      <c r="S123" s="80">
        <f t="shared" si="94"/>
        <v>0</v>
      </c>
      <c r="T123" s="78">
        <f t="shared" si="95"/>
        <v>2.9583333333333328E-5</v>
      </c>
      <c r="U123" s="81">
        <f t="shared" si="96"/>
        <v>2.3059406770843155E-3</v>
      </c>
      <c r="V123" s="81">
        <f t="shared" si="97"/>
        <v>0</v>
      </c>
      <c r="W123" s="77">
        <f t="shared" si="76"/>
        <v>0.9295214735331826</v>
      </c>
      <c r="X123" s="82">
        <f t="shared" si="98"/>
        <v>2.7466638817502671E-5</v>
      </c>
      <c r="Y123" s="82">
        <f t="shared" si="99"/>
        <v>2.1433896712689973E-3</v>
      </c>
      <c r="Z123" s="82">
        <f t="shared" si="100"/>
        <v>0</v>
      </c>
      <c r="AA123" s="82">
        <f t="shared" si="101"/>
        <v>0.92735061722309609</v>
      </c>
      <c r="AC123" s="46">
        <f t="shared" si="77"/>
        <v>0</v>
      </c>
      <c r="AD123" s="15">
        <f t="shared" si="78"/>
        <v>0</v>
      </c>
      <c r="AE123" s="46">
        <f t="shared" si="102"/>
        <v>0</v>
      </c>
      <c r="AF123" s="15">
        <f t="shared" si="103"/>
        <v>0</v>
      </c>
      <c r="AG123" s="46">
        <f>SUMPRODUCT(AE124:AE$605, $I123:$I$604) / $I123</f>
        <v>0</v>
      </c>
      <c r="AI123" s="46">
        <f t="shared" si="79"/>
        <v>-47000</v>
      </c>
      <c r="AJ123" s="46">
        <f>IF(E123&gt;Mat_Year,0,  -SUM($AD$5:AD123))</f>
        <v>-9306</v>
      </c>
      <c r="AK123" s="24">
        <f t="shared" si="104"/>
        <v>-0.25560454083567985</v>
      </c>
      <c r="AL123" s="79">
        <f t="shared" si="105"/>
        <v>-100.73931454964287</v>
      </c>
      <c r="AM123" s="24">
        <f t="shared" si="106"/>
        <v>-108.65259379817132</v>
      </c>
      <c r="AN123" s="79">
        <f t="shared" si="107"/>
        <v>-100.99491909047855</v>
      </c>
      <c r="AO123" s="15">
        <f t="shared" si="108"/>
        <v>-6114.2813832380052</v>
      </c>
      <c r="AP123" s="46">
        <f>SUMPRODUCT(AN124:AN$605, $I124:$I$605) / $I123</f>
        <v>-5683.3558409438965</v>
      </c>
      <c r="AR123" s="46">
        <v>0</v>
      </c>
      <c r="AS123" s="46">
        <v>0</v>
      </c>
      <c r="AT123" s="46">
        <v>0</v>
      </c>
      <c r="AU123" s="95">
        <f t="shared" si="80"/>
        <v>-1.98859302730181</v>
      </c>
      <c r="AV123" s="47">
        <f t="shared" si="81"/>
        <v>0</v>
      </c>
      <c r="AW123" s="96">
        <f t="shared" si="116"/>
        <v>-1.98859302730181</v>
      </c>
      <c r="AX123" s="95">
        <f t="shared" si="82"/>
        <v>-22.802533379727418</v>
      </c>
      <c r="AY123" s="11">
        <f t="shared" si="83"/>
        <v>0</v>
      </c>
      <c r="AZ123" s="96">
        <f t="shared" si="117"/>
        <v>-22.802533379727418</v>
      </c>
      <c r="BA123" s="95">
        <f t="shared" si="118"/>
        <v>-1.8484399209953908</v>
      </c>
      <c r="BB123" s="64">
        <f t="shared" si="119"/>
        <v>-4.950102347333931E-2</v>
      </c>
      <c r="BC123" s="95">
        <f t="shared" si="120"/>
        <v>-1.98859302730181</v>
      </c>
      <c r="BD123" s="96">
        <f t="shared" si="121"/>
        <v>-5.3254308676895991E-2</v>
      </c>
      <c r="BE123" s="96">
        <f t="shared" si="122"/>
        <v>-1.8484399209953908</v>
      </c>
      <c r="BF123" s="96">
        <f t="shared" si="123"/>
        <v>-4.950102347333931E-2</v>
      </c>
      <c r="BG123" s="15">
        <f t="shared" si="109"/>
        <v>-198.64325620948793</v>
      </c>
      <c r="BH123" s="46">
        <f>(SUMPRODUCT(BE124:BE$605,$I123:$I$604)+SUMPRODUCT(BF124:BF$605,$I124:$I$605)) / $I123</f>
        <v>-184.64317221927274</v>
      </c>
      <c r="BJ123" s="46">
        <f t="shared" si="124"/>
        <v>-1.8484399209953908</v>
      </c>
      <c r="BK123" s="46">
        <f t="shared" si="125"/>
        <v>-101.04442011395189</v>
      </c>
      <c r="BM123" s="49">
        <f t="shared" si="110"/>
        <v>6327.7027093965671</v>
      </c>
      <c r="BN123" s="46">
        <f t="shared" si="126"/>
        <v>5867.9990131631639</v>
      </c>
      <c r="BP123" s="46">
        <f>Reserve!BX123</f>
        <v>8324.4052720779982</v>
      </c>
      <c r="BQ123" s="46">
        <f t="shared" si="84"/>
        <v>7719.6423670767272</v>
      </c>
      <c r="BR123" s="15">
        <f t="shared" si="111"/>
        <v>103.06777460927606</v>
      </c>
      <c r="BT123" s="49">
        <f t="shared" si="112"/>
        <v>35.820446053752491</v>
      </c>
      <c r="BU123" s="46">
        <f t="shared" si="85"/>
        <v>33.29587379849989</v>
      </c>
      <c r="BV123" s="46">
        <f>SUMPRODUCT(BU124:BU$605, $I124:$I$605) / $I123</f>
        <v>1113.5803186579449</v>
      </c>
      <c r="BX123" s="46">
        <f>-BZ123*Others!$Q$43</f>
        <v>-8.56852182344414</v>
      </c>
      <c r="BZ123" s="50">
        <f t="shared" si="70"/>
        <v>33.470788372828672</v>
      </c>
      <c r="CA123" s="46">
        <f t="shared" si="113"/>
        <v>24.902266549384532</v>
      </c>
      <c r="CB123" s="46">
        <f t="shared" si="86"/>
        <v>24.902266549384532</v>
      </c>
      <c r="CD123" s="46">
        <f>SUMPRODUCT(BZ124:BZ$605, $I124:$I$605) / $I123</f>
        <v>1851.6433539135619</v>
      </c>
      <c r="CE123" s="46">
        <f>SUMPRODUCT(CA124:CA$605, $I124:$I$605) / $I123</f>
        <v>1377.622655311689</v>
      </c>
      <c r="CF123" s="46">
        <f>SUMPRODUCT(CB124:CB$605, $I124:$I$605) / $I123</f>
        <v>1377.622655311689</v>
      </c>
      <c r="CH123" s="46">
        <f t="shared" si="87"/>
        <v>38675.594727921998</v>
      </c>
      <c r="CI123" s="46">
        <f t="shared" si="88"/>
        <v>981.59472792200177</v>
      </c>
      <c r="CK123" s="46">
        <f>NPV((1+CK$3)^(1/12)-1,$CB$6:$CB123)+$CB$5</f>
        <v>328.88929599840412</v>
      </c>
      <c r="CL123" s="46">
        <f>NPV((1+CL$3)^(1/12)-1,$CB$6:$CB123)+$CB$5</f>
        <v>217.28997346802544</v>
      </c>
      <c r="CM123" s="46">
        <f>NPV((1+CM$3)^(1/12)-1,$CB$6:$CB123)+$CB$5</f>
        <v>2.1328250315785908</v>
      </c>
      <c r="CN123" s="46">
        <f>NPV((1+CN$3)^(1/12)-1,$CB$6:$CB123)+$CB$5</f>
        <v>2.1328250315785908</v>
      </c>
    </row>
    <row r="124" spans="1:92" x14ac:dyDescent="0.25">
      <c r="A124" s="61">
        <f t="shared" si="71"/>
        <v>9.9166666666666679</v>
      </c>
      <c r="B124" s="32">
        <f t="shared" si="89"/>
        <v>11</v>
      </c>
      <c r="C124" s="62">
        <f t="shared" si="90"/>
        <v>10</v>
      </c>
      <c r="D124" s="64">
        <f t="shared" si="91"/>
        <v>10.416666666666668</v>
      </c>
      <c r="E124" s="28">
        <f t="shared" si="72"/>
        <v>10</v>
      </c>
      <c r="G124" s="68">
        <f>INDEX(Others!$D$11:$E$60, MATCH(C124, Others!$A$11:$A$60, 0), MATCH(G$3, Others!$D$10:$E$10, 0))</f>
        <v>5.2301154917290482E-2</v>
      </c>
      <c r="H124" s="16">
        <f t="shared" si="114"/>
        <v>4.2573152509506329E-3</v>
      </c>
      <c r="I124" s="69">
        <f t="shared" si="115"/>
        <v>0.68334634068790745</v>
      </c>
      <c r="K124" s="80">
        <f>INDEX(Mortality!$B$7:$F$32, MATCH( E124,Mortality!$A$7:$A$32, 0), MATCH( K$3,Mortality!$B$6:$F$6,0))</f>
        <v>0.35499999999999998</v>
      </c>
      <c r="L124" s="11">
        <f t="shared" si="73"/>
        <v>0</v>
      </c>
      <c r="M124" s="80">
        <f t="shared" si="92"/>
        <v>0.35499999999999998</v>
      </c>
      <c r="N124" s="76">
        <f>INDEX(Myopia!$H:$H, MATCH(E124, Myopia!$A:$A, 0)) * Trend_Factor^(A124)</f>
        <v>27.671288125011785</v>
      </c>
      <c r="O124" s="11">
        <f t="shared" si="74"/>
        <v>0</v>
      </c>
      <c r="P124" s="80">
        <f t="shared" si="93"/>
        <v>27.671288125011785</v>
      </c>
      <c r="Q124" s="76">
        <f>VLOOKUP(C124,Others!$L$10:$M$61,2)</f>
        <v>0</v>
      </c>
      <c r="R124" s="11">
        <f t="shared" si="75"/>
        <v>0</v>
      </c>
      <c r="S124" s="80">
        <f t="shared" si="94"/>
        <v>0</v>
      </c>
      <c r="T124" s="78">
        <f t="shared" si="95"/>
        <v>2.9583333333333328E-5</v>
      </c>
      <c r="U124" s="81">
        <f t="shared" si="96"/>
        <v>2.3059406770843155E-3</v>
      </c>
      <c r="V124" s="81">
        <f t="shared" si="97"/>
        <v>0</v>
      </c>
      <c r="W124" s="77">
        <f t="shared" si="76"/>
        <v>0.92735061722309609</v>
      </c>
      <c r="X124" s="82">
        <f t="shared" si="98"/>
        <v>2.7402491696761933E-5</v>
      </c>
      <c r="Y124" s="82">
        <f t="shared" si="99"/>
        <v>2.138383879444563E-3</v>
      </c>
      <c r="Z124" s="82">
        <f t="shared" si="100"/>
        <v>0</v>
      </c>
      <c r="AA124" s="82">
        <f t="shared" si="101"/>
        <v>0.9251848308519548</v>
      </c>
      <c r="AC124" s="46">
        <f t="shared" si="77"/>
        <v>0</v>
      </c>
      <c r="AD124" s="15">
        <f t="shared" si="78"/>
        <v>0</v>
      </c>
      <c r="AE124" s="46">
        <f t="shared" si="102"/>
        <v>0</v>
      </c>
      <c r="AF124" s="15">
        <f t="shared" si="103"/>
        <v>0</v>
      </c>
      <c r="AG124" s="46">
        <f>SUMPRODUCT(AE125:AE$605, $I124:$I$604) / $I124</f>
        <v>0</v>
      </c>
      <c r="AI124" s="46">
        <f t="shared" si="79"/>
        <v>-47000</v>
      </c>
      <c r="AJ124" s="46">
        <f>IF(E124&gt;Mat_Year,0,  -SUM($AD$5:AD124))</f>
        <v>-9306</v>
      </c>
      <c r="AK124" s="24">
        <f t="shared" si="104"/>
        <v>-0.25500758773006654</v>
      </c>
      <c r="AL124" s="79">
        <f t="shared" si="105"/>
        <v>-100.50404233389446</v>
      </c>
      <c r="AM124" s="24">
        <f t="shared" si="106"/>
        <v>-108.65259379817132</v>
      </c>
      <c r="AN124" s="79">
        <f t="shared" si="107"/>
        <v>-100.75904992162452</v>
      </c>
      <c r="AO124" s="15">
        <f t="shared" si="108"/>
        <v>-6046.0332094345877</v>
      </c>
      <c r="AP124" s="46">
        <f>SUMPRODUCT(AN125:AN$605, $I125:$I$605) / $I124</f>
        <v>-5606.7926285205012</v>
      </c>
      <c r="AR124" s="46">
        <v>0</v>
      </c>
      <c r="AS124" s="46">
        <v>0</v>
      </c>
      <c r="AT124" s="46">
        <v>0</v>
      </c>
      <c r="AU124" s="95">
        <f t="shared" si="80"/>
        <v>-1.9908164702141018</v>
      </c>
      <c r="AV124" s="47">
        <f t="shared" si="81"/>
        <v>0</v>
      </c>
      <c r="AW124" s="96">
        <f t="shared" si="116"/>
        <v>-1.9908164702141018</v>
      </c>
      <c r="AX124" s="95">
        <f t="shared" si="82"/>
        <v>-22.828028858455031</v>
      </c>
      <c r="AY124" s="11">
        <f t="shared" si="83"/>
        <v>0</v>
      </c>
      <c r="AZ124" s="96">
        <f t="shared" si="117"/>
        <v>-22.828028858455031</v>
      </c>
      <c r="BA124" s="95">
        <f t="shared" si="118"/>
        <v>-1.8461848824309528</v>
      </c>
      <c r="BB124" s="64">
        <f t="shared" si="119"/>
        <v>-4.9440633781662767E-2</v>
      </c>
      <c r="BC124" s="95">
        <f t="shared" si="120"/>
        <v>-1.9908164702141018</v>
      </c>
      <c r="BD124" s="96">
        <f t="shared" si="121"/>
        <v>-5.3313852240385852E-2</v>
      </c>
      <c r="BE124" s="96">
        <f t="shared" si="122"/>
        <v>-1.8461848824309528</v>
      </c>
      <c r="BF124" s="96">
        <f t="shared" si="123"/>
        <v>-4.9440633781662767E-2</v>
      </c>
      <c r="BG124" s="15">
        <f t="shared" si="109"/>
        <v>-197.90332555623419</v>
      </c>
      <c r="BH124" s="46">
        <f>(SUMPRODUCT(BE125:BE$605,$I124:$I$604)+SUMPRODUCT(BF125:BF$605,$I125:$I$605)) / $I124</f>
        <v>-183.5257711050771</v>
      </c>
      <c r="BJ124" s="46">
        <f t="shared" si="124"/>
        <v>-1.8461848824309528</v>
      </c>
      <c r="BK124" s="46">
        <f t="shared" si="125"/>
        <v>-100.80849055540618</v>
      </c>
      <c r="BM124" s="49">
        <f t="shared" si="110"/>
        <v>6258.5531091053117</v>
      </c>
      <c r="BN124" s="46">
        <f t="shared" si="126"/>
        <v>5790.3183996255739</v>
      </c>
      <c r="BP124" s="46">
        <f>Reserve!BX124</f>
        <v>8232.3864626482882</v>
      </c>
      <c r="BQ124" s="46">
        <f t="shared" si="84"/>
        <v>7616.4790769531792</v>
      </c>
      <c r="BR124" s="15">
        <f t="shared" si="111"/>
        <v>103.16329012354799</v>
      </c>
      <c r="BT124" s="49">
        <f t="shared" si="112"/>
        <v>35.43114198659103</v>
      </c>
      <c r="BU124" s="46">
        <f t="shared" si="85"/>
        <v>32.857091390184344</v>
      </c>
      <c r="BV124" s="46">
        <f>SUMPRODUCT(BU125:BU$605, $I125:$I$605) / $I124</f>
        <v>1085.4640897415416</v>
      </c>
      <c r="BX124" s="46">
        <f>-BZ124*Others!$Q$43</f>
        <v>-8.5416207554291734</v>
      </c>
      <c r="BZ124" s="50">
        <f t="shared" si="70"/>
        <v>33.365706075895211</v>
      </c>
      <c r="CA124" s="46">
        <f t="shared" si="113"/>
        <v>24.82408532046604</v>
      </c>
      <c r="CB124" s="46">
        <f t="shared" si="86"/>
        <v>24.82408532046604</v>
      </c>
      <c r="CD124" s="46">
        <f>SUMPRODUCT(BZ125:BZ$605, $I125:$I$605) / $I124</f>
        <v>1826.1606773276039</v>
      </c>
      <c r="CE124" s="46">
        <f>SUMPRODUCT(CA125:CA$605, $I125:$I$605) / $I124</f>
        <v>1358.6635439317367</v>
      </c>
      <c r="CF124" s="46">
        <f>SUMPRODUCT(CB125:CB$605, $I125:$I$605) / $I124</f>
        <v>1358.6635439317367</v>
      </c>
      <c r="CH124" s="46">
        <f t="shared" si="87"/>
        <v>38767.61353735171</v>
      </c>
      <c r="CI124" s="46">
        <f t="shared" si="88"/>
        <v>1073.6135373517118</v>
      </c>
      <c r="CK124" s="46">
        <f>NPV((1+CK$3)^(1/12)-1,$CB$6:$CB124)+$CB$5</f>
        <v>347.40630240907217</v>
      </c>
      <c r="CL124" s="46">
        <f>NPV((1+CL$3)^(1/12)-1,$CB$6:$CB124)+$CB$5</f>
        <v>232.59189742745843</v>
      </c>
      <c r="CM124" s="46">
        <f>NPV((1+CM$3)^(1/12)-1,$CB$6:$CB124)+$CB$5</f>
        <v>11.779903123466624</v>
      </c>
      <c r="CN124" s="46">
        <f>NPV((1+CN$3)^(1/12)-1,$CB$6:$CB124)+$CB$5</f>
        <v>11.779903123466624</v>
      </c>
    </row>
    <row r="125" spans="1:92" x14ac:dyDescent="0.25">
      <c r="A125" s="61">
        <f t="shared" si="71"/>
        <v>10.000000000000002</v>
      </c>
      <c r="B125" s="32">
        <f t="shared" si="89"/>
        <v>12</v>
      </c>
      <c r="C125" s="62">
        <f t="shared" si="90"/>
        <v>10</v>
      </c>
      <c r="D125" s="64">
        <f t="shared" si="91"/>
        <v>10.500000000000002</v>
      </c>
      <c r="E125" s="28">
        <f t="shared" si="72"/>
        <v>10</v>
      </c>
      <c r="G125" s="68">
        <f>INDEX(Others!$D$11:$E$60, MATCH(C125, Others!$A$11:$A$60, 0), MATCH(G$3, Others!$D$10:$E$10, 0))</f>
        <v>5.2301154917290482E-2</v>
      </c>
      <c r="H125" s="16">
        <f t="shared" si="114"/>
        <v>4.2573152509506329E-3</v>
      </c>
      <c r="I125" s="69">
        <f t="shared" si="115"/>
        <v>0.68044945285476788</v>
      </c>
      <c r="K125" s="80">
        <f>INDEX(Mortality!$B$7:$F$32, MATCH( E125,Mortality!$A$7:$A$32, 0), MATCH( K$3,Mortality!$B$6:$F$6,0))</f>
        <v>0.35499999999999998</v>
      </c>
      <c r="L125" s="11">
        <f t="shared" si="73"/>
        <v>0</v>
      </c>
      <c r="M125" s="80">
        <f t="shared" si="92"/>
        <v>0.35499999999999998</v>
      </c>
      <c r="N125" s="76">
        <f>INDEX(Myopia!$H:$H, MATCH(E125, Myopia!$A:$A, 0)) * Trend_Factor^(A125)</f>
        <v>27.671288125011785</v>
      </c>
      <c r="O125" s="11">
        <f t="shared" si="74"/>
        <v>0</v>
      </c>
      <c r="P125" s="80">
        <f t="shared" si="93"/>
        <v>27.671288125011785</v>
      </c>
      <c r="Q125" s="76">
        <f>VLOOKUP(C125,Others!$L$10:$M$61,2)</f>
        <v>0</v>
      </c>
      <c r="R125" s="11">
        <f t="shared" si="75"/>
        <v>0</v>
      </c>
      <c r="S125" s="80">
        <f t="shared" si="94"/>
        <v>0</v>
      </c>
      <c r="T125" s="78">
        <f t="shared" si="95"/>
        <v>2.9583333333333328E-5</v>
      </c>
      <c r="U125" s="81">
        <f t="shared" si="96"/>
        <v>2.3059406770843155E-3</v>
      </c>
      <c r="V125" s="81">
        <f t="shared" si="97"/>
        <v>0</v>
      </c>
      <c r="W125" s="77">
        <f t="shared" si="76"/>
        <v>0.9251848308519548</v>
      </c>
      <c r="X125" s="82">
        <f t="shared" si="98"/>
        <v>2.7338494388785934E-5</v>
      </c>
      <c r="Y125" s="82">
        <f t="shared" si="99"/>
        <v>2.1333897784256437E-3</v>
      </c>
      <c r="Z125" s="82">
        <f t="shared" si="100"/>
        <v>0</v>
      </c>
      <c r="AA125" s="82">
        <f t="shared" si="101"/>
        <v>0.92302410257914036</v>
      </c>
      <c r="AC125" s="46">
        <f t="shared" si="77"/>
        <v>0</v>
      </c>
      <c r="AD125" s="15">
        <f t="shared" si="78"/>
        <v>0</v>
      </c>
      <c r="AE125" s="46">
        <f t="shared" si="102"/>
        <v>0</v>
      </c>
      <c r="AF125" s="15">
        <f t="shared" si="103"/>
        <v>0</v>
      </c>
      <c r="AG125" s="46">
        <f>SUMPRODUCT(AE126:AE$605, $I125:$I$604) / $I125</f>
        <v>0</v>
      </c>
      <c r="AI125" s="46">
        <f t="shared" si="79"/>
        <v>-47000</v>
      </c>
      <c r="AJ125" s="46">
        <f>IF(E125&gt;Mat_Year,0,  -SUM($AD$5:AD125))</f>
        <v>-9306</v>
      </c>
      <c r="AK125" s="24">
        <f t="shared" si="104"/>
        <v>-0.25441202878204189</v>
      </c>
      <c r="AL125" s="79">
        <f t="shared" si="105"/>
        <v>-100.26931958600525</v>
      </c>
      <c r="AM125" s="24">
        <f t="shared" si="106"/>
        <v>-108.65259379817132</v>
      </c>
      <c r="AN125" s="79">
        <f t="shared" si="107"/>
        <v>-100.52373161478729</v>
      </c>
      <c r="AO125" s="15">
        <f t="shared" si="108"/>
        <v>-5977.3340377615286</v>
      </c>
      <c r="AP125" s="46">
        <f>SUMPRODUCT(AN126:AN$605, $I126:$I$605) / $I125</f>
        <v>-5530.1387806720322</v>
      </c>
      <c r="AR125" s="46">
        <v>0</v>
      </c>
      <c r="AS125" s="46">
        <v>0</v>
      </c>
      <c r="AT125" s="46">
        <v>0</v>
      </c>
      <c r="AU125" s="95">
        <f t="shared" si="80"/>
        <v>-1.9930423991546138</v>
      </c>
      <c r="AV125" s="47">
        <f t="shared" si="81"/>
        <v>0</v>
      </c>
      <c r="AW125" s="96">
        <f t="shared" si="116"/>
        <v>-1.9930423991546138</v>
      </c>
      <c r="AX125" s="95">
        <f t="shared" si="82"/>
        <v>-22.853552843639569</v>
      </c>
      <c r="AY125" s="11">
        <f t="shared" si="83"/>
        <v>0</v>
      </c>
      <c r="AZ125" s="96">
        <f t="shared" si="117"/>
        <v>-22.853552843639569</v>
      </c>
      <c r="BA125" s="95">
        <f t="shared" si="118"/>
        <v>-1.8439325949426355</v>
      </c>
      <c r="BB125" s="64">
        <f t="shared" si="119"/>
        <v>-4.9380317763510623E-2</v>
      </c>
      <c r="BC125" s="95">
        <f t="shared" si="120"/>
        <v>-1.9930423991546138</v>
      </c>
      <c r="BD125" s="96">
        <f t="shared" si="121"/>
        <v>-5.337346237944568E-2</v>
      </c>
      <c r="BE125" s="96">
        <f t="shared" si="122"/>
        <v>-1.8439325949426355</v>
      </c>
      <c r="BF125" s="96">
        <f t="shared" si="123"/>
        <v>-4.9380317763510623E-2</v>
      </c>
      <c r="BG125" s="15">
        <f t="shared" si="109"/>
        <v>-197.15621027455964</v>
      </c>
      <c r="BH125" s="46">
        <f>(SUMPRODUCT(BE126:BE$605,$I125:$I$604)+SUMPRODUCT(BF126:BF$605,$I126:$I$605)) / $I125</f>
        <v>-182.40593505428089</v>
      </c>
      <c r="BJ125" s="46">
        <f t="shared" si="124"/>
        <v>-1.8439325949426355</v>
      </c>
      <c r="BK125" s="46">
        <f t="shared" si="125"/>
        <v>-100.5731119325508</v>
      </c>
      <c r="BM125" s="49">
        <f t="shared" si="110"/>
        <v>6188.9442537460864</v>
      </c>
      <c r="BN125" s="46">
        <f t="shared" si="126"/>
        <v>5712.5447157263088</v>
      </c>
      <c r="BP125" s="46">
        <f>Reserve!BX125</f>
        <v>8139.786555818403</v>
      </c>
      <c r="BQ125" s="46">
        <f t="shared" si="84"/>
        <v>7513.2191808700336</v>
      </c>
      <c r="BR125" s="15">
        <f t="shared" si="111"/>
        <v>103.25989608314558</v>
      </c>
      <c r="BT125" s="49">
        <f t="shared" si="112"/>
        <v>35.039379429350376</v>
      </c>
      <c r="BU125" s="46">
        <f t="shared" si="85"/>
        <v>32.417902330500993</v>
      </c>
      <c r="BV125" s="46">
        <f>SUMPRODUCT(BU126:BU$605, $I126:$I$605) / $I125</f>
        <v>1057.6673502346564</v>
      </c>
      <c r="BX125" s="46">
        <f>-BZ125*Others!$Q$43</f>
        <v>-8.5147529948552041</v>
      </c>
      <c r="BZ125" s="50">
        <f t="shared" si="70"/>
        <v>33.26075388615314</v>
      </c>
      <c r="CA125" s="46">
        <f t="shared" si="113"/>
        <v>24.746000891297935</v>
      </c>
      <c r="CB125" s="46">
        <f t="shared" si="86"/>
        <v>24.746000891297935</v>
      </c>
      <c r="CD125" s="46">
        <f>SUMPRODUCT(BZ126:BZ$605, $I126:$I$605) / $I125</f>
        <v>1800.6744651437239</v>
      </c>
      <c r="CE125" s="46">
        <f>SUMPRODUCT(CA126:CA$605, $I126:$I$605) / $I125</f>
        <v>1339.7018020669298</v>
      </c>
      <c r="CF125" s="46">
        <f>SUMPRODUCT(CB126:CB$605, $I126:$I$605) / $I125</f>
        <v>1339.7018020669298</v>
      </c>
      <c r="CH125" s="46">
        <f t="shared" si="87"/>
        <v>38860.213444181594</v>
      </c>
      <c r="CI125" s="46">
        <f t="shared" si="88"/>
        <v>1166.213444181597</v>
      </c>
      <c r="CK125" s="46">
        <f>NPV((1+CK$3)^(1/12)-1,$CB$6:$CB125)+$CB$5</f>
        <v>365.81965109031557</v>
      </c>
      <c r="CL125" s="46">
        <f>NPV((1+CL$3)^(1/12)-1,$CB$6:$CB125)+$CB$5</f>
        <v>247.78379534675764</v>
      </c>
      <c r="CM125" s="46">
        <f>NPV((1+CM$3)^(1/12)-1,$CB$6:$CB125)+$CB$5</f>
        <v>21.320557707323701</v>
      </c>
      <c r="CN125" s="46">
        <f>NPV((1+CN$3)^(1/12)-1,$CB$6:$CB125)+$CB$5</f>
        <v>21.320557707323701</v>
      </c>
    </row>
    <row r="126" spans="1:92" x14ac:dyDescent="0.25">
      <c r="A126" s="61">
        <f t="shared" si="71"/>
        <v>10.083333333333336</v>
      </c>
      <c r="B126" s="32">
        <f t="shared" si="89"/>
        <v>1</v>
      </c>
      <c r="C126" s="62">
        <f t="shared" si="90"/>
        <v>11</v>
      </c>
      <c r="D126" s="64">
        <f t="shared" si="91"/>
        <v>10.583333333333336</v>
      </c>
      <c r="E126" s="28">
        <f t="shared" si="72"/>
        <v>10</v>
      </c>
      <c r="G126" s="68">
        <f>INDEX(Others!$D$11:$E$60, MATCH(C126, Others!$A$11:$A$60, 0), MATCH(G$3, Others!$D$10:$E$10, 0))</f>
        <v>5.5201107113974412E-2</v>
      </c>
      <c r="H126" s="16">
        <f t="shared" si="114"/>
        <v>4.4876537952047713E-3</v>
      </c>
      <c r="I126" s="69">
        <f t="shared" si="115"/>
        <v>0.67740947365939264</v>
      </c>
      <c r="K126" s="80">
        <f>INDEX(Mortality!$B$7:$F$32, MATCH( E126,Mortality!$A$7:$A$32, 0), MATCH( K$3,Mortality!$B$6:$F$6,0))</f>
        <v>0.35499999999999998</v>
      </c>
      <c r="L126" s="11">
        <f t="shared" si="73"/>
        <v>0</v>
      </c>
      <c r="M126" s="80">
        <f t="shared" si="92"/>
        <v>0.35499999999999998</v>
      </c>
      <c r="N126" s="76">
        <f>INDEX(Myopia!$H:$H, MATCH(E126, Myopia!$A:$A, 0)) * Trend_Factor^(A126)</f>
        <v>27.671288125011785</v>
      </c>
      <c r="O126" s="11">
        <f t="shared" si="74"/>
        <v>0</v>
      </c>
      <c r="P126" s="80">
        <f t="shared" si="93"/>
        <v>27.671288125011785</v>
      </c>
      <c r="Q126" s="76">
        <f>VLOOKUP(C126,Others!$L$10:$M$61,2)</f>
        <v>0</v>
      </c>
      <c r="R126" s="11">
        <f t="shared" si="75"/>
        <v>0</v>
      </c>
      <c r="S126" s="80">
        <f t="shared" si="94"/>
        <v>0</v>
      </c>
      <c r="T126" s="78">
        <f t="shared" si="95"/>
        <v>2.9583333333333328E-5</v>
      </c>
      <c r="U126" s="81">
        <f t="shared" si="96"/>
        <v>2.3059406770843155E-3</v>
      </c>
      <c r="V126" s="81">
        <f t="shared" si="97"/>
        <v>0</v>
      </c>
      <c r="W126" s="77">
        <f t="shared" si="76"/>
        <v>0.92302410257914036</v>
      </c>
      <c r="X126" s="82">
        <f t="shared" si="98"/>
        <v>2.7274646543693583E-5</v>
      </c>
      <c r="Y126" s="82">
        <f t="shared" si="99"/>
        <v>2.1284073409088798E-3</v>
      </c>
      <c r="Z126" s="82">
        <f t="shared" si="100"/>
        <v>0</v>
      </c>
      <c r="AA126" s="82">
        <f t="shared" si="101"/>
        <v>0.92086842059168783</v>
      </c>
      <c r="AC126" s="46">
        <f t="shared" si="77"/>
        <v>0</v>
      </c>
      <c r="AD126" s="15">
        <f t="shared" si="78"/>
        <v>0</v>
      </c>
      <c r="AE126" s="46">
        <f t="shared" si="102"/>
        <v>0</v>
      </c>
      <c r="AF126" s="15">
        <f t="shared" si="103"/>
        <v>0</v>
      </c>
      <c r="AG126" s="46">
        <f>SUMPRODUCT(AE127:AE$605, $I126:$I$604) / $I126</f>
        <v>0</v>
      </c>
      <c r="AI126" s="46">
        <f t="shared" si="79"/>
        <v>-47000</v>
      </c>
      <c r="AJ126" s="46">
        <f>IF(E126&gt;Mat_Year,0,  -SUM($AD$5:AD126))</f>
        <v>-9306</v>
      </c>
      <c r="AK126" s="24">
        <f t="shared" si="104"/>
        <v>-0.25381786073561247</v>
      </c>
      <c r="AL126" s="79">
        <f t="shared" si="105"/>
        <v>-100.03514502271734</v>
      </c>
      <c r="AM126" s="24">
        <f t="shared" si="106"/>
        <v>-108.65259379817132</v>
      </c>
      <c r="AN126" s="79">
        <f t="shared" si="107"/>
        <v>-100.28896288345295</v>
      </c>
      <c r="AO126" s="15">
        <f t="shared" si="108"/>
        <v>-5909.5609213606494</v>
      </c>
      <c r="AP126" s="46">
        <f>SUMPRODUCT(AN127:AN$605, $I127:$I$605) / $I126</f>
        <v>-5454.667166075671</v>
      </c>
      <c r="AR126" s="46">
        <v>0</v>
      </c>
      <c r="AS126" s="46">
        <v>0</v>
      </c>
      <c r="AT126" s="46">
        <v>0</v>
      </c>
      <c r="AU126" s="95">
        <f t="shared" si="80"/>
        <v>-1.99527081690297</v>
      </c>
      <c r="AV126" s="47">
        <f t="shared" si="81"/>
        <v>0</v>
      </c>
      <c r="AW126" s="96">
        <f t="shared" si="116"/>
        <v>-1.99527081690297</v>
      </c>
      <c r="AX126" s="95">
        <f t="shared" si="82"/>
        <v>-22.879105367154054</v>
      </c>
      <c r="AY126" s="11">
        <f t="shared" si="83"/>
        <v>0</v>
      </c>
      <c r="AZ126" s="96">
        <f t="shared" si="117"/>
        <v>-22.879105367154054</v>
      </c>
      <c r="BA126" s="95">
        <f t="shared" si="118"/>
        <v>-1.8416830551742123</v>
      </c>
      <c r="BB126" s="64">
        <f t="shared" si="119"/>
        <v>-4.9320075329003489E-2</v>
      </c>
      <c r="BC126" s="95">
        <f t="shared" si="120"/>
        <v>-1.99527081690297</v>
      </c>
      <c r="BD126" s="96">
        <f t="shared" si="121"/>
        <v>-5.3433139168513499E-2</v>
      </c>
      <c r="BE126" s="96">
        <f t="shared" si="122"/>
        <v>-1.8416830551742123</v>
      </c>
      <c r="BF126" s="96">
        <f t="shared" si="123"/>
        <v>-4.9320075329003489E-2</v>
      </c>
      <c r="BG126" s="15">
        <f t="shared" si="109"/>
        <v>-196.44691971517926</v>
      </c>
      <c r="BH126" s="46">
        <f>(SUMPRODUCT(BE127:BE$605,$I126:$I$604)+SUMPRODUCT(BF127:BF$605,$I127:$I$605)) / $I126</f>
        <v>-181.32524177453976</v>
      </c>
      <c r="BJ126" s="46">
        <f t="shared" si="124"/>
        <v>-1.8416830551742123</v>
      </c>
      <c r="BK126" s="46">
        <f t="shared" si="125"/>
        <v>-100.33828295878196</v>
      </c>
      <c r="BM126" s="49">
        <f t="shared" si="110"/>
        <v>6120.3015347500987</v>
      </c>
      <c r="BN126" s="46">
        <f t="shared" si="126"/>
        <v>5635.9924078502063</v>
      </c>
      <c r="BP126" s="46">
        <f>Reserve!BX126</f>
        <v>8048.0286260960684</v>
      </c>
      <c r="BQ126" s="46">
        <f t="shared" si="84"/>
        <v>7411.1754097897774</v>
      </c>
      <c r="BR126" s="15">
        <f t="shared" si="111"/>
        <v>102.04377108025619</v>
      </c>
      <c r="BT126" s="49">
        <f t="shared" si="112"/>
        <v>36.519589944721297</v>
      </c>
      <c r="BU126" s="46">
        <f t="shared" si="85"/>
        <v>33.708461735284573</v>
      </c>
      <c r="BV126" s="46">
        <f>SUMPRODUCT(BU127:BU$605, $I127:$I$605) / $I126</f>
        <v>1028.7053333977165</v>
      </c>
      <c r="BX126" s="46">
        <f>-BZ126*Others!$Q$43</f>
        <v>-8.594500301205656</v>
      </c>
      <c r="BZ126" s="50">
        <f t="shared" si="70"/>
        <v>33.57226680158459</v>
      </c>
      <c r="CA126" s="46">
        <f t="shared" si="113"/>
        <v>24.977766500378934</v>
      </c>
      <c r="CB126" s="46">
        <f t="shared" si="86"/>
        <v>24.977766500378934</v>
      </c>
      <c r="CD126" s="46">
        <f>SUMPRODUCT(BZ127:BZ$605, $I127:$I$605) / $I126</f>
        <v>1775.1830019395695</v>
      </c>
      <c r="CE126" s="46">
        <f>SUMPRODUCT(CA127:CA$605, $I127:$I$605) / $I126</f>
        <v>1320.736153443039</v>
      </c>
      <c r="CF126" s="46">
        <f>SUMPRODUCT(CB127:CB$605, $I127:$I$605) / $I126</f>
        <v>1320.736153443039</v>
      </c>
      <c r="CH126" s="46">
        <f t="shared" si="87"/>
        <v>38951.971373903929</v>
      </c>
      <c r="CI126" s="46">
        <f t="shared" si="88"/>
        <v>1257.9713739039316</v>
      </c>
      <c r="CK126" s="46">
        <f>NPV((1+CK$3)^(1/12)-1,$CB$6:$CB126)+$CB$5</f>
        <v>384.3597303139934</v>
      </c>
      <c r="CL126" s="46">
        <f>NPV((1+CL$3)^(1/12)-1,$CB$6:$CB126)+$CB$5</f>
        <v>263.05575738143807</v>
      </c>
      <c r="CM126" s="46">
        <f>NPV((1+CM$3)^(1/12)-1,$CB$6:$CB126)+$CB$5</f>
        <v>30.874384410716175</v>
      </c>
      <c r="CN126" s="46">
        <f>NPV((1+CN$3)^(1/12)-1,$CB$6:$CB126)+$CB$5</f>
        <v>30.874384410716175</v>
      </c>
    </row>
    <row r="127" spans="1:92" x14ac:dyDescent="0.25">
      <c r="A127" s="61">
        <f t="shared" si="71"/>
        <v>10.16666666666667</v>
      </c>
      <c r="B127" s="32">
        <f t="shared" si="89"/>
        <v>2</v>
      </c>
      <c r="C127" s="62">
        <f t="shared" si="90"/>
        <v>11</v>
      </c>
      <c r="D127" s="64">
        <f t="shared" si="91"/>
        <v>10.66666666666667</v>
      </c>
      <c r="E127" s="28">
        <f t="shared" si="72"/>
        <v>10</v>
      </c>
      <c r="G127" s="68">
        <f>INDEX(Others!$D$11:$E$60, MATCH(C127, Others!$A$11:$A$60, 0), MATCH(G$3, Others!$D$10:$E$10, 0))</f>
        <v>5.5201107113974412E-2</v>
      </c>
      <c r="H127" s="16">
        <f t="shared" si="114"/>
        <v>4.4876537952047713E-3</v>
      </c>
      <c r="I127" s="69">
        <f t="shared" si="115"/>
        <v>0.67438307588945545</v>
      </c>
      <c r="K127" s="80">
        <f>INDEX(Mortality!$B$7:$F$32, MATCH( E127,Mortality!$A$7:$A$32, 0), MATCH( K$3,Mortality!$B$6:$F$6,0))</f>
        <v>0.35499999999999998</v>
      </c>
      <c r="L127" s="11">
        <f t="shared" si="73"/>
        <v>0</v>
      </c>
      <c r="M127" s="80">
        <f t="shared" si="92"/>
        <v>0.35499999999999998</v>
      </c>
      <c r="N127" s="76">
        <f>INDEX(Myopia!$H:$H, MATCH(E127, Myopia!$A:$A, 0)) * Trend_Factor^(A127)</f>
        <v>27.671288125011785</v>
      </c>
      <c r="O127" s="11">
        <f t="shared" si="74"/>
        <v>0</v>
      </c>
      <c r="P127" s="80">
        <f t="shared" si="93"/>
        <v>27.671288125011785</v>
      </c>
      <c r="Q127" s="76">
        <f>VLOOKUP(C127,Others!$L$10:$M$61,2)</f>
        <v>0</v>
      </c>
      <c r="R127" s="11">
        <f t="shared" si="75"/>
        <v>0</v>
      </c>
      <c r="S127" s="80">
        <f t="shared" si="94"/>
        <v>0</v>
      </c>
      <c r="T127" s="78">
        <f t="shared" si="95"/>
        <v>2.9583333333333328E-5</v>
      </c>
      <c r="U127" s="81">
        <f t="shared" si="96"/>
        <v>2.3059406770843155E-3</v>
      </c>
      <c r="V127" s="81">
        <f t="shared" si="97"/>
        <v>0</v>
      </c>
      <c r="W127" s="77">
        <f t="shared" si="76"/>
        <v>0.92086842059168783</v>
      </c>
      <c r="X127" s="82">
        <f t="shared" si="98"/>
        <v>2.7210947812420924E-5</v>
      </c>
      <c r="Y127" s="82">
        <f t="shared" si="99"/>
        <v>2.123436539654678E-3</v>
      </c>
      <c r="Z127" s="82">
        <f t="shared" si="100"/>
        <v>0</v>
      </c>
      <c r="AA127" s="82">
        <f t="shared" si="101"/>
        <v>0.91871777310422076</v>
      </c>
      <c r="AC127" s="46">
        <f t="shared" si="77"/>
        <v>0</v>
      </c>
      <c r="AD127" s="15">
        <f t="shared" si="78"/>
        <v>0</v>
      </c>
      <c r="AE127" s="46">
        <f t="shared" si="102"/>
        <v>0</v>
      </c>
      <c r="AF127" s="15">
        <f t="shared" si="103"/>
        <v>0</v>
      </c>
      <c r="AG127" s="46">
        <f>SUMPRODUCT(AE128:AE$605, $I127:$I$604) / $I127</f>
        <v>0</v>
      </c>
      <c r="AI127" s="46">
        <f t="shared" si="79"/>
        <v>-47000</v>
      </c>
      <c r="AJ127" s="46">
        <f>IF(E127&gt;Mat_Year,0,  -SUM($AD$5:AD127))</f>
        <v>-9306</v>
      </c>
      <c r="AK127" s="24">
        <f t="shared" si="104"/>
        <v>-0.25322508034238911</v>
      </c>
      <c r="AL127" s="79">
        <f t="shared" si="105"/>
        <v>-99.801517363769861</v>
      </c>
      <c r="AM127" s="24">
        <f t="shared" si="106"/>
        <v>-108.65259379817132</v>
      </c>
      <c r="AN127" s="79">
        <f t="shared" si="107"/>
        <v>-100.05474244411225</v>
      </c>
      <c r="AO127" s="15">
        <f t="shared" si="108"/>
        <v>-5841.3242990618974</v>
      </c>
      <c r="AP127" s="46">
        <f>SUMPRODUCT(AN128:AN$605, $I128:$I$605) / $I127</f>
        <v>-5379.0910814409772</v>
      </c>
      <c r="AR127" s="46">
        <v>0</v>
      </c>
      <c r="AS127" s="46">
        <v>0</v>
      </c>
      <c r="AT127" s="46">
        <v>0</v>
      </c>
      <c r="AU127" s="95">
        <f t="shared" si="80"/>
        <v>-1.9975017262419037</v>
      </c>
      <c r="AV127" s="47">
        <f t="shared" si="81"/>
        <v>0</v>
      </c>
      <c r="AW127" s="96">
        <f t="shared" si="116"/>
        <v>-1.9975017262419037</v>
      </c>
      <c r="AX127" s="95">
        <f t="shared" si="82"/>
        <v>-22.904686460907161</v>
      </c>
      <c r="AY127" s="11">
        <f t="shared" si="83"/>
        <v>0</v>
      </c>
      <c r="AZ127" s="96">
        <f t="shared" si="117"/>
        <v>-22.904686460907161</v>
      </c>
      <c r="BA127" s="95">
        <f t="shared" si="118"/>
        <v>-1.8394362597735519</v>
      </c>
      <c r="BB127" s="64">
        <f t="shared" si="119"/>
        <v>-4.925990638837166E-2</v>
      </c>
      <c r="BC127" s="95">
        <f t="shared" si="120"/>
        <v>-1.9975017262419037</v>
      </c>
      <c r="BD127" s="96">
        <f t="shared" si="121"/>
        <v>-5.3492882682110623E-2</v>
      </c>
      <c r="BE127" s="96">
        <f t="shared" si="122"/>
        <v>-1.8394362597735519</v>
      </c>
      <c r="BF127" s="96">
        <f t="shared" si="123"/>
        <v>-4.925990638837166E-2</v>
      </c>
      <c r="BG127" s="15">
        <f t="shared" si="109"/>
        <v>-195.73047759512721</v>
      </c>
      <c r="BH127" s="46">
        <f>(SUMPRODUCT(BE128:BE$605,$I127:$I$604)+SUMPRODUCT(BF128:BF$605,$I128:$I$605)) / $I127</f>
        <v>-180.24201576468153</v>
      </c>
      <c r="BJ127" s="46">
        <f t="shared" si="124"/>
        <v>-1.8394362597735519</v>
      </c>
      <c r="BK127" s="46">
        <f t="shared" si="125"/>
        <v>-100.10400235050062</v>
      </c>
      <c r="BM127" s="49">
        <f t="shared" si="110"/>
        <v>6051.1870565227382</v>
      </c>
      <c r="BN127" s="46">
        <f t="shared" si="126"/>
        <v>5559.3330972056547</v>
      </c>
      <c r="BP127" s="46">
        <f>Reserve!BX127</f>
        <v>7955.6751250353009</v>
      </c>
      <c r="BQ127" s="46">
        <f t="shared" si="84"/>
        <v>7309.0201344130746</v>
      </c>
      <c r="BR127" s="15">
        <f t="shared" si="111"/>
        <v>102.15527537670278</v>
      </c>
      <c r="BT127" s="49">
        <f t="shared" si="112"/>
        <v>36.107802111613964</v>
      </c>
      <c r="BU127" s="46">
        <f t="shared" si="85"/>
        <v>33.250534701559161</v>
      </c>
      <c r="BV127" s="46">
        <f>SUMPRODUCT(BU128:BU$605, $I128:$I$605) / $I127</f>
        <v>1000.0712720897267</v>
      </c>
      <c r="BX127" s="46">
        <f>-BZ127*Others!$Q$43</f>
        <v>-8.5663670958048677</v>
      </c>
      <c r="BZ127" s="50">
        <f t="shared" si="70"/>
        <v>33.462371467987765</v>
      </c>
      <c r="CA127" s="46">
        <f t="shared" si="113"/>
        <v>24.896004372182897</v>
      </c>
      <c r="CB127" s="46">
        <f t="shared" si="86"/>
        <v>24.896004372182897</v>
      </c>
      <c r="CD127" s="46">
        <f>SUMPRODUCT(BZ128:BZ$605, $I128:$I$605) / $I127</f>
        <v>1749.6870372074188</v>
      </c>
      <c r="CE127" s="46">
        <f>SUMPRODUCT(CA128:CA$605, $I128:$I$605) / $I127</f>
        <v>1301.7671556823191</v>
      </c>
      <c r="CF127" s="46">
        <f>SUMPRODUCT(CB128:CB$605, $I128:$I$605) / $I127</f>
        <v>1301.7671556823191</v>
      </c>
      <c r="CH127" s="46">
        <f t="shared" si="87"/>
        <v>39044.324874964703</v>
      </c>
      <c r="CI127" s="46">
        <f t="shared" si="88"/>
        <v>1350.3248749646991</v>
      </c>
      <c r="CK127" s="46">
        <f>NPV((1+CK$3)^(1/12)-1,$CB$6:$CB127)+$CB$5</f>
        <v>402.7936574737837</v>
      </c>
      <c r="CL127" s="46">
        <f>NPV((1+CL$3)^(1/12)-1,$CB$6:$CB127)+$CB$5</f>
        <v>278.21596367522591</v>
      </c>
      <c r="CM127" s="46">
        <f>NPV((1+CM$3)^(1/12)-1,$CB$6:$CB127)+$CB$5</f>
        <v>40.32160419599154</v>
      </c>
      <c r="CN127" s="46">
        <f>NPV((1+CN$3)^(1/12)-1,$CB$6:$CB127)+$CB$5</f>
        <v>40.32160419599154</v>
      </c>
    </row>
    <row r="128" spans="1:92" x14ac:dyDescent="0.25">
      <c r="A128" s="61">
        <f t="shared" si="71"/>
        <v>10.250000000000004</v>
      </c>
      <c r="B128" s="32">
        <f t="shared" si="89"/>
        <v>3</v>
      </c>
      <c r="C128" s="62">
        <f t="shared" si="90"/>
        <v>11</v>
      </c>
      <c r="D128" s="64">
        <f t="shared" si="91"/>
        <v>10.750000000000004</v>
      </c>
      <c r="E128" s="28">
        <f t="shared" si="72"/>
        <v>10</v>
      </c>
      <c r="G128" s="68">
        <f>INDEX(Others!$D$11:$E$60, MATCH(C128, Others!$A$11:$A$60, 0), MATCH(G$3, Others!$D$10:$E$10, 0))</f>
        <v>5.5201107113974412E-2</v>
      </c>
      <c r="H128" s="16">
        <f t="shared" si="114"/>
        <v>4.4876537952047713E-3</v>
      </c>
      <c r="I128" s="69">
        <f t="shared" si="115"/>
        <v>0.67137019886851579</v>
      </c>
      <c r="K128" s="80">
        <f>INDEX(Mortality!$B$7:$F$32, MATCH( E128,Mortality!$A$7:$A$32, 0), MATCH( K$3,Mortality!$B$6:$F$6,0))</f>
        <v>0.35499999999999998</v>
      </c>
      <c r="L128" s="11">
        <f t="shared" si="73"/>
        <v>0</v>
      </c>
      <c r="M128" s="80">
        <f t="shared" si="92"/>
        <v>0.35499999999999998</v>
      </c>
      <c r="N128" s="76">
        <f>INDEX(Myopia!$H:$H, MATCH(E128, Myopia!$A:$A, 0)) * Trend_Factor^(A128)</f>
        <v>27.671288125011785</v>
      </c>
      <c r="O128" s="11">
        <f t="shared" si="74"/>
        <v>0</v>
      </c>
      <c r="P128" s="80">
        <f t="shared" si="93"/>
        <v>27.671288125011785</v>
      </c>
      <c r="Q128" s="76">
        <f>VLOOKUP(C128,Others!$L$10:$M$61,2)</f>
        <v>0</v>
      </c>
      <c r="R128" s="11">
        <f t="shared" si="75"/>
        <v>0</v>
      </c>
      <c r="S128" s="80">
        <f t="shared" si="94"/>
        <v>0</v>
      </c>
      <c r="T128" s="78">
        <f t="shared" si="95"/>
        <v>2.9583333333333328E-5</v>
      </c>
      <c r="U128" s="81">
        <f t="shared" si="96"/>
        <v>2.3059406770843155E-3</v>
      </c>
      <c r="V128" s="81">
        <f t="shared" si="97"/>
        <v>0</v>
      </c>
      <c r="W128" s="77">
        <f t="shared" si="76"/>
        <v>0.91871777310422076</v>
      </c>
      <c r="X128" s="82">
        <f t="shared" si="98"/>
        <v>2.7147397846719225E-5</v>
      </c>
      <c r="Y128" s="82">
        <f t="shared" si="99"/>
        <v>2.1184773474870609E-3</v>
      </c>
      <c r="Z128" s="82">
        <f t="shared" si="100"/>
        <v>0</v>
      </c>
      <c r="AA128" s="82">
        <f t="shared" si="101"/>
        <v>0.91657214835888701</v>
      </c>
      <c r="AC128" s="46">
        <f t="shared" si="77"/>
        <v>0</v>
      </c>
      <c r="AD128" s="15">
        <f t="shared" si="78"/>
        <v>0</v>
      </c>
      <c r="AE128" s="46">
        <f t="shared" si="102"/>
        <v>0</v>
      </c>
      <c r="AF128" s="15">
        <f t="shared" si="103"/>
        <v>0</v>
      </c>
      <c r="AG128" s="46">
        <f>SUMPRODUCT(AE129:AE$605, $I128:$I$604) / $I128</f>
        <v>0</v>
      </c>
      <c r="AI128" s="46">
        <f t="shared" si="79"/>
        <v>-47000</v>
      </c>
      <c r="AJ128" s="46">
        <f>IF(E128&gt;Mat_Year,0,  -SUM($AD$5:AD128))</f>
        <v>-9306</v>
      </c>
      <c r="AK128" s="24">
        <f t="shared" si="104"/>
        <v>-0.25263368436156913</v>
      </c>
      <c r="AL128" s="79">
        <f t="shared" si="105"/>
        <v>-99.568435331891862</v>
      </c>
      <c r="AM128" s="24">
        <f t="shared" si="106"/>
        <v>-108.65259379817132</v>
      </c>
      <c r="AN128" s="79">
        <f t="shared" si="107"/>
        <v>-99.821069016253432</v>
      </c>
      <c r="AO128" s="15">
        <f t="shared" si="108"/>
        <v>-5772.6210009104479</v>
      </c>
      <c r="AP128" s="46">
        <f>SUMPRODUCT(AN129:AN$605, $I129:$I$605) / $I128</f>
        <v>-5303.4095109311047</v>
      </c>
      <c r="AR128" s="46">
        <v>0</v>
      </c>
      <c r="AS128" s="46">
        <v>0</v>
      </c>
      <c r="AT128" s="46">
        <v>0</v>
      </c>
      <c r="AU128" s="95">
        <f t="shared" si="80"/>
        <v>-1.9997351299572577</v>
      </c>
      <c r="AV128" s="47">
        <f t="shared" si="81"/>
        <v>0</v>
      </c>
      <c r="AW128" s="96">
        <f t="shared" si="116"/>
        <v>-1.9997351299572577</v>
      </c>
      <c r="AX128" s="95">
        <f t="shared" si="82"/>
        <v>-22.930296156843216</v>
      </c>
      <c r="AY128" s="11">
        <f t="shared" si="83"/>
        <v>0</v>
      </c>
      <c r="AZ128" s="96">
        <f t="shared" si="117"/>
        <v>-22.930296156843216</v>
      </c>
      <c r="BA128" s="95">
        <f t="shared" si="118"/>
        <v>-1.8371922053926113</v>
      </c>
      <c r="BB128" s="64">
        <f t="shared" si="119"/>
        <v>-4.9199810851954878E-2</v>
      </c>
      <c r="BC128" s="95">
        <f t="shared" si="120"/>
        <v>-1.9997351299572577</v>
      </c>
      <c r="BD128" s="96">
        <f t="shared" si="121"/>
        <v>-5.3552692994841604E-2</v>
      </c>
      <c r="BE128" s="96">
        <f t="shared" si="122"/>
        <v>-1.8371922053926113</v>
      </c>
      <c r="BF128" s="96">
        <f t="shared" si="123"/>
        <v>-4.9199810851954878E-2</v>
      </c>
      <c r="BG128" s="15">
        <f t="shared" si="109"/>
        <v>-195.00683243192452</v>
      </c>
      <c r="BH128" s="46">
        <f>(SUMPRODUCT(BE129:BE$605,$I128:$I$604)+SUMPRODUCT(BF129:BF$605,$I129:$I$605)) / $I128</f>
        <v>-179.15624283196564</v>
      </c>
      <c r="BJ128" s="46">
        <f t="shared" si="124"/>
        <v>-1.8371922053926113</v>
      </c>
      <c r="BK128" s="46">
        <f t="shared" si="125"/>
        <v>-99.870268827105392</v>
      </c>
      <c r="BM128" s="49">
        <f t="shared" si="110"/>
        <v>5981.5975900855638</v>
      </c>
      <c r="BN128" s="46">
        <f t="shared" si="126"/>
        <v>5482.5657537630659</v>
      </c>
      <c r="BP128" s="46">
        <f>Reserve!BX128</f>
        <v>7862.7222092154234</v>
      </c>
      <c r="BQ128" s="46">
        <f t="shared" si="84"/>
        <v>7206.7521872497146</v>
      </c>
      <c r="BR128" s="15">
        <f t="shared" si="111"/>
        <v>102.26794716336008</v>
      </c>
      <c r="BT128" s="49">
        <f t="shared" si="112"/>
        <v>35.6933415493355</v>
      </c>
      <c r="BU128" s="46">
        <f t="shared" si="85"/>
        <v>32.792107262853868</v>
      </c>
      <c r="BV128" s="46">
        <f>SUMPRODUCT(BU129:BU$605, $I129:$I$605) / $I128</f>
        <v>971.76713846654138</v>
      </c>
      <c r="BX128" s="46">
        <f>-BZ128*Others!$Q$43</f>
        <v>-8.5382639087912811</v>
      </c>
      <c r="BZ128" s="50">
        <f t="shared" si="70"/>
        <v>33.352593393715942</v>
      </c>
      <c r="CA128" s="46">
        <f t="shared" si="113"/>
        <v>24.814329484924663</v>
      </c>
      <c r="CB128" s="46">
        <f t="shared" si="86"/>
        <v>24.814329484924663</v>
      </c>
      <c r="CD128" s="46">
        <f>SUMPRODUCT(BZ129:BZ$605, $I129:$I$605) / $I128</f>
        <v>1724.1864334866468</v>
      </c>
      <c r="CE128" s="46">
        <f>SUMPRODUCT(CA129:CA$605, $I129:$I$605) / $I128</f>
        <v>1282.794706514065</v>
      </c>
      <c r="CF128" s="46">
        <f>SUMPRODUCT(CB129:CB$605, $I129:$I$605) / $I128</f>
        <v>1282.794706514065</v>
      </c>
      <c r="CH128" s="46">
        <f t="shared" si="87"/>
        <v>39137.277790784574</v>
      </c>
      <c r="CI128" s="46">
        <f t="shared" si="88"/>
        <v>1443.2777907845766</v>
      </c>
      <c r="CK128" s="46">
        <f>NPV((1+CK$3)^(1/12)-1,$CB$6:$CB128)+$CB$5</f>
        <v>421.12190710270056</v>
      </c>
      <c r="CL128" s="46">
        <f>NPV((1+CL$3)^(1/12)-1,$CB$6:$CB128)+$CB$5</f>
        <v>293.2651226172519</v>
      </c>
      <c r="CM128" s="46">
        <f>NPV((1+CM$3)^(1/12)-1,$CB$6:$CB128)+$CB$5</f>
        <v>49.663338728569556</v>
      </c>
      <c r="CN128" s="46">
        <f>NPV((1+CN$3)^(1/12)-1,$CB$6:$CB128)+$CB$5</f>
        <v>49.663338728569556</v>
      </c>
    </row>
    <row r="129" spans="1:92" x14ac:dyDescent="0.25">
      <c r="A129" s="61">
        <f t="shared" si="71"/>
        <v>10.333333333333337</v>
      </c>
      <c r="B129" s="32">
        <f t="shared" si="89"/>
        <v>4</v>
      </c>
      <c r="C129" s="62">
        <f t="shared" si="90"/>
        <v>11</v>
      </c>
      <c r="D129" s="64">
        <f t="shared" si="91"/>
        <v>10.833333333333337</v>
      </c>
      <c r="E129" s="28">
        <f t="shared" si="72"/>
        <v>10</v>
      </c>
      <c r="G129" s="68">
        <f>INDEX(Others!$D$11:$E$60, MATCH(C129, Others!$A$11:$A$60, 0), MATCH(G$3, Others!$D$10:$E$10, 0))</f>
        <v>5.5201107113974412E-2</v>
      </c>
      <c r="H129" s="16">
        <f t="shared" si="114"/>
        <v>4.4876537952047713E-3</v>
      </c>
      <c r="I129" s="69">
        <f t="shared" si="115"/>
        <v>0.66837078219121138</v>
      </c>
      <c r="K129" s="80">
        <f>INDEX(Mortality!$B$7:$F$32, MATCH( E129,Mortality!$A$7:$A$32, 0), MATCH( K$3,Mortality!$B$6:$F$6,0))</f>
        <v>0.35499999999999998</v>
      </c>
      <c r="L129" s="11">
        <f t="shared" si="73"/>
        <v>0</v>
      </c>
      <c r="M129" s="80">
        <f t="shared" si="92"/>
        <v>0.35499999999999998</v>
      </c>
      <c r="N129" s="76">
        <f>INDEX(Myopia!$H:$H, MATCH(E129, Myopia!$A:$A, 0)) * Trend_Factor^(A129)</f>
        <v>27.671288125011785</v>
      </c>
      <c r="O129" s="11">
        <f t="shared" si="74"/>
        <v>0</v>
      </c>
      <c r="P129" s="80">
        <f t="shared" si="93"/>
        <v>27.671288125011785</v>
      </c>
      <c r="Q129" s="76">
        <f>VLOOKUP(C129,Others!$L$10:$M$61,2)</f>
        <v>0</v>
      </c>
      <c r="R129" s="11">
        <f t="shared" si="75"/>
        <v>0</v>
      </c>
      <c r="S129" s="80">
        <f t="shared" si="94"/>
        <v>0</v>
      </c>
      <c r="T129" s="78">
        <f t="shared" si="95"/>
        <v>2.9583333333333328E-5</v>
      </c>
      <c r="U129" s="81">
        <f t="shared" si="96"/>
        <v>2.3059406770843155E-3</v>
      </c>
      <c r="V129" s="81">
        <f t="shared" si="97"/>
        <v>0</v>
      </c>
      <c r="W129" s="77">
        <f t="shared" si="76"/>
        <v>0.91657214835888701</v>
      </c>
      <c r="X129" s="82">
        <f t="shared" si="98"/>
        <v>2.7083996299153066E-5</v>
      </c>
      <c r="Y129" s="82">
        <f t="shared" si="99"/>
        <v>2.1135297372935203E-3</v>
      </c>
      <c r="Z129" s="82">
        <f t="shared" si="100"/>
        <v>0</v>
      </c>
      <c r="AA129" s="82">
        <f t="shared" si="101"/>
        <v>0.91443153462529436</v>
      </c>
      <c r="AC129" s="46">
        <f t="shared" si="77"/>
        <v>0</v>
      </c>
      <c r="AD129" s="15">
        <f t="shared" si="78"/>
        <v>0</v>
      </c>
      <c r="AE129" s="46">
        <f t="shared" si="102"/>
        <v>0</v>
      </c>
      <c r="AF129" s="15">
        <f t="shared" si="103"/>
        <v>0</v>
      </c>
      <c r="AG129" s="46">
        <f>SUMPRODUCT(AE130:AE$605, $I129:$I$604) / $I129</f>
        <v>0</v>
      </c>
      <c r="AI129" s="46">
        <f t="shared" si="79"/>
        <v>-47000</v>
      </c>
      <c r="AJ129" s="46">
        <f>IF(E129&gt;Mat_Year,0,  -SUM($AD$5:AD129))</f>
        <v>-9306</v>
      </c>
      <c r="AK129" s="24">
        <f t="shared" si="104"/>
        <v>-0.25204366955991842</v>
      </c>
      <c r="AL129" s="79">
        <f t="shared" si="105"/>
        <v>-99.335897652795452</v>
      </c>
      <c r="AM129" s="24">
        <f t="shared" si="106"/>
        <v>-108.65259379817132</v>
      </c>
      <c r="AN129" s="79">
        <f t="shared" si="107"/>
        <v>-99.587941322355377</v>
      </c>
      <c r="AO129" s="15">
        <f t="shared" si="108"/>
        <v>-5703.4478352718952</v>
      </c>
      <c r="AP129" s="46">
        <f>SUMPRODUCT(AN130:AN$605, $I130:$I$605) / $I129</f>
        <v>-5227.6214354280046</v>
      </c>
      <c r="AR129" s="46">
        <v>0</v>
      </c>
      <c r="AS129" s="46">
        <v>0</v>
      </c>
      <c r="AT129" s="46">
        <v>0</v>
      </c>
      <c r="AU129" s="95">
        <f t="shared" si="80"/>
        <v>-2.001971030837991</v>
      </c>
      <c r="AV129" s="47">
        <f t="shared" si="81"/>
        <v>0</v>
      </c>
      <c r="AW129" s="96">
        <f t="shared" si="116"/>
        <v>-2.001971030837991</v>
      </c>
      <c r="AX129" s="95">
        <f t="shared" si="82"/>
        <v>-22.955934486942294</v>
      </c>
      <c r="AY129" s="11">
        <f t="shared" si="83"/>
        <v>0</v>
      </c>
      <c r="AZ129" s="96">
        <f t="shared" si="117"/>
        <v>-22.955934486942294</v>
      </c>
      <c r="BA129" s="95">
        <f t="shared" si="118"/>
        <v>-1.8349508886874331</v>
      </c>
      <c r="BB129" s="64">
        <f t="shared" si="119"/>
        <v>-4.9139788630202359E-2</v>
      </c>
      <c r="BC129" s="95">
        <f t="shared" si="120"/>
        <v>-2.001971030837991</v>
      </c>
      <c r="BD129" s="96">
        <f t="shared" si="121"/>
        <v>-5.3612570181394495E-2</v>
      </c>
      <c r="BE129" s="96">
        <f t="shared" si="122"/>
        <v>-1.8349508886874331</v>
      </c>
      <c r="BF129" s="96">
        <f t="shared" si="123"/>
        <v>-4.9139788630202359E-2</v>
      </c>
      <c r="BG129" s="15">
        <f t="shared" si="109"/>
        <v>-194.2759323881231</v>
      </c>
      <c r="BH129" s="46">
        <f>(SUMPRODUCT(BE130:BE$605,$I129:$I$604)+SUMPRODUCT(BF130:BF$605,$I130:$I$605)) / $I129</f>
        <v>-178.06790872340787</v>
      </c>
      <c r="BJ129" s="46">
        <f t="shared" si="124"/>
        <v>-1.8349508886874331</v>
      </c>
      <c r="BK129" s="46">
        <f t="shared" si="125"/>
        <v>-99.637081110985577</v>
      </c>
      <c r="BM129" s="49">
        <f t="shared" si="110"/>
        <v>5911.529884374002</v>
      </c>
      <c r="BN129" s="46">
        <f t="shared" si="126"/>
        <v>5405.6893441514076</v>
      </c>
      <c r="BP129" s="46">
        <f>Reserve!BX129</f>
        <v>7769.1660104556231</v>
      </c>
      <c r="BQ129" s="46">
        <f t="shared" si="84"/>
        <v>7104.3703976996112</v>
      </c>
      <c r="BR129" s="15">
        <f t="shared" si="111"/>
        <v>102.38178955010335</v>
      </c>
      <c r="BT129" s="49">
        <f t="shared" si="112"/>
        <v>35.276191009932006</v>
      </c>
      <c r="BU129" s="46">
        <f t="shared" si="85"/>
        <v>32.333174179891834</v>
      </c>
      <c r="BV129" s="46">
        <f>SUMPRODUCT(BU130:BU$605, $I130:$I$605) / $I129</f>
        <v>943.79491877364399</v>
      </c>
      <c r="BX129" s="46">
        <f>-BZ129*Others!$Q$43</f>
        <v>-8.5101905229624766</v>
      </c>
      <c r="BZ129" s="50">
        <f t="shared" si="70"/>
        <v>33.242931730322177</v>
      </c>
      <c r="CA129" s="46">
        <f t="shared" si="113"/>
        <v>24.732741207359702</v>
      </c>
      <c r="CB129" s="46">
        <f t="shared" si="86"/>
        <v>24.732741207359702</v>
      </c>
      <c r="CD129" s="46">
        <f>SUMPRODUCT(BZ130:BZ$605, $I130:$I$605) / $I129</f>
        <v>1698.6810535482018</v>
      </c>
      <c r="CE129" s="46">
        <f>SUMPRODUCT(CA130:CA$605, $I130:$I$605) / $I129</f>
        <v>1263.8187038398617</v>
      </c>
      <c r="CF129" s="46">
        <f>SUMPRODUCT(CB130:CB$605, $I130:$I$605) / $I129</f>
        <v>1263.8187038398617</v>
      </c>
      <c r="CH129" s="46">
        <f t="shared" si="87"/>
        <v>39230.833989544379</v>
      </c>
      <c r="CI129" s="46">
        <f t="shared" si="88"/>
        <v>1536.8339895443769</v>
      </c>
      <c r="CK129" s="46">
        <f>NPV((1+CK$3)^(1/12)-1,$CB$6:$CB129)+$CB$5</f>
        <v>439.34495141772845</v>
      </c>
      <c r="CL129" s="46">
        <f>NPV((1+CL$3)^(1/12)-1,$CB$6:$CB129)+$CB$5</f>
        <v>308.20393809192956</v>
      </c>
      <c r="CM129" s="46">
        <f>NPV((1+CM$3)^(1/12)-1,$CB$6:$CB129)+$CB$5</f>
        <v>58.900698103141167</v>
      </c>
      <c r="CN129" s="46">
        <f>NPV((1+CN$3)^(1/12)-1,$CB$6:$CB129)+$CB$5</f>
        <v>58.900698103141167</v>
      </c>
    </row>
    <row r="130" spans="1:92" x14ac:dyDescent="0.25">
      <c r="A130" s="61">
        <f t="shared" si="71"/>
        <v>10.416666666666671</v>
      </c>
      <c r="B130" s="32">
        <f t="shared" si="89"/>
        <v>5</v>
      </c>
      <c r="C130" s="62">
        <f t="shared" si="90"/>
        <v>11</v>
      </c>
      <c r="D130" s="64">
        <f t="shared" si="91"/>
        <v>10.916666666666671</v>
      </c>
      <c r="E130" s="28">
        <f t="shared" si="72"/>
        <v>10</v>
      </c>
      <c r="G130" s="68">
        <f>INDEX(Others!$D$11:$E$60, MATCH(C130, Others!$A$11:$A$60, 0), MATCH(G$3, Others!$D$10:$E$10, 0))</f>
        <v>5.5201107113974412E-2</v>
      </c>
      <c r="H130" s="16">
        <f t="shared" si="114"/>
        <v>4.4876537952047713E-3</v>
      </c>
      <c r="I130" s="69">
        <f t="shared" si="115"/>
        <v>0.66538476572204741</v>
      </c>
      <c r="K130" s="80">
        <f>INDEX(Mortality!$B$7:$F$32, MATCH( E130,Mortality!$A$7:$A$32, 0), MATCH( K$3,Mortality!$B$6:$F$6,0))</f>
        <v>0.35499999999999998</v>
      </c>
      <c r="L130" s="11">
        <f t="shared" si="73"/>
        <v>0</v>
      </c>
      <c r="M130" s="80">
        <f t="shared" si="92"/>
        <v>0.35499999999999998</v>
      </c>
      <c r="N130" s="76">
        <f>INDEX(Myopia!$H:$H, MATCH(E130, Myopia!$A:$A, 0)) * Trend_Factor^(A130)</f>
        <v>27.671288125011785</v>
      </c>
      <c r="O130" s="11">
        <f t="shared" si="74"/>
        <v>0</v>
      </c>
      <c r="P130" s="80">
        <f t="shared" si="93"/>
        <v>27.671288125011785</v>
      </c>
      <c r="Q130" s="76">
        <f>VLOOKUP(C130,Others!$L$10:$M$61,2)</f>
        <v>0</v>
      </c>
      <c r="R130" s="11">
        <f t="shared" si="75"/>
        <v>0</v>
      </c>
      <c r="S130" s="80">
        <f t="shared" si="94"/>
        <v>0</v>
      </c>
      <c r="T130" s="78">
        <f t="shared" si="95"/>
        <v>2.9583333333333328E-5</v>
      </c>
      <c r="U130" s="81">
        <f t="shared" si="96"/>
        <v>2.3059406770843155E-3</v>
      </c>
      <c r="V130" s="81">
        <f t="shared" si="97"/>
        <v>0</v>
      </c>
      <c r="W130" s="77">
        <f t="shared" si="76"/>
        <v>0.91443153462529436</v>
      </c>
      <c r="X130" s="82">
        <f t="shared" si="98"/>
        <v>2.7020742823098458E-5</v>
      </c>
      <c r="Y130" s="82">
        <f t="shared" si="99"/>
        <v>2.1085936820248678E-3</v>
      </c>
      <c r="Z130" s="82">
        <f t="shared" si="100"/>
        <v>0</v>
      </c>
      <c r="AA130" s="82">
        <f t="shared" si="101"/>
        <v>0.91229592020044636</v>
      </c>
      <c r="AC130" s="46">
        <f t="shared" si="77"/>
        <v>0</v>
      </c>
      <c r="AD130" s="15">
        <f t="shared" si="78"/>
        <v>0</v>
      </c>
      <c r="AE130" s="46">
        <f t="shared" si="102"/>
        <v>0</v>
      </c>
      <c r="AF130" s="15">
        <f t="shared" si="103"/>
        <v>0</v>
      </c>
      <c r="AG130" s="46">
        <f>SUMPRODUCT(AE131:AE$605, $I130:$I$604) / $I130</f>
        <v>0</v>
      </c>
      <c r="AI130" s="46">
        <f t="shared" si="79"/>
        <v>-47000</v>
      </c>
      <c r="AJ130" s="46">
        <f>IF(E130&gt;Mat_Year,0,  -SUM($AD$5:AD130))</f>
        <v>-9306</v>
      </c>
      <c r="AK130" s="24">
        <f t="shared" si="104"/>
        <v>-0.25145503271175423</v>
      </c>
      <c r="AL130" s="79">
        <f t="shared" si="105"/>
        <v>-99.103903055168786</v>
      </c>
      <c r="AM130" s="24">
        <f t="shared" si="106"/>
        <v>-108.65259379817132</v>
      </c>
      <c r="AN130" s="79">
        <f t="shared" si="107"/>
        <v>-99.355358087880546</v>
      </c>
      <c r="AO130" s="15">
        <f t="shared" si="108"/>
        <v>-5633.8015886839839</v>
      </c>
      <c r="AP130" s="46">
        <f>SUMPRODUCT(AN131:AN$605, $I131:$I$605) / $I130</f>
        <v>-5151.7258325147168</v>
      </c>
      <c r="AR130" s="46">
        <v>0</v>
      </c>
      <c r="AS130" s="46">
        <v>0</v>
      </c>
      <c r="AT130" s="46">
        <v>0</v>
      </c>
      <c r="AU130" s="95">
        <f t="shared" si="80"/>
        <v>-2.0042094316761805</v>
      </c>
      <c r="AV130" s="47">
        <f t="shared" si="81"/>
        <v>0</v>
      </c>
      <c r="AW130" s="96">
        <f t="shared" si="116"/>
        <v>-2.0042094316761805</v>
      </c>
      <c r="AX130" s="95">
        <f t="shared" si="82"/>
        <v>-22.981601483220203</v>
      </c>
      <c r="AY130" s="11">
        <f t="shared" si="83"/>
        <v>0</v>
      </c>
      <c r="AZ130" s="96">
        <f t="shared" si="117"/>
        <v>-22.981601483220203</v>
      </c>
      <c r="BA130" s="95">
        <f t="shared" si="118"/>
        <v>-1.8327123063181388</v>
      </c>
      <c r="BB130" s="64">
        <f t="shared" si="119"/>
        <v>-4.9079839633672483E-2</v>
      </c>
      <c r="BC130" s="95">
        <f t="shared" si="120"/>
        <v>-2.0042094316761805</v>
      </c>
      <c r="BD130" s="96">
        <f t="shared" si="121"/>
        <v>-5.3672514316540798E-2</v>
      </c>
      <c r="BE130" s="96">
        <f t="shared" si="122"/>
        <v>-1.8327123063181388</v>
      </c>
      <c r="BF130" s="96">
        <f t="shared" si="123"/>
        <v>-4.9079839633672483E-2</v>
      </c>
      <c r="BG130" s="15">
        <f t="shared" si="109"/>
        <v>-193.53772526887491</v>
      </c>
      <c r="BH130" s="46">
        <f>(SUMPRODUCT(BE131:BE$605,$I130:$I$604)+SUMPRODUCT(BF131:BF$605,$I131:$I$605)) / $I130</f>
        <v>-176.9769991255059</v>
      </c>
      <c r="BJ130" s="46">
        <f t="shared" si="124"/>
        <v>-1.8327123063181388</v>
      </c>
      <c r="BK130" s="46">
        <f t="shared" si="125"/>
        <v>-99.404437927514223</v>
      </c>
      <c r="BM130" s="49">
        <f t="shared" si="110"/>
        <v>5840.9806660863005</v>
      </c>
      <c r="BN130" s="46">
        <f t="shared" si="126"/>
        <v>5328.7028316402175</v>
      </c>
      <c r="BP130" s="46">
        <f>Reserve!BX130</f>
        <v>7675.0026356555281</v>
      </c>
      <c r="BQ130" s="46">
        <f t="shared" si="84"/>
        <v>7001.8735920362114</v>
      </c>
      <c r="BR130" s="15">
        <f t="shared" si="111"/>
        <v>102.49680566339975</v>
      </c>
      <c r="BT130" s="49">
        <f t="shared" si="112"/>
        <v>34.856333134334641</v>
      </c>
      <c r="BU130" s="46">
        <f t="shared" si="85"/>
        <v>31.873730199440121</v>
      </c>
      <c r="BV130" s="46">
        <f>SUMPRODUCT(BU131:BU$605, $I131:$I$605) / $I130</f>
        <v>916.15661342333351</v>
      </c>
      <c r="BX130" s="46">
        <f>-BZ130*Others!$Q$43</f>
        <v>-8.4821467210259218</v>
      </c>
      <c r="BZ130" s="50">
        <f t="shared" si="70"/>
        <v>33.133385629007506</v>
      </c>
      <c r="CA130" s="46">
        <f t="shared" si="113"/>
        <v>24.651238907981586</v>
      </c>
      <c r="CB130" s="46">
        <f t="shared" si="86"/>
        <v>24.651238907981586</v>
      </c>
      <c r="CD130" s="46">
        <f>SUMPRODUCT(BZ131:BZ$605, $I131:$I$605) / $I130</f>
        <v>1673.1707603959926</v>
      </c>
      <c r="CE130" s="46">
        <f>SUMPRODUCT(CA131:CA$605, $I131:$I$605) / $I130</f>
        <v>1244.8390457346179</v>
      </c>
      <c r="CF130" s="46">
        <f>SUMPRODUCT(CB131:CB$605, $I131:$I$605) / $I130</f>
        <v>1244.8390457346179</v>
      </c>
      <c r="CH130" s="46">
        <f t="shared" si="87"/>
        <v>39324.997364344468</v>
      </c>
      <c r="CI130" s="46">
        <f t="shared" si="88"/>
        <v>1630.9973643444719</v>
      </c>
      <c r="CK130" s="46">
        <f>NPV((1+CK$3)^(1/12)-1,$CB$6:$CB130)+$CB$5</f>
        <v>457.46326033083437</v>
      </c>
      <c r="CL130" s="46">
        <f>NPV((1+CL$3)^(1/12)-1,$CB$6:$CB130)+$CB$5</f>
        <v>323.03310950765649</v>
      </c>
      <c r="CM130" s="46">
        <f>NPV((1+CM$3)^(1/12)-1,$CB$6:$CB130)+$CB$5</f>
        <v>68.034780962231366</v>
      </c>
      <c r="CN130" s="46">
        <f>NPV((1+CN$3)^(1/12)-1,$CB$6:$CB130)+$CB$5</f>
        <v>68.034780962231366</v>
      </c>
    </row>
    <row r="131" spans="1:92" x14ac:dyDescent="0.25">
      <c r="A131" s="61">
        <f t="shared" si="71"/>
        <v>10.500000000000005</v>
      </c>
      <c r="B131" s="32">
        <f t="shared" si="89"/>
        <v>6</v>
      </c>
      <c r="C131" s="62">
        <f t="shared" si="90"/>
        <v>11</v>
      </c>
      <c r="D131" s="64">
        <f t="shared" si="91"/>
        <v>11.000000000000005</v>
      </c>
      <c r="E131" s="28">
        <f t="shared" si="72"/>
        <v>11</v>
      </c>
      <c r="G131" s="68">
        <f>INDEX(Others!$D$11:$E$60, MATCH(C131, Others!$A$11:$A$60, 0), MATCH(G$3, Others!$D$10:$E$10, 0))</f>
        <v>5.5201107113974412E-2</v>
      </c>
      <c r="H131" s="16">
        <f t="shared" si="114"/>
        <v>4.4876537952047713E-3</v>
      </c>
      <c r="I131" s="69">
        <f t="shared" si="115"/>
        <v>0.66241208959419051</v>
      </c>
      <c r="K131" s="80">
        <f>INDEX(Mortality!$B$7:$F$32, MATCH( E131,Mortality!$A$7:$A$32, 0), MATCH( K$3,Mortality!$B$6:$F$6,0))</f>
        <v>0.36000000000000004</v>
      </c>
      <c r="L131" s="11">
        <f t="shared" si="73"/>
        <v>0</v>
      </c>
      <c r="M131" s="80">
        <f t="shared" si="92"/>
        <v>0.36000000000000004</v>
      </c>
      <c r="N131" s="76">
        <f>INDEX(Myopia!$H:$H, MATCH(E131, Myopia!$A:$A, 0)) * Trend_Factor^(A131)</f>
        <v>26.926205338964103</v>
      </c>
      <c r="O131" s="11">
        <f t="shared" si="74"/>
        <v>0</v>
      </c>
      <c r="P131" s="80">
        <f t="shared" si="93"/>
        <v>26.926205338964103</v>
      </c>
      <c r="Q131" s="76">
        <f>VLOOKUP(C131,Others!$L$10:$M$61,2)</f>
        <v>0</v>
      </c>
      <c r="R131" s="11">
        <f t="shared" si="75"/>
        <v>0</v>
      </c>
      <c r="S131" s="80">
        <f t="shared" si="94"/>
        <v>0</v>
      </c>
      <c r="T131" s="78">
        <f t="shared" si="95"/>
        <v>3.0000000000000001E-5</v>
      </c>
      <c r="U131" s="81">
        <f t="shared" si="96"/>
        <v>2.2438504449136753E-3</v>
      </c>
      <c r="V131" s="81">
        <f t="shared" si="97"/>
        <v>0</v>
      </c>
      <c r="W131" s="77">
        <f t="shared" si="76"/>
        <v>0.91229592020044636</v>
      </c>
      <c r="X131" s="82">
        <f t="shared" si="98"/>
        <v>2.7338171771916872E-5</v>
      </c>
      <c r="Y131" s="82">
        <f t="shared" si="99"/>
        <v>2.047024900600606E-3</v>
      </c>
      <c r="Z131" s="82">
        <f t="shared" si="100"/>
        <v>0</v>
      </c>
      <c r="AA131" s="82">
        <f t="shared" si="101"/>
        <v>0.91022155712807384</v>
      </c>
      <c r="AC131" s="46">
        <f t="shared" si="77"/>
        <v>0</v>
      </c>
      <c r="AD131" s="15">
        <f t="shared" si="78"/>
        <v>0</v>
      </c>
      <c r="AE131" s="46">
        <f t="shared" si="102"/>
        <v>0</v>
      </c>
      <c r="AF131" s="15">
        <f t="shared" si="103"/>
        <v>0</v>
      </c>
      <c r="AG131" s="46">
        <f>SUMPRODUCT(AE132:AE$605, $I131:$I$604) / $I131</f>
        <v>0</v>
      </c>
      <c r="AI131" s="46">
        <f t="shared" si="79"/>
        <v>-47000</v>
      </c>
      <c r="AJ131" s="46">
        <f>IF(E131&gt;Mat_Year,0,  -SUM($AD$5:AD131))</f>
        <v>-9306</v>
      </c>
      <c r="AK131" s="24">
        <f t="shared" si="104"/>
        <v>-0.2544090265094584</v>
      </c>
      <c r="AL131" s="79">
        <f t="shared" si="105"/>
        <v>-96.210170328228486</v>
      </c>
      <c r="AM131" s="24">
        <f t="shared" si="106"/>
        <v>-105.73825577729549</v>
      </c>
      <c r="AN131" s="79">
        <f t="shared" si="107"/>
        <v>-96.46457935473795</v>
      </c>
      <c r="AO131" s="15">
        <f t="shared" si="108"/>
        <v>-5566.5933637282014</v>
      </c>
      <c r="AP131" s="46">
        <f>SUMPRODUCT(AN132:AN$605, $I132:$I$605) / $I131</f>
        <v>-5078.3804151441173</v>
      </c>
      <c r="AR131" s="46">
        <v>0</v>
      </c>
      <c r="AS131" s="46">
        <v>0</v>
      </c>
      <c r="AT131" s="46">
        <v>0</v>
      </c>
      <c r="AU131" s="95">
        <f t="shared" si="80"/>
        <v>-2.0064503352670253</v>
      </c>
      <c r="AV131" s="47">
        <f t="shared" si="81"/>
        <v>0</v>
      </c>
      <c r="AW131" s="96">
        <f t="shared" si="116"/>
        <v>-2.0064503352670253</v>
      </c>
      <c r="AX131" s="95">
        <f t="shared" si="82"/>
        <v>-23.007297177728553</v>
      </c>
      <c r="AY131" s="11">
        <f t="shared" si="83"/>
        <v>0</v>
      </c>
      <c r="AZ131" s="96">
        <f t="shared" si="117"/>
        <v>-23.007297177728553</v>
      </c>
      <c r="BA131" s="95">
        <f t="shared" si="118"/>
        <v>-1.830476454948925</v>
      </c>
      <c r="BB131" s="64">
        <f t="shared" si="119"/>
        <v>-4.7725487660580677E-2</v>
      </c>
      <c r="BC131" s="95">
        <f t="shared" si="120"/>
        <v>-2.0064503352670253</v>
      </c>
      <c r="BD131" s="96">
        <f t="shared" si="121"/>
        <v>-5.2313604175818963E-2</v>
      </c>
      <c r="BE131" s="96">
        <f t="shared" si="122"/>
        <v>-1.830476454948925</v>
      </c>
      <c r="BF131" s="96">
        <f t="shared" si="123"/>
        <v>-4.7725487660580677E-2</v>
      </c>
      <c r="BG131" s="15">
        <f t="shared" si="109"/>
        <v>-192.79357744078374</v>
      </c>
      <c r="BH131" s="46">
        <f>(SUMPRODUCT(BE132:BE$605,$I131:$I$604)+SUMPRODUCT(BF132:BF$605,$I132:$I$605)) / $I131</f>
        <v>-175.88479414007583</v>
      </c>
      <c r="BJ131" s="46">
        <f t="shared" si="124"/>
        <v>-1.830476454948925</v>
      </c>
      <c r="BK131" s="46">
        <f t="shared" si="125"/>
        <v>-96.512304842398535</v>
      </c>
      <c r="BM131" s="49">
        <f t="shared" si="110"/>
        <v>5772.5123824384227</v>
      </c>
      <c r="BN131" s="46">
        <f t="shared" si="126"/>
        <v>5254.2652092841881</v>
      </c>
      <c r="BP131" s="46">
        <f>Reserve!BX131</f>
        <v>7583.420841772122</v>
      </c>
      <c r="BQ131" s="46">
        <f t="shared" si="84"/>
        <v>6902.5931269553093</v>
      </c>
      <c r="BR131" s="15">
        <f t="shared" si="111"/>
        <v>99.280465080902104</v>
      </c>
      <c r="BT131" s="49">
        <f t="shared" si="112"/>
        <v>34.433750451644201</v>
      </c>
      <c r="BU131" s="46">
        <f t="shared" si="85"/>
        <v>31.413770054235282</v>
      </c>
      <c r="BV131" s="46">
        <f>SUMPRODUCT(BU132:BU$605, $I132:$I$605) / $I131</f>
        <v>888.85423707232951</v>
      </c>
      <c r="BX131" s="46">
        <f>-BZ131*Others!$Q$43</f>
        <v>-8.2819721824742238</v>
      </c>
      <c r="BZ131" s="50">
        <f t="shared" si="70"/>
        <v>32.351453837789933</v>
      </c>
      <c r="CA131" s="46">
        <f t="shared" si="113"/>
        <v>24.069481655315709</v>
      </c>
      <c r="CB131" s="46">
        <f t="shared" si="86"/>
        <v>24.069481655315709</v>
      </c>
      <c r="CD131" s="46">
        <f>SUMPRODUCT(BZ132:BZ$605, $I132:$I$605) / $I131</f>
        <v>1648.3279176711198</v>
      </c>
      <c r="CE131" s="46">
        <f>SUMPRODUCT(CA132:CA$605, $I132:$I$605) / $I131</f>
        <v>1226.3559707473125</v>
      </c>
      <c r="CF131" s="46">
        <f>SUMPRODUCT(CB132:CB$605, $I132:$I$605) / $I131</f>
        <v>1226.3559707473125</v>
      </c>
      <c r="CH131" s="46">
        <f t="shared" si="87"/>
        <v>39416.579158227876</v>
      </c>
      <c r="CI131" s="46">
        <f t="shared" si="88"/>
        <v>1722.579158227878</v>
      </c>
      <c r="CK131" s="46">
        <f>NPV((1+CK$3)^(1/12)-1,$CB$6:$CB131)+$CB$5</f>
        <v>475.11046319980687</v>
      </c>
      <c r="CL131" s="46">
        <f>NPV((1+CL$3)^(1/12)-1,$CB$6:$CB131)+$CB$5</f>
        <v>337.45356895120335</v>
      </c>
      <c r="CM131" s="46">
        <f>NPV((1+CM$3)^(1/12)-1,$CB$6:$CB131)+$CB$5</f>
        <v>76.882748967501925</v>
      </c>
      <c r="CN131" s="46">
        <f>NPV((1+CN$3)^(1/12)-1,$CB$6:$CB131)+$CB$5</f>
        <v>76.882748967501925</v>
      </c>
    </row>
    <row r="132" spans="1:92" x14ac:dyDescent="0.25">
      <c r="A132" s="61">
        <f t="shared" si="71"/>
        <v>10.583333333333339</v>
      </c>
      <c r="B132" s="32">
        <f t="shared" si="89"/>
        <v>7</v>
      </c>
      <c r="C132" s="62">
        <f t="shared" si="90"/>
        <v>11</v>
      </c>
      <c r="D132" s="64">
        <f t="shared" si="91"/>
        <v>11.083333333333339</v>
      </c>
      <c r="E132" s="28">
        <f t="shared" si="72"/>
        <v>11</v>
      </c>
      <c r="G132" s="68">
        <f>INDEX(Others!$D$11:$E$60, MATCH(C132, Others!$A$11:$A$60, 0), MATCH(G$3, Others!$D$10:$E$10, 0))</f>
        <v>5.5201107113974412E-2</v>
      </c>
      <c r="H132" s="16">
        <f t="shared" si="114"/>
        <v>4.4876537952047713E-3</v>
      </c>
      <c r="I132" s="69">
        <f t="shared" si="115"/>
        <v>0.6594526942082688</v>
      </c>
      <c r="K132" s="80">
        <f>INDEX(Mortality!$B$7:$F$32, MATCH( E132,Mortality!$A$7:$A$32, 0), MATCH( K$3,Mortality!$B$6:$F$6,0))</f>
        <v>0.36000000000000004</v>
      </c>
      <c r="L132" s="11">
        <f t="shared" si="73"/>
        <v>0</v>
      </c>
      <c r="M132" s="80">
        <f t="shared" si="92"/>
        <v>0.36000000000000004</v>
      </c>
      <c r="N132" s="76">
        <f>INDEX(Myopia!$H:$H, MATCH(E132, Myopia!$A:$A, 0)) * Trend_Factor^(A132)</f>
        <v>26.926205338964103</v>
      </c>
      <c r="O132" s="11">
        <f t="shared" si="74"/>
        <v>0</v>
      </c>
      <c r="P132" s="80">
        <f t="shared" si="93"/>
        <v>26.926205338964103</v>
      </c>
      <c r="Q132" s="76">
        <f>VLOOKUP(C132,Others!$L$10:$M$61,2)</f>
        <v>0</v>
      </c>
      <c r="R132" s="11">
        <f t="shared" si="75"/>
        <v>0</v>
      </c>
      <c r="S132" s="80">
        <f t="shared" si="94"/>
        <v>0</v>
      </c>
      <c r="T132" s="78">
        <f t="shared" si="95"/>
        <v>3.0000000000000001E-5</v>
      </c>
      <c r="U132" s="81">
        <f t="shared" si="96"/>
        <v>2.2438504449136753E-3</v>
      </c>
      <c r="V132" s="81">
        <f t="shared" si="97"/>
        <v>0</v>
      </c>
      <c r="W132" s="77">
        <f t="shared" si="76"/>
        <v>0.91022155712807384</v>
      </c>
      <c r="X132" s="82">
        <f t="shared" si="98"/>
        <v>2.7276010698153241E-5</v>
      </c>
      <c r="Y132" s="82">
        <f t="shared" si="99"/>
        <v>2.0423704099161578E-3</v>
      </c>
      <c r="Z132" s="82">
        <f t="shared" si="100"/>
        <v>0</v>
      </c>
      <c r="AA132" s="82">
        <f t="shared" si="101"/>
        <v>0.90815191070745949</v>
      </c>
      <c r="AC132" s="46">
        <f t="shared" si="77"/>
        <v>0</v>
      </c>
      <c r="AD132" s="15">
        <f t="shared" si="78"/>
        <v>0</v>
      </c>
      <c r="AE132" s="46">
        <f t="shared" si="102"/>
        <v>0</v>
      </c>
      <c r="AF132" s="15">
        <f t="shared" si="103"/>
        <v>0</v>
      </c>
      <c r="AG132" s="46">
        <f>SUMPRODUCT(AE133:AE$605, $I132:$I$604) / $I132</f>
        <v>0</v>
      </c>
      <c r="AI132" s="46">
        <f t="shared" si="79"/>
        <v>-47000</v>
      </c>
      <c r="AJ132" s="46">
        <f>IF(E132&gt;Mat_Year,0,  -SUM($AD$5:AD132))</f>
        <v>-9306</v>
      </c>
      <c r="AK132" s="24">
        <f t="shared" si="104"/>
        <v>-0.25383055555701406</v>
      </c>
      <c r="AL132" s="79">
        <f t="shared" si="105"/>
        <v>-95.991409266059421</v>
      </c>
      <c r="AM132" s="24">
        <f t="shared" si="106"/>
        <v>-105.73825577729548</v>
      </c>
      <c r="AN132" s="79">
        <f t="shared" si="107"/>
        <v>-96.245239821616437</v>
      </c>
      <c r="AO132" s="15">
        <f t="shared" si="108"/>
        <v>-5498.5790539366362</v>
      </c>
      <c r="AP132" s="46">
        <f>SUMPRODUCT(AN133:AN$605, $I133:$I$605) / $I132</f>
        <v>-5004.9251884660162</v>
      </c>
      <c r="AR132" s="46">
        <v>0</v>
      </c>
      <c r="AS132" s="46">
        <v>0</v>
      </c>
      <c r="AT132" s="46">
        <v>0</v>
      </c>
      <c r="AU132" s="95">
        <f t="shared" si="80"/>
        <v>-2.008693744408848</v>
      </c>
      <c r="AV132" s="47">
        <f t="shared" si="81"/>
        <v>0</v>
      </c>
      <c r="AW132" s="96">
        <f t="shared" si="116"/>
        <v>-2.008693744408848</v>
      </c>
      <c r="AX132" s="95">
        <f t="shared" si="82"/>
        <v>-23.03302160255479</v>
      </c>
      <c r="AY132" s="11">
        <f t="shared" si="83"/>
        <v>0</v>
      </c>
      <c r="AZ132" s="96">
        <f t="shared" si="117"/>
        <v>-23.03302160255479</v>
      </c>
      <c r="BA132" s="95">
        <f t="shared" si="118"/>
        <v>-1.8283563478292428</v>
      </c>
      <c r="BB132" s="64">
        <f t="shared" si="119"/>
        <v>-4.7670210715659626E-2</v>
      </c>
      <c r="BC132" s="95">
        <f t="shared" si="120"/>
        <v>-2.008693744408848</v>
      </c>
      <c r="BD132" s="96">
        <f t="shared" si="121"/>
        <v>-5.237209593900239E-2</v>
      </c>
      <c r="BE132" s="96">
        <f t="shared" si="122"/>
        <v>-1.8283563478292428</v>
      </c>
      <c r="BF132" s="96">
        <f t="shared" si="123"/>
        <v>-4.7670210715659626E-2</v>
      </c>
      <c r="BG132" s="15">
        <f t="shared" si="109"/>
        <v>-192.03002966295938</v>
      </c>
      <c r="BH132" s="46">
        <f>(SUMPRODUCT(BE133:BE$605,$I132:$I$604)+SUMPRODUCT(BF133:BF$605,$I133:$I$605)) / $I132</f>
        <v>-174.78987261516909</v>
      </c>
      <c r="BJ132" s="46">
        <f t="shared" si="124"/>
        <v>-1.8283563478292428</v>
      </c>
      <c r="BK132" s="46">
        <f t="shared" si="125"/>
        <v>-96.292910032332102</v>
      </c>
      <c r="BM132" s="49">
        <f t="shared" si="110"/>
        <v>5703.5777825387495</v>
      </c>
      <c r="BN132" s="46">
        <f t="shared" si="126"/>
        <v>5179.7150610811805</v>
      </c>
      <c r="BP132" s="46">
        <f>Reserve!BX132</f>
        <v>7491.251985098208</v>
      </c>
      <c r="BQ132" s="46">
        <f t="shared" si="84"/>
        <v>6803.1948038579867</v>
      </c>
      <c r="BR132" s="15">
        <f t="shared" si="111"/>
        <v>99.398323097322645</v>
      </c>
      <c r="BT132" s="49">
        <f t="shared" si="112"/>
        <v>34.022752999108128</v>
      </c>
      <c r="BU132" s="46">
        <f t="shared" si="85"/>
        <v>30.968243212632043</v>
      </c>
      <c r="BV132" s="46">
        <f>SUMPRODUCT(BU133:BU$605, $I133:$I$605) / $I132</f>
        <v>861.87486395007897</v>
      </c>
      <c r="BX132" s="46">
        <f>-BZ132*Others!$Q$43</f>
        <v>-8.2547967820270962</v>
      </c>
      <c r="BZ132" s="50">
        <f t="shared" si="70"/>
        <v>32.245299929793347</v>
      </c>
      <c r="CA132" s="46">
        <f t="shared" si="113"/>
        <v>23.990503147766251</v>
      </c>
      <c r="CB132" s="46">
        <f t="shared" si="86"/>
        <v>23.990503147766251</v>
      </c>
      <c r="CD132" s="46">
        <f>SUMPRODUCT(BZ133:BZ$605, $I133:$I$605) / $I132</f>
        <v>1623.4797427768056</v>
      </c>
      <c r="CE132" s="46">
        <f>SUMPRODUCT(CA133:CA$605, $I133:$I$605) / $I132</f>
        <v>1207.8689286259428</v>
      </c>
      <c r="CF132" s="46">
        <f>SUMPRODUCT(CB133:CB$605, $I133:$I$605) / $I132</f>
        <v>1207.8689286259428</v>
      </c>
      <c r="CH132" s="46">
        <f t="shared" si="87"/>
        <v>39508.748014901794</v>
      </c>
      <c r="CI132" s="46">
        <f t="shared" si="88"/>
        <v>1814.748014901792</v>
      </c>
      <c r="CK132" s="46">
        <f>NPV((1+CK$3)^(1/12)-1,$CB$6:$CB132)+$CB$5</f>
        <v>492.65648757294139</v>
      </c>
      <c r="CL132" s="46">
        <f>NPV((1+CL$3)^(1/12)-1,$CB$6:$CB132)+$CB$5</f>
        <v>351.7683905948229</v>
      </c>
      <c r="CM132" s="46">
        <f>NPV((1+CM$3)^(1/12)-1,$CB$6:$CB132)+$CB$5</f>
        <v>85.631917289448211</v>
      </c>
      <c r="CN132" s="46">
        <f>NPV((1+CN$3)^(1/12)-1,$CB$6:$CB132)+$CB$5</f>
        <v>85.631917289448211</v>
      </c>
    </row>
    <row r="133" spans="1:92" x14ac:dyDescent="0.25">
      <c r="A133" s="61">
        <f t="shared" si="71"/>
        <v>10.666666666666673</v>
      </c>
      <c r="B133" s="32">
        <f t="shared" si="89"/>
        <v>8</v>
      </c>
      <c r="C133" s="62">
        <f t="shared" si="90"/>
        <v>11</v>
      </c>
      <c r="D133" s="64">
        <f t="shared" si="91"/>
        <v>11.166666666666673</v>
      </c>
      <c r="E133" s="28">
        <f t="shared" si="72"/>
        <v>11</v>
      </c>
      <c r="G133" s="68">
        <f>INDEX(Others!$D$11:$E$60, MATCH(C133, Others!$A$11:$A$60, 0), MATCH(G$3, Others!$D$10:$E$10, 0))</f>
        <v>5.5201107113974412E-2</v>
      </c>
      <c r="H133" s="16">
        <f t="shared" si="114"/>
        <v>4.4876537952047713E-3</v>
      </c>
      <c r="I133" s="69">
        <f t="shared" si="115"/>
        <v>0.65650652023117673</v>
      </c>
      <c r="K133" s="80">
        <f>INDEX(Mortality!$B$7:$F$32, MATCH( E133,Mortality!$A$7:$A$32, 0), MATCH( K$3,Mortality!$B$6:$F$6,0))</f>
        <v>0.36000000000000004</v>
      </c>
      <c r="L133" s="11">
        <f t="shared" si="73"/>
        <v>0</v>
      </c>
      <c r="M133" s="80">
        <f t="shared" si="92"/>
        <v>0.36000000000000004</v>
      </c>
      <c r="N133" s="76">
        <f>INDEX(Myopia!$H:$H, MATCH(E133, Myopia!$A:$A, 0)) * Trend_Factor^(A133)</f>
        <v>26.926205338964103</v>
      </c>
      <c r="O133" s="11">
        <f t="shared" si="74"/>
        <v>0</v>
      </c>
      <c r="P133" s="80">
        <f t="shared" si="93"/>
        <v>26.926205338964103</v>
      </c>
      <c r="Q133" s="76">
        <f>VLOOKUP(C133,Others!$L$10:$M$61,2)</f>
        <v>0</v>
      </c>
      <c r="R133" s="11">
        <f t="shared" si="75"/>
        <v>0</v>
      </c>
      <c r="S133" s="80">
        <f t="shared" si="94"/>
        <v>0</v>
      </c>
      <c r="T133" s="78">
        <f t="shared" si="95"/>
        <v>3.0000000000000001E-5</v>
      </c>
      <c r="U133" s="81">
        <f t="shared" si="96"/>
        <v>2.2438504449136753E-3</v>
      </c>
      <c r="V133" s="81">
        <f t="shared" si="97"/>
        <v>0</v>
      </c>
      <c r="W133" s="77">
        <f t="shared" si="76"/>
        <v>0.90815191070745949</v>
      </c>
      <c r="X133" s="82">
        <f t="shared" si="98"/>
        <v>2.7213990965190435E-5</v>
      </c>
      <c r="Y133" s="82">
        <f t="shared" si="99"/>
        <v>2.0377265025341039E-3</v>
      </c>
      <c r="Z133" s="82">
        <f t="shared" si="100"/>
        <v>0</v>
      </c>
      <c r="AA133" s="82">
        <f t="shared" si="101"/>
        <v>0.90608697021396023</v>
      </c>
      <c r="AC133" s="46">
        <f t="shared" si="77"/>
        <v>0</v>
      </c>
      <c r="AD133" s="15">
        <f t="shared" si="78"/>
        <v>0</v>
      </c>
      <c r="AE133" s="46">
        <f t="shared" si="102"/>
        <v>0</v>
      </c>
      <c r="AF133" s="15">
        <f t="shared" si="103"/>
        <v>0</v>
      </c>
      <c r="AG133" s="46">
        <f>SUMPRODUCT(AE134:AE$605, $I133:$I$604) / $I133</f>
        <v>0</v>
      </c>
      <c r="AI133" s="46">
        <f t="shared" si="79"/>
        <v>-47000</v>
      </c>
      <c r="AJ133" s="46">
        <f>IF(E133&gt;Mat_Year,0,  -SUM($AD$5:AD133))</f>
        <v>-9306</v>
      </c>
      <c r="AK133" s="24">
        <f t="shared" si="104"/>
        <v>-0.25325339992206219</v>
      </c>
      <c r="AL133" s="79">
        <f t="shared" si="105"/>
        <v>-95.773145619102877</v>
      </c>
      <c r="AM133" s="24">
        <f t="shared" si="106"/>
        <v>-105.73825577729545</v>
      </c>
      <c r="AN133" s="79">
        <f t="shared" si="107"/>
        <v>-96.026399019024936</v>
      </c>
      <c r="AO133" s="15">
        <f t="shared" si="108"/>
        <v>-5430.1038216416327</v>
      </c>
      <c r="AP133" s="46">
        <f>SUMPRODUCT(AN134:AN$605, $I134:$I$605) / $I133</f>
        <v>-4931.3591609637269</v>
      </c>
      <c r="AR133" s="46">
        <v>0</v>
      </c>
      <c r="AS133" s="46">
        <v>0</v>
      </c>
      <c r="AT133" s="46">
        <v>0</v>
      </c>
      <c r="AU133" s="95">
        <f t="shared" si="80"/>
        <v>-2.010939661903103</v>
      </c>
      <c r="AV133" s="47">
        <f t="shared" si="81"/>
        <v>0</v>
      </c>
      <c r="AW133" s="96">
        <f t="shared" si="116"/>
        <v>-2.010939661903103</v>
      </c>
      <c r="AX133" s="95">
        <f t="shared" si="82"/>
        <v>-23.058774789822245</v>
      </c>
      <c r="AY133" s="11">
        <f t="shared" si="83"/>
        <v>0</v>
      </c>
      <c r="AZ133" s="96">
        <f t="shared" si="117"/>
        <v>-23.058774789822245</v>
      </c>
      <c r="BA133" s="95">
        <f t="shared" si="118"/>
        <v>-1.8262386962747157</v>
      </c>
      <c r="BB133" s="64">
        <f t="shared" si="119"/>
        <v>-4.7614997793984634E-2</v>
      </c>
      <c r="BC133" s="95">
        <f t="shared" si="120"/>
        <v>-2.010939661903103</v>
      </c>
      <c r="BD133" s="96">
        <f t="shared" si="121"/>
        <v>-5.2430653101739409E-2</v>
      </c>
      <c r="BE133" s="96">
        <f t="shared" si="122"/>
        <v>-1.8262386962747157</v>
      </c>
      <c r="BF133" s="96">
        <f t="shared" si="123"/>
        <v>-4.7614997793984634E-2</v>
      </c>
      <c r="BG133" s="15">
        <f t="shared" si="109"/>
        <v>-191.25899288587183</v>
      </c>
      <c r="BH133" s="46">
        <f>(SUMPRODUCT(BE134:BE$605,$I133:$I$604)+SUMPRODUCT(BF134:BF$605,$I134:$I$605)) / $I133</f>
        <v>-173.69221982928892</v>
      </c>
      <c r="BJ133" s="46">
        <f t="shared" si="124"/>
        <v>-1.8262386962747157</v>
      </c>
      <c r="BK133" s="46">
        <f t="shared" si="125"/>
        <v>-96.074014016818921</v>
      </c>
      <c r="BM133" s="49">
        <f t="shared" si="110"/>
        <v>5634.173703642954</v>
      </c>
      <c r="BN133" s="46">
        <f t="shared" si="126"/>
        <v>5105.051380793011</v>
      </c>
      <c r="BP133" s="46">
        <f>Reserve!BX133</f>
        <v>7398.492324451172</v>
      </c>
      <c r="BQ133" s="46">
        <f t="shared" si="84"/>
        <v>6703.6774944132021</v>
      </c>
      <c r="BR133" s="15">
        <f t="shared" si="111"/>
        <v>99.517309444784587</v>
      </c>
      <c r="BT133" s="49">
        <f t="shared" si="112"/>
        <v>33.609121000755579</v>
      </c>
      <c r="BU133" s="46">
        <f t="shared" si="85"/>
        <v>30.522187454034384</v>
      </c>
      <c r="BV133" s="46">
        <f>SUMPRODUCT(BU134:BU$605, $I134:$I$605) / $I133</f>
        <v>835.22047250024195</v>
      </c>
      <c r="BX133" s="46">
        <f>-BZ133*Others!$Q$43</f>
        <v>-8.2276465115456858</v>
      </c>
      <c r="BZ133" s="50">
        <f t="shared" ref="BZ133:BZ196" si="127">SUM(BJ133,BK133,BR133,BU133)</f>
        <v>32.139244185725332</v>
      </c>
      <c r="CA133" s="46">
        <f t="shared" si="113"/>
        <v>23.911597674179646</v>
      </c>
      <c r="CB133" s="46">
        <f t="shared" si="86"/>
        <v>23.911597674179646</v>
      </c>
      <c r="CD133" s="46">
        <f>SUMPRODUCT(BZ134:BZ$605, $I134:$I$605) / $I133</f>
        <v>1598.6261136201902</v>
      </c>
      <c r="CE133" s="46">
        <f>SUMPRODUCT(CA134:CA$605, $I134:$I$605) / $I133</f>
        <v>1189.3778285334211</v>
      </c>
      <c r="CF133" s="46">
        <f>SUMPRODUCT(CB134:CB$605, $I134:$I$605) / $I133</f>
        <v>1189.3778285334211</v>
      </c>
      <c r="CH133" s="46">
        <f t="shared" si="87"/>
        <v>39601.507675548826</v>
      </c>
      <c r="CI133" s="46">
        <f t="shared" si="88"/>
        <v>1907.507675548828</v>
      </c>
      <c r="CK133" s="46">
        <f>NPV((1+CK$3)^(1/12)-1,$CB$6:$CB133)+$CB$5</f>
        <v>510.10177776170167</v>
      </c>
      <c r="CL133" s="46">
        <f>NPV((1+CL$3)^(1/12)-1,$CB$6:$CB133)+$CB$5</f>
        <v>365.97823769114734</v>
      </c>
      <c r="CM133" s="46">
        <f>NPV((1+CM$3)^(1/12)-1,$CB$6:$CB133)+$CB$5</f>
        <v>94.283321823650567</v>
      </c>
      <c r="CN133" s="46">
        <f>NPV((1+CN$3)^(1/12)-1,$CB$6:$CB133)+$CB$5</f>
        <v>94.283321823650567</v>
      </c>
    </row>
    <row r="134" spans="1:92" x14ac:dyDescent="0.25">
      <c r="A134" s="61">
        <f t="shared" ref="A134:A197" si="128">A133+1/12</f>
        <v>10.750000000000007</v>
      </c>
      <c r="B134" s="32">
        <f t="shared" si="89"/>
        <v>9</v>
      </c>
      <c r="C134" s="62">
        <f t="shared" si="90"/>
        <v>11</v>
      </c>
      <c r="D134" s="64">
        <f t="shared" si="91"/>
        <v>11.250000000000007</v>
      </c>
      <c r="E134" s="28">
        <f t="shared" ref="E134:E197" si="129">INT(D134+0.001)</f>
        <v>11</v>
      </c>
      <c r="G134" s="68">
        <f>INDEX(Others!$D$11:$E$60, MATCH(C134, Others!$A$11:$A$60, 0), MATCH(G$3, Others!$D$10:$E$10, 0))</f>
        <v>5.5201107113974412E-2</v>
      </c>
      <c r="H134" s="16">
        <f t="shared" si="114"/>
        <v>4.4876537952047713E-3</v>
      </c>
      <c r="I134" s="69">
        <f t="shared" si="115"/>
        <v>0.65357350859488561</v>
      </c>
      <c r="K134" s="80">
        <f>INDEX(Mortality!$B$7:$F$32, MATCH( E134,Mortality!$A$7:$A$32, 0), MATCH( K$3,Mortality!$B$6:$F$6,0))</f>
        <v>0.36000000000000004</v>
      </c>
      <c r="L134" s="11">
        <f t="shared" ref="L134:L197" si="130">PAD_Mort</f>
        <v>0</v>
      </c>
      <c r="M134" s="80">
        <f t="shared" si="92"/>
        <v>0.36000000000000004</v>
      </c>
      <c r="N134" s="76">
        <f>INDEX(Myopia!$H:$H, MATCH(E134, Myopia!$A:$A, 0)) * Trend_Factor^(A134)</f>
        <v>26.926205338964103</v>
      </c>
      <c r="O134" s="11">
        <f t="shared" ref="O134:O197" si="131">PAD_Incid</f>
        <v>0</v>
      </c>
      <c r="P134" s="80">
        <f t="shared" si="93"/>
        <v>26.926205338964103</v>
      </c>
      <c r="Q134" s="76">
        <f>VLOOKUP(C134,Others!$L$10:$M$61,2)</f>
        <v>0</v>
      </c>
      <c r="R134" s="11">
        <f t="shared" ref="R134:R197" si="132">PAD_Laspe</f>
        <v>0</v>
      </c>
      <c r="S134" s="80">
        <f t="shared" si="94"/>
        <v>0</v>
      </c>
      <c r="T134" s="78">
        <f t="shared" si="95"/>
        <v>3.0000000000000001E-5</v>
      </c>
      <c r="U134" s="81">
        <f t="shared" si="96"/>
        <v>2.2438504449136753E-3</v>
      </c>
      <c r="V134" s="81">
        <f t="shared" si="97"/>
        <v>0</v>
      </c>
      <c r="W134" s="77">
        <f t="shared" ref="W134:W197" si="133">IF(E134&gt;Mat_Year, 0, AA133)</f>
        <v>0.90608697021396023</v>
      </c>
      <c r="X134" s="82">
        <f t="shared" si="98"/>
        <v>2.7152112251650134E-5</v>
      </c>
      <c r="Y134" s="82">
        <f t="shared" si="99"/>
        <v>2.0330931543903101E-3</v>
      </c>
      <c r="Z134" s="82">
        <f t="shared" si="100"/>
        <v>0</v>
      </c>
      <c r="AA134" s="82">
        <f t="shared" si="101"/>
        <v>0.90402672494731828</v>
      </c>
      <c r="AC134" s="46">
        <f t="shared" ref="AC134:AC197" si="134">IF(C134&gt;Prem_Term,0,Ann_Prem)</f>
        <v>0</v>
      </c>
      <c r="AD134" s="15">
        <f t="shared" ref="AD134:AD197" si="135">IF(Prem_Mode="Mth",AC134/12,
IF(B134=1, AC134, 0))</f>
        <v>0</v>
      </c>
      <c r="AE134" s="46">
        <f t="shared" si="102"/>
        <v>0</v>
      </c>
      <c r="AF134" s="15">
        <f t="shared" si="103"/>
        <v>0</v>
      </c>
      <c r="AG134" s="46">
        <f>SUMPRODUCT(AE135:AE$605, $I134:$I$604) / $I134</f>
        <v>0</v>
      </c>
      <c r="AI134" s="46">
        <f t="shared" ref="AI134:AI197" si="136">IF(E134&gt;Mat_Year,0, -Sum_Assured)</f>
        <v>-47000</v>
      </c>
      <c r="AJ134" s="46">
        <f>IF(E134&gt;Mat_Year,0,  -SUM($AD$5:AD134))</f>
        <v>-9306</v>
      </c>
      <c r="AK134" s="24">
        <f t="shared" si="104"/>
        <v>-0.25267755661385616</v>
      </c>
      <c r="AL134" s="79">
        <f t="shared" si="105"/>
        <v>-95.555378256344582</v>
      </c>
      <c r="AM134" s="24">
        <f t="shared" si="106"/>
        <v>-105.73825577729549</v>
      </c>
      <c r="AN134" s="79">
        <f t="shared" si="107"/>
        <v>-95.808055812958443</v>
      </c>
      <c r="AO134" s="15">
        <f t="shared" si="108"/>
        <v>-5361.1645432423647</v>
      </c>
      <c r="AP134" s="46">
        <f>SUMPRODUCT(AN135:AN$605, $I135:$I$605) / $I134</f>
        <v>-4857.6813378049847</v>
      </c>
      <c r="AR134" s="46">
        <v>0</v>
      </c>
      <c r="AS134" s="46">
        <v>0</v>
      </c>
      <c r="AT134" s="46">
        <v>0</v>
      </c>
      <c r="AU134" s="95">
        <f t="shared" ref="AU134:AU197" si="137">IF(E134&gt;Mat_Year,0,
-Exp_Main/12 * (1+Exp_Main_Infl)^(A133))</f>
        <v>-2.0131880905543751</v>
      </c>
      <c r="AV134" s="47">
        <f t="shared" ref="AV134:AV197" si="138">PAD_Exp_Main</f>
        <v>0</v>
      </c>
      <c r="AW134" s="96">
        <f t="shared" si="116"/>
        <v>-2.0131880905543751</v>
      </c>
      <c r="AX134" s="95">
        <f t="shared" ref="AX134:AX197" si="139">IF(E134&gt;Mat_Year,0,
-Exp_Claim* (1+Exp_Main_Infl)^(A133))</f>
        <v>-23.084556771690163</v>
      </c>
      <c r="AY134" s="11">
        <f t="shared" ref="AY134:AY197" si="140">PAD_Exp_Claim</f>
        <v>0</v>
      </c>
      <c r="AZ134" s="96">
        <f t="shared" si="117"/>
        <v>-23.084556771690163</v>
      </c>
      <c r="BA134" s="95">
        <f t="shared" si="118"/>
        <v>-1.8241234974412415</v>
      </c>
      <c r="BB134" s="64">
        <f t="shared" si="119"/>
        <v>-4.7559848821402267E-2</v>
      </c>
      <c r="BC134" s="95">
        <f t="shared" si="120"/>
        <v>-2.0131880905543751</v>
      </c>
      <c r="BD134" s="96">
        <f t="shared" si="121"/>
        <v>-5.2489275737153188E-2</v>
      </c>
      <c r="BE134" s="96">
        <f t="shared" si="122"/>
        <v>-1.8241234974412415</v>
      </c>
      <c r="BF134" s="96">
        <f t="shared" si="123"/>
        <v>-4.7559848821402267E-2</v>
      </c>
      <c r="BG134" s="15">
        <f t="shared" si="109"/>
        <v>-190.48041376982752</v>
      </c>
      <c r="BH134" s="46">
        <f>(SUMPRODUCT(BE135:BE$605,$I134:$I$604)+SUMPRODUCT(BF135:BF$605,$I135:$I$605)) / $I134</f>
        <v>-172.59182099780452</v>
      </c>
      <c r="BJ134" s="46">
        <f t="shared" si="124"/>
        <v>-1.8241234974412415</v>
      </c>
      <c r="BK134" s="46">
        <f t="shared" si="125"/>
        <v>-95.855615661779851</v>
      </c>
      <c r="BM134" s="49">
        <f t="shared" si="110"/>
        <v>5564.2969615703805</v>
      </c>
      <c r="BN134" s="46">
        <f t="shared" si="126"/>
        <v>5030.2731588027855</v>
      </c>
      <c r="BP134" s="46">
        <f>Reserve!BX134</f>
        <v>7305.1380948492597</v>
      </c>
      <c r="BQ134" s="46">
        <f t="shared" ref="BQ134:BQ197" si="141">BP134*AA134</f>
        <v>6604.0400671744683</v>
      </c>
      <c r="BR134" s="15">
        <f t="shared" si="111"/>
        <v>99.637427238733835</v>
      </c>
      <c r="BT134" s="49">
        <f t="shared" si="112"/>
        <v>33.192837667441637</v>
      </c>
      <c r="BU134" s="46">
        <f t="shared" ref="BU134:BU197" si="142">SUM(BJ134,BQ133)*H134</f>
        <v>30.075597714896006</v>
      </c>
      <c r="BV134" s="46">
        <f>SUMPRODUCT(BU135:BU$605, $I135:$I$605) / $I134</f>
        <v>808.89305510859413</v>
      </c>
      <c r="BX134" s="46">
        <f>-BZ134*Others!$Q$43</f>
        <v>-8.2005211633686415</v>
      </c>
      <c r="BZ134" s="50">
        <f t="shared" si="127"/>
        <v>32.033285794408755</v>
      </c>
      <c r="CA134" s="46">
        <f t="shared" si="113"/>
        <v>23.832764631040114</v>
      </c>
      <c r="CB134" s="46">
        <f t="shared" ref="CB134:CB197" si="143">CA134</f>
        <v>23.832764631040114</v>
      </c>
      <c r="CD134" s="46">
        <f>SUMPRODUCT(BZ135:BZ$605, $I135:$I$605) / $I134</f>
        <v>1573.7669083716828</v>
      </c>
      <c r="CE134" s="46">
        <f>SUMPRODUCT(CA135:CA$605, $I135:$I$605) / $I134</f>
        <v>1170.8825798285311</v>
      </c>
      <c r="CF134" s="46">
        <f>SUMPRODUCT(CB135:CB$605, $I135:$I$605) / $I134</f>
        <v>1170.8825798285311</v>
      </c>
      <c r="CH134" s="46">
        <f t="shared" ref="CH134:CH197" si="144">IF(E135&gt;Mat_Year, 0, MAX(0, -AI134-$BP134))</f>
        <v>39694.861905150741</v>
      </c>
      <c r="CI134" s="46">
        <f t="shared" ref="CI134:CI197" si="145">IF(E135&gt;Mat_Year, 0, MAX(0, -AJ134-$BP134))</f>
        <v>2000.8619051507403</v>
      </c>
      <c r="CK134" s="46">
        <f>NPV((1+CK$3)^(1/12)-1,$CB$6:$CB134)+$CB$5</f>
        <v>527.44677593343727</v>
      </c>
      <c r="CL134" s="46">
        <f>NPV((1+CL$3)^(1/12)-1,$CB$6:$CB134)+$CB$5</f>
        <v>380.08376931631824</v>
      </c>
      <c r="CM134" s="46">
        <f>NPV((1+CM$3)^(1/12)-1,$CB$6:$CB134)+$CB$5</f>
        <v>102.83798783331872</v>
      </c>
      <c r="CN134" s="46">
        <f>NPV((1+CN$3)^(1/12)-1,$CB$6:$CB134)+$CB$5</f>
        <v>102.83798783331872</v>
      </c>
    </row>
    <row r="135" spans="1:92" x14ac:dyDescent="0.25">
      <c r="A135" s="61">
        <f t="shared" si="128"/>
        <v>10.833333333333341</v>
      </c>
      <c r="B135" s="32">
        <f t="shared" ref="B135:B198" si="146">IF(B134=12,1,B134+1)</f>
        <v>10</v>
      </c>
      <c r="C135" s="62">
        <f t="shared" ref="C135:C198" si="147">IF(B134=12,C134+1,C134)</f>
        <v>11</v>
      </c>
      <c r="D135" s="64">
        <f t="shared" ref="D135:D198" si="148">$D$5+A135</f>
        <v>11.333333333333341</v>
      </c>
      <c r="E135" s="28">
        <f t="shared" si="129"/>
        <v>11</v>
      </c>
      <c r="G135" s="68">
        <f>INDEX(Others!$D$11:$E$60, MATCH(C135, Others!$A$11:$A$60, 0), MATCH(G$3, Others!$D$10:$E$10, 0))</f>
        <v>5.5201107113974412E-2</v>
      </c>
      <c r="H135" s="16">
        <f t="shared" si="114"/>
        <v>4.4876537952047713E-3</v>
      </c>
      <c r="I135" s="69">
        <f t="shared" si="115"/>
        <v>0.65065360049525944</v>
      </c>
      <c r="K135" s="80">
        <f>INDEX(Mortality!$B$7:$F$32, MATCH( E135,Mortality!$A$7:$A$32, 0), MATCH( K$3,Mortality!$B$6:$F$6,0))</f>
        <v>0.36000000000000004</v>
      </c>
      <c r="L135" s="11">
        <f t="shared" si="130"/>
        <v>0</v>
      </c>
      <c r="M135" s="80">
        <f t="shared" ref="M135:M198" si="149">IFERROR( K135*(1+L135), 0)</f>
        <v>0.36000000000000004</v>
      </c>
      <c r="N135" s="76">
        <f>INDEX(Myopia!$H:$H, MATCH(E135, Myopia!$A:$A, 0)) * Trend_Factor^(A135)</f>
        <v>26.926205338964103</v>
      </c>
      <c r="O135" s="11">
        <f t="shared" si="131"/>
        <v>0</v>
      </c>
      <c r="P135" s="80">
        <f t="shared" ref="P135:P198" si="150">IFERROR( N135*(1+O135), 0)</f>
        <v>26.926205338964103</v>
      </c>
      <c r="Q135" s="76">
        <f>VLOOKUP(C135,Others!$L$10:$M$61,2)</f>
        <v>0</v>
      </c>
      <c r="R135" s="11">
        <f t="shared" si="132"/>
        <v>0</v>
      </c>
      <c r="S135" s="80">
        <f t="shared" ref="S135:S198" si="151">IFERROR( Q135*(1+R135), 0)</f>
        <v>0</v>
      </c>
      <c r="T135" s="78">
        <f t="shared" ref="T135:T198" si="152">(M135/1000)/12</f>
        <v>3.0000000000000001E-5</v>
      </c>
      <c r="U135" s="81">
        <f t="shared" ref="U135:U198" si="153">(P135/1000)/12</f>
        <v>2.2438504449136753E-3</v>
      </c>
      <c r="V135" s="81">
        <f t="shared" ref="V135:V198" si="154">(S135/1000)/12</f>
        <v>0</v>
      </c>
      <c r="W135" s="77">
        <f t="shared" si="133"/>
        <v>0.90402672494731828</v>
      </c>
      <c r="X135" s="82">
        <f t="shared" ref="X135:X198" si="155">W135 * (T135)*(1-U135/2)</f>
        <v>2.7090374236884744E-5</v>
      </c>
      <c r="Y135" s="82">
        <f t="shared" ref="Y135:Y198" si="156">W135 * (1-T135/2)*(U135)</f>
        <v>2.0284703414753581E-3</v>
      </c>
      <c r="Z135" s="82">
        <f t="shared" ref="Z135:Z198" si="157">W135 * (1-T135)*(1-U135)*(V135)</f>
        <v>0</v>
      </c>
      <c r="AA135" s="82">
        <f t="shared" ref="AA135:AA198" si="158">W135-SUM(X135:Z135)</f>
        <v>0.90197116423160606</v>
      </c>
      <c r="AC135" s="46">
        <f t="shared" si="134"/>
        <v>0</v>
      </c>
      <c r="AD135" s="15">
        <f t="shared" si="135"/>
        <v>0</v>
      </c>
      <c r="AE135" s="46">
        <f t="shared" ref="AE135:AE198" si="159">AD135*$W135</f>
        <v>0</v>
      </c>
      <c r="AF135" s="15">
        <f t="shared" ref="AF135:AF198" si="160">IF($W135 = 0, 0, AG135/$W135)</f>
        <v>0</v>
      </c>
      <c r="AG135" s="46">
        <f>SUMPRODUCT(AE136:AE$605, $I135:$I$604) / $I135</f>
        <v>0</v>
      </c>
      <c r="AI135" s="46">
        <f t="shared" si="136"/>
        <v>-47000</v>
      </c>
      <c r="AJ135" s="46">
        <f>IF(E135&gt;Mat_Year,0,  -SUM($AD$5:AD135))</f>
        <v>-9306</v>
      </c>
      <c r="AK135" s="24">
        <f t="shared" ref="AK135:AK198" si="161">AJ135*X135</f>
        <v>-0.25210302264844942</v>
      </c>
      <c r="AL135" s="79">
        <f t="shared" ref="AL135:AL198" si="162">AI135*Y135</f>
        <v>-95.338106049341832</v>
      </c>
      <c r="AM135" s="24">
        <f t="shared" ref="AM135:AM198" si="163">IF($W135 = 0, 0, AN135/$W135)</f>
        <v>-105.73825577729548</v>
      </c>
      <c r="AN135" s="79">
        <f t="shared" ref="AN135:AN198" si="164">SUM(AK135:AL135)</f>
        <v>-95.590209071990287</v>
      </c>
      <c r="AO135" s="15">
        <f t="shared" ref="AO135:AO198" si="165">IF($W135 = 0, 0, AP135/$W135)</f>
        <v>-5291.7580739698478</v>
      </c>
      <c r="AP135" s="46">
        <f>SUMPRODUCT(AN136:AN$605, $I136:$I$605) / $I135</f>
        <v>-4783.89072082449</v>
      </c>
      <c r="AR135" s="46">
        <v>0</v>
      </c>
      <c r="AS135" s="46">
        <v>0</v>
      </c>
      <c r="AT135" s="46">
        <v>0</v>
      </c>
      <c r="AU135" s="95">
        <f t="shared" si="137"/>
        <v>-2.0154390331703849</v>
      </c>
      <c r="AV135" s="47">
        <f t="shared" si="138"/>
        <v>0</v>
      </c>
      <c r="AW135" s="96">
        <f t="shared" si="116"/>
        <v>-2.0154390331703849</v>
      </c>
      <c r="AX135" s="95">
        <f t="shared" si="139"/>
        <v>-23.110367580353742</v>
      </c>
      <c r="AY135" s="11">
        <f t="shared" si="140"/>
        <v>0</v>
      </c>
      <c r="AZ135" s="96">
        <f t="shared" si="117"/>
        <v>-23.110367580353742</v>
      </c>
      <c r="BA135" s="95">
        <f t="shared" si="118"/>
        <v>-1.8220107484880126</v>
      </c>
      <c r="BB135" s="64">
        <f t="shared" si="119"/>
        <v>-4.7504763723844948E-2</v>
      </c>
      <c r="BC135" s="95">
        <f t="shared" si="120"/>
        <v>-2.0154390331703849</v>
      </c>
      <c r="BD135" s="96">
        <f t="shared" si="121"/>
        <v>-5.2547963918448612E-2</v>
      </c>
      <c r="BE135" s="96">
        <f t="shared" si="122"/>
        <v>-1.8220107484880126</v>
      </c>
      <c r="BF135" s="96">
        <f t="shared" si="123"/>
        <v>-4.7504763723844948E-2</v>
      </c>
      <c r="BG135" s="15">
        <f t="shared" ref="BG135:BG198" si="166">IF($W135 = 0, 0, BH135/$W135)</f>
        <v>-189.69423861076433</v>
      </c>
      <c r="BH135" s="46">
        <f>(SUMPRODUCT(BE136:BE$605,$I135:$I$604)+SUMPRODUCT(BF136:BF$605,$I136:$I$605)) / $I135</f>
        <v>-171.48866127266442</v>
      </c>
      <c r="BJ135" s="46">
        <f t="shared" si="124"/>
        <v>-1.8220107484880126</v>
      </c>
      <c r="BK135" s="46">
        <f t="shared" si="125"/>
        <v>-95.637713835714138</v>
      </c>
      <c r="BM135" s="49">
        <f t="shared" ref="BM135:BM198" si="167">IF($W135 = 0, 0, BN135/$AA135)</f>
        <v>5493.9443505587733</v>
      </c>
      <c r="BN135" s="46">
        <f t="shared" si="126"/>
        <v>4955.3793820971514</v>
      </c>
      <c r="BP135" s="46">
        <f>Reserve!BX135</f>
        <v>7211.185507360271</v>
      </c>
      <c r="BQ135" s="46">
        <f t="shared" si="141"/>
        <v>6504.2813875638285</v>
      </c>
      <c r="BR135" s="15">
        <f t="shared" ref="BR135:BR198" si="168">BQ134-BQ135</f>
        <v>99.758679610639774</v>
      </c>
      <c r="BT135" s="49">
        <f t="shared" ref="BT135:BT198" si="169">IF($W135 = 0, 0, BU135/$W135)</f>
        <v>32.77388610321902</v>
      </c>
      <c r="BU135" s="46">
        <f t="shared" si="142"/>
        <v>29.628468917689521</v>
      </c>
      <c r="BV135" s="46">
        <f>SUMPRODUCT(BU136:BU$605, $I136:$I$605) / $I135</f>
        <v>782.89461817957761</v>
      </c>
      <c r="BX135" s="46">
        <f>-BZ135*Others!$Q$43</f>
        <v>-8.1734205296965499</v>
      </c>
      <c r="BZ135" s="50">
        <f t="shared" si="127"/>
        <v>31.927423944127145</v>
      </c>
      <c r="CA135" s="46">
        <f t="shared" ref="CA135:CA198" si="170">BZ135+BX135</f>
        <v>23.754003414430596</v>
      </c>
      <c r="CB135" s="46">
        <f t="shared" si="143"/>
        <v>23.754003414430596</v>
      </c>
      <c r="CD135" s="46">
        <f>SUMPRODUCT(BZ136:BZ$605, $I136:$I$605) / $I135</f>
        <v>1548.9020054666771</v>
      </c>
      <c r="CE135" s="46">
        <f>SUMPRODUCT(CA136:CA$605, $I136:$I$605) / $I135</f>
        <v>1152.3830920672071</v>
      </c>
      <c r="CF135" s="46">
        <f>SUMPRODUCT(CB136:CB$605, $I136:$I$605) / $I135</f>
        <v>1152.3830920672071</v>
      </c>
      <c r="CH135" s="46">
        <f t="shared" si="144"/>
        <v>39788.814492639729</v>
      </c>
      <c r="CI135" s="46">
        <f t="shared" si="145"/>
        <v>2094.814492639729</v>
      </c>
      <c r="CK135" s="46">
        <f>NPV((1+CK$3)^(1/12)-1,$CB$6:$CB135)+$CB$5</f>
        <v>544.69192212143571</v>
      </c>
      <c r="CL135" s="46">
        <f>NPV((1+CL$3)^(1/12)-1,$CB$6:$CB135)+$CB$5</f>
        <v>394.08564039633643</v>
      </c>
      <c r="CM135" s="46">
        <f>NPV((1+CM$3)^(1/12)-1,$CB$6:$CB135)+$CB$5</f>
        <v>111.29693005762613</v>
      </c>
      <c r="CN135" s="46">
        <f>NPV((1+CN$3)^(1/12)-1,$CB$6:$CB135)+$CB$5</f>
        <v>111.29693005762613</v>
      </c>
    </row>
    <row r="136" spans="1:92" x14ac:dyDescent="0.25">
      <c r="A136" s="61">
        <f t="shared" si="128"/>
        <v>10.916666666666675</v>
      </c>
      <c r="B136" s="32">
        <f t="shared" si="146"/>
        <v>11</v>
      </c>
      <c r="C136" s="62">
        <f t="shared" si="147"/>
        <v>11</v>
      </c>
      <c r="D136" s="64">
        <f t="shared" si="148"/>
        <v>11.416666666666675</v>
      </c>
      <c r="E136" s="28">
        <f t="shared" si="129"/>
        <v>11</v>
      </c>
      <c r="G136" s="68">
        <f>INDEX(Others!$D$11:$E$60, MATCH(C136, Others!$A$11:$A$60, 0), MATCH(G$3, Others!$D$10:$E$10, 0))</f>
        <v>5.5201107113974412E-2</v>
      </c>
      <c r="H136" s="16">
        <f t="shared" si="114"/>
        <v>4.4876537952047713E-3</v>
      </c>
      <c r="I136" s="69">
        <f t="shared" si="115"/>
        <v>0.64774673739087574</v>
      </c>
      <c r="K136" s="80">
        <f>INDEX(Mortality!$B$7:$F$32, MATCH( E136,Mortality!$A$7:$A$32, 0), MATCH( K$3,Mortality!$B$6:$F$6,0))</f>
        <v>0.36000000000000004</v>
      </c>
      <c r="L136" s="11">
        <f t="shared" si="130"/>
        <v>0</v>
      </c>
      <c r="M136" s="80">
        <f t="shared" si="149"/>
        <v>0.36000000000000004</v>
      </c>
      <c r="N136" s="76">
        <f>INDEX(Myopia!$H:$H, MATCH(E136, Myopia!$A:$A, 0)) * Trend_Factor^(A136)</f>
        <v>26.926205338964103</v>
      </c>
      <c r="O136" s="11">
        <f t="shared" si="131"/>
        <v>0</v>
      </c>
      <c r="P136" s="80">
        <f t="shared" si="150"/>
        <v>26.926205338964103</v>
      </c>
      <c r="Q136" s="76">
        <f>VLOOKUP(C136,Others!$L$10:$M$61,2)</f>
        <v>0</v>
      </c>
      <c r="R136" s="11">
        <f t="shared" si="132"/>
        <v>0</v>
      </c>
      <c r="S136" s="80">
        <f t="shared" si="151"/>
        <v>0</v>
      </c>
      <c r="T136" s="78">
        <f t="shared" si="152"/>
        <v>3.0000000000000001E-5</v>
      </c>
      <c r="U136" s="81">
        <f t="shared" si="153"/>
        <v>2.2438504449136753E-3</v>
      </c>
      <c r="V136" s="81">
        <f t="shared" si="154"/>
        <v>0</v>
      </c>
      <c r="W136" s="77">
        <f t="shared" si="133"/>
        <v>0.90197116423160606</v>
      </c>
      <c r="X136" s="82">
        <f t="shared" si="155"/>
        <v>2.7028776600975777E-5</v>
      </c>
      <c r="Y136" s="82">
        <f t="shared" si="156"/>
        <v>2.0238580398344226E-3</v>
      </c>
      <c r="Z136" s="82">
        <f t="shared" si="157"/>
        <v>0</v>
      </c>
      <c r="AA136" s="82">
        <f t="shared" si="158"/>
        <v>0.89992027741517067</v>
      </c>
      <c r="AC136" s="46">
        <f t="shared" si="134"/>
        <v>0</v>
      </c>
      <c r="AD136" s="15">
        <f t="shared" si="135"/>
        <v>0</v>
      </c>
      <c r="AE136" s="46">
        <f t="shared" si="159"/>
        <v>0</v>
      </c>
      <c r="AF136" s="15">
        <f t="shared" si="160"/>
        <v>0</v>
      </c>
      <c r="AG136" s="46">
        <f>SUMPRODUCT(AE137:AE$605, $I136:$I$604) / $I136</f>
        <v>0</v>
      </c>
      <c r="AI136" s="46">
        <f t="shared" si="136"/>
        <v>-47000</v>
      </c>
      <c r="AJ136" s="46">
        <f>IF(E136&gt;Mat_Year,0,  -SUM($AD$5:AD136))</f>
        <v>-9306</v>
      </c>
      <c r="AK136" s="24">
        <f t="shared" si="161"/>
        <v>-0.25152979504868056</v>
      </c>
      <c r="AL136" s="79">
        <f t="shared" si="162"/>
        <v>-95.121327872217861</v>
      </c>
      <c r="AM136" s="24">
        <f t="shared" si="163"/>
        <v>-105.73825577729548</v>
      </c>
      <c r="AN136" s="79">
        <f t="shared" si="164"/>
        <v>-95.372857667266544</v>
      </c>
      <c r="AO136" s="15">
        <f t="shared" si="165"/>
        <v>-5221.8812477434776</v>
      </c>
      <c r="AP136" s="46">
        <f>SUMPRODUCT(AN137:AN$605, $I137:$I$605) / $I136</f>
        <v>-4709.9863085063762</v>
      </c>
      <c r="AR136" s="46">
        <v>0</v>
      </c>
      <c r="AS136" s="46">
        <v>0</v>
      </c>
      <c r="AT136" s="46">
        <v>0</v>
      </c>
      <c r="AU136" s="95">
        <f t="shared" si="137"/>
        <v>-2.0176924925619923</v>
      </c>
      <c r="AV136" s="47">
        <f t="shared" si="138"/>
        <v>0</v>
      </c>
      <c r="AW136" s="96">
        <f t="shared" si="116"/>
        <v>-2.0176924925619923</v>
      </c>
      <c r="AX136" s="95">
        <f t="shared" si="139"/>
        <v>-23.136207248044176</v>
      </c>
      <c r="AY136" s="11">
        <f t="shared" si="140"/>
        <v>0</v>
      </c>
      <c r="AZ136" s="96">
        <f t="shared" si="117"/>
        <v>-23.136207248044176</v>
      </c>
      <c r="BA136" s="95">
        <f t="shared" si="118"/>
        <v>-1.8199004465775115</v>
      </c>
      <c r="BB136" s="64">
        <f t="shared" si="119"/>
        <v>-4.744974242733091E-2</v>
      </c>
      <c r="BC136" s="95">
        <f t="shared" si="120"/>
        <v>-2.0176924925619923</v>
      </c>
      <c r="BD136" s="96">
        <f t="shared" si="121"/>
        <v>-5.2606717718912434E-2</v>
      </c>
      <c r="BE136" s="96">
        <f t="shared" si="122"/>
        <v>-1.8199004465775115</v>
      </c>
      <c r="BF136" s="96">
        <f t="shared" si="123"/>
        <v>-4.744974242733091E-2</v>
      </c>
      <c r="BG136" s="15">
        <f t="shared" si="166"/>
        <v>-188.90041333777936</v>
      </c>
      <c r="BH136" s="46">
        <f>(SUMPRODUCT(BE137:BE$605,$I136:$I$604)+SUMPRODUCT(BF137:BF$605,$I137:$I$605)) / $I136</f>
        <v>-170.38272574210845</v>
      </c>
      <c r="BJ136" s="46">
        <f t="shared" si="124"/>
        <v>-1.8199004465775115</v>
      </c>
      <c r="BK136" s="46">
        <f t="shared" si="125"/>
        <v>-95.420307409693876</v>
      </c>
      <c r="BM136" s="49">
        <f t="shared" si="167"/>
        <v>5423.1126431180128</v>
      </c>
      <c r="BN136" s="46">
        <f t="shared" si="126"/>
        <v>4880.3690342484815</v>
      </c>
      <c r="BP136" s="46">
        <f>Reserve!BX136</f>
        <v>7116.6307489492738</v>
      </c>
      <c r="BQ136" s="46">
        <f t="shared" si="141"/>
        <v>6404.4003178557641</v>
      </c>
      <c r="BR136" s="15">
        <f t="shared" si="168"/>
        <v>99.881069708064388</v>
      </c>
      <c r="BT136" s="49">
        <f t="shared" si="169"/>
        <v>32.352249304659161</v>
      </c>
      <c r="BU136" s="46">
        <f t="shared" si="142"/>
        <v>29.180795970834591</v>
      </c>
      <c r="BV136" s="46">
        <f>SUMPRODUCT(BU137:BU$605, $I137:$I$605) / $I136</f>
        <v>757.22718221326181</v>
      </c>
      <c r="BX136" s="46">
        <f>-BZ136*Others!$Q$43</f>
        <v>-8.1463444025926641</v>
      </c>
      <c r="BZ136" s="50">
        <f t="shared" si="127"/>
        <v>31.821657822627596</v>
      </c>
      <c r="CA136" s="46">
        <f t="shared" si="170"/>
        <v>23.675313420034932</v>
      </c>
      <c r="CB136" s="46">
        <f t="shared" si="143"/>
        <v>23.675313420034932</v>
      </c>
      <c r="CD136" s="46">
        <f>SUMPRODUCT(BZ137:BZ$605, $I137:$I$605) / $I136</f>
        <v>1524.0312836072826</v>
      </c>
      <c r="CE136" s="46">
        <f>SUMPRODUCT(CA137:CA$605, $I137:$I$605) / $I136</f>
        <v>1133.8792750038174</v>
      </c>
      <c r="CF136" s="46">
        <f>SUMPRODUCT(CB137:CB$605, $I137:$I$605) / $I136</f>
        <v>1133.8792750038174</v>
      </c>
      <c r="CH136" s="46">
        <f t="shared" si="144"/>
        <v>39883.369251050724</v>
      </c>
      <c r="CI136" s="46">
        <f t="shared" si="145"/>
        <v>2189.3692510507262</v>
      </c>
      <c r="CK136" s="46">
        <f>NPV((1+CK$3)^(1/12)-1,$CB$6:$CB136)+$CB$5</f>
        <v>561.83765423493401</v>
      </c>
      <c r="CL136" s="46">
        <f>NPV((1+CL$3)^(1/12)-1,$CB$6:$CB136)+$CB$5</f>
        <v>407.98450173325</v>
      </c>
      <c r="CM136" s="46">
        <f>NPV((1+CM$3)^(1/12)-1,$CB$6:$CB136)+$CB$5</f>
        <v>119.66115281894508</v>
      </c>
      <c r="CN136" s="46">
        <f>NPV((1+CN$3)^(1/12)-1,$CB$6:$CB136)+$CB$5</f>
        <v>119.66115281894508</v>
      </c>
    </row>
    <row r="137" spans="1:92" x14ac:dyDescent="0.25">
      <c r="A137" s="61">
        <f t="shared" si="128"/>
        <v>11.000000000000009</v>
      </c>
      <c r="B137" s="32">
        <f t="shared" si="146"/>
        <v>12</v>
      </c>
      <c r="C137" s="62">
        <f t="shared" si="147"/>
        <v>11</v>
      </c>
      <c r="D137" s="64">
        <f t="shared" si="148"/>
        <v>11.500000000000009</v>
      </c>
      <c r="E137" s="28">
        <f t="shared" si="129"/>
        <v>11</v>
      </c>
      <c r="G137" s="68">
        <f>INDEX(Others!$D$11:$E$60, MATCH(C137, Others!$A$11:$A$60, 0), MATCH(G$3, Others!$D$10:$E$10, 0))</f>
        <v>5.5201107113974412E-2</v>
      </c>
      <c r="H137" s="16">
        <f t="shared" si="114"/>
        <v>4.4876537952047713E-3</v>
      </c>
      <c r="I137" s="69">
        <f t="shared" si="115"/>
        <v>0.64485286100185213</v>
      </c>
      <c r="K137" s="80">
        <f>INDEX(Mortality!$B$7:$F$32, MATCH( E137,Mortality!$A$7:$A$32, 0), MATCH( K$3,Mortality!$B$6:$F$6,0))</f>
        <v>0.36000000000000004</v>
      </c>
      <c r="L137" s="11">
        <f t="shared" si="130"/>
        <v>0</v>
      </c>
      <c r="M137" s="80">
        <f t="shared" si="149"/>
        <v>0.36000000000000004</v>
      </c>
      <c r="N137" s="76">
        <f>INDEX(Myopia!$H:$H, MATCH(E137, Myopia!$A:$A, 0)) * Trend_Factor^(A137)</f>
        <v>26.926205338964103</v>
      </c>
      <c r="O137" s="11">
        <f t="shared" si="131"/>
        <v>0</v>
      </c>
      <c r="P137" s="80">
        <f t="shared" si="150"/>
        <v>26.926205338964103</v>
      </c>
      <c r="Q137" s="76">
        <f>VLOOKUP(C137,Others!$L$10:$M$61,2)</f>
        <v>0</v>
      </c>
      <c r="R137" s="11">
        <f t="shared" si="132"/>
        <v>0</v>
      </c>
      <c r="S137" s="80">
        <f t="shared" si="151"/>
        <v>0</v>
      </c>
      <c r="T137" s="78">
        <f t="shared" si="152"/>
        <v>3.0000000000000001E-5</v>
      </c>
      <c r="U137" s="81">
        <f t="shared" si="153"/>
        <v>2.2438504449136753E-3</v>
      </c>
      <c r="V137" s="81">
        <f t="shared" si="154"/>
        <v>0</v>
      </c>
      <c r="W137" s="77">
        <f t="shared" si="133"/>
        <v>0.89992027741517067</v>
      </c>
      <c r="X137" s="82">
        <f t="shared" si="155"/>
        <v>2.696731902473215E-5</v>
      </c>
      <c r="Y137" s="82">
        <f t="shared" si="156"/>
        <v>2.0192562255671458E-3</v>
      </c>
      <c r="Z137" s="82">
        <f t="shared" si="157"/>
        <v>0</v>
      </c>
      <c r="AA137" s="82">
        <f t="shared" si="158"/>
        <v>0.89787405387057884</v>
      </c>
      <c r="AC137" s="46">
        <f t="shared" si="134"/>
        <v>0</v>
      </c>
      <c r="AD137" s="15">
        <f t="shared" si="135"/>
        <v>0</v>
      </c>
      <c r="AE137" s="46">
        <f t="shared" si="159"/>
        <v>0</v>
      </c>
      <c r="AF137" s="15">
        <f t="shared" si="160"/>
        <v>0</v>
      </c>
      <c r="AG137" s="46">
        <f>SUMPRODUCT(AE138:AE$605, $I137:$I$604) / $I137</f>
        <v>0</v>
      </c>
      <c r="AI137" s="46">
        <f t="shared" si="136"/>
        <v>-47000</v>
      </c>
      <c r="AJ137" s="46">
        <f>IF(E137&gt;Mat_Year,0,  -SUM($AD$5:AD137))</f>
        <v>-9306</v>
      </c>
      <c r="AK137" s="24">
        <f t="shared" si="161"/>
        <v>-0.25095787084415738</v>
      </c>
      <c r="AL137" s="79">
        <f t="shared" si="162"/>
        <v>-94.90504260165585</v>
      </c>
      <c r="AM137" s="24">
        <f t="shared" si="163"/>
        <v>-105.73825577729546</v>
      </c>
      <c r="AN137" s="79">
        <f t="shared" si="164"/>
        <v>-95.156000472500011</v>
      </c>
      <c r="AO137" s="15">
        <f t="shared" si="165"/>
        <v>-5151.5308770266129</v>
      </c>
      <c r="AP137" s="46">
        <f>SUMPRODUCT(AN138:AN$605, $I138:$I$605) / $I137</f>
        <v>-4635.9670959666073</v>
      </c>
      <c r="AR137" s="46">
        <v>0</v>
      </c>
      <c r="AS137" s="46">
        <v>0</v>
      </c>
      <c r="AT137" s="46">
        <v>0</v>
      </c>
      <c r="AU137" s="95">
        <f t="shared" si="137"/>
        <v>-2.0199484715432012</v>
      </c>
      <c r="AV137" s="47">
        <f t="shared" si="138"/>
        <v>0</v>
      </c>
      <c r="AW137" s="96">
        <f t="shared" si="116"/>
        <v>-2.0199484715432012</v>
      </c>
      <c r="AX137" s="95">
        <f t="shared" si="139"/>
        <v>-23.162075807028707</v>
      </c>
      <c r="AY137" s="11">
        <f t="shared" si="140"/>
        <v>0</v>
      </c>
      <c r="AZ137" s="96">
        <f t="shared" si="117"/>
        <v>-23.162075807028707</v>
      </c>
      <c r="BA137" s="95">
        <f t="shared" si="118"/>
        <v>-1.8177925888755075</v>
      </c>
      <c r="BB137" s="64">
        <f t="shared" si="119"/>
        <v>-4.7394784857964063E-2</v>
      </c>
      <c r="BC137" s="95">
        <f t="shared" si="120"/>
        <v>-2.0199484715432012</v>
      </c>
      <c r="BD137" s="96">
        <f t="shared" si="121"/>
        <v>-5.266553721191336E-2</v>
      </c>
      <c r="BE137" s="96">
        <f t="shared" si="122"/>
        <v>-1.8177925888755075</v>
      </c>
      <c r="BF137" s="96">
        <f t="shared" si="123"/>
        <v>-4.7394784857964063E-2</v>
      </c>
      <c r="BG137" s="15">
        <f t="shared" si="166"/>
        <v>-188.09888351063947</v>
      </c>
      <c r="BH137" s="46">
        <f>(SUMPRODUCT(BE138:BE$605,$I137:$I$604)+SUMPRODUCT(BF138:BF$605,$I138:$I$605)) / $I137</f>
        <v>-169.27399943037855</v>
      </c>
      <c r="BJ137" s="46">
        <f t="shared" si="124"/>
        <v>-1.8177925888755075</v>
      </c>
      <c r="BK137" s="46">
        <f t="shared" si="125"/>
        <v>-95.203395257357968</v>
      </c>
      <c r="BM137" s="49">
        <f t="shared" si="167"/>
        <v>5351.7985898828738</v>
      </c>
      <c r="BN137" s="46">
        <f t="shared" si="126"/>
        <v>4805.2410953969829</v>
      </c>
      <c r="BP137" s="46">
        <f>Reserve!BX137</f>
        <v>7021.4699823253723</v>
      </c>
      <c r="BQ137" s="46">
        <f t="shared" si="141"/>
        <v>6304.3957171610637</v>
      </c>
      <c r="BR137" s="15">
        <f t="shared" si="168"/>
        <v>100.00460069470046</v>
      </c>
      <c r="BT137" s="49">
        <f t="shared" si="169"/>
        <v>31.927910160168739</v>
      </c>
      <c r="BU137" s="46">
        <f t="shared" si="142"/>
        <v>28.732573768625699</v>
      </c>
      <c r="BV137" s="46">
        <f>SUMPRODUCT(BU138:BU$605, $I138:$I$605) / $I137</f>
        <v>731.89278188272783</v>
      </c>
      <c r="BX137" s="46">
        <f>-BZ137*Others!$Q$43</f>
        <v>-8.1192925739757271</v>
      </c>
      <c r="BZ137" s="50">
        <f t="shared" si="127"/>
        <v>31.715986617092682</v>
      </c>
      <c r="CA137" s="46">
        <f t="shared" si="170"/>
        <v>23.596694043116955</v>
      </c>
      <c r="CB137" s="46">
        <f t="shared" si="143"/>
        <v>23.596694043116955</v>
      </c>
      <c r="CD137" s="46">
        <f>SUMPRODUCT(BZ138:BZ$605, $I138:$I$605) / $I137</f>
        <v>1499.1546217640805</v>
      </c>
      <c r="CE137" s="46">
        <f>SUMPRODUCT(CA138:CA$605, $I138:$I$605) / $I137</f>
        <v>1115.3710385924753</v>
      </c>
      <c r="CF137" s="46">
        <f>SUMPRODUCT(CB138:CB$605, $I138:$I$605) / $I137</f>
        <v>1115.3710385924753</v>
      </c>
      <c r="CH137" s="46">
        <f t="shared" si="144"/>
        <v>39978.530017674624</v>
      </c>
      <c r="CI137" s="46">
        <f t="shared" si="145"/>
        <v>2284.5300176746277</v>
      </c>
      <c r="CK137" s="46">
        <f>NPV((1+CK$3)^(1/12)-1,$CB$6:$CB137)+$CB$5</f>
        <v>578.88440806907283</v>
      </c>
      <c r="CL137" s="46">
        <f>NPV((1+CL$3)^(1/12)-1,$CB$6:$CB137)+$CB$5</f>
        <v>421.7810000311697</v>
      </c>
      <c r="CM137" s="46">
        <f>NPV((1+CM$3)^(1/12)-1,$CB$6:$CB137)+$CB$5</f>
        <v>127.93165012898658</v>
      </c>
      <c r="CN137" s="46">
        <f>NPV((1+CN$3)^(1/12)-1,$CB$6:$CB137)+$CB$5</f>
        <v>127.93165012898658</v>
      </c>
    </row>
    <row r="138" spans="1:92" x14ac:dyDescent="0.25">
      <c r="A138" s="61">
        <f t="shared" si="128"/>
        <v>11.083333333333343</v>
      </c>
      <c r="B138" s="32">
        <f t="shared" si="146"/>
        <v>1</v>
      </c>
      <c r="C138" s="62">
        <f t="shared" si="147"/>
        <v>12</v>
      </c>
      <c r="D138" s="64">
        <f t="shared" si="148"/>
        <v>11.583333333333343</v>
      </c>
      <c r="E138" s="28">
        <f t="shared" si="129"/>
        <v>11</v>
      </c>
      <c r="G138" s="68">
        <f>INDEX(Others!$D$11:$E$60, MATCH(C138, Others!$A$11:$A$60, 0), MATCH(G$3, Others!$D$10:$E$10, 0))</f>
        <v>4.0690909090909333E-2</v>
      </c>
      <c r="H138" s="16">
        <f t="shared" ref="H138:H201" si="171">(1+G138)^(1/12) - 1</f>
        <v>3.329265421250005E-3</v>
      </c>
      <c r="I138" s="69">
        <f t="shared" ref="I138:I201" si="172">I137/(1+H138)</f>
        <v>0.64271309850720759</v>
      </c>
      <c r="K138" s="80">
        <f>INDEX(Mortality!$B$7:$F$32, MATCH( E138,Mortality!$A$7:$A$32, 0), MATCH( K$3,Mortality!$B$6:$F$6,0))</f>
        <v>0.36000000000000004</v>
      </c>
      <c r="L138" s="11">
        <f t="shared" si="130"/>
        <v>0</v>
      </c>
      <c r="M138" s="80">
        <f t="shared" si="149"/>
        <v>0.36000000000000004</v>
      </c>
      <c r="N138" s="76">
        <f>INDEX(Myopia!$H:$H, MATCH(E138, Myopia!$A:$A, 0)) * Trend_Factor^(A138)</f>
        <v>26.926205338964103</v>
      </c>
      <c r="O138" s="11">
        <f t="shared" si="131"/>
        <v>0</v>
      </c>
      <c r="P138" s="80">
        <f t="shared" si="150"/>
        <v>26.926205338964103</v>
      </c>
      <c r="Q138" s="76">
        <f>VLOOKUP(C138,Others!$L$10:$M$61,2)</f>
        <v>0</v>
      </c>
      <c r="R138" s="11">
        <f t="shared" si="132"/>
        <v>0</v>
      </c>
      <c r="S138" s="80">
        <f t="shared" si="151"/>
        <v>0</v>
      </c>
      <c r="T138" s="78">
        <f t="shared" si="152"/>
        <v>3.0000000000000001E-5</v>
      </c>
      <c r="U138" s="81">
        <f t="shared" si="153"/>
        <v>2.2438504449136753E-3</v>
      </c>
      <c r="V138" s="81">
        <f t="shared" si="154"/>
        <v>0</v>
      </c>
      <c r="W138" s="77">
        <f t="shared" si="133"/>
        <v>0.89787405387057884</v>
      </c>
      <c r="X138" s="82">
        <f t="shared" si="155"/>
        <v>2.6906001189688559E-5</v>
      </c>
      <c r="Y138" s="82">
        <f t="shared" si="156"/>
        <v>2.0146648748275149E-3</v>
      </c>
      <c r="Z138" s="82">
        <f t="shared" si="157"/>
        <v>0</v>
      </c>
      <c r="AA138" s="82">
        <f t="shared" si="158"/>
        <v>0.89583248299456164</v>
      </c>
      <c r="AC138" s="46">
        <f t="shared" si="134"/>
        <v>0</v>
      </c>
      <c r="AD138" s="15">
        <f t="shared" si="135"/>
        <v>0</v>
      </c>
      <c r="AE138" s="46">
        <f t="shared" si="159"/>
        <v>0</v>
      </c>
      <c r="AF138" s="15">
        <f t="shared" si="160"/>
        <v>0</v>
      </c>
      <c r="AG138" s="46">
        <f>SUMPRODUCT(AE139:AE$605, $I138:$I$604) / $I138</f>
        <v>0</v>
      </c>
      <c r="AI138" s="46">
        <f t="shared" si="136"/>
        <v>-47000</v>
      </c>
      <c r="AJ138" s="46">
        <f>IF(E138&gt;Mat_Year,0,  -SUM($AD$5:AD138))</f>
        <v>-9306</v>
      </c>
      <c r="AK138" s="24">
        <f t="shared" si="161"/>
        <v>-0.25038724707124171</v>
      </c>
      <c r="AL138" s="79">
        <f t="shared" si="162"/>
        <v>-94.689249116893194</v>
      </c>
      <c r="AM138" s="24">
        <f t="shared" si="163"/>
        <v>-105.73825577729548</v>
      </c>
      <c r="AN138" s="79">
        <f t="shared" si="164"/>
        <v>-94.939636363964439</v>
      </c>
      <c r="AO138" s="15">
        <f t="shared" si="165"/>
        <v>-5074.7226795419501</v>
      </c>
      <c r="AP138" s="46">
        <f>SUMPRODUCT(AN139:AN$605, $I139:$I$605) / $I138</f>
        <v>-4556.4618245492975</v>
      </c>
      <c r="AR138" s="46">
        <v>0</v>
      </c>
      <c r="AS138" s="46">
        <v>0</v>
      </c>
      <c r="AT138" s="46">
        <v>0</v>
      </c>
      <c r="AU138" s="95">
        <f t="shared" si="137"/>
        <v>-2.0222069729311603</v>
      </c>
      <c r="AV138" s="47">
        <f t="shared" si="138"/>
        <v>0</v>
      </c>
      <c r="AW138" s="96">
        <f t="shared" si="116"/>
        <v>-2.0222069729311603</v>
      </c>
      <c r="AX138" s="95">
        <f t="shared" si="139"/>
        <v>-23.187973289610635</v>
      </c>
      <c r="AY138" s="11">
        <f t="shared" si="140"/>
        <v>0</v>
      </c>
      <c r="AZ138" s="96">
        <f t="shared" si="117"/>
        <v>-23.187973289610635</v>
      </c>
      <c r="BA138" s="95">
        <f t="shared" si="118"/>
        <v>-1.8156871725510528</v>
      </c>
      <c r="BB138" s="64">
        <f t="shared" si="119"/>
        <v>-4.7339890941933901E-2</v>
      </c>
      <c r="BC138" s="95">
        <f t="shared" si="120"/>
        <v>-2.0222069729311603</v>
      </c>
      <c r="BD138" s="96">
        <f t="shared" si="121"/>
        <v>-5.2724422470902088E-2</v>
      </c>
      <c r="BE138" s="96">
        <f t="shared" si="122"/>
        <v>-1.8156871725510528</v>
      </c>
      <c r="BF138" s="96">
        <f t="shared" si="123"/>
        <v>-4.7339890941933901E-2</v>
      </c>
      <c r="BG138" s="15">
        <f t="shared" si="166"/>
        <v>-187.07354869127076</v>
      </c>
      <c r="BH138" s="46">
        <f>(SUMPRODUCT(BE139:BE$605,$I138:$I$604)+SUMPRODUCT(BF139:BF$605,$I139:$I$605)) / $I138</f>
        <v>-167.96848553538641</v>
      </c>
      <c r="BJ138" s="46">
        <f t="shared" si="124"/>
        <v>-1.8156871725510528</v>
      </c>
      <c r="BK138" s="46">
        <f t="shared" si="125"/>
        <v>-94.986976254906367</v>
      </c>
      <c r="BM138" s="49">
        <f t="shared" si="167"/>
        <v>5273.7876776827725</v>
      </c>
      <c r="BN138" s="46">
        <f t="shared" si="126"/>
        <v>4724.430310084681</v>
      </c>
      <c r="BP138" s="46">
        <f>Reserve!BX138</f>
        <v>6919.5184550991535</v>
      </c>
      <c r="BQ138" s="46">
        <f t="shared" si="141"/>
        <v>6198.7293987581679</v>
      </c>
      <c r="BR138" s="15">
        <f t="shared" si="168"/>
        <v>105.66631840289574</v>
      </c>
      <c r="BT138" s="49">
        <f t="shared" si="169"/>
        <v>23.369604754751155</v>
      </c>
      <c r="BU138" s="46">
        <f t="shared" si="142"/>
        <v>20.982961758501574</v>
      </c>
      <c r="BV138" s="46">
        <f>SUMPRODUCT(BU139:BU$605, $I139:$I$605) / $I138</f>
        <v>713.34648545501091</v>
      </c>
      <c r="BX138" s="46">
        <f>-BZ138*Others!$Q$43</f>
        <v>-7.6407338838886139</v>
      </c>
      <c r="BZ138" s="50">
        <f t="shared" si="127"/>
        <v>29.846616733939896</v>
      </c>
      <c r="CA138" s="46">
        <f t="shared" si="170"/>
        <v>22.205882850051282</v>
      </c>
      <c r="CB138" s="46">
        <f t="shared" si="143"/>
        <v>22.205882850051282</v>
      </c>
      <c r="CD138" s="46">
        <f>SUMPRODUCT(BZ139:BZ$605, $I139:$I$605) / $I138</f>
        <v>1474.2990886734872</v>
      </c>
      <c r="CE138" s="46">
        <f>SUMPRODUCT(CA139:CA$605, $I139:$I$605) / $I138</f>
        <v>1096.8785219730735</v>
      </c>
      <c r="CF138" s="46">
        <f>SUMPRODUCT(CB139:CB$605, $I139:$I$605) / $I138</f>
        <v>1096.8785219730735</v>
      </c>
      <c r="CH138" s="46">
        <f t="shared" si="144"/>
        <v>40080.481544900846</v>
      </c>
      <c r="CI138" s="46">
        <f t="shared" si="145"/>
        <v>2386.4815449008465</v>
      </c>
      <c r="CK138" s="46">
        <f>NPV((1+CK$3)^(1/12)-1,$CB$6:$CB138)+$CB$5</f>
        <v>594.88694373561475</v>
      </c>
      <c r="CL138" s="46">
        <f>NPV((1+CL$3)^(1/12)-1,$CB$6:$CB138)+$CB$5</f>
        <v>434.71163880650192</v>
      </c>
      <c r="CM138" s="46">
        <f>NPV((1+CM$3)^(1/12)-1,$CB$6:$CB138)+$CB$5</f>
        <v>135.65310463795811</v>
      </c>
      <c r="CN138" s="46">
        <f>NPV((1+CN$3)^(1/12)-1,$CB$6:$CB138)+$CB$5</f>
        <v>135.65310463795811</v>
      </c>
    </row>
    <row r="139" spans="1:92" x14ac:dyDescent="0.25">
      <c r="A139" s="61">
        <f t="shared" si="128"/>
        <v>11.166666666666677</v>
      </c>
      <c r="B139" s="32">
        <f t="shared" si="146"/>
        <v>2</v>
      </c>
      <c r="C139" s="62">
        <f t="shared" si="147"/>
        <v>12</v>
      </c>
      <c r="D139" s="64">
        <f t="shared" si="148"/>
        <v>11.666666666666677</v>
      </c>
      <c r="E139" s="28">
        <f t="shared" si="129"/>
        <v>11</v>
      </c>
      <c r="G139" s="68">
        <f>INDEX(Others!$D$11:$E$60, MATCH(C139, Others!$A$11:$A$60, 0), MATCH(G$3, Others!$D$10:$E$10, 0))</f>
        <v>4.0690909090909333E-2</v>
      </c>
      <c r="H139" s="16">
        <f t="shared" si="171"/>
        <v>3.329265421250005E-3</v>
      </c>
      <c r="I139" s="69">
        <f t="shared" si="172"/>
        <v>0.64058043621139971</v>
      </c>
      <c r="K139" s="80">
        <f>INDEX(Mortality!$B$7:$F$32, MATCH( E139,Mortality!$A$7:$A$32, 0), MATCH( K$3,Mortality!$B$6:$F$6,0))</f>
        <v>0.36000000000000004</v>
      </c>
      <c r="L139" s="11">
        <f t="shared" si="130"/>
        <v>0</v>
      </c>
      <c r="M139" s="80">
        <f t="shared" si="149"/>
        <v>0.36000000000000004</v>
      </c>
      <c r="N139" s="76">
        <f>INDEX(Myopia!$H:$H, MATCH(E139, Myopia!$A:$A, 0)) * Trend_Factor^(A139)</f>
        <v>26.926205338964103</v>
      </c>
      <c r="O139" s="11">
        <f t="shared" si="131"/>
        <v>0</v>
      </c>
      <c r="P139" s="80">
        <f t="shared" si="150"/>
        <v>26.926205338964103</v>
      </c>
      <c r="Q139" s="76">
        <f>VLOOKUP(C139,Others!$L$10:$M$61,2)</f>
        <v>0</v>
      </c>
      <c r="R139" s="11">
        <f t="shared" si="132"/>
        <v>0</v>
      </c>
      <c r="S139" s="80">
        <f t="shared" si="151"/>
        <v>0</v>
      </c>
      <c r="T139" s="78">
        <f t="shared" si="152"/>
        <v>3.0000000000000001E-5</v>
      </c>
      <c r="U139" s="81">
        <f t="shared" si="153"/>
        <v>2.2438504449136753E-3</v>
      </c>
      <c r="V139" s="81">
        <f t="shared" si="154"/>
        <v>0</v>
      </c>
      <c r="W139" s="77">
        <f t="shared" si="133"/>
        <v>0.89583248299456164</v>
      </c>
      <c r="X139" s="82">
        <f t="shared" si="155"/>
        <v>2.6844822778103819E-5</v>
      </c>
      <c r="Y139" s="82">
        <f t="shared" si="156"/>
        <v>2.0100839638237367E-3</v>
      </c>
      <c r="Z139" s="82">
        <f t="shared" si="157"/>
        <v>0</v>
      </c>
      <c r="AA139" s="82">
        <f t="shared" si="158"/>
        <v>0.89379555420795975</v>
      </c>
      <c r="AC139" s="46">
        <f t="shared" si="134"/>
        <v>0</v>
      </c>
      <c r="AD139" s="15">
        <f t="shared" si="135"/>
        <v>0</v>
      </c>
      <c r="AE139" s="46">
        <f t="shared" si="159"/>
        <v>0</v>
      </c>
      <c r="AF139" s="15">
        <f t="shared" si="160"/>
        <v>0</v>
      </c>
      <c r="AG139" s="46">
        <f>SUMPRODUCT(AE140:AE$605, $I139:$I$604) / $I139</f>
        <v>0</v>
      </c>
      <c r="AI139" s="46">
        <f t="shared" si="136"/>
        <v>-47000</v>
      </c>
      <c r="AJ139" s="46">
        <f>IF(E139&gt;Mat_Year,0,  -SUM($AD$5:AD139))</f>
        <v>-9306</v>
      </c>
      <c r="AK139" s="24">
        <f t="shared" si="161"/>
        <v>-0.24981792077303414</v>
      </c>
      <c r="AL139" s="79">
        <f t="shared" si="162"/>
        <v>-94.473946299715621</v>
      </c>
      <c r="AM139" s="24">
        <f t="shared" si="163"/>
        <v>-105.73825577729548</v>
      </c>
      <c r="AN139" s="79">
        <f t="shared" si="164"/>
        <v>-94.723764220488661</v>
      </c>
      <c r="AO139" s="15">
        <f t="shared" si="165"/>
        <v>-4997.4831412221793</v>
      </c>
      <c r="AP139" s="46">
        <f>SUMPRODUCT(AN140:AN$605, $I140:$I$605) / $I139</f>
        <v>-4476.9077311245264</v>
      </c>
      <c r="AR139" s="46">
        <v>0</v>
      </c>
      <c r="AS139" s="46">
        <v>0</v>
      </c>
      <c r="AT139" s="46">
        <v>0</v>
      </c>
      <c r="AU139" s="95">
        <f t="shared" si="137"/>
        <v>-2.0244679995461694</v>
      </c>
      <c r="AV139" s="47">
        <f t="shared" si="138"/>
        <v>0</v>
      </c>
      <c r="AW139" s="96">
        <f t="shared" si="116"/>
        <v>-2.0244679995461694</v>
      </c>
      <c r="AX139" s="95">
        <f t="shared" si="139"/>
        <v>-23.213899728129409</v>
      </c>
      <c r="AY139" s="11">
        <f t="shared" si="140"/>
        <v>0</v>
      </c>
      <c r="AZ139" s="96">
        <f t="shared" si="117"/>
        <v>-23.213899728129409</v>
      </c>
      <c r="BA139" s="95">
        <f t="shared" si="118"/>
        <v>-1.8135841947764779</v>
      </c>
      <c r="BB139" s="64">
        <f t="shared" si="119"/>
        <v>-4.7285060605515433E-2</v>
      </c>
      <c r="BC139" s="95">
        <f t="shared" si="120"/>
        <v>-2.0244679995461694</v>
      </c>
      <c r="BD139" s="96">
        <f t="shared" si="121"/>
        <v>-5.2783373569411512E-2</v>
      </c>
      <c r="BE139" s="96">
        <f t="shared" si="122"/>
        <v>-1.8135841947764779</v>
      </c>
      <c r="BF139" s="96">
        <f t="shared" si="123"/>
        <v>-4.7285060605515433E-2</v>
      </c>
      <c r="BG139" s="15">
        <f t="shared" si="166"/>
        <v>-186.04012827320162</v>
      </c>
      <c r="BH139" s="46">
        <f>(SUMPRODUCT(BE140:BE$605,$I139:$I$604)+SUMPRODUCT(BF140:BF$605,$I140:$I$605)) / $I139</f>
        <v>-166.66079004760894</v>
      </c>
      <c r="BJ139" s="46">
        <f t="shared" si="124"/>
        <v>-1.8135841947764779</v>
      </c>
      <c r="BK139" s="46">
        <f t="shared" si="125"/>
        <v>-94.771049281094179</v>
      </c>
      <c r="BM139" s="49">
        <f t="shared" si="167"/>
        <v>5195.3363376113984</v>
      </c>
      <c r="BN139" s="46">
        <f t="shared" si="126"/>
        <v>4643.568521172132</v>
      </c>
      <c r="BP139" s="46">
        <f>Reserve!BX139</f>
        <v>6817.0036654306577</v>
      </c>
      <c r="BQ139" s="46">
        <f t="shared" si="141"/>
        <v>6093.0075691812881</v>
      </c>
      <c r="BR139" s="15">
        <f t="shared" si="168"/>
        <v>105.72182957687983</v>
      </c>
      <c r="BT139" s="49">
        <f t="shared" si="169"/>
        <v>23.030173532955548</v>
      </c>
      <c r="BU139" s="46">
        <f t="shared" si="142"/>
        <v>20.631177539823206</v>
      </c>
      <c r="BV139" s="46">
        <f>SUMPRODUCT(BU140:BU$605, $I140:$I$605) / $I139</f>
        <v>695.09022770258332</v>
      </c>
      <c r="BX139" s="46">
        <f>-BZ139*Others!$Q$43</f>
        <v>-7.6207036520530878</v>
      </c>
      <c r="BZ139" s="50">
        <f t="shared" si="127"/>
        <v>29.768373640832372</v>
      </c>
      <c r="CA139" s="46">
        <f t="shared" si="170"/>
        <v>22.147669988779285</v>
      </c>
      <c r="CB139" s="46">
        <f t="shared" si="143"/>
        <v>22.147669988779285</v>
      </c>
      <c r="CD139" s="46">
        <f>SUMPRODUCT(BZ140:BZ$605, $I140:$I$605) / $I139</f>
        <v>1449.4390480091558</v>
      </c>
      <c r="CE139" s="46">
        <f>SUMPRODUCT(CA140:CA$605, $I140:$I$605) / $I139</f>
        <v>1078.3826517188111</v>
      </c>
      <c r="CF139" s="46">
        <f>SUMPRODUCT(CB140:CB$605, $I140:$I$605) / $I139</f>
        <v>1078.3826517188111</v>
      </c>
      <c r="CH139" s="46">
        <f t="shared" si="144"/>
        <v>40182.99633456934</v>
      </c>
      <c r="CI139" s="46">
        <f t="shared" si="145"/>
        <v>2488.9963345693423</v>
      </c>
      <c r="CK139" s="46">
        <f>NPV((1+CK$3)^(1/12)-1,$CB$6:$CB139)+$CB$5</f>
        <v>610.80826238753639</v>
      </c>
      <c r="CL139" s="46">
        <f>NPV((1+CL$3)^(1/12)-1,$CB$6:$CB139)+$CB$5</f>
        <v>447.55605010954582</v>
      </c>
      <c r="CM139" s="46">
        <f>NPV((1+CM$3)^(1/12)-1,$CB$6:$CB139)+$CB$5</f>
        <v>143.2933925765293</v>
      </c>
      <c r="CN139" s="46">
        <f>NPV((1+CN$3)^(1/12)-1,$CB$6:$CB139)+$CB$5</f>
        <v>143.2933925765293</v>
      </c>
    </row>
    <row r="140" spans="1:92" x14ac:dyDescent="0.25">
      <c r="A140" s="61">
        <f t="shared" si="128"/>
        <v>11.250000000000011</v>
      </c>
      <c r="B140" s="32">
        <f t="shared" si="146"/>
        <v>3</v>
      </c>
      <c r="C140" s="62">
        <f t="shared" si="147"/>
        <v>12</v>
      </c>
      <c r="D140" s="64">
        <f t="shared" si="148"/>
        <v>11.750000000000011</v>
      </c>
      <c r="E140" s="28">
        <f t="shared" si="129"/>
        <v>11</v>
      </c>
      <c r="G140" s="68">
        <f>INDEX(Others!$D$11:$E$60, MATCH(C140, Others!$A$11:$A$60, 0), MATCH(G$3, Others!$D$10:$E$10, 0))</f>
        <v>4.0690909090909333E-2</v>
      </c>
      <c r="H140" s="16">
        <f t="shared" si="171"/>
        <v>3.329265421250005E-3</v>
      </c>
      <c r="I140" s="69">
        <f t="shared" si="172"/>
        <v>0.63845485055441953</v>
      </c>
      <c r="K140" s="80">
        <f>INDEX(Mortality!$B$7:$F$32, MATCH( E140,Mortality!$A$7:$A$32, 0), MATCH( K$3,Mortality!$B$6:$F$6,0))</f>
        <v>0.36000000000000004</v>
      </c>
      <c r="L140" s="11">
        <f t="shared" si="130"/>
        <v>0</v>
      </c>
      <c r="M140" s="80">
        <f t="shared" si="149"/>
        <v>0.36000000000000004</v>
      </c>
      <c r="N140" s="76">
        <f>INDEX(Myopia!$H:$H, MATCH(E140, Myopia!$A:$A, 0)) * Trend_Factor^(A140)</f>
        <v>26.926205338964103</v>
      </c>
      <c r="O140" s="11">
        <f t="shared" si="131"/>
        <v>0</v>
      </c>
      <c r="P140" s="80">
        <f t="shared" si="150"/>
        <v>26.926205338964103</v>
      </c>
      <c r="Q140" s="76">
        <f>VLOOKUP(C140,Others!$L$10:$M$61,2)</f>
        <v>0</v>
      </c>
      <c r="R140" s="11">
        <f t="shared" si="132"/>
        <v>0</v>
      </c>
      <c r="S140" s="80">
        <f t="shared" si="151"/>
        <v>0</v>
      </c>
      <c r="T140" s="78">
        <f t="shared" si="152"/>
        <v>3.0000000000000001E-5</v>
      </c>
      <c r="U140" s="81">
        <f t="shared" si="153"/>
        <v>2.2438504449136753E-3</v>
      </c>
      <c r="V140" s="81">
        <f t="shared" si="154"/>
        <v>0</v>
      </c>
      <c r="W140" s="77">
        <f t="shared" si="133"/>
        <v>0.89379555420795975</v>
      </c>
      <c r="X140" s="82">
        <f t="shared" si="155"/>
        <v>2.6783783472959226E-5</v>
      </c>
      <c r="Y140" s="82">
        <f t="shared" si="156"/>
        <v>2.0055134688181158E-3</v>
      </c>
      <c r="Z140" s="82">
        <f t="shared" si="157"/>
        <v>0</v>
      </c>
      <c r="AA140" s="82">
        <f t="shared" si="158"/>
        <v>0.89176325695566871</v>
      </c>
      <c r="AC140" s="46">
        <f t="shared" si="134"/>
        <v>0</v>
      </c>
      <c r="AD140" s="15">
        <f t="shared" si="135"/>
        <v>0</v>
      </c>
      <c r="AE140" s="46">
        <f t="shared" si="159"/>
        <v>0</v>
      </c>
      <c r="AF140" s="15">
        <f t="shared" si="160"/>
        <v>0</v>
      </c>
      <c r="AG140" s="46">
        <f>SUMPRODUCT(AE141:AE$605, $I140:$I$604) / $I140</f>
        <v>0</v>
      </c>
      <c r="AI140" s="46">
        <f t="shared" si="136"/>
        <v>-47000</v>
      </c>
      <c r="AJ140" s="46">
        <f>IF(E140&gt;Mat_Year,0,  -SUM($AD$5:AD140))</f>
        <v>-9306</v>
      </c>
      <c r="AK140" s="24">
        <f t="shared" si="161"/>
        <v>-0.24924988899935857</v>
      </c>
      <c r="AL140" s="79">
        <f t="shared" si="162"/>
        <v>-94.259133034451438</v>
      </c>
      <c r="AM140" s="24">
        <f t="shared" si="163"/>
        <v>-105.73825577729546</v>
      </c>
      <c r="AN140" s="79">
        <f t="shared" si="164"/>
        <v>-94.508382923450796</v>
      </c>
      <c r="AO140" s="15">
        <f t="shared" si="165"/>
        <v>-4919.8098397358026</v>
      </c>
      <c r="AP140" s="46">
        <f>SUMPRODUCT(AN141:AN$605, $I141:$I$605) / $I140</f>
        <v>-4397.3041623044355</v>
      </c>
      <c r="AR140" s="46">
        <v>0</v>
      </c>
      <c r="AS140" s="46">
        <v>0</v>
      </c>
      <c r="AT140" s="46">
        <v>0</v>
      </c>
      <c r="AU140" s="95">
        <f t="shared" si="137"/>
        <v>-2.0267315542116808</v>
      </c>
      <c r="AV140" s="47">
        <f t="shared" si="138"/>
        <v>0</v>
      </c>
      <c r="AW140" s="96">
        <f t="shared" ref="AW140:AW203" si="173">AU140*(1+AV140)</f>
        <v>-2.0267315542116808</v>
      </c>
      <c r="AX140" s="95">
        <f t="shared" si="139"/>
        <v>-23.239855154960605</v>
      </c>
      <c r="AY140" s="11">
        <f t="shared" si="140"/>
        <v>0</v>
      </c>
      <c r="AZ140" s="96">
        <f t="shared" ref="AZ140:AZ203" si="174">AX140*(1+AY140)</f>
        <v>-23.239855154960605</v>
      </c>
      <c r="BA140" s="95">
        <f t="shared" ref="BA140:BA203" si="175">AW140*$W140</f>
        <v>-1.811483652727389</v>
      </c>
      <c r="BB140" s="64">
        <f t="shared" ref="BB140:BB203" si="176">AZ140*SUM(X140:Y140)</f>
        <v>-4.7230293775069009E-2</v>
      </c>
      <c r="BC140" s="95">
        <f t="shared" ref="BC140:BC203" si="177">IF($W140 = 0, 0, BE140/$W140)</f>
        <v>-2.0267315542116808</v>
      </c>
      <c r="BD140" s="96">
        <f t="shared" ref="BD140:BD203" si="178">IF($W140 = 0, 0, BF140/$W140)</f>
        <v>-5.2842390581056657E-2</v>
      </c>
      <c r="BE140" s="96">
        <f t="shared" ref="BE140:BE203" si="179">SUM(AT140,BA140)</f>
        <v>-1.811483652727389</v>
      </c>
      <c r="BF140" s="96">
        <f t="shared" ref="BF140:BF203" si="180">SUM(BB140)</f>
        <v>-4.7230293775069009E-2</v>
      </c>
      <c r="BG140" s="15">
        <f t="shared" si="166"/>
        <v>-184.9985742468034</v>
      </c>
      <c r="BH140" s="46">
        <f>(SUMPRODUCT(BE141:BE$605,$I140:$I$604)+SUMPRODUCT(BF141:BF$605,$I141:$I$605)) / $I140</f>
        <v>-165.35090319660404</v>
      </c>
      <c r="BJ140" s="46">
        <f t="shared" si="124"/>
        <v>-1.811483652727389</v>
      </c>
      <c r="BK140" s="46">
        <f t="shared" si="125"/>
        <v>-94.555613217225869</v>
      </c>
      <c r="BM140" s="49">
        <f t="shared" si="167"/>
        <v>5116.4420936978058</v>
      </c>
      <c r="BN140" s="46">
        <f t="shared" si="126"/>
        <v>4562.655065501036</v>
      </c>
      <c r="BP140" s="46">
        <f>Reserve!BX140</f>
        <v>6713.9225193071316</v>
      </c>
      <c r="BQ140" s="46">
        <f t="shared" si="141"/>
        <v>5987.2294127653358</v>
      </c>
      <c r="BR140" s="15">
        <f t="shared" si="168"/>
        <v>105.77815641595225</v>
      </c>
      <c r="BT140" s="49">
        <f t="shared" si="169"/>
        <v>22.688867052571233</v>
      </c>
      <c r="BU140" s="46">
        <f t="shared" si="142"/>
        <v>20.279208501603623</v>
      </c>
      <c r="BV140" s="46">
        <f>SUMPRODUCT(BU141:BU$605, $I141:$I$605) / $I140</f>
        <v>677.12515906071872</v>
      </c>
      <c r="BX140" s="46">
        <f>-BZ140*Others!$Q$43</f>
        <v>-7.6007086201862704</v>
      </c>
      <c r="BZ140" s="50">
        <f t="shared" si="127"/>
        <v>29.690268047602618</v>
      </c>
      <c r="CA140" s="46">
        <f t="shared" si="170"/>
        <v>22.089559427416347</v>
      </c>
      <c r="CB140" s="46">
        <f t="shared" si="143"/>
        <v>22.089559427416347</v>
      </c>
      <c r="CD140" s="46">
        <f>SUMPRODUCT(BZ141:BZ$605, $I141:$I$605) / $I140</f>
        <v>1424.5743472642994</v>
      </c>
      <c r="CE140" s="46">
        <f>SUMPRODUCT(CA141:CA$605, $I141:$I$605) / $I140</f>
        <v>1059.8833143646382</v>
      </c>
      <c r="CF140" s="46">
        <f>SUMPRODUCT(CB141:CB$605, $I141:$I$605) / $I140</f>
        <v>1059.8833143646382</v>
      </c>
      <c r="CH140" s="46">
        <f t="shared" si="144"/>
        <v>40286.077480692868</v>
      </c>
      <c r="CI140" s="46">
        <f t="shared" si="145"/>
        <v>2592.0774806928684</v>
      </c>
      <c r="CK140" s="46">
        <f>NPV((1+CK$3)^(1/12)-1,$CB$6:$CB140)+$CB$5</f>
        <v>626.64874014805105</v>
      </c>
      <c r="CL140" s="46">
        <f>NPV((1+CL$3)^(1/12)-1,$CB$6:$CB140)+$CB$5</f>
        <v>460.31477988893084</v>
      </c>
      <c r="CM140" s="46">
        <f>NPV((1+CM$3)^(1/12)-1,$CB$6:$CB140)+$CB$5</f>
        <v>150.85334993679328</v>
      </c>
      <c r="CN140" s="46">
        <f>NPV((1+CN$3)^(1/12)-1,$CB$6:$CB140)+$CB$5</f>
        <v>150.85334993679328</v>
      </c>
    </row>
    <row r="141" spans="1:92" x14ac:dyDescent="0.25">
      <c r="A141" s="61">
        <f t="shared" si="128"/>
        <v>11.333333333333345</v>
      </c>
      <c r="B141" s="32">
        <f t="shared" si="146"/>
        <v>4</v>
      </c>
      <c r="C141" s="62">
        <f t="shared" si="147"/>
        <v>12</v>
      </c>
      <c r="D141" s="64">
        <f t="shared" si="148"/>
        <v>11.833333333333345</v>
      </c>
      <c r="E141" s="28">
        <f t="shared" si="129"/>
        <v>11</v>
      </c>
      <c r="G141" s="68">
        <f>INDEX(Others!$D$11:$E$60, MATCH(C141, Others!$A$11:$A$60, 0), MATCH(G$3, Others!$D$10:$E$10, 0))</f>
        <v>4.0690909090909333E-2</v>
      </c>
      <c r="H141" s="16">
        <f t="shared" si="171"/>
        <v>3.329265421250005E-3</v>
      </c>
      <c r="I141" s="69">
        <f t="shared" si="172"/>
        <v>0.63633631805443536</v>
      </c>
      <c r="K141" s="80">
        <f>INDEX(Mortality!$B$7:$F$32, MATCH( E141,Mortality!$A$7:$A$32, 0), MATCH( K$3,Mortality!$B$6:$F$6,0))</f>
        <v>0.36000000000000004</v>
      </c>
      <c r="L141" s="11">
        <f t="shared" si="130"/>
        <v>0</v>
      </c>
      <c r="M141" s="80">
        <f t="shared" si="149"/>
        <v>0.36000000000000004</v>
      </c>
      <c r="N141" s="76">
        <f>INDEX(Myopia!$H:$H, MATCH(E141, Myopia!$A:$A, 0)) * Trend_Factor^(A141)</f>
        <v>26.926205338964103</v>
      </c>
      <c r="O141" s="11">
        <f t="shared" si="131"/>
        <v>0</v>
      </c>
      <c r="P141" s="80">
        <f t="shared" si="150"/>
        <v>26.926205338964103</v>
      </c>
      <c r="Q141" s="76">
        <f>VLOOKUP(C141,Others!$L$10:$M$61,2)</f>
        <v>0</v>
      </c>
      <c r="R141" s="11">
        <f t="shared" si="132"/>
        <v>0</v>
      </c>
      <c r="S141" s="80">
        <f t="shared" si="151"/>
        <v>0</v>
      </c>
      <c r="T141" s="78">
        <f t="shared" si="152"/>
        <v>3.0000000000000001E-5</v>
      </c>
      <c r="U141" s="81">
        <f t="shared" si="153"/>
        <v>2.2438504449136753E-3</v>
      </c>
      <c r="V141" s="81">
        <f t="shared" si="154"/>
        <v>0</v>
      </c>
      <c r="W141" s="77">
        <f t="shared" si="133"/>
        <v>0.89176325695566871</v>
      </c>
      <c r="X141" s="82">
        <f t="shared" si="155"/>
        <v>2.6722882957956898E-5</v>
      </c>
      <c r="Y141" s="82">
        <f t="shared" si="156"/>
        <v>2.0009533661269324E-3</v>
      </c>
      <c r="Z141" s="82">
        <f t="shared" si="157"/>
        <v>0</v>
      </c>
      <c r="AA141" s="82">
        <f t="shared" si="158"/>
        <v>0.88973558070658387</v>
      </c>
      <c r="AC141" s="46">
        <f t="shared" si="134"/>
        <v>0</v>
      </c>
      <c r="AD141" s="15">
        <f t="shared" si="135"/>
        <v>0</v>
      </c>
      <c r="AE141" s="46">
        <f t="shared" si="159"/>
        <v>0</v>
      </c>
      <c r="AF141" s="15">
        <f t="shared" si="160"/>
        <v>0</v>
      </c>
      <c r="AG141" s="46">
        <f>SUMPRODUCT(AE142:AE$605, $I141:$I$604) / $I141</f>
        <v>0</v>
      </c>
      <c r="AI141" s="46">
        <f t="shared" si="136"/>
        <v>-47000</v>
      </c>
      <c r="AJ141" s="46">
        <f>IF(E141&gt;Mat_Year,0,  -SUM($AD$5:AD141))</f>
        <v>-9306</v>
      </c>
      <c r="AK141" s="24">
        <f t="shared" si="161"/>
        <v>-0.24868314880674688</v>
      </c>
      <c r="AL141" s="79">
        <f t="shared" si="162"/>
        <v>-94.044808207965815</v>
      </c>
      <c r="AM141" s="24">
        <f t="shared" si="163"/>
        <v>-105.73825577729546</v>
      </c>
      <c r="AN141" s="79">
        <f t="shared" si="164"/>
        <v>-94.293491356772563</v>
      </c>
      <c r="AO141" s="15">
        <f t="shared" si="165"/>
        <v>-4841.7003391479502</v>
      </c>
      <c r="AP141" s="46">
        <f>SUMPRODUCT(AN142:AN$605, $I142:$I$605) / $I141</f>
        <v>-4317.6504636419422</v>
      </c>
      <c r="AR141" s="46">
        <v>0</v>
      </c>
      <c r="AS141" s="46">
        <v>0</v>
      </c>
      <c r="AT141" s="46">
        <v>0</v>
      </c>
      <c r="AU141" s="95">
        <f t="shared" si="137"/>
        <v>-2.0289976397543046</v>
      </c>
      <c r="AV141" s="47">
        <f t="shared" si="138"/>
        <v>0</v>
      </c>
      <c r="AW141" s="96">
        <f t="shared" si="173"/>
        <v>-2.0289976397543046</v>
      </c>
      <c r="AX141" s="95">
        <f t="shared" si="139"/>
        <v>-23.265839602516021</v>
      </c>
      <c r="AY141" s="11">
        <f t="shared" si="140"/>
        <v>0</v>
      </c>
      <c r="AZ141" s="96">
        <f t="shared" si="174"/>
        <v>-23.265839602516021</v>
      </c>
      <c r="BA141" s="95">
        <f t="shared" si="175"/>
        <v>-1.8093855435826633</v>
      </c>
      <c r="BB141" s="64">
        <f t="shared" si="176"/>
        <v>-4.7175590377040361E-2</v>
      </c>
      <c r="BC141" s="95">
        <f t="shared" si="177"/>
        <v>-2.0289976397543046</v>
      </c>
      <c r="BD141" s="96">
        <f t="shared" si="178"/>
        <v>-5.2901473579534966E-2</v>
      </c>
      <c r="BE141" s="96">
        <f t="shared" si="179"/>
        <v>-1.8093855435826633</v>
      </c>
      <c r="BF141" s="96">
        <f t="shared" si="180"/>
        <v>-4.7175590377040361E-2</v>
      </c>
      <c r="BG141" s="15">
        <f t="shared" si="166"/>
        <v>-183.94883832992454</v>
      </c>
      <c r="BH141" s="46">
        <f>(SUMPRODUCT(BE142:BE$605,$I141:$I$604)+SUMPRODUCT(BF142:BF$605,$I142:$I$605)) / $I141</f>
        <v>-164.03881518230526</v>
      </c>
      <c r="BJ141" s="46">
        <f t="shared" si="124"/>
        <v>-1.8093855435826633</v>
      </c>
      <c r="BK141" s="46">
        <f t="shared" si="125"/>
        <v>-94.3406669471496</v>
      </c>
      <c r="BM141" s="49">
        <f t="shared" si="167"/>
        <v>5037.1024560635287</v>
      </c>
      <c r="BN141" s="46">
        <f t="shared" si="126"/>
        <v>4481.689278824244</v>
      </c>
      <c r="BP141" s="46">
        <f>Reserve!BX141</f>
        <v>6610.2719057547201</v>
      </c>
      <c r="BQ141" s="46">
        <f t="shared" si="141"/>
        <v>5881.3941126950931</v>
      </c>
      <c r="BR141" s="15">
        <f t="shared" si="168"/>
        <v>105.83530007024274</v>
      </c>
      <c r="BT141" s="49">
        <f t="shared" si="169"/>
        <v>22.34567501279912</v>
      </c>
      <c r="BU141" s="46">
        <f t="shared" si="142"/>
        <v>19.927051928286648</v>
      </c>
      <c r="BV141" s="46">
        <f>SUMPRODUCT(BU142:BU$605, $I142:$I$605) / $I141</f>
        <v>659.45243651035139</v>
      </c>
      <c r="BX141" s="46">
        <f>-BZ141*Others!$Q$43</f>
        <v>-7.5807486739960632</v>
      </c>
      <c r="BZ141" s="50">
        <f t="shared" si="127"/>
        <v>29.612299507797122</v>
      </c>
      <c r="CA141" s="46">
        <f t="shared" si="170"/>
        <v>22.031550833801059</v>
      </c>
      <c r="CB141" s="46">
        <f t="shared" si="143"/>
        <v>22.031550833801059</v>
      </c>
      <c r="CD141" s="46">
        <f>SUMPRODUCT(BZ142:BZ$605, $I142:$I$605) / $I141</f>
        <v>1399.7048338708491</v>
      </c>
      <c r="CE141" s="46">
        <f>SUMPRODUCT(CA142:CA$605, $I142:$I$605) / $I141</f>
        <v>1041.380396399911</v>
      </c>
      <c r="CF141" s="46">
        <f>SUMPRODUCT(CB142:CB$605, $I142:$I$605) / $I141</f>
        <v>1041.380396399911</v>
      </c>
      <c r="CH141" s="46">
        <f t="shared" si="144"/>
        <v>40389.728094245278</v>
      </c>
      <c r="CI141" s="46">
        <f t="shared" si="145"/>
        <v>2695.7280942452799</v>
      </c>
      <c r="CK141" s="46">
        <f>NPV((1+CK$3)^(1/12)-1,$CB$6:$CB141)+$CB$5</f>
        <v>642.4087513631805</v>
      </c>
      <c r="CL141" s="46">
        <f>NPV((1+CL$3)^(1/12)-1,$CB$6:$CB141)+$CB$5</f>
        <v>472.98837065163843</v>
      </c>
      <c r="CM141" s="46">
        <f>NPV((1+CM$3)^(1/12)-1,$CB$6:$CB141)+$CB$5</f>
        <v>158.33380417372064</v>
      </c>
      <c r="CN141" s="46">
        <f>NPV((1+CN$3)^(1/12)-1,$CB$6:$CB141)+$CB$5</f>
        <v>158.33380417372064</v>
      </c>
    </row>
    <row r="142" spans="1:92" x14ac:dyDescent="0.25">
      <c r="A142" s="61">
        <f t="shared" si="128"/>
        <v>11.416666666666679</v>
      </c>
      <c r="B142" s="32">
        <f t="shared" si="146"/>
        <v>5</v>
      </c>
      <c r="C142" s="62">
        <f t="shared" si="147"/>
        <v>12</v>
      </c>
      <c r="D142" s="64">
        <f t="shared" si="148"/>
        <v>11.916666666666679</v>
      </c>
      <c r="E142" s="28">
        <f t="shared" si="129"/>
        <v>11</v>
      </c>
      <c r="G142" s="68">
        <f>INDEX(Others!$D$11:$E$60, MATCH(C142, Others!$A$11:$A$60, 0), MATCH(G$3, Others!$D$10:$E$10, 0))</f>
        <v>4.0690909090909333E-2</v>
      </c>
      <c r="H142" s="16">
        <f t="shared" si="171"/>
        <v>3.329265421250005E-3</v>
      </c>
      <c r="I142" s="69">
        <f t="shared" si="172"/>
        <v>0.63422481530753327</v>
      </c>
      <c r="K142" s="80">
        <f>INDEX(Mortality!$B$7:$F$32, MATCH( E142,Mortality!$A$7:$A$32, 0), MATCH( K$3,Mortality!$B$6:$F$6,0))</f>
        <v>0.36000000000000004</v>
      </c>
      <c r="L142" s="11">
        <f t="shared" si="130"/>
        <v>0</v>
      </c>
      <c r="M142" s="80">
        <f t="shared" si="149"/>
        <v>0.36000000000000004</v>
      </c>
      <c r="N142" s="76">
        <f>INDEX(Myopia!$H:$H, MATCH(E142, Myopia!$A:$A, 0)) * Trend_Factor^(A142)</f>
        <v>26.926205338964103</v>
      </c>
      <c r="O142" s="11">
        <f t="shared" si="131"/>
        <v>0</v>
      </c>
      <c r="P142" s="80">
        <f t="shared" si="150"/>
        <v>26.926205338964103</v>
      </c>
      <c r="Q142" s="76">
        <f>VLOOKUP(C142,Others!$L$10:$M$61,2)</f>
        <v>0</v>
      </c>
      <c r="R142" s="11">
        <f t="shared" si="132"/>
        <v>0</v>
      </c>
      <c r="S142" s="80">
        <f t="shared" si="151"/>
        <v>0</v>
      </c>
      <c r="T142" s="78">
        <f t="shared" si="152"/>
        <v>3.0000000000000001E-5</v>
      </c>
      <c r="U142" s="81">
        <f t="shared" si="153"/>
        <v>2.2438504449136753E-3</v>
      </c>
      <c r="V142" s="81">
        <f t="shared" si="154"/>
        <v>0</v>
      </c>
      <c r="W142" s="77">
        <f t="shared" si="133"/>
        <v>0.88973558070658387</v>
      </c>
      <c r="X142" s="82">
        <f t="shared" si="155"/>
        <v>2.6662120917518155E-5</v>
      </c>
      <c r="Y142" s="82">
        <f t="shared" si="156"/>
        <v>1.9964036321203161E-3</v>
      </c>
      <c r="Z142" s="82">
        <f t="shared" si="157"/>
        <v>0</v>
      </c>
      <c r="AA142" s="82">
        <f t="shared" si="158"/>
        <v>0.88771251495354608</v>
      </c>
      <c r="AC142" s="46">
        <f t="shared" si="134"/>
        <v>0</v>
      </c>
      <c r="AD142" s="15">
        <f t="shared" si="135"/>
        <v>0</v>
      </c>
      <c r="AE142" s="46">
        <f t="shared" si="159"/>
        <v>0</v>
      </c>
      <c r="AF142" s="15">
        <f t="shared" si="160"/>
        <v>0</v>
      </c>
      <c r="AG142" s="46">
        <f>SUMPRODUCT(AE143:AE$605, $I142:$I$604) / $I142</f>
        <v>0</v>
      </c>
      <c r="AI142" s="46">
        <f t="shared" si="136"/>
        <v>-47000</v>
      </c>
      <c r="AJ142" s="46">
        <f>IF(E142&gt;Mat_Year,0,  -SUM($AD$5:AD142))</f>
        <v>-9306</v>
      </c>
      <c r="AK142" s="24">
        <f t="shared" si="161"/>
        <v>-0.24811769725842395</v>
      </c>
      <c r="AL142" s="79">
        <f t="shared" si="162"/>
        <v>-93.830970709654849</v>
      </c>
      <c r="AM142" s="24">
        <f t="shared" si="163"/>
        <v>-105.73825577729546</v>
      </c>
      <c r="AN142" s="79">
        <f t="shared" si="164"/>
        <v>-94.079088406913272</v>
      </c>
      <c r="AO142" s="15">
        <f t="shared" si="165"/>
        <v>-4763.1521898439869</v>
      </c>
      <c r="AP142" s="46">
        <f>SUMPRODUCT(AN143:AN$605, $I143:$I$605) / $I142</f>
        <v>-4237.9459796246765</v>
      </c>
      <c r="AR142" s="46">
        <v>0</v>
      </c>
      <c r="AS142" s="46">
        <v>0</v>
      </c>
      <c r="AT142" s="46">
        <v>0</v>
      </c>
      <c r="AU142" s="95">
        <f t="shared" si="137"/>
        <v>-2.0312662590038095</v>
      </c>
      <c r="AV142" s="47">
        <f t="shared" si="138"/>
        <v>0</v>
      </c>
      <c r="AW142" s="96">
        <f t="shared" si="173"/>
        <v>-2.0312662590038095</v>
      </c>
      <c r="AX142" s="95">
        <f t="shared" si="139"/>
        <v>-23.291853103243678</v>
      </c>
      <c r="AY142" s="11">
        <f t="shared" si="140"/>
        <v>0</v>
      </c>
      <c r="AZ142" s="96">
        <f t="shared" si="174"/>
        <v>-23.291853103243678</v>
      </c>
      <c r="BA142" s="95">
        <f t="shared" si="175"/>
        <v>-1.8072898645244446</v>
      </c>
      <c r="BB142" s="64">
        <f t="shared" si="176"/>
        <v>-4.712095033796028E-2</v>
      </c>
      <c r="BC142" s="95">
        <f t="shared" si="177"/>
        <v>-2.0312662590038095</v>
      </c>
      <c r="BD142" s="96">
        <f t="shared" si="178"/>
        <v>-5.2960622638626137E-2</v>
      </c>
      <c r="BE142" s="96">
        <f t="shared" si="179"/>
        <v>-1.8072898645244446</v>
      </c>
      <c r="BF142" s="96">
        <f t="shared" si="180"/>
        <v>-4.712095033796028E-2</v>
      </c>
      <c r="BG142" s="15">
        <f t="shared" si="166"/>
        <v>-182.89087196635688</v>
      </c>
      <c r="BH142" s="46">
        <f>(SUMPRODUCT(BE143:BE$605,$I142:$I$604)+SUMPRODUCT(BF143:BF$605,$I143:$I$605)) / $I142</f>
        <v>-162.72451617492001</v>
      </c>
      <c r="BJ142" s="46">
        <f t="shared" si="124"/>
        <v>-1.8072898645244446</v>
      </c>
      <c r="BK142" s="46">
        <f t="shared" si="125"/>
        <v>-94.126209357251227</v>
      </c>
      <c r="BM142" s="49">
        <f t="shared" si="167"/>
        <v>4957.3149208444802</v>
      </c>
      <c r="BN142" s="46">
        <f t="shared" si="126"/>
        <v>4400.6704957995926</v>
      </c>
      <c r="BP142" s="46">
        <f>Reserve!BX142</f>
        <v>6506.0486967455627</v>
      </c>
      <c r="BQ142" s="46">
        <f t="shared" si="141"/>
        <v>5775.5008509982445</v>
      </c>
      <c r="BR142" s="15">
        <f t="shared" si="168"/>
        <v>105.89326169684864</v>
      </c>
      <c r="BT142" s="49">
        <f t="shared" si="169"/>
        <v>22.000587056372112</v>
      </c>
      <c r="BU142" s="46">
        <f t="shared" si="142"/>
        <v>19.574705100486995</v>
      </c>
      <c r="BV142" s="46">
        <f>SUMPRODUCT(BU143:BU$605, $I143:$I$605) / $I142</f>
        <v>642.07322360369756</v>
      </c>
      <c r="BX142" s="46">
        <f>-BZ142*Others!$Q$43</f>
        <v>-7.5608236993433495</v>
      </c>
      <c r="BZ142" s="50">
        <f t="shared" si="127"/>
        <v>29.534467575559958</v>
      </c>
      <c r="CA142" s="46">
        <f t="shared" si="170"/>
        <v>21.97364387621661</v>
      </c>
      <c r="CB142" s="46">
        <f t="shared" si="143"/>
        <v>21.97364387621661</v>
      </c>
      <c r="CD142" s="46">
        <f>SUMPRODUCT(BZ143:BZ$605, $I143:$I$605) / $I142</f>
        <v>1374.8303551986521</v>
      </c>
      <c r="CE142" s="46">
        <f>SUMPRODUCT(CA143:CA$605, $I143:$I$605) / $I142</f>
        <v>1022.8737842677967</v>
      </c>
      <c r="CF142" s="46">
        <f>SUMPRODUCT(CB143:CB$605, $I143:$I$605) / $I142</f>
        <v>1022.8737842677967</v>
      </c>
      <c r="CH142" s="46">
        <f t="shared" si="144"/>
        <v>40493.951303254435</v>
      </c>
      <c r="CI142" s="46">
        <f t="shared" si="145"/>
        <v>2799.9513032544373</v>
      </c>
      <c r="CK142" s="46">
        <f>NPV((1+CK$3)^(1/12)-1,$CB$6:$CB142)+$CB$5</f>
        <v>658.08866861015258</v>
      </c>
      <c r="CL142" s="46">
        <f>NPV((1+CL$3)^(1/12)-1,$CB$6:$CB142)+$CB$5</f>
        <v>485.57736148472145</v>
      </c>
      <c r="CM142" s="46">
        <f>NPV((1+CM$3)^(1/12)-1,$CB$6:$CB142)+$CB$5</f>
        <v>165.73557429203959</v>
      </c>
      <c r="CN142" s="46">
        <f>NPV((1+CN$3)^(1/12)-1,$CB$6:$CB142)+$CB$5</f>
        <v>165.73557429203959</v>
      </c>
    </row>
    <row r="143" spans="1:92" x14ac:dyDescent="0.25">
      <c r="A143" s="61">
        <f t="shared" si="128"/>
        <v>11.500000000000012</v>
      </c>
      <c r="B143" s="32">
        <f t="shared" si="146"/>
        <v>6</v>
      </c>
      <c r="C143" s="62">
        <f t="shared" si="147"/>
        <v>12</v>
      </c>
      <c r="D143" s="64">
        <f t="shared" si="148"/>
        <v>12.000000000000012</v>
      </c>
      <c r="E143" s="28">
        <f t="shared" si="129"/>
        <v>12</v>
      </c>
      <c r="G143" s="68">
        <f>INDEX(Others!$D$11:$E$60, MATCH(C143, Others!$A$11:$A$60, 0), MATCH(G$3, Others!$D$10:$E$10, 0))</f>
        <v>4.0690909090909333E-2</v>
      </c>
      <c r="H143" s="16">
        <f t="shared" si="171"/>
        <v>3.329265421250005E-3</v>
      </c>
      <c r="I143" s="69">
        <f t="shared" si="172"/>
        <v>0.6321203189874588</v>
      </c>
      <c r="K143" s="80">
        <f>INDEX(Mortality!$B$7:$F$32, MATCH( E143,Mortality!$A$7:$A$32, 0), MATCH( K$3,Mortality!$B$6:$F$6,0))</f>
        <v>0.36499999999999999</v>
      </c>
      <c r="L143" s="11">
        <f t="shared" si="130"/>
        <v>0</v>
      </c>
      <c r="M143" s="80">
        <f t="shared" si="149"/>
        <v>0.36499999999999999</v>
      </c>
      <c r="N143" s="76">
        <f>INDEX(Myopia!$H:$H, MATCH(E143, Myopia!$A:$A, 0)) * Trend_Factor^(A143)</f>
        <v>26.22019498477632</v>
      </c>
      <c r="O143" s="11">
        <f t="shared" si="131"/>
        <v>0</v>
      </c>
      <c r="P143" s="80">
        <f t="shared" si="150"/>
        <v>26.22019498477632</v>
      </c>
      <c r="Q143" s="76">
        <f>VLOOKUP(C143,Others!$L$10:$M$61,2)</f>
        <v>0</v>
      </c>
      <c r="R143" s="11">
        <f t="shared" si="132"/>
        <v>0</v>
      </c>
      <c r="S143" s="80">
        <f t="shared" si="151"/>
        <v>0</v>
      </c>
      <c r="T143" s="78">
        <f t="shared" si="152"/>
        <v>3.0416666666666666E-5</v>
      </c>
      <c r="U143" s="81">
        <f t="shared" si="153"/>
        <v>2.1850162487313603E-3</v>
      </c>
      <c r="V143" s="81">
        <f t="shared" si="154"/>
        <v>0</v>
      </c>
      <c r="W143" s="77">
        <f t="shared" si="133"/>
        <v>0.88771251495354608</v>
      </c>
      <c r="X143" s="82">
        <f t="shared" si="155"/>
        <v>2.6971756571990271E-5</v>
      </c>
      <c r="Y143" s="82">
        <f t="shared" si="156"/>
        <v>1.9396367702844987E-3</v>
      </c>
      <c r="Z143" s="82">
        <f t="shared" si="157"/>
        <v>0</v>
      </c>
      <c r="AA143" s="82">
        <f t="shared" si="158"/>
        <v>0.8857459064266896</v>
      </c>
      <c r="AC143" s="46">
        <f t="shared" si="134"/>
        <v>0</v>
      </c>
      <c r="AD143" s="15">
        <f t="shared" si="135"/>
        <v>0</v>
      </c>
      <c r="AE143" s="46">
        <f t="shared" si="159"/>
        <v>0</v>
      </c>
      <c r="AF143" s="15">
        <f t="shared" si="160"/>
        <v>0</v>
      </c>
      <c r="AG143" s="46">
        <f>SUMPRODUCT(AE144:AE$605, $I143:$I$604) / $I143</f>
        <v>0</v>
      </c>
      <c r="AI143" s="46">
        <f t="shared" si="136"/>
        <v>-47000</v>
      </c>
      <c r="AJ143" s="46">
        <f>IF(E143&gt;Mat_Year,0,  -SUM($AD$5:AD143))</f>
        <v>-9306</v>
      </c>
      <c r="AK143" s="24">
        <f t="shared" si="161"/>
        <v>-0.25099916665894145</v>
      </c>
      <c r="AL143" s="79">
        <f t="shared" si="162"/>
        <v>-91.162928203371436</v>
      </c>
      <c r="AM143" s="24">
        <f t="shared" si="163"/>
        <v>-102.97695011634939</v>
      </c>
      <c r="AN143" s="79">
        <f t="shared" si="164"/>
        <v>-91.413927370030379</v>
      </c>
      <c r="AO143" s="15">
        <f t="shared" si="165"/>
        <v>-4686.9242341136323</v>
      </c>
      <c r="AP143" s="46">
        <f>SUMPRODUCT(AN144:AN$605, $I144:$I$605) / $I143</f>
        <v>-4160.6412992617352</v>
      </c>
      <c r="AR143" s="46">
        <v>0</v>
      </c>
      <c r="AS143" s="46">
        <v>0</v>
      </c>
      <c r="AT143" s="46">
        <v>0</v>
      </c>
      <c r="AU143" s="95">
        <f t="shared" si="137"/>
        <v>-2.03353741479313</v>
      </c>
      <c r="AV143" s="47">
        <f t="shared" si="138"/>
        <v>0</v>
      </c>
      <c r="AW143" s="96">
        <f t="shared" si="173"/>
        <v>-2.03353741479313</v>
      </c>
      <c r="AX143" s="95">
        <f t="shared" si="139"/>
        <v>-23.317895689627889</v>
      </c>
      <c r="AY143" s="11">
        <f t="shared" si="140"/>
        <v>0</v>
      </c>
      <c r="AZ143" s="96">
        <f t="shared" si="174"/>
        <v>-23.317895689627889</v>
      </c>
      <c r="BA143" s="95">
        <f t="shared" si="175"/>
        <v>-1.8051966127381418</v>
      </c>
      <c r="BB143" s="64">
        <f t="shared" si="176"/>
        <v>-4.5857172491572375E-2</v>
      </c>
      <c r="BC143" s="95">
        <f t="shared" si="177"/>
        <v>-2.03353741479313</v>
      </c>
      <c r="BD143" s="96">
        <f t="shared" si="178"/>
        <v>-5.1657683900031622E-2</v>
      </c>
      <c r="BE143" s="96">
        <f t="shared" si="179"/>
        <v>-1.8051966127381418</v>
      </c>
      <c r="BF143" s="96">
        <f t="shared" si="180"/>
        <v>-4.5857172491572375E-2</v>
      </c>
      <c r="BG143" s="15">
        <f t="shared" si="166"/>
        <v>-181.82598847822518</v>
      </c>
      <c r="BH143" s="46">
        <f>(SUMPRODUCT(BE144:BE$605,$I143:$I$604)+SUMPRODUCT(BF144:BF$605,$I144:$I$605)) / $I143</f>
        <v>-161.40920551591978</v>
      </c>
      <c r="BJ143" s="46">
        <f t="shared" si="124"/>
        <v>-1.8051966127381418</v>
      </c>
      <c r="BK143" s="46">
        <f t="shared" si="125"/>
        <v>-91.459784542521945</v>
      </c>
      <c r="BM143" s="49">
        <f t="shared" si="167"/>
        <v>4879.5602366527828</v>
      </c>
      <c r="BN143" s="46">
        <f t="shared" si="126"/>
        <v>4322.0505047776514</v>
      </c>
      <c r="BP143" s="46">
        <f>Reserve!BX143</f>
        <v>6404.36463802462</v>
      </c>
      <c r="BQ143" s="46">
        <f t="shared" si="141"/>
        <v>5672.6397613941554</v>
      </c>
      <c r="BR143" s="15">
        <f t="shared" si="168"/>
        <v>102.8610896040891</v>
      </c>
      <c r="BT143" s="49">
        <f t="shared" si="169"/>
        <v>21.653592769245776</v>
      </c>
      <c r="BU143" s="46">
        <f t="shared" si="142"/>
        <v>19.222165294967088</v>
      </c>
      <c r="BV143" s="46">
        <f>SUMPRODUCT(BU144:BU$605, $I144:$I$605) / $I143</f>
        <v>624.98869048998472</v>
      </c>
      <c r="BX143" s="46">
        <f>-BZ143*Others!$Q$43</f>
        <v>-7.3774780784118024</v>
      </c>
      <c r="BZ143" s="50">
        <f t="shared" si="127"/>
        <v>28.818273743796102</v>
      </c>
      <c r="CA143" s="46">
        <f t="shared" si="170"/>
        <v>21.4407956653843</v>
      </c>
      <c r="CB143" s="46">
        <f t="shared" si="143"/>
        <v>21.4407956653843</v>
      </c>
      <c r="CD143" s="46">
        <f>SUMPRODUCT(BZ144:BZ$605, $I144:$I$605) / $I143</f>
        <v>1350.5892566165039</v>
      </c>
      <c r="CE143" s="46">
        <f>SUMPRODUCT(CA144:CA$605, $I144:$I$605) / $I143</f>
        <v>1004.838406922678</v>
      </c>
      <c r="CF143" s="46">
        <f>SUMPRODUCT(CB144:CB$605, $I144:$I$605) / $I143</f>
        <v>1004.838406922678</v>
      </c>
      <c r="CH143" s="46">
        <f t="shared" si="144"/>
        <v>40595.635361975379</v>
      </c>
      <c r="CI143" s="46">
        <f t="shared" si="145"/>
        <v>2901.63536197538</v>
      </c>
      <c r="CK143" s="46">
        <f>NPV((1+CK$3)^(1/12)-1,$CB$6:$CB143)+$CB$5</f>
        <v>673.35071656537593</v>
      </c>
      <c r="CL143" s="46">
        <f>NPV((1+CL$3)^(1/12)-1,$CB$6:$CB143)+$CB$5</f>
        <v>497.81123422736118</v>
      </c>
      <c r="CM143" s="46">
        <f>NPV((1+CM$3)^(1/12)-1,$CB$6:$CB143)+$CB$5</f>
        <v>172.90071987014517</v>
      </c>
      <c r="CN143" s="46">
        <f>NPV((1+CN$3)^(1/12)-1,$CB$6:$CB143)+$CB$5</f>
        <v>172.90071987014517</v>
      </c>
    </row>
    <row r="144" spans="1:92" x14ac:dyDescent="0.25">
      <c r="A144" s="61">
        <f t="shared" si="128"/>
        <v>11.583333333333346</v>
      </c>
      <c r="B144" s="32">
        <f t="shared" si="146"/>
        <v>7</v>
      </c>
      <c r="C144" s="62">
        <f t="shared" si="147"/>
        <v>12</v>
      </c>
      <c r="D144" s="64">
        <f t="shared" si="148"/>
        <v>12.083333333333346</v>
      </c>
      <c r="E144" s="28">
        <f t="shared" si="129"/>
        <v>12</v>
      </c>
      <c r="G144" s="68">
        <f>INDEX(Others!$D$11:$E$60, MATCH(C144, Others!$A$11:$A$60, 0), MATCH(G$3, Others!$D$10:$E$10, 0))</f>
        <v>4.0690909090909333E-2</v>
      </c>
      <c r="H144" s="16">
        <f t="shared" si="171"/>
        <v>3.329265421250005E-3</v>
      </c>
      <c r="I144" s="69">
        <f t="shared" si="172"/>
        <v>0.63002280584535897</v>
      </c>
      <c r="K144" s="80">
        <f>INDEX(Mortality!$B$7:$F$32, MATCH( E144,Mortality!$A$7:$A$32, 0), MATCH( K$3,Mortality!$B$6:$F$6,0))</f>
        <v>0.36499999999999999</v>
      </c>
      <c r="L144" s="11">
        <f t="shared" si="130"/>
        <v>0</v>
      </c>
      <c r="M144" s="80">
        <f t="shared" si="149"/>
        <v>0.36499999999999999</v>
      </c>
      <c r="N144" s="76">
        <f>INDEX(Myopia!$H:$H, MATCH(E144, Myopia!$A:$A, 0)) * Trend_Factor^(A144)</f>
        <v>26.22019498477632</v>
      </c>
      <c r="O144" s="11">
        <f t="shared" si="131"/>
        <v>0</v>
      </c>
      <c r="P144" s="80">
        <f t="shared" si="150"/>
        <v>26.22019498477632</v>
      </c>
      <c r="Q144" s="76">
        <f>VLOOKUP(C144,Others!$L$10:$M$61,2)</f>
        <v>0</v>
      </c>
      <c r="R144" s="11">
        <f t="shared" si="132"/>
        <v>0</v>
      </c>
      <c r="S144" s="80">
        <f t="shared" si="151"/>
        <v>0</v>
      </c>
      <c r="T144" s="78">
        <f t="shared" si="152"/>
        <v>3.0416666666666666E-5</v>
      </c>
      <c r="U144" s="81">
        <f t="shared" si="153"/>
        <v>2.1850162487313603E-3</v>
      </c>
      <c r="V144" s="81">
        <f t="shared" si="154"/>
        <v>0</v>
      </c>
      <c r="W144" s="77">
        <f t="shared" si="133"/>
        <v>0.8857459064266896</v>
      </c>
      <c r="X144" s="82">
        <f t="shared" si="155"/>
        <v>2.6912004247262094E-5</v>
      </c>
      <c r="Y144" s="82">
        <f t="shared" si="156"/>
        <v>1.9353397640497207E-3</v>
      </c>
      <c r="Z144" s="82">
        <f t="shared" si="157"/>
        <v>0</v>
      </c>
      <c r="AA144" s="82">
        <f t="shared" si="158"/>
        <v>0.88378365465839259</v>
      </c>
      <c r="AC144" s="46">
        <f t="shared" si="134"/>
        <v>0</v>
      </c>
      <c r="AD144" s="15">
        <f t="shared" si="135"/>
        <v>0</v>
      </c>
      <c r="AE144" s="46">
        <f t="shared" si="159"/>
        <v>0</v>
      </c>
      <c r="AF144" s="15">
        <f t="shared" si="160"/>
        <v>0</v>
      </c>
      <c r="AG144" s="46">
        <f>SUMPRODUCT(AE145:AE$605, $I144:$I$604) / $I144</f>
        <v>0</v>
      </c>
      <c r="AI144" s="46">
        <f t="shared" si="136"/>
        <v>-47000</v>
      </c>
      <c r="AJ144" s="46">
        <f>IF(E144&gt;Mat_Year,0,  -SUM($AD$5:AD144))</f>
        <v>-9306</v>
      </c>
      <c r="AK144" s="24">
        <f t="shared" si="161"/>
        <v>-0.25044311152502102</v>
      </c>
      <c r="AL144" s="79">
        <f t="shared" si="162"/>
        <v>-90.960968910336874</v>
      </c>
      <c r="AM144" s="24">
        <f t="shared" si="163"/>
        <v>-102.97695011634939</v>
      </c>
      <c r="AN144" s="79">
        <f t="shared" si="164"/>
        <v>-91.211412021861889</v>
      </c>
      <c r="AO144" s="15">
        <f t="shared" si="165"/>
        <v>-4609.9922526547862</v>
      </c>
      <c r="AP144" s="46">
        <f>SUMPRODUCT(AN145:AN$605, $I145:$I$605) / $I144</f>
        <v>-4083.2817664477302</v>
      </c>
      <c r="AR144" s="46">
        <v>0</v>
      </c>
      <c r="AS144" s="46">
        <v>0</v>
      </c>
      <c r="AT144" s="46">
        <v>0</v>
      </c>
      <c r="AU144" s="95">
        <f t="shared" si="137"/>
        <v>-2.035811109958368</v>
      </c>
      <c r="AV144" s="47">
        <f t="shared" si="138"/>
        <v>0</v>
      </c>
      <c r="AW144" s="96">
        <f t="shared" si="173"/>
        <v>-2.035811109958368</v>
      </c>
      <c r="AX144" s="95">
        <f t="shared" si="139"/>
        <v>-23.343967394189281</v>
      </c>
      <c r="AY144" s="11">
        <f t="shared" si="140"/>
        <v>0</v>
      </c>
      <c r="AZ144" s="96">
        <f t="shared" si="174"/>
        <v>-23.343967394189281</v>
      </c>
      <c r="BA144" s="95">
        <f t="shared" si="175"/>
        <v>-1.8032113569035997</v>
      </c>
      <c r="BB144" s="64">
        <f t="shared" si="176"/>
        <v>-4.580674129831503E-2</v>
      </c>
      <c r="BC144" s="95">
        <f t="shared" si="177"/>
        <v>-2.035811109958368</v>
      </c>
      <c r="BD144" s="96">
        <f t="shared" si="178"/>
        <v>-5.1715442279728234E-2</v>
      </c>
      <c r="BE144" s="96">
        <f t="shared" si="179"/>
        <v>-1.8032113569035997</v>
      </c>
      <c r="BF144" s="96">
        <f t="shared" si="180"/>
        <v>-4.580674129831503E-2</v>
      </c>
      <c r="BG144" s="15">
        <f t="shared" si="166"/>
        <v>-180.7420807406757</v>
      </c>
      <c r="BH144" s="46">
        <f>(SUMPRODUCT(BE145:BE$605,$I144:$I$604)+SUMPRODUCT(BF145:BF$605,$I145:$I$605)) / $I144</f>
        <v>-160.09155813509571</v>
      </c>
      <c r="BJ144" s="46">
        <f t="shared" si="124"/>
        <v>-1.8032113569035997</v>
      </c>
      <c r="BK144" s="46">
        <f t="shared" si="125"/>
        <v>-91.257218763160211</v>
      </c>
      <c r="BM144" s="49">
        <f t="shared" si="167"/>
        <v>4801.3711299322531</v>
      </c>
      <c r="BN144" s="46">
        <f t="shared" si="126"/>
        <v>4243.3733245828225</v>
      </c>
      <c r="BP144" s="46">
        <f>Reserve!BX144</f>
        <v>6302.1265306885925</v>
      </c>
      <c r="BQ144" s="46">
        <f t="shared" si="141"/>
        <v>5569.7164174115806</v>
      </c>
      <c r="BR144" s="15">
        <f t="shared" si="168"/>
        <v>102.92334398257481</v>
      </c>
      <c r="BT144" s="49">
        <f t="shared" si="169"/>
        <v>21.315051978919094</v>
      </c>
      <c r="BU144" s="46">
        <f t="shared" si="142"/>
        <v>18.879720035599696</v>
      </c>
      <c r="BV144" s="46">
        <f>SUMPRODUCT(BU145:BU$605, $I145:$I$605) / $I144</f>
        <v>608.18972369030564</v>
      </c>
      <c r="BX144" s="46">
        <f>-BZ144*Others!$Q$43</f>
        <v>-7.3581142779163367</v>
      </c>
      <c r="BZ144" s="50">
        <f t="shared" si="127"/>
        <v>28.742633898110689</v>
      </c>
      <c r="CA144" s="46">
        <f t="shared" si="170"/>
        <v>21.384519620194354</v>
      </c>
      <c r="CB144" s="46">
        <f t="shared" si="143"/>
        <v>21.384519620194354</v>
      </c>
      <c r="CD144" s="46">
        <f>SUMPRODUCT(BZ145:BZ$605, $I145:$I$605) / $I144</f>
        <v>1326.343092828758</v>
      </c>
      <c r="CE144" s="46">
        <f>SUMPRODUCT(CA145:CA$605, $I145:$I$605) / $I144</f>
        <v>986.79926106459504</v>
      </c>
      <c r="CF144" s="46">
        <f>SUMPRODUCT(CB145:CB$605, $I145:$I$605) / $I144</f>
        <v>986.79926106459504</v>
      </c>
      <c r="CH144" s="46">
        <f t="shared" si="144"/>
        <v>40697.873469311409</v>
      </c>
      <c r="CI144" s="46">
        <f t="shared" si="145"/>
        <v>3003.8734693114075</v>
      </c>
      <c r="CK144" s="46">
        <f>NPV((1+CK$3)^(1/12)-1,$CB$6:$CB144)+$CB$5</f>
        <v>688.53525677404673</v>
      </c>
      <c r="CL144" s="46">
        <f>NPV((1+CL$3)^(1/12)-1,$CB$6:$CB144)+$CB$5</f>
        <v>509.96348672145314</v>
      </c>
      <c r="CM144" s="46">
        <f>NPV((1+CM$3)^(1/12)-1,$CB$6:$CB144)+$CB$5</f>
        <v>179.99052386802657</v>
      </c>
      <c r="CN144" s="46">
        <f>NPV((1+CN$3)^(1/12)-1,$CB$6:$CB144)+$CB$5</f>
        <v>179.99052386802657</v>
      </c>
    </row>
    <row r="145" spans="1:92" x14ac:dyDescent="0.25">
      <c r="A145" s="61">
        <f t="shared" si="128"/>
        <v>11.66666666666668</v>
      </c>
      <c r="B145" s="32">
        <f t="shared" si="146"/>
        <v>8</v>
      </c>
      <c r="C145" s="62">
        <f t="shared" si="147"/>
        <v>12</v>
      </c>
      <c r="D145" s="64">
        <f t="shared" si="148"/>
        <v>12.16666666666668</v>
      </c>
      <c r="E145" s="28">
        <f t="shared" si="129"/>
        <v>12</v>
      </c>
      <c r="G145" s="68">
        <f>INDEX(Others!$D$11:$E$60, MATCH(C145, Others!$A$11:$A$60, 0), MATCH(G$3, Others!$D$10:$E$10, 0))</f>
        <v>4.0690909090909333E-2</v>
      </c>
      <c r="H145" s="16">
        <f t="shared" si="171"/>
        <v>3.329265421250005E-3</v>
      </c>
      <c r="I145" s="69">
        <f t="shared" si="172"/>
        <v>0.62793225270952557</v>
      </c>
      <c r="K145" s="80">
        <f>INDEX(Mortality!$B$7:$F$32, MATCH( E145,Mortality!$A$7:$A$32, 0), MATCH( K$3,Mortality!$B$6:$F$6,0))</f>
        <v>0.36499999999999999</v>
      </c>
      <c r="L145" s="11">
        <f t="shared" si="130"/>
        <v>0</v>
      </c>
      <c r="M145" s="80">
        <f t="shared" si="149"/>
        <v>0.36499999999999999</v>
      </c>
      <c r="N145" s="76">
        <f>INDEX(Myopia!$H:$H, MATCH(E145, Myopia!$A:$A, 0)) * Trend_Factor^(A145)</f>
        <v>26.22019498477632</v>
      </c>
      <c r="O145" s="11">
        <f t="shared" si="131"/>
        <v>0</v>
      </c>
      <c r="P145" s="80">
        <f t="shared" si="150"/>
        <v>26.22019498477632</v>
      </c>
      <c r="Q145" s="76">
        <f>VLOOKUP(C145,Others!$L$10:$M$61,2)</f>
        <v>0</v>
      </c>
      <c r="R145" s="11">
        <f t="shared" si="132"/>
        <v>0</v>
      </c>
      <c r="S145" s="80">
        <f t="shared" si="151"/>
        <v>0</v>
      </c>
      <c r="T145" s="78">
        <f t="shared" si="152"/>
        <v>3.0416666666666666E-5</v>
      </c>
      <c r="U145" s="81">
        <f t="shared" si="153"/>
        <v>2.1850162487313603E-3</v>
      </c>
      <c r="V145" s="81">
        <f t="shared" si="154"/>
        <v>0</v>
      </c>
      <c r="W145" s="77">
        <f t="shared" si="133"/>
        <v>0.88378365465839259</v>
      </c>
      <c r="X145" s="82">
        <f t="shared" si="155"/>
        <v>2.6852384295829693E-5</v>
      </c>
      <c r="Y145" s="82">
        <f t="shared" si="156"/>
        <v>1.9310522772584097E-3</v>
      </c>
      <c r="Z145" s="82">
        <f t="shared" si="157"/>
        <v>0</v>
      </c>
      <c r="AA145" s="82">
        <f t="shared" si="158"/>
        <v>0.88182574999683838</v>
      </c>
      <c r="AC145" s="46">
        <f t="shared" si="134"/>
        <v>0</v>
      </c>
      <c r="AD145" s="15">
        <f t="shared" si="135"/>
        <v>0</v>
      </c>
      <c r="AE145" s="46">
        <f t="shared" si="159"/>
        <v>0</v>
      </c>
      <c r="AF145" s="15">
        <f t="shared" si="160"/>
        <v>0</v>
      </c>
      <c r="AG145" s="46">
        <f>SUMPRODUCT(AE146:AE$605, $I145:$I$604) / $I145</f>
        <v>0</v>
      </c>
      <c r="AI145" s="46">
        <f t="shared" si="136"/>
        <v>-47000</v>
      </c>
      <c r="AJ145" s="46">
        <f>IF(E145&gt;Mat_Year,0,  -SUM($AD$5:AD145))</f>
        <v>-9306</v>
      </c>
      <c r="AK145" s="24">
        <f t="shared" si="161"/>
        <v>-0.24988828825699111</v>
      </c>
      <c r="AL145" s="79">
        <f t="shared" si="162"/>
        <v>-90.75945703114526</v>
      </c>
      <c r="AM145" s="24">
        <f t="shared" si="163"/>
        <v>-102.9769501163494</v>
      </c>
      <c r="AN145" s="79">
        <f t="shared" si="164"/>
        <v>-91.009345319402257</v>
      </c>
      <c r="AO145" s="15">
        <f t="shared" si="165"/>
        <v>-4532.6327645954962</v>
      </c>
      <c r="AP145" s="46">
        <f>SUMPRODUCT(AN146:AN$605, $I146:$I$605) / $I145</f>
        <v>-4005.8667499185813</v>
      </c>
      <c r="AR145" s="46">
        <v>0</v>
      </c>
      <c r="AS145" s="46">
        <v>0</v>
      </c>
      <c r="AT145" s="46">
        <v>0</v>
      </c>
      <c r="AU145" s="95">
        <f t="shared" si="137"/>
        <v>-2.0380873473387955</v>
      </c>
      <c r="AV145" s="47">
        <f t="shared" si="138"/>
        <v>0</v>
      </c>
      <c r="AW145" s="96">
        <f t="shared" si="173"/>
        <v>-2.0380873473387955</v>
      </c>
      <c r="AX145" s="95">
        <f t="shared" si="139"/>
        <v>-23.370068249484849</v>
      </c>
      <c r="AY145" s="11">
        <f t="shared" si="140"/>
        <v>0</v>
      </c>
      <c r="AZ145" s="96">
        <f t="shared" si="174"/>
        <v>-23.370068249484849</v>
      </c>
      <c r="BA145" s="95">
        <f t="shared" si="175"/>
        <v>-1.8012282843441094</v>
      </c>
      <c r="BB145" s="64">
        <f t="shared" si="176"/>
        <v>-4.5756365566507105E-2</v>
      </c>
      <c r="BC145" s="95">
        <f t="shared" si="177"/>
        <v>-2.0380873473387955</v>
      </c>
      <c r="BD145" s="96">
        <f t="shared" si="178"/>
        <v>-5.1773265238983443E-2</v>
      </c>
      <c r="BE145" s="96">
        <f t="shared" si="179"/>
        <v>-1.8012282843441094</v>
      </c>
      <c r="BF145" s="96">
        <f t="shared" si="180"/>
        <v>-4.5756365566507105E-2</v>
      </c>
      <c r="BG145" s="15">
        <f t="shared" si="166"/>
        <v>-179.6498081515721</v>
      </c>
      <c r="BH145" s="46">
        <f>(SUMPRODUCT(BE146:BE$605,$I145:$I$604)+SUMPRODUCT(BF146:BF$605,$I146:$I$605)) / $I145</f>
        <v>-158.77156400687548</v>
      </c>
      <c r="BJ145" s="46">
        <f t="shared" si="124"/>
        <v>-1.8012282843441094</v>
      </c>
      <c r="BK145" s="46">
        <f t="shared" si="125"/>
        <v>-91.055101684968761</v>
      </c>
      <c r="BM145" s="49">
        <f t="shared" si="167"/>
        <v>4722.7451840007934</v>
      </c>
      <c r="BN145" s="46">
        <f t="shared" si="126"/>
        <v>4164.6383139254558</v>
      </c>
      <c r="BP145" s="46">
        <f>Reserve!BX145</f>
        <v>6199.3313735558113</v>
      </c>
      <c r="BQ145" s="46">
        <f t="shared" si="141"/>
        <v>5466.7300379647832</v>
      </c>
      <c r="BR145" s="15">
        <f t="shared" si="168"/>
        <v>102.9863794467974</v>
      </c>
      <c r="BT145" s="49">
        <f t="shared" si="169"/>
        <v>20.974666605232805</v>
      </c>
      <c r="BU145" s="46">
        <f t="shared" si="142"/>
        <v>18.53706750761399</v>
      </c>
      <c r="BV145" s="46">
        <f>SUMPRODUCT(BU146:BU$605, $I146:$I$605) / $I145</f>
        <v>591.67748119933344</v>
      </c>
      <c r="BX145" s="46">
        <f>-BZ145*Others!$Q$43</f>
        <v>-7.3387819481852219</v>
      </c>
      <c r="BZ145" s="50">
        <f t="shared" si="127"/>
        <v>28.667116985098524</v>
      </c>
      <c r="CA145" s="46">
        <f t="shared" si="170"/>
        <v>21.328335036913302</v>
      </c>
      <c r="CB145" s="46">
        <f t="shared" si="143"/>
        <v>21.328335036913302</v>
      </c>
      <c r="CD145" s="46">
        <f>SUMPRODUCT(BZ146:BZ$605, $I146:$I$605) / $I145</f>
        <v>1302.0917240393278</v>
      </c>
      <c r="CE145" s="46">
        <f>SUMPRODUCT(CA146:CA$605, $I146:$I$605) / $I145</f>
        <v>968.75624268525928</v>
      </c>
      <c r="CF145" s="46">
        <f>SUMPRODUCT(CB146:CB$605, $I146:$I$605) / $I145</f>
        <v>968.75624268525928</v>
      </c>
      <c r="CH145" s="46">
        <f t="shared" si="144"/>
        <v>40800.668626444189</v>
      </c>
      <c r="CI145" s="46">
        <f t="shared" si="145"/>
        <v>3106.6686264441887</v>
      </c>
      <c r="CK145" s="46">
        <f>NPV((1+CK$3)^(1/12)-1,$CB$6:$CB145)+$CB$5</f>
        <v>703.64264301536059</v>
      </c>
      <c r="CL145" s="46">
        <f>NPV((1+CL$3)^(1/12)-1,$CB$6:$CB145)+$CB$5</f>
        <v>522.03463167571726</v>
      </c>
      <c r="CM145" s="46">
        <f>NPV((1+CM$3)^(1/12)-1,$CB$6:$CB145)+$CB$5</f>
        <v>187.00576000268063</v>
      </c>
      <c r="CN145" s="46">
        <f>NPV((1+CN$3)^(1/12)-1,$CB$6:$CB145)+$CB$5</f>
        <v>187.00576000268063</v>
      </c>
    </row>
    <row r="146" spans="1:92" x14ac:dyDescent="0.25">
      <c r="A146" s="61">
        <f t="shared" si="128"/>
        <v>11.750000000000014</v>
      </c>
      <c r="B146" s="32">
        <f t="shared" si="146"/>
        <v>9</v>
      </c>
      <c r="C146" s="62">
        <f t="shared" si="147"/>
        <v>12</v>
      </c>
      <c r="D146" s="64">
        <f t="shared" si="148"/>
        <v>12.250000000000014</v>
      </c>
      <c r="E146" s="28">
        <f t="shared" si="129"/>
        <v>12</v>
      </c>
      <c r="G146" s="68">
        <f>INDEX(Others!$D$11:$E$60, MATCH(C146, Others!$A$11:$A$60, 0), MATCH(G$3, Others!$D$10:$E$10, 0))</f>
        <v>4.0690909090909333E-2</v>
      </c>
      <c r="H146" s="16">
        <f t="shared" si="171"/>
        <v>3.329265421250005E-3</v>
      </c>
      <c r="I146" s="69">
        <f t="shared" si="172"/>
        <v>0.62584863648513911</v>
      </c>
      <c r="K146" s="80">
        <f>INDEX(Mortality!$B$7:$F$32, MATCH( E146,Mortality!$A$7:$A$32, 0), MATCH( K$3,Mortality!$B$6:$F$6,0))</f>
        <v>0.36499999999999999</v>
      </c>
      <c r="L146" s="11">
        <f t="shared" si="130"/>
        <v>0</v>
      </c>
      <c r="M146" s="80">
        <f t="shared" si="149"/>
        <v>0.36499999999999999</v>
      </c>
      <c r="N146" s="76">
        <f>INDEX(Myopia!$H:$H, MATCH(E146, Myopia!$A:$A, 0)) * Trend_Factor^(A146)</f>
        <v>26.22019498477632</v>
      </c>
      <c r="O146" s="11">
        <f t="shared" si="131"/>
        <v>0</v>
      </c>
      <c r="P146" s="80">
        <f t="shared" si="150"/>
        <v>26.22019498477632</v>
      </c>
      <c r="Q146" s="76">
        <f>VLOOKUP(C146,Others!$L$10:$M$61,2)</f>
        <v>0</v>
      </c>
      <c r="R146" s="11">
        <f t="shared" si="132"/>
        <v>0</v>
      </c>
      <c r="S146" s="80">
        <f t="shared" si="151"/>
        <v>0</v>
      </c>
      <c r="T146" s="78">
        <f t="shared" si="152"/>
        <v>3.0416666666666666E-5</v>
      </c>
      <c r="U146" s="81">
        <f t="shared" si="153"/>
        <v>2.1850162487313603E-3</v>
      </c>
      <c r="V146" s="81">
        <f t="shared" si="154"/>
        <v>0</v>
      </c>
      <c r="W146" s="77">
        <f t="shared" si="133"/>
        <v>0.88182574999683838</v>
      </c>
      <c r="X146" s="82">
        <f t="shared" si="155"/>
        <v>2.6792896424437715E-5</v>
      </c>
      <c r="Y146" s="82">
        <f t="shared" si="156"/>
        <v>1.9267742888215106E-3</v>
      </c>
      <c r="Z146" s="82">
        <f t="shared" si="157"/>
        <v>0</v>
      </c>
      <c r="AA146" s="82">
        <f t="shared" si="158"/>
        <v>0.87987218281159241</v>
      </c>
      <c r="AC146" s="46">
        <f t="shared" si="134"/>
        <v>0</v>
      </c>
      <c r="AD146" s="15">
        <f t="shared" si="135"/>
        <v>0</v>
      </c>
      <c r="AE146" s="46">
        <f t="shared" si="159"/>
        <v>0</v>
      </c>
      <c r="AF146" s="15">
        <f t="shared" si="160"/>
        <v>0</v>
      </c>
      <c r="AG146" s="46">
        <f>SUMPRODUCT(AE147:AE$605, $I146:$I$604) / $I146</f>
        <v>0</v>
      </c>
      <c r="AI146" s="46">
        <f t="shared" si="136"/>
        <v>-47000</v>
      </c>
      <c r="AJ146" s="46">
        <f>IF(E146&gt;Mat_Year,0,  -SUM($AD$5:AD146))</f>
        <v>-9306</v>
      </c>
      <c r="AK146" s="24">
        <f t="shared" si="161"/>
        <v>-0.24933469412581738</v>
      </c>
      <c r="AL146" s="79">
        <f t="shared" si="162"/>
        <v>-90.558391574610994</v>
      </c>
      <c r="AM146" s="24">
        <f t="shared" si="163"/>
        <v>-102.97695011634939</v>
      </c>
      <c r="AN146" s="79">
        <f t="shared" si="164"/>
        <v>-90.807726268736815</v>
      </c>
      <c r="AO146" s="15">
        <f t="shared" si="165"/>
        <v>-4454.8433943061518</v>
      </c>
      <c r="AP146" s="46">
        <f>SUMPRODUCT(AN147:AN$605, $I147:$I$605) / $I146</f>
        <v>-3928.3956173024835</v>
      </c>
      <c r="AR146" s="46">
        <v>0</v>
      </c>
      <c r="AS146" s="46">
        <v>0</v>
      </c>
      <c r="AT146" s="46">
        <v>0</v>
      </c>
      <c r="AU146" s="95">
        <f t="shared" si="137"/>
        <v>-2.0403661297768596</v>
      </c>
      <c r="AV146" s="47">
        <f t="shared" si="138"/>
        <v>0</v>
      </c>
      <c r="AW146" s="96">
        <f t="shared" si="173"/>
        <v>-2.0403661297768596</v>
      </c>
      <c r="AX146" s="95">
        <f t="shared" si="139"/>
        <v>-23.396198288107986</v>
      </c>
      <c r="AY146" s="11">
        <f t="shared" si="140"/>
        <v>0</v>
      </c>
      <c r="AZ146" s="96">
        <f t="shared" si="174"/>
        <v>-23.396198288107986</v>
      </c>
      <c r="BA146" s="95">
        <f t="shared" si="175"/>
        <v>-1.7992473926586257</v>
      </c>
      <c r="BB146" s="64">
        <f t="shared" si="176"/>
        <v>-4.5706045235155188E-2</v>
      </c>
      <c r="BC146" s="95">
        <f t="shared" si="177"/>
        <v>-2.0403661297768596</v>
      </c>
      <c r="BD146" s="96">
        <f t="shared" si="178"/>
        <v>-5.1831152850003594E-2</v>
      </c>
      <c r="BE146" s="96">
        <f t="shared" si="179"/>
        <v>-1.7992473926586257</v>
      </c>
      <c r="BF146" s="96">
        <f t="shared" si="180"/>
        <v>-4.5706045235155188E-2</v>
      </c>
      <c r="BG146" s="15">
        <f t="shared" si="166"/>
        <v>-178.54912160973228</v>
      </c>
      <c r="BH146" s="46">
        <f>(SUMPRODUCT(BE147:BE$605,$I146:$I$604)+SUMPRODUCT(BF147:BF$605,$I147:$I$605)) / $I146</f>
        <v>-157.44921307477887</v>
      </c>
      <c r="BJ146" s="46">
        <f t="shared" si="124"/>
        <v>-1.7992473926586257</v>
      </c>
      <c r="BK146" s="46">
        <f t="shared" si="125"/>
        <v>-90.853432313971965</v>
      </c>
      <c r="BM146" s="49">
        <f t="shared" si="167"/>
        <v>4643.6799687440134</v>
      </c>
      <c r="BN146" s="46">
        <f t="shared" si="126"/>
        <v>4085.844830377262</v>
      </c>
      <c r="BP146" s="46">
        <f>Reserve!BX146</f>
        <v>6095.9761492216876</v>
      </c>
      <c r="BQ146" s="46">
        <f t="shared" si="141"/>
        <v>5363.679840783092</v>
      </c>
      <c r="BR146" s="15">
        <f t="shared" si="168"/>
        <v>103.05019718169115</v>
      </c>
      <c r="BT146" s="49">
        <f t="shared" si="169"/>
        <v>20.632426656447102</v>
      </c>
      <c r="BU146" s="46">
        <f t="shared" si="142"/>
        <v>18.194205110576227</v>
      </c>
      <c r="BV146" s="46">
        <f>SUMPRODUCT(BU147:BU$605, $I147:$I$605) / $I146</f>
        <v>575.45312746744651</v>
      </c>
      <c r="BX146" s="46">
        <f>-BZ146*Others!$Q$43</f>
        <v>-7.3194809819230162</v>
      </c>
      <c r="BZ146" s="50">
        <f t="shared" si="127"/>
        <v>28.591722585636781</v>
      </c>
      <c r="CA146" s="46">
        <f t="shared" si="170"/>
        <v>21.272241603713766</v>
      </c>
      <c r="CB146" s="46">
        <f t="shared" si="143"/>
        <v>21.272241603713766</v>
      </c>
      <c r="CD146" s="46">
        <f>SUMPRODUCT(BZ147:BZ$605, $I147:$I$605) / $I146</f>
        <v>1277.8350104058309</v>
      </c>
      <c r="CE146" s="46">
        <f>SUMPRODUCT(CA147:CA$605, $I147:$I$605) / $I146</f>
        <v>950.70924774193782</v>
      </c>
      <c r="CF146" s="46">
        <f>SUMPRODUCT(CB147:CB$605, $I147:$I$605) / $I146</f>
        <v>950.70924774193782</v>
      </c>
      <c r="CH146" s="46">
        <f t="shared" si="144"/>
        <v>40904.023850778314</v>
      </c>
      <c r="CI146" s="46">
        <f t="shared" si="145"/>
        <v>3210.0238507783124</v>
      </c>
      <c r="CK146" s="46">
        <f>NPV((1+CK$3)^(1/12)-1,$CB$6:$CB146)+$CB$5</f>
        <v>718.67322741718499</v>
      </c>
      <c r="CL146" s="46">
        <f>NPV((1+CL$3)^(1/12)-1,$CB$6:$CB146)+$CB$5</f>
        <v>534.02517859613954</v>
      </c>
      <c r="CM146" s="46">
        <f>NPV((1+CM$3)^(1/12)-1,$CB$6:$CB146)+$CB$5</f>
        <v>193.94719412476047</v>
      </c>
      <c r="CN146" s="46">
        <f>NPV((1+CN$3)^(1/12)-1,$CB$6:$CB146)+$CB$5</f>
        <v>193.94719412476047</v>
      </c>
    </row>
    <row r="147" spans="1:92" x14ac:dyDescent="0.25">
      <c r="A147" s="61">
        <f t="shared" si="128"/>
        <v>11.833333333333348</v>
      </c>
      <c r="B147" s="32">
        <f t="shared" si="146"/>
        <v>10</v>
      </c>
      <c r="C147" s="62">
        <f t="shared" si="147"/>
        <v>12</v>
      </c>
      <c r="D147" s="64">
        <f t="shared" si="148"/>
        <v>12.333333333333348</v>
      </c>
      <c r="E147" s="28">
        <f t="shared" si="129"/>
        <v>12</v>
      </c>
      <c r="G147" s="68">
        <f>INDEX(Others!$D$11:$E$60, MATCH(C147, Others!$A$11:$A$60, 0), MATCH(G$3, Others!$D$10:$E$10, 0))</f>
        <v>4.0690909090909333E-2</v>
      </c>
      <c r="H147" s="16">
        <f t="shared" si="171"/>
        <v>3.329265421250005E-3</v>
      </c>
      <c r="I147" s="69">
        <f t="shared" si="172"/>
        <v>0.62377193415401389</v>
      </c>
      <c r="K147" s="80">
        <f>INDEX(Mortality!$B$7:$F$32, MATCH( E147,Mortality!$A$7:$A$32, 0), MATCH( K$3,Mortality!$B$6:$F$6,0))</f>
        <v>0.36499999999999999</v>
      </c>
      <c r="L147" s="11">
        <f t="shared" si="130"/>
        <v>0</v>
      </c>
      <c r="M147" s="80">
        <f t="shared" si="149"/>
        <v>0.36499999999999999</v>
      </c>
      <c r="N147" s="76">
        <f>INDEX(Myopia!$H:$H, MATCH(E147, Myopia!$A:$A, 0)) * Trend_Factor^(A147)</f>
        <v>26.22019498477632</v>
      </c>
      <c r="O147" s="11">
        <f t="shared" si="131"/>
        <v>0</v>
      </c>
      <c r="P147" s="80">
        <f t="shared" si="150"/>
        <v>26.22019498477632</v>
      </c>
      <c r="Q147" s="76">
        <f>VLOOKUP(C147,Others!$L$10:$M$61,2)</f>
        <v>0</v>
      </c>
      <c r="R147" s="11">
        <f t="shared" si="132"/>
        <v>0</v>
      </c>
      <c r="S147" s="80">
        <f t="shared" si="151"/>
        <v>0</v>
      </c>
      <c r="T147" s="78">
        <f t="shared" si="152"/>
        <v>3.0416666666666666E-5</v>
      </c>
      <c r="U147" s="81">
        <f t="shared" si="153"/>
        <v>2.1850162487313603E-3</v>
      </c>
      <c r="V147" s="81">
        <f t="shared" si="154"/>
        <v>0</v>
      </c>
      <c r="W147" s="77">
        <f t="shared" si="133"/>
        <v>0.87987218281159241</v>
      </c>
      <c r="X147" s="82">
        <f t="shared" si="155"/>
        <v>2.6733540340480465E-5</v>
      </c>
      <c r="Y147" s="82">
        <f t="shared" si="156"/>
        <v>1.9225057776966871E-3</v>
      </c>
      <c r="Z147" s="82">
        <f t="shared" si="157"/>
        <v>0</v>
      </c>
      <c r="AA147" s="82">
        <f t="shared" si="158"/>
        <v>0.87792294349355526</v>
      </c>
      <c r="AC147" s="46">
        <f t="shared" si="134"/>
        <v>0</v>
      </c>
      <c r="AD147" s="15">
        <f t="shared" si="135"/>
        <v>0</v>
      </c>
      <c r="AE147" s="46">
        <f t="shared" si="159"/>
        <v>0</v>
      </c>
      <c r="AF147" s="15">
        <f t="shared" si="160"/>
        <v>0</v>
      </c>
      <c r="AG147" s="46">
        <f>SUMPRODUCT(AE148:AE$605, $I147:$I$604) / $I147</f>
        <v>0</v>
      </c>
      <c r="AI147" s="46">
        <f t="shared" si="136"/>
        <v>-47000</v>
      </c>
      <c r="AJ147" s="46">
        <f>IF(E147&gt;Mat_Year,0,  -SUM($AD$5:AD147))</f>
        <v>-9306</v>
      </c>
      <c r="AK147" s="24">
        <f t="shared" si="161"/>
        <v>-0.24878232640851122</v>
      </c>
      <c r="AL147" s="79">
        <f t="shared" si="162"/>
        <v>-90.357771551744293</v>
      </c>
      <c r="AM147" s="24">
        <f t="shared" si="163"/>
        <v>-102.9769501163494</v>
      </c>
      <c r="AN147" s="79">
        <f t="shared" si="164"/>
        <v>-90.606553878152809</v>
      </c>
      <c r="AO147" s="15">
        <f t="shared" si="165"/>
        <v>-4376.6217529558999</v>
      </c>
      <c r="AP147" s="46">
        <f>SUMPRODUCT(AN148:AN$605, $I148:$I$605) / $I147</f>
        <v>-3850.8677351140059</v>
      </c>
      <c r="AR147" s="46">
        <v>0</v>
      </c>
      <c r="AS147" s="46">
        <v>0</v>
      </c>
      <c r="AT147" s="46">
        <v>0</v>
      </c>
      <c r="AU147" s="95">
        <f t="shared" si="137"/>
        <v>-2.0426474601181854</v>
      </c>
      <c r="AV147" s="47">
        <f t="shared" si="138"/>
        <v>0</v>
      </c>
      <c r="AW147" s="96">
        <f t="shared" si="173"/>
        <v>-2.0426474601181854</v>
      </c>
      <c r="AX147" s="95">
        <f t="shared" si="139"/>
        <v>-23.42235754268852</v>
      </c>
      <c r="AY147" s="11">
        <f t="shared" si="140"/>
        <v>0</v>
      </c>
      <c r="AZ147" s="96">
        <f t="shared" si="174"/>
        <v>-23.42235754268852</v>
      </c>
      <c r="BA147" s="95">
        <f t="shared" si="175"/>
        <v>-1.7972686794487429</v>
      </c>
      <c r="BB147" s="64">
        <f t="shared" si="176"/>
        <v>-4.5655780243332875E-2</v>
      </c>
      <c r="BC147" s="95">
        <f t="shared" si="177"/>
        <v>-2.0426474601181854</v>
      </c>
      <c r="BD147" s="96">
        <f t="shared" si="178"/>
        <v>-5.1889105185075703E-2</v>
      </c>
      <c r="BE147" s="96">
        <f t="shared" si="179"/>
        <v>-1.7972686794487429</v>
      </c>
      <c r="BF147" s="96">
        <f t="shared" si="180"/>
        <v>-4.5655780243332875E-2</v>
      </c>
      <c r="BG147" s="15">
        <f t="shared" si="166"/>
        <v>-177.43997173819454</v>
      </c>
      <c r="BH147" s="46">
        <f>(SUMPRODUCT(BE148:BE$605,$I147:$I$604)+SUMPRODUCT(BF148:BF$605,$I148:$I$605)) / $I147</f>
        <v>-156.12449525131251</v>
      </c>
      <c r="BJ147" s="46">
        <f t="shared" si="124"/>
        <v>-1.7972686794487429</v>
      </c>
      <c r="BK147" s="46">
        <f t="shared" si="125"/>
        <v>-90.652209658396146</v>
      </c>
      <c r="BM147" s="49">
        <f t="shared" si="167"/>
        <v>4564.1730405405824</v>
      </c>
      <c r="BN147" s="46">
        <f t="shared" si="126"/>
        <v>4006.9922303653184</v>
      </c>
      <c r="BP147" s="46">
        <f>Reserve!BX147</f>
        <v>5992.0578239710821</v>
      </c>
      <c r="BQ147" s="46">
        <f t="shared" si="141"/>
        <v>5260.5650424042797</v>
      </c>
      <c r="BR147" s="15">
        <f t="shared" si="168"/>
        <v>103.11479837881234</v>
      </c>
      <c r="BT147" s="49">
        <f t="shared" si="169"/>
        <v>20.288322086811746</v>
      </c>
      <c r="BU147" s="46">
        <f t="shared" si="142"/>
        <v>17.851130240107693</v>
      </c>
      <c r="BV147" s="46">
        <f>SUMPRODUCT(BU148:BU$605, $I148:$I$605) / $I147</f>
        <v>559.51783342616625</v>
      </c>
      <c r="BX147" s="46">
        <f>-BZ147*Others!$Q$43</f>
        <v>-7.3002112719552352</v>
      </c>
      <c r="BZ147" s="50">
        <f t="shared" si="127"/>
        <v>28.516450281075137</v>
      </c>
      <c r="CA147" s="46">
        <f t="shared" si="170"/>
        <v>21.216239009119903</v>
      </c>
      <c r="CB147" s="46">
        <f t="shared" si="143"/>
        <v>21.216239009119903</v>
      </c>
      <c r="CD147" s="46">
        <f>SUMPRODUCT(BZ148:BZ$605, $I148:$I$605) / $I147</f>
        <v>1253.5728120389626</v>
      </c>
      <c r="CE147" s="46">
        <f>SUMPRODUCT(CA148:CA$605, $I148:$I$605) / $I147</f>
        <v>932.65817215698792</v>
      </c>
      <c r="CF147" s="46">
        <f>SUMPRODUCT(CB148:CB$605, $I148:$I$605) / $I147</f>
        <v>932.65817215698792</v>
      </c>
      <c r="CH147" s="46">
        <f t="shared" si="144"/>
        <v>41007.942176028919</v>
      </c>
      <c r="CI147" s="46">
        <f t="shared" si="145"/>
        <v>3313.9421760289179</v>
      </c>
      <c r="CK147" s="46">
        <f>NPV((1+CK$3)^(1/12)-1,$CB$6:$CB147)+$CB$5</f>
        <v>733.62736046376631</v>
      </c>
      <c r="CL147" s="46">
        <f>NPV((1+CL$3)^(1/12)-1,$CB$6:$CB147)+$CB$5</f>
        <v>545.93563380599926</v>
      </c>
      <c r="CM147" s="46">
        <f>NPV((1+CM$3)^(1/12)-1,$CB$6:$CB147)+$CB$5</f>
        <v>200.81558429822167</v>
      </c>
      <c r="CN147" s="46">
        <f>NPV((1+CN$3)^(1/12)-1,$CB$6:$CB147)+$CB$5</f>
        <v>200.81558429822167</v>
      </c>
    </row>
    <row r="148" spans="1:92" x14ac:dyDescent="0.25">
      <c r="A148" s="61">
        <f t="shared" si="128"/>
        <v>11.916666666666682</v>
      </c>
      <c r="B148" s="32">
        <f t="shared" si="146"/>
        <v>11</v>
      </c>
      <c r="C148" s="62">
        <f t="shared" si="147"/>
        <v>12</v>
      </c>
      <c r="D148" s="64">
        <f t="shared" si="148"/>
        <v>12.416666666666682</v>
      </c>
      <c r="E148" s="28">
        <f t="shared" si="129"/>
        <v>12</v>
      </c>
      <c r="G148" s="68">
        <f>INDEX(Others!$D$11:$E$60, MATCH(C148, Others!$A$11:$A$60, 0), MATCH(G$3, Others!$D$10:$E$10, 0))</f>
        <v>4.0690909090909333E-2</v>
      </c>
      <c r="H148" s="16">
        <f t="shared" si="171"/>
        <v>3.329265421250005E-3</v>
      </c>
      <c r="I148" s="69">
        <f t="shared" si="172"/>
        <v>0.62170212277434356</v>
      </c>
      <c r="K148" s="80">
        <f>INDEX(Mortality!$B$7:$F$32, MATCH( E148,Mortality!$A$7:$A$32, 0), MATCH( K$3,Mortality!$B$6:$F$6,0))</f>
        <v>0.36499999999999999</v>
      </c>
      <c r="L148" s="11">
        <f t="shared" si="130"/>
        <v>0</v>
      </c>
      <c r="M148" s="80">
        <f t="shared" si="149"/>
        <v>0.36499999999999999</v>
      </c>
      <c r="N148" s="76">
        <f>INDEX(Myopia!$H:$H, MATCH(E148, Myopia!$A:$A, 0)) * Trend_Factor^(A148)</f>
        <v>26.22019498477632</v>
      </c>
      <c r="O148" s="11">
        <f t="shared" si="131"/>
        <v>0</v>
      </c>
      <c r="P148" s="80">
        <f t="shared" si="150"/>
        <v>26.22019498477632</v>
      </c>
      <c r="Q148" s="76">
        <f>VLOOKUP(C148,Others!$L$10:$M$61,2)</f>
        <v>0</v>
      </c>
      <c r="R148" s="11">
        <f t="shared" si="132"/>
        <v>0</v>
      </c>
      <c r="S148" s="80">
        <f t="shared" si="151"/>
        <v>0</v>
      </c>
      <c r="T148" s="78">
        <f t="shared" si="152"/>
        <v>3.0416666666666666E-5</v>
      </c>
      <c r="U148" s="81">
        <f t="shared" si="153"/>
        <v>2.1850162487313603E-3</v>
      </c>
      <c r="V148" s="81">
        <f t="shared" si="154"/>
        <v>0</v>
      </c>
      <c r="W148" s="77">
        <f t="shared" si="133"/>
        <v>0.87792294349355526</v>
      </c>
      <c r="X148" s="82">
        <f t="shared" si="155"/>
        <v>2.667431575200049E-5</v>
      </c>
      <c r="Y148" s="82">
        <f t="shared" si="156"/>
        <v>1.9182467228882202E-3</v>
      </c>
      <c r="Z148" s="82">
        <f t="shared" si="157"/>
        <v>0</v>
      </c>
      <c r="AA148" s="82">
        <f t="shared" si="158"/>
        <v>0.87597802245491507</v>
      </c>
      <c r="AC148" s="46">
        <f t="shared" si="134"/>
        <v>0</v>
      </c>
      <c r="AD148" s="15">
        <f t="shared" si="135"/>
        <v>0</v>
      </c>
      <c r="AE148" s="46">
        <f t="shared" si="159"/>
        <v>0</v>
      </c>
      <c r="AF148" s="15">
        <f t="shared" si="160"/>
        <v>0</v>
      </c>
      <c r="AG148" s="46">
        <f>SUMPRODUCT(AE149:AE$605, $I148:$I$604) / $I148</f>
        <v>0</v>
      </c>
      <c r="AI148" s="46">
        <f t="shared" si="136"/>
        <v>-47000</v>
      </c>
      <c r="AJ148" s="46">
        <f>IF(E148&gt;Mat_Year,0,  -SUM($AD$5:AD148))</f>
        <v>-9306</v>
      </c>
      <c r="AK148" s="24">
        <f t="shared" si="161"/>
        <v>-0.24823118238811656</v>
      </c>
      <c r="AL148" s="79">
        <f t="shared" si="162"/>
        <v>-90.157595975746347</v>
      </c>
      <c r="AM148" s="24">
        <f t="shared" si="163"/>
        <v>-102.97695011634939</v>
      </c>
      <c r="AN148" s="79">
        <f t="shared" si="164"/>
        <v>-90.405827158134457</v>
      </c>
      <c r="AO148" s="15">
        <f t="shared" si="165"/>
        <v>-4297.9654384392943</v>
      </c>
      <c r="AP148" s="46">
        <f>SUMPRODUCT(AN149:AN$605, $I149:$I$605) / $I148</f>
        <v>-3773.2824687481943</v>
      </c>
      <c r="AR148" s="46">
        <v>0</v>
      </c>
      <c r="AS148" s="46">
        <v>0</v>
      </c>
      <c r="AT148" s="46">
        <v>0</v>
      </c>
      <c r="AU148" s="95">
        <f t="shared" si="137"/>
        <v>-2.0449313412115799</v>
      </c>
      <c r="AV148" s="47">
        <f t="shared" si="138"/>
        <v>0</v>
      </c>
      <c r="AW148" s="96">
        <f t="shared" si="173"/>
        <v>-2.0449313412115799</v>
      </c>
      <c r="AX148" s="95">
        <f t="shared" si="139"/>
        <v>-23.44854604589278</v>
      </c>
      <c r="AY148" s="11">
        <f t="shared" si="140"/>
        <v>0</v>
      </c>
      <c r="AZ148" s="96">
        <f t="shared" si="174"/>
        <v>-23.44854604589278</v>
      </c>
      <c r="BA148" s="95">
        <f t="shared" si="175"/>
        <v>-1.7952921423186941</v>
      </c>
      <c r="BB148" s="64">
        <f t="shared" si="176"/>
        <v>-4.5605570530180821E-2</v>
      </c>
      <c r="BC148" s="95">
        <f t="shared" si="177"/>
        <v>-2.0449313412115799</v>
      </c>
      <c r="BD148" s="96">
        <f t="shared" si="178"/>
        <v>-5.1947122316567645E-2</v>
      </c>
      <c r="BE148" s="96">
        <f t="shared" si="179"/>
        <v>-1.7952921423186941</v>
      </c>
      <c r="BF148" s="96">
        <f t="shared" si="180"/>
        <v>-4.5605570530180821E-2</v>
      </c>
      <c r="BG148" s="15">
        <f t="shared" si="166"/>
        <v>-176.3223088826814</v>
      </c>
      <c r="BH148" s="46">
        <f>(SUMPRODUCT(BE149:BE$605,$I148:$I$604)+SUMPRODUCT(BF149:BF$605,$I149:$I$605)) / $I148</f>
        <v>-154.79740041786349</v>
      </c>
      <c r="BJ148" s="46">
        <f t="shared" si="124"/>
        <v>-1.7952921423186941</v>
      </c>
      <c r="BK148" s="46">
        <f t="shared" si="125"/>
        <v>-90.451432728664642</v>
      </c>
      <c r="BM148" s="49">
        <f t="shared" si="167"/>
        <v>4484.2219421871723</v>
      </c>
      <c r="BN148" s="46">
        <f t="shared" si="126"/>
        <v>3928.0798691660575</v>
      </c>
      <c r="BP148" s="46">
        <f>Reserve!BX148</f>
        <v>5887.573347690206</v>
      </c>
      <c r="BQ148" s="46">
        <f t="shared" si="141"/>
        <v>5157.3848581679304</v>
      </c>
      <c r="BR148" s="15">
        <f t="shared" si="168"/>
        <v>103.18018423634931</v>
      </c>
      <c r="BT148" s="49">
        <f t="shared" si="169"/>
        <v>19.942342796274346</v>
      </c>
      <c r="BU148" s="46">
        <f t="shared" si="142"/>
        <v>17.50784028786267</v>
      </c>
      <c r="BV148" s="46">
        <f>SUMPRODUCT(BU149:BU$605, $I149:$I$605) / $I148</f>
        <v>543.87277651370209</v>
      </c>
      <c r="BX148" s="46">
        <f>-BZ148*Others!$Q$43</f>
        <v>-7.2809727112265303</v>
      </c>
      <c r="BZ148" s="50">
        <f t="shared" si="127"/>
        <v>28.441299653228633</v>
      </c>
      <c r="CA148" s="46">
        <f t="shared" si="170"/>
        <v>21.160326942002101</v>
      </c>
      <c r="CB148" s="46">
        <f t="shared" si="143"/>
        <v>21.160326942002101</v>
      </c>
      <c r="CD148" s="46">
        <f>SUMPRODUCT(BZ149:BZ$605, $I149:$I$605) / $I148</f>
        <v>1229.3049890018744</v>
      </c>
      <c r="CE148" s="46">
        <f>SUMPRODUCT(CA149:CA$605, $I149:$I$605) / $I148</f>
        <v>914.60291181739433</v>
      </c>
      <c r="CF148" s="46">
        <f>SUMPRODUCT(CB149:CB$605, $I149:$I$605) / $I148</f>
        <v>914.60291181739433</v>
      </c>
      <c r="CH148" s="46">
        <f t="shared" si="144"/>
        <v>41112.42665230979</v>
      </c>
      <c r="CI148" s="46">
        <f t="shared" si="145"/>
        <v>3418.426652309794</v>
      </c>
      <c r="CK148" s="46">
        <f>NPV((1+CK$3)^(1/12)-1,$CB$6:$CB148)+$CB$5</f>
        <v>748.5053910033987</v>
      </c>
      <c r="CL148" s="46">
        <f>NPV((1+CL$3)^(1/12)-1,$CB$6:$CB148)+$CB$5</f>
        <v>557.76650046576583</v>
      </c>
      <c r="CM148" s="46">
        <f>NPV((1+CM$3)^(1/12)-1,$CB$6:$CB148)+$CB$5</f>
        <v>207.61168087916178</v>
      </c>
      <c r="CN148" s="46">
        <f>NPV((1+CN$3)^(1/12)-1,$CB$6:$CB148)+$CB$5</f>
        <v>207.61168087916178</v>
      </c>
    </row>
    <row r="149" spans="1:92" x14ac:dyDescent="0.25">
      <c r="A149" s="61">
        <f t="shared" si="128"/>
        <v>12.000000000000016</v>
      </c>
      <c r="B149" s="32">
        <f t="shared" si="146"/>
        <v>12</v>
      </c>
      <c r="C149" s="62">
        <f t="shared" si="147"/>
        <v>12</v>
      </c>
      <c r="D149" s="64">
        <f t="shared" si="148"/>
        <v>12.500000000000016</v>
      </c>
      <c r="E149" s="28">
        <f t="shared" si="129"/>
        <v>12</v>
      </c>
      <c r="G149" s="68">
        <f>INDEX(Others!$D$11:$E$60, MATCH(C149, Others!$A$11:$A$60, 0), MATCH(G$3, Others!$D$10:$E$10, 0))</f>
        <v>4.0690909090909333E-2</v>
      </c>
      <c r="H149" s="16">
        <f t="shared" si="171"/>
        <v>3.329265421250005E-3</v>
      </c>
      <c r="I149" s="69">
        <f t="shared" si="172"/>
        <v>0.61963917948044756</v>
      </c>
      <c r="K149" s="80">
        <f>INDEX(Mortality!$B$7:$F$32, MATCH( E149,Mortality!$A$7:$A$32, 0), MATCH( K$3,Mortality!$B$6:$F$6,0))</f>
        <v>0.36499999999999999</v>
      </c>
      <c r="L149" s="11">
        <f t="shared" si="130"/>
        <v>0</v>
      </c>
      <c r="M149" s="80">
        <f t="shared" si="149"/>
        <v>0.36499999999999999</v>
      </c>
      <c r="N149" s="76">
        <f>INDEX(Myopia!$H:$H, MATCH(E149, Myopia!$A:$A, 0)) * Trend_Factor^(A149)</f>
        <v>26.22019498477632</v>
      </c>
      <c r="O149" s="11">
        <f t="shared" si="131"/>
        <v>0</v>
      </c>
      <c r="P149" s="80">
        <f t="shared" si="150"/>
        <v>26.22019498477632</v>
      </c>
      <c r="Q149" s="76">
        <f>VLOOKUP(C149,Others!$L$10:$M$61,2)</f>
        <v>0</v>
      </c>
      <c r="R149" s="11">
        <f t="shared" si="132"/>
        <v>0</v>
      </c>
      <c r="S149" s="80">
        <f t="shared" si="151"/>
        <v>0</v>
      </c>
      <c r="T149" s="78">
        <f t="shared" si="152"/>
        <v>3.0416666666666666E-5</v>
      </c>
      <c r="U149" s="81">
        <f t="shared" si="153"/>
        <v>2.1850162487313603E-3</v>
      </c>
      <c r="V149" s="81">
        <f t="shared" si="154"/>
        <v>0</v>
      </c>
      <c r="W149" s="77">
        <f t="shared" si="133"/>
        <v>0.87597802245491507</v>
      </c>
      <c r="X149" s="82">
        <f t="shared" si="155"/>
        <v>2.6615222367687108E-5</v>
      </c>
      <c r="Y149" s="82">
        <f t="shared" si="156"/>
        <v>1.9139971034469038E-3</v>
      </c>
      <c r="Z149" s="82">
        <f t="shared" si="157"/>
        <v>0</v>
      </c>
      <c r="AA149" s="82">
        <f t="shared" si="158"/>
        <v>0.87403741012910052</v>
      </c>
      <c r="AC149" s="46">
        <f t="shared" si="134"/>
        <v>0</v>
      </c>
      <c r="AD149" s="15">
        <f t="shared" si="135"/>
        <v>0</v>
      </c>
      <c r="AE149" s="46">
        <f t="shared" si="159"/>
        <v>0</v>
      </c>
      <c r="AF149" s="15">
        <f t="shared" si="160"/>
        <v>0</v>
      </c>
      <c r="AG149" s="46">
        <f>SUMPRODUCT(AE150:AE$605, $I149:$I$604) / $I149</f>
        <v>0</v>
      </c>
      <c r="AI149" s="46">
        <f t="shared" si="136"/>
        <v>-47000</v>
      </c>
      <c r="AJ149" s="46">
        <f>IF(E149&gt;Mat_Year,0,  -SUM($AD$5:AD149))</f>
        <v>-9306</v>
      </c>
      <c r="AK149" s="24">
        <f t="shared" si="161"/>
        <v>-0.24768125935369623</v>
      </c>
      <c r="AL149" s="79">
        <f t="shared" si="162"/>
        <v>-89.957863862004473</v>
      </c>
      <c r="AM149" s="24">
        <f t="shared" si="163"/>
        <v>-102.97695011634939</v>
      </c>
      <c r="AN149" s="79">
        <f t="shared" si="164"/>
        <v>-90.20554512135817</v>
      </c>
      <c r="AO149" s="15">
        <f t="shared" si="165"/>
        <v>-4218.8720353025237</v>
      </c>
      <c r="AP149" s="46">
        <f>SUMPRODUCT(AN150:AN$605, $I150:$I$605) / $I149</f>
        <v>-3695.6391824746474</v>
      </c>
      <c r="AR149" s="46">
        <v>0</v>
      </c>
      <c r="AS149" s="46">
        <v>0</v>
      </c>
      <c r="AT149" s="46">
        <v>0</v>
      </c>
      <c r="AU149" s="95">
        <f t="shared" si="137"/>
        <v>-2.0472177759090346</v>
      </c>
      <c r="AV149" s="47">
        <f t="shared" si="138"/>
        <v>0</v>
      </c>
      <c r="AW149" s="96">
        <f t="shared" si="173"/>
        <v>-2.0472177759090346</v>
      </c>
      <c r="AX149" s="95">
        <f t="shared" si="139"/>
        <v>-23.474763830423594</v>
      </c>
      <c r="AY149" s="11">
        <f t="shared" si="140"/>
        <v>0</v>
      </c>
      <c r="AZ149" s="96">
        <f t="shared" si="174"/>
        <v>-23.474763830423594</v>
      </c>
      <c r="BA149" s="95">
        <f t="shared" si="175"/>
        <v>-1.7933177788753456</v>
      </c>
      <c r="BB149" s="64">
        <f t="shared" si="176"/>
        <v>-4.5555416034906565E-2</v>
      </c>
      <c r="BC149" s="95">
        <f t="shared" si="177"/>
        <v>-2.0472177759090346</v>
      </c>
      <c r="BD149" s="96">
        <f t="shared" si="178"/>
        <v>-5.2005204316928184E-2</v>
      </c>
      <c r="BE149" s="96">
        <f t="shared" si="179"/>
        <v>-1.7933177788753456</v>
      </c>
      <c r="BF149" s="96">
        <f t="shared" si="180"/>
        <v>-4.5555416034906565E-2</v>
      </c>
      <c r="BG149" s="15">
        <f t="shared" si="166"/>
        <v>-175.19608311005547</v>
      </c>
      <c r="BH149" s="46">
        <f>(SUMPRODUCT(BE150:BE$605,$I149:$I$604)+SUMPRODUCT(BF150:BF$605,$I150:$I$605)) / $I149</f>
        <v>-153.46791842459334</v>
      </c>
      <c r="BJ149" s="46">
        <f t="shared" si="124"/>
        <v>-1.7933177788753456</v>
      </c>
      <c r="BK149" s="46">
        <f t="shared" si="125"/>
        <v>-90.251100537393071</v>
      </c>
      <c r="BM149" s="49">
        <f t="shared" si="167"/>
        <v>4403.8242028229724</v>
      </c>
      <c r="BN149" s="46">
        <f t="shared" si="126"/>
        <v>3849.1071008992412</v>
      </c>
      <c r="BP149" s="46">
        <f>Reserve!BX149</f>
        <v>5782.5196537780439</v>
      </c>
      <c r="BQ149" s="46">
        <f t="shared" si="141"/>
        <v>5054.1385022087843</v>
      </c>
      <c r="BR149" s="15">
        <f t="shared" si="168"/>
        <v>103.24635595914606</v>
      </c>
      <c r="BT149" s="49">
        <f t="shared" si="169"/>
        <v>19.594478630187034</v>
      </c>
      <c r="BU149" s="46">
        <f t="shared" si="142"/>
        <v>17.164332641506331</v>
      </c>
      <c r="BV149" s="46">
        <f>SUMPRODUCT(BU150:BU$605, $I150:$I$605) / $I149</f>
        <v>528.51914070060207</v>
      </c>
      <c r="BX149" s="46">
        <f>-BZ149*Others!$Q$43</f>
        <v>-7.2617651928022964</v>
      </c>
      <c r="BZ149" s="50">
        <f t="shared" si="127"/>
        <v>28.366270284383969</v>
      </c>
      <c r="CA149" s="46">
        <f t="shared" si="170"/>
        <v>21.104505091581672</v>
      </c>
      <c r="CB149" s="46">
        <f t="shared" si="143"/>
        <v>21.104505091581672</v>
      </c>
      <c r="CD149" s="46">
        <f>SUMPRODUCT(BZ150:BZ$605, $I150:$I$605) / $I149</f>
        <v>1205.0314013095447</v>
      </c>
      <c r="CE149" s="46">
        <f>SUMPRODUCT(CA150:CA$605, $I150:$I$605) / $I149</f>
        <v>896.54336257430077</v>
      </c>
      <c r="CF149" s="46">
        <f>SUMPRODUCT(CB150:CB$605, $I150:$I$605) / $I149</f>
        <v>896.54336257430077</v>
      </c>
      <c r="CH149" s="46">
        <f t="shared" si="144"/>
        <v>41217.480346221957</v>
      </c>
      <c r="CI149" s="46">
        <f t="shared" si="145"/>
        <v>3523.4803462219561</v>
      </c>
      <c r="CK149" s="46">
        <f>NPV((1+CK$3)^(1/12)-1,$CB$6:$CB149)+$CB$5</f>
        <v>763.30766625606407</v>
      </c>
      <c r="CL149" s="46">
        <f>NPV((1+CL$3)^(1/12)-1,$CB$6:$CB149)+$CB$5</f>
        <v>569.5182785928771</v>
      </c>
      <c r="CM149" s="46">
        <f>NPV((1+CM$3)^(1/12)-1,$CB$6:$CB149)+$CB$5</f>
        <v>214.33622659386481</v>
      </c>
      <c r="CN149" s="46">
        <f>NPV((1+CN$3)^(1/12)-1,$CB$6:$CB149)+$CB$5</f>
        <v>214.33622659386481</v>
      </c>
    </row>
    <row r="150" spans="1:92" x14ac:dyDescent="0.25">
      <c r="A150" s="61">
        <f t="shared" si="128"/>
        <v>12.08333333333335</v>
      </c>
      <c r="B150" s="32">
        <f t="shared" si="146"/>
        <v>1</v>
      </c>
      <c r="C150" s="62">
        <f t="shared" si="147"/>
        <v>13</v>
      </c>
      <c r="D150" s="64">
        <f t="shared" si="148"/>
        <v>12.58333333333335</v>
      </c>
      <c r="E150" s="28">
        <f t="shared" si="129"/>
        <v>12</v>
      </c>
      <c r="G150" s="68">
        <f>INDEX(Others!$D$11:$E$60, MATCH(C150, Others!$A$11:$A$60, 0), MATCH(G$3, Others!$D$10:$E$10, 0))</f>
        <v>4.0690909090908889E-2</v>
      </c>
      <c r="H150" s="16">
        <f t="shared" si="171"/>
        <v>3.329265421250005E-3</v>
      </c>
      <c r="I150" s="69">
        <f t="shared" si="172"/>
        <v>0.61758308148251884</v>
      </c>
      <c r="K150" s="80">
        <f>INDEX(Mortality!$B$7:$F$32, MATCH( E150,Mortality!$A$7:$A$32, 0), MATCH( K$3,Mortality!$B$6:$F$6,0))</f>
        <v>0.36499999999999999</v>
      </c>
      <c r="L150" s="11">
        <f t="shared" si="130"/>
        <v>0</v>
      </c>
      <c r="M150" s="80">
        <f t="shared" si="149"/>
        <v>0.36499999999999999</v>
      </c>
      <c r="N150" s="76">
        <f>INDEX(Myopia!$H:$H, MATCH(E150, Myopia!$A:$A, 0)) * Trend_Factor^(A150)</f>
        <v>26.22019498477632</v>
      </c>
      <c r="O150" s="11">
        <f t="shared" si="131"/>
        <v>0</v>
      </c>
      <c r="P150" s="80">
        <f t="shared" si="150"/>
        <v>26.22019498477632</v>
      </c>
      <c r="Q150" s="76">
        <f>VLOOKUP(C150,Others!$L$10:$M$61,2)</f>
        <v>0</v>
      </c>
      <c r="R150" s="11">
        <f t="shared" si="132"/>
        <v>0</v>
      </c>
      <c r="S150" s="80">
        <f t="shared" si="151"/>
        <v>0</v>
      </c>
      <c r="T150" s="78">
        <f t="shared" si="152"/>
        <v>3.0416666666666666E-5</v>
      </c>
      <c r="U150" s="81">
        <f t="shared" si="153"/>
        <v>2.1850162487313603E-3</v>
      </c>
      <c r="V150" s="81">
        <f t="shared" si="154"/>
        <v>0</v>
      </c>
      <c r="W150" s="77">
        <f t="shared" si="133"/>
        <v>0.87403741012910052</v>
      </c>
      <c r="X150" s="82">
        <f t="shared" si="155"/>
        <v>2.6556259896875022E-5</v>
      </c>
      <c r="Y150" s="82">
        <f t="shared" si="156"/>
        <v>1.9097568984699424E-3</v>
      </c>
      <c r="Z150" s="82">
        <f t="shared" si="157"/>
        <v>0</v>
      </c>
      <c r="AA150" s="82">
        <f t="shared" si="158"/>
        <v>0.87210109697073368</v>
      </c>
      <c r="AC150" s="46">
        <f t="shared" si="134"/>
        <v>0</v>
      </c>
      <c r="AD150" s="15">
        <f t="shared" si="135"/>
        <v>0</v>
      </c>
      <c r="AE150" s="46">
        <f t="shared" si="159"/>
        <v>0</v>
      </c>
      <c r="AF150" s="15">
        <f t="shared" si="160"/>
        <v>0</v>
      </c>
      <c r="AG150" s="46">
        <f>SUMPRODUCT(AE151:AE$605, $I150:$I$604) / $I150</f>
        <v>0</v>
      </c>
      <c r="AI150" s="46">
        <f t="shared" si="136"/>
        <v>-47000</v>
      </c>
      <c r="AJ150" s="46">
        <f>IF(E150&gt;Mat_Year,0,  -SUM($AD$5:AD150))</f>
        <v>-9306</v>
      </c>
      <c r="AK150" s="24">
        <f t="shared" si="161"/>
        <v>-0.24713255460031897</v>
      </c>
      <c r="AL150" s="79">
        <f t="shared" si="162"/>
        <v>-89.758574228087298</v>
      </c>
      <c r="AM150" s="24">
        <f t="shared" si="163"/>
        <v>-102.9769501163494</v>
      </c>
      <c r="AN150" s="79">
        <f t="shared" si="164"/>
        <v>-90.005706782687611</v>
      </c>
      <c r="AO150" s="15">
        <f t="shared" si="165"/>
        <v>-4139.3391146692429</v>
      </c>
      <c r="AP150" s="46">
        <f>SUMPRODUCT(AN151:AN$605, $I151:$I$605) / $I150</f>
        <v>-3617.9372394315892</v>
      </c>
      <c r="AR150" s="46">
        <v>0</v>
      </c>
      <c r="AS150" s="46">
        <v>0</v>
      </c>
      <c r="AT150" s="46">
        <v>0</v>
      </c>
      <c r="AU150" s="95">
        <f t="shared" si="137"/>
        <v>-2.0495067670657319</v>
      </c>
      <c r="AV150" s="47">
        <f t="shared" si="138"/>
        <v>0</v>
      </c>
      <c r="AW150" s="96">
        <f t="shared" si="173"/>
        <v>-2.0495067670657319</v>
      </c>
      <c r="AX150" s="95">
        <f t="shared" si="139"/>
        <v>-23.501010929020389</v>
      </c>
      <c r="AY150" s="11">
        <f t="shared" si="140"/>
        <v>0</v>
      </c>
      <c r="AZ150" s="96">
        <f t="shared" si="174"/>
        <v>-23.501010929020389</v>
      </c>
      <c r="BA150" s="95">
        <f t="shared" si="175"/>
        <v>-1.791345586728198</v>
      </c>
      <c r="BB150" s="64">
        <f t="shared" si="176"/>
        <v>-4.5505316696784558E-2</v>
      </c>
      <c r="BC150" s="95">
        <f t="shared" si="177"/>
        <v>-2.0495067670657319</v>
      </c>
      <c r="BD150" s="96">
        <f t="shared" si="178"/>
        <v>-5.2063351258687142E-2</v>
      </c>
      <c r="BE150" s="96">
        <f t="shared" si="179"/>
        <v>-1.791345586728198</v>
      </c>
      <c r="BF150" s="96">
        <f t="shared" si="180"/>
        <v>-4.5505316696784558E-2</v>
      </c>
      <c r="BG150" s="15">
        <f t="shared" si="166"/>
        <v>-174.06124420676653</v>
      </c>
      <c r="BH150" s="46">
        <f>(SUMPRODUCT(BE151:BE$605,$I150:$I$604)+SUMPRODUCT(BF151:BF$605,$I151:$I$605)) / $I150</f>
        <v>-152.13603909033111</v>
      </c>
      <c r="BJ150" s="46">
        <f t="shared" si="124"/>
        <v>-1.791345586728198</v>
      </c>
      <c r="BK150" s="46">
        <f t="shared" si="125"/>
        <v>-90.051212099384401</v>
      </c>
      <c r="BM150" s="49">
        <f t="shared" si="167"/>
        <v>4322.9773378537993</v>
      </c>
      <c r="BN150" s="46">
        <f t="shared" si="126"/>
        <v>3770.0732785219207</v>
      </c>
      <c r="BP150" s="46">
        <f>Reserve!BX150</f>
        <v>5676.8936590573039</v>
      </c>
      <c r="BQ150" s="46">
        <f t="shared" si="141"/>
        <v>4950.8251874500766</v>
      </c>
      <c r="BR150" s="15">
        <f t="shared" si="168"/>
        <v>103.31331475870775</v>
      </c>
      <c r="BT150" s="49">
        <f t="shared" si="169"/>
        <v>19.244719379011581</v>
      </c>
      <c r="BU150" s="46">
        <f t="shared" si="142"/>
        <v>16.820604684692594</v>
      </c>
      <c r="BV150" s="46">
        <f>SUMPRODUCT(BU151:BU$605, $I151:$I$605) / $I150</f>
        <v>513.45811651551276</v>
      </c>
      <c r="BX150" s="46">
        <f>-BZ150*Others!$Q$43</f>
        <v>-7.2425886098656624</v>
      </c>
      <c r="BZ150" s="50">
        <f t="shared" si="127"/>
        <v>28.291361757287742</v>
      </c>
      <c r="CA150" s="46">
        <f t="shared" si="170"/>
        <v>21.048773147422079</v>
      </c>
      <c r="CB150" s="46">
        <f t="shared" si="143"/>
        <v>21.048773147422079</v>
      </c>
      <c r="CD150" s="46">
        <f>SUMPRODUCT(BZ151:BZ$605, $I151:$I$605) / $I150</f>
        <v>1180.751908928157</v>
      </c>
      <c r="CE150" s="46">
        <f>SUMPRODUCT(CA151:CA$605, $I151:$I$605) / $I150</f>
        <v>878.47942024254883</v>
      </c>
      <c r="CF150" s="46">
        <f>SUMPRODUCT(CB151:CB$605, $I151:$I$605) / $I150</f>
        <v>878.47942024254883</v>
      </c>
      <c r="CH150" s="46">
        <f t="shared" si="144"/>
        <v>41323.106340942693</v>
      </c>
      <c r="CI150" s="46">
        <f t="shared" si="145"/>
        <v>3629.1063409426961</v>
      </c>
      <c r="CK150" s="46">
        <f>NPV((1+CK$3)^(1/12)-1,$CB$6:$CB150)+$CB$5</f>
        <v>778.03453182102817</v>
      </c>
      <c r="CL150" s="46">
        <f>NPV((1+CL$3)^(1/12)-1,$CB$6:$CB150)+$CB$5</f>
        <v>581.19146508138874</v>
      </c>
      <c r="CM150" s="46">
        <f>NPV((1+CM$3)^(1/12)-1,$CB$6:$CB150)+$CB$5</f>
        <v>220.98995661605477</v>
      </c>
      <c r="CN150" s="46">
        <f>NPV((1+CN$3)^(1/12)-1,$CB$6:$CB150)+$CB$5</f>
        <v>220.98995661605477</v>
      </c>
    </row>
    <row r="151" spans="1:92" x14ac:dyDescent="0.25">
      <c r="A151" s="61">
        <f t="shared" si="128"/>
        <v>12.166666666666684</v>
      </c>
      <c r="B151" s="32">
        <f t="shared" si="146"/>
        <v>2</v>
      </c>
      <c r="C151" s="62">
        <f t="shared" si="147"/>
        <v>13</v>
      </c>
      <c r="D151" s="64">
        <f t="shared" si="148"/>
        <v>12.666666666666684</v>
      </c>
      <c r="E151" s="28">
        <f t="shared" si="129"/>
        <v>12</v>
      </c>
      <c r="G151" s="68">
        <f>INDEX(Others!$D$11:$E$60, MATCH(C151, Others!$A$11:$A$60, 0), MATCH(G$3, Others!$D$10:$E$10, 0))</f>
        <v>4.0690909090908889E-2</v>
      </c>
      <c r="H151" s="16">
        <f t="shared" si="171"/>
        <v>3.329265421250005E-3</v>
      </c>
      <c r="I151" s="69">
        <f t="shared" si="172"/>
        <v>0.61553380606637165</v>
      </c>
      <c r="K151" s="80">
        <f>INDEX(Mortality!$B$7:$F$32, MATCH( E151,Mortality!$A$7:$A$32, 0), MATCH( K$3,Mortality!$B$6:$F$6,0))</f>
        <v>0.36499999999999999</v>
      </c>
      <c r="L151" s="11">
        <f t="shared" si="130"/>
        <v>0</v>
      </c>
      <c r="M151" s="80">
        <f t="shared" si="149"/>
        <v>0.36499999999999999</v>
      </c>
      <c r="N151" s="76">
        <f>INDEX(Myopia!$H:$H, MATCH(E151, Myopia!$A:$A, 0)) * Trend_Factor^(A151)</f>
        <v>26.22019498477632</v>
      </c>
      <c r="O151" s="11">
        <f t="shared" si="131"/>
        <v>0</v>
      </c>
      <c r="P151" s="80">
        <f t="shared" si="150"/>
        <v>26.22019498477632</v>
      </c>
      <c r="Q151" s="76">
        <f>VLOOKUP(C151,Others!$L$10:$M$61,2)</f>
        <v>0</v>
      </c>
      <c r="R151" s="11">
        <f t="shared" si="132"/>
        <v>0</v>
      </c>
      <c r="S151" s="80">
        <f t="shared" si="151"/>
        <v>0</v>
      </c>
      <c r="T151" s="78">
        <f t="shared" si="152"/>
        <v>3.0416666666666666E-5</v>
      </c>
      <c r="U151" s="81">
        <f t="shared" si="153"/>
        <v>2.1850162487313603E-3</v>
      </c>
      <c r="V151" s="81">
        <f t="shared" si="154"/>
        <v>0</v>
      </c>
      <c r="W151" s="77">
        <f t="shared" si="133"/>
        <v>0.87210109697073368</v>
      </c>
      <c r="X151" s="82">
        <f t="shared" si="155"/>
        <v>2.649742804954284E-5</v>
      </c>
      <c r="Y151" s="82">
        <f t="shared" si="156"/>
        <v>1.9055260871008463E-3</v>
      </c>
      <c r="Z151" s="82">
        <f t="shared" si="157"/>
        <v>0</v>
      </c>
      <c r="AA151" s="82">
        <f t="shared" si="158"/>
        <v>0.87016907345558325</v>
      </c>
      <c r="AC151" s="46">
        <f t="shared" si="134"/>
        <v>0</v>
      </c>
      <c r="AD151" s="15">
        <f t="shared" si="135"/>
        <v>0</v>
      </c>
      <c r="AE151" s="46">
        <f t="shared" si="159"/>
        <v>0</v>
      </c>
      <c r="AF151" s="15">
        <f t="shared" si="160"/>
        <v>0</v>
      </c>
      <c r="AG151" s="46">
        <f>SUMPRODUCT(AE152:AE$605, $I151:$I$604) / $I151</f>
        <v>0</v>
      </c>
      <c r="AI151" s="46">
        <f t="shared" si="136"/>
        <v>-47000</v>
      </c>
      <c r="AJ151" s="46">
        <f>IF(E151&gt;Mat_Year,0,  -SUM($AD$5:AD151))</f>
        <v>-9306</v>
      </c>
      <c r="AK151" s="24">
        <f t="shared" si="161"/>
        <v>-0.24658506542904568</v>
      </c>
      <c r="AL151" s="79">
        <f t="shared" si="162"/>
        <v>-89.559726093739783</v>
      </c>
      <c r="AM151" s="24">
        <f t="shared" si="163"/>
        <v>-102.9769501163494</v>
      </c>
      <c r="AN151" s="79">
        <f t="shared" si="164"/>
        <v>-89.806311159168828</v>
      </c>
      <c r="AO151" s="15">
        <f t="shared" si="165"/>
        <v>-4059.3642341659802</v>
      </c>
      <c r="AP151" s="46">
        <f>SUMPRODUCT(AN152:AN$605, $I152:$I$605) / $I151</f>
        <v>-3540.1760016199137</v>
      </c>
      <c r="AR151" s="46">
        <v>0</v>
      </c>
      <c r="AS151" s="46">
        <v>0</v>
      </c>
      <c r="AT151" s="46">
        <v>0</v>
      </c>
      <c r="AU151" s="95">
        <f t="shared" si="137"/>
        <v>-2.0517983175400434</v>
      </c>
      <c r="AV151" s="47">
        <f t="shared" si="138"/>
        <v>0</v>
      </c>
      <c r="AW151" s="96">
        <f t="shared" si="173"/>
        <v>-2.0517983175400434</v>
      </c>
      <c r="AX151" s="95">
        <f t="shared" si="139"/>
        <v>-23.52728737445916</v>
      </c>
      <c r="AY151" s="11">
        <f t="shared" si="140"/>
        <v>0</v>
      </c>
      <c r="AZ151" s="96">
        <f t="shared" si="174"/>
        <v>-23.52728737445916</v>
      </c>
      <c r="BA151" s="95">
        <f t="shared" si="175"/>
        <v>-1.7893755634893775</v>
      </c>
      <c r="BB151" s="64">
        <f t="shared" si="176"/>
        <v>-4.5455272455155953E-2</v>
      </c>
      <c r="BC151" s="95">
        <f t="shared" si="177"/>
        <v>-2.0517983175400434</v>
      </c>
      <c r="BD151" s="96">
        <f t="shared" si="178"/>
        <v>-5.2121563214455352E-2</v>
      </c>
      <c r="BE151" s="96">
        <f t="shared" si="179"/>
        <v>-1.7893755634893775</v>
      </c>
      <c r="BF151" s="96">
        <f t="shared" si="180"/>
        <v>-4.5455272455155953E-2</v>
      </c>
      <c r="BG151" s="15">
        <f t="shared" si="166"/>
        <v>-172.91774167729028</v>
      </c>
      <c r="BH151" s="46">
        <f>(SUMPRODUCT(BE152:BE$605,$I151:$I$604)+SUMPRODUCT(BF152:BF$605,$I152:$I$605)) / $I151</f>
        <v>-150.80175220246682</v>
      </c>
      <c r="BJ151" s="46">
        <f t="shared" si="124"/>
        <v>-1.7893755634893775</v>
      </c>
      <c r="BK151" s="46">
        <f t="shared" si="125"/>
        <v>-89.851766431623986</v>
      </c>
      <c r="BM151" s="49">
        <f t="shared" si="167"/>
        <v>4241.6788488757766</v>
      </c>
      <c r="BN151" s="46">
        <f t="shared" si="126"/>
        <v>3690.9777538223798</v>
      </c>
      <c r="BP151" s="46">
        <f>Reserve!BX151</f>
        <v>5570.6922636848694</v>
      </c>
      <c r="BQ151" s="46">
        <f t="shared" si="141"/>
        <v>4847.4441255968486</v>
      </c>
      <c r="BR151" s="15">
        <f t="shared" si="168"/>
        <v>103.38106185322795</v>
      </c>
      <c r="BT151" s="49">
        <f t="shared" si="169"/>
        <v>18.893054778022929</v>
      </c>
      <c r="BU151" s="46">
        <f t="shared" si="142"/>
        <v>16.476653797041958</v>
      </c>
      <c r="BV151" s="46">
        <f>SUMPRODUCT(BU152:BU$605, $I152:$I$605) / $I151</f>
        <v>498.69090107104608</v>
      </c>
      <c r="BX151" s="46">
        <f>-BZ151*Others!$Q$43</f>
        <v>-7.2234428557200765</v>
      </c>
      <c r="BZ151" s="50">
        <f t="shared" si="127"/>
        <v>28.216573655156548</v>
      </c>
      <c r="CA151" s="46">
        <f t="shared" si="170"/>
        <v>20.993130799436472</v>
      </c>
      <c r="CB151" s="46">
        <f t="shared" si="143"/>
        <v>20.993130799436472</v>
      </c>
      <c r="CD151" s="46">
        <f>SUMPRODUCT(BZ152:BZ$605, $I152:$I$605) / $I151</f>
        <v>1156.46637177447</v>
      </c>
      <c r="CE151" s="46">
        <f>SUMPRODUCT(CA152:CA$605, $I152:$I$605) / $I151</f>
        <v>860.41098060020579</v>
      </c>
      <c r="CF151" s="46">
        <f>SUMPRODUCT(CB152:CB$605, $I152:$I$605) / $I151</f>
        <v>860.41098060020579</v>
      </c>
      <c r="CH151" s="46">
        <f t="shared" si="144"/>
        <v>41429.307736315131</v>
      </c>
      <c r="CI151" s="46">
        <f t="shared" si="145"/>
        <v>3735.3077363151306</v>
      </c>
      <c r="CK151" s="46">
        <f>NPV((1+CK$3)^(1/12)-1,$CB$6:$CB151)+$CB$5</f>
        <v>792.68633168441011</v>
      </c>
      <c r="CL151" s="46">
        <f>NPV((1+CL$3)^(1/12)-1,$CB$6:$CB151)+$CB$5</f>
        <v>592.78655372150615</v>
      </c>
      <c r="CM151" s="46">
        <f>NPV((1+CM$3)^(1/12)-1,$CB$6:$CB151)+$CB$5</f>
        <v>227.57359864337104</v>
      </c>
      <c r="CN151" s="46">
        <f>NPV((1+CN$3)^(1/12)-1,$CB$6:$CB151)+$CB$5</f>
        <v>227.57359864337104</v>
      </c>
    </row>
    <row r="152" spans="1:92" x14ac:dyDescent="0.25">
      <c r="A152" s="61">
        <f t="shared" si="128"/>
        <v>12.250000000000018</v>
      </c>
      <c r="B152" s="32">
        <f t="shared" si="146"/>
        <v>3</v>
      </c>
      <c r="C152" s="62">
        <f t="shared" si="147"/>
        <v>13</v>
      </c>
      <c r="D152" s="64">
        <f t="shared" si="148"/>
        <v>12.750000000000018</v>
      </c>
      <c r="E152" s="28">
        <f t="shared" si="129"/>
        <v>12</v>
      </c>
      <c r="G152" s="68">
        <f>INDEX(Others!$D$11:$E$60, MATCH(C152, Others!$A$11:$A$60, 0), MATCH(G$3, Others!$D$10:$E$10, 0))</f>
        <v>4.0690909090908889E-2</v>
      </c>
      <c r="H152" s="16">
        <f t="shared" si="171"/>
        <v>3.329265421250005E-3</v>
      </c>
      <c r="I152" s="69">
        <f t="shared" si="172"/>
        <v>0.61349133059319105</v>
      </c>
      <c r="K152" s="80">
        <f>INDEX(Mortality!$B$7:$F$32, MATCH( E152,Mortality!$A$7:$A$32, 0), MATCH( K$3,Mortality!$B$6:$F$6,0))</f>
        <v>0.36499999999999999</v>
      </c>
      <c r="L152" s="11">
        <f t="shared" si="130"/>
        <v>0</v>
      </c>
      <c r="M152" s="80">
        <f t="shared" si="149"/>
        <v>0.36499999999999999</v>
      </c>
      <c r="N152" s="76">
        <f>INDEX(Myopia!$H:$H, MATCH(E152, Myopia!$A:$A, 0)) * Trend_Factor^(A152)</f>
        <v>26.22019498477632</v>
      </c>
      <c r="O152" s="11">
        <f t="shared" si="131"/>
        <v>0</v>
      </c>
      <c r="P152" s="80">
        <f t="shared" si="150"/>
        <v>26.22019498477632</v>
      </c>
      <c r="Q152" s="76">
        <f>VLOOKUP(C152,Others!$L$10:$M$61,2)</f>
        <v>0</v>
      </c>
      <c r="R152" s="11">
        <f t="shared" si="132"/>
        <v>0</v>
      </c>
      <c r="S152" s="80">
        <f t="shared" si="151"/>
        <v>0</v>
      </c>
      <c r="T152" s="78">
        <f t="shared" si="152"/>
        <v>3.0416666666666666E-5</v>
      </c>
      <c r="U152" s="81">
        <f t="shared" si="153"/>
        <v>2.1850162487313603E-3</v>
      </c>
      <c r="V152" s="81">
        <f t="shared" si="154"/>
        <v>0</v>
      </c>
      <c r="W152" s="77">
        <f t="shared" si="133"/>
        <v>0.87016907345558325</v>
      </c>
      <c r="X152" s="82">
        <f t="shared" si="155"/>
        <v>2.6438726536311697E-5</v>
      </c>
      <c r="Y152" s="82">
        <f t="shared" si="156"/>
        <v>1.901304648529333E-3</v>
      </c>
      <c r="Z152" s="82">
        <f t="shared" si="157"/>
        <v>0</v>
      </c>
      <c r="AA152" s="82">
        <f t="shared" si="158"/>
        <v>0.86824133008051763</v>
      </c>
      <c r="AC152" s="46">
        <f t="shared" si="134"/>
        <v>0</v>
      </c>
      <c r="AD152" s="15">
        <f t="shared" si="135"/>
        <v>0</v>
      </c>
      <c r="AE152" s="46">
        <f t="shared" si="159"/>
        <v>0</v>
      </c>
      <c r="AF152" s="15">
        <f t="shared" si="160"/>
        <v>0</v>
      </c>
      <c r="AG152" s="46">
        <f>SUMPRODUCT(AE153:AE$605, $I152:$I$604) / $I152</f>
        <v>0</v>
      </c>
      <c r="AI152" s="46">
        <f t="shared" si="136"/>
        <v>-47000</v>
      </c>
      <c r="AJ152" s="46">
        <f>IF(E152&gt;Mat_Year,0,  -SUM($AD$5:AD152))</f>
        <v>-9306</v>
      </c>
      <c r="AK152" s="24">
        <f t="shared" si="161"/>
        <v>-0.24603878914691665</v>
      </c>
      <c r="AL152" s="79">
        <f t="shared" si="162"/>
        <v>-89.361318480878651</v>
      </c>
      <c r="AM152" s="24">
        <f t="shared" si="163"/>
        <v>-102.9769501163494</v>
      </c>
      <c r="AN152" s="79">
        <f t="shared" si="164"/>
        <v>-89.607357270025574</v>
      </c>
      <c r="AO152" s="15">
        <f t="shared" si="165"/>
        <v>-3978.9449378471295</v>
      </c>
      <c r="AP152" s="46">
        <f>SUMPRODUCT(AN153:AN$605, $I153:$I$605) / $I152</f>
        <v>-3462.35482989722</v>
      </c>
      <c r="AR152" s="46">
        <v>0</v>
      </c>
      <c r="AS152" s="46">
        <v>0</v>
      </c>
      <c r="AT152" s="46">
        <v>0</v>
      </c>
      <c r="AU152" s="95">
        <f t="shared" si="137"/>
        <v>-2.0540924301935393</v>
      </c>
      <c r="AV152" s="47">
        <f t="shared" si="138"/>
        <v>0</v>
      </c>
      <c r="AW152" s="96">
        <f t="shared" si="173"/>
        <v>-2.0540924301935393</v>
      </c>
      <c r="AX152" s="95">
        <f t="shared" si="139"/>
        <v>-23.55359319955258</v>
      </c>
      <c r="AY152" s="11">
        <f t="shared" si="140"/>
        <v>0</v>
      </c>
      <c r="AZ152" s="96">
        <f t="shared" si="174"/>
        <v>-23.55359319955258</v>
      </c>
      <c r="BA152" s="95">
        <f t="shared" si="175"/>
        <v>-1.7874077067736394</v>
      </c>
      <c r="BB152" s="64">
        <f t="shared" si="176"/>
        <v>-4.5405283249428711E-2</v>
      </c>
      <c r="BC152" s="95">
        <f t="shared" si="177"/>
        <v>-2.0540924301935393</v>
      </c>
      <c r="BD152" s="96">
        <f t="shared" si="178"/>
        <v>-5.2179840256924931E-2</v>
      </c>
      <c r="BE152" s="96">
        <f t="shared" si="179"/>
        <v>-1.7874077067736394</v>
      </c>
      <c r="BF152" s="96">
        <f t="shared" si="180"/>
        <v>-4.5405283249428711E-2</v>
      </c>
      <c r="BG152" s="15">
        <f t="shared" si="166"/>
        <v>-171.76552474255766</v>
      </c>
      <c r="BH152" s="46">
        <f>(SUMPRODUCT(BE153:BE$605,$I152:$I$604)+SUMPRODUCT(BF153:BF$605,$I153:$I$605)) / $I152</f>
        <v>-149.46504751684347</v>
      </c>
      <c r="BJ152" s="46">
        <f t="shared" si="124"/>
        <v>-1.7874077067736394</v>
      </c>
      <c r="BK152" s="46">
        <f t="shared" si="125"/>
        <v>-89.652762553274997</v>
      </c>
      <c r="BM152" s="49">
        <f t="shared" si="167"/>
        <v>4159.9262235985889</v>
      </c>
      <c r="BN152" s="46">
        <f t="shared" si="126"/>
        <v>3611.8198774140633</v>
      </c>
      <c r="BP152" s="46">
        <f>Reserve!BX152</f>
        <v>5463.9123510617965</v>
      </c>
      <c r="BQ152" s="46">
        <f t="shared" si="141"/>
        <v>4743.9945271292627</v>
      </c>
      <c r="BR152" s="15">
        <f t="shared" si="168"/>
        <v>103.44959846758593</v>
      </c>
      <c r="BT152" s="49">
        <f t="shared" si="169"/>
        <v>18.539474507011057</v>
      </c>
      <c r="BU152" s="46">
        <f t="shared" si="142"/>
        <v>16.132477354119217</v>
      </c>
      <c r="BV152" s="46">
        <f>SUMPRODUCT(BU153:BU$605, $I153:$I$605) / $I152</f>
        <v>484.21869808975481</v>
      </c>
      <c r="BX152" s="46">
        <f>-BZ152*Others!$Q$43</f>
        <v>-7.2043278237840678</v>
      </c>
      <c r="BZ152" s="50">
        <f t="shared" si="127"/>
        <v>28.141905561656515</v>
      </c>
      <c r="CA152" s="46">
        <f t="shared" si="170"/>
        <v>20.937577737872445</v>
      </c>
      <c r="CB152" s="46">
        <f t="shared" si="143"/>
        <v>20.937577737872445</v>
      </c>
      <c r="CD152" s="46">
        <f>SUMPRODUCT(BZ153:BZ$605, $I153:$I$605) / $I152</f>
        <v>1132.1746497152008</v>
      </c>
      <c r="CE152" s="46">
        <f>SUMPRODUCT(CA153:CA$605, $I153:$I$605) / $I152</f>
        <v>842.33793938810948</v>
      </c>
      <c r="CF152" s="46">
        <f>SUMPRODUCT(CB153:CB$605, $I153:$I$605) / $I152</f>
        <v>842.33793938810948</v>
      </c>
      <c r="CH152" s="46">
        <f t="shared" si="144"/>
        <v>41536.087648938206</v>
      </c>
      <c r="CI152" s="46">
        <f t="shared" si="145"/>
        <v>3842.0876489382035</v>
      </c>
      <c r="CK152" s="46">
        <f>NPV((1+CK$3)^(1/12)-1,$CB$6:$CB152)+$CB$5</f>
        <v>807.26340822670636</v>
      </c>
      <c r="CL152" s="46">
        <f>NPV((1+CL$3)^(1/12)-1,$CB$6:$CB152)+$CB$5</f>
        <v>604.30403521898575</v>
      </c>
      <c r="CM152" s="46">
        <f>NPV((1+CM$3)^(1/12)-1,$CB$6:$CB152)+$CB$5</f>
        <v>234.08787297306628</v>
      </c>
      <c r="CN152" s="46">
        <f>NPV((1+CN$3)^(1/12)-1,$CB$6:$CB152)+$CB$5</f>
        <v>234.08787297306628</v>
      </c>
    </row>
    <row r="153" spans="1:92" x14ac:dyDescent="0.25">
      <c r="A153" s="61">
        <f t="shared" si="128"/>
        <v>12.333333333333352</v>
      </c>
      <c r="B153" s="32">
        <f t="shared" si="146"/>
        <v>4</v>
      </c>
      <c r="C153" s="62">
        <f t="shared" si="147"/>
        <v>13</v>
      </c>
      <c r="D153" s="64">
        <f t="shared" si="148"/>
        <v>12.833333333333352</v>
      </c>
      <c r="E153" s="28">
        <f t="shared" si="129"/>
        <v>12</v>
      </c>
      <c r="G153" s="68">
        <f>INDEX(Others!$D$11:$E$60, MATCH(C153, Others!$A$11:$A$60, 0), MATCH(G$3, Others!$D$10:$E$10, 0))</f>
        <v>4.0690909090908889E-2</v>
      </c>
      <c r="H153" s="16">
        <f t="shared" si="171"/>
        <v>3.329265421250005E-3</v>
      </c>
      <c r="I153" s="69">
        <f t="shared" si="172"/>
        <v>0.61145563249928259</v>
      </c>
      <c r="K153" s="80">
        <f>INDEX(Mortality!$B$7:$F$32, MATCH( E153,Mortality!$A$7:$A$32, 0), MATCH( K$3,Mortality!$B$6:$F$6,0))</f>
        <v>0.36499999999999999</v>
      </c>
      <c r="L153" s="11">
        <f t="shared" si="130"/>
        <v>0</v>
      </c>
      <c r="M153" s="80">
        <f t="shared" si="149"/>
        <v>0.36499999999999999</v>
      </c>
      <c r="N153" s="76">
        <f>INDEX(Myopia!$H:$H, MATCH(E153, Myopia!$A:$A, 0)) * Trend_Factor^(A153)</f>
        <v>26.22019498477632</v>
      </c>
      <c r="O153" s="11">
        <f t="shared" si="131"/>
        <v>0</v>
      </c>
      <c r="P153" s="80">
        <f t="shared" si="150"/>
        <v>26.22019498477632</v>
      </c>
      <c r="Q153" s="76">
        <f>VLOOKUP(C153,Others!$L$10:$M$61,2)</f>
        <v>0</v>
      </c>
      <c r="R153" s="11">
        <f t="shared" si="132"/>
        <v>0</v>
      </c>
      <c r="S153" s="80">
        <f t="shared" si="151"/>
        <v>0</v>
      </c>
      <c r="T153" s="78">
        <f t="shared" si="152"/>
        <v>3.0416666666666666E-5</v>
      </c>
      <c r="U153" s="81">
        <f t="shared" si="153"/>
        <v>2.1850162487313603E-3</v>
      </c>
      <c r="V153" s="81">
        <f t="shared" si="154"/>
        <v>0</v>
      </c>
      <c r="W153" s="77">
        <f t="shared" si="133"/>
        <v>0.86824133008051763</v>
      </c>
      <c r="X153" s="82">
        <f t="shared" si="155"/>
        <v>2.6380155068443791E-5</v>
      </c>
      <c r="Y153" s="82">
        <f t="shared" si="156"/>
        <v>1.8970925619912207E-3</v>
      </c>
      <c r="Z153" s="82">
        <f t="shared" si="157"/>
        <v>0</v>
      </c>
      <c r="AA153" s="82">
        <f t="shared" si="158"/>
        <v>0.86631785736345801</v>
      </c>
      <c r="AC153" s="46">
        <f t="shared" si="134"/>
        <v>0</v>
      </c>
      <c r="AD153" s="15">
        <f t="shared" si="135"/>
        <v>0</v>
      </c>
      <c r="AE153" s="46">
        <f t="shared" si="159"/>
        <v>0</v>
      </c>
      <c r="AF153" s="15">
        <f t="shared" si="160"/>
        <v>0</v>
      </c>
      <c r="AG153" s="46">
        <f>SUMPRODUCT(AE154:AE$605, $I153:$I$604) / $I153</f>
        <v>0</v>
      </c>
      <c r="AI153" s="46">
        <f t="shared" si="136"/>
        <v>-47000</v>
      </c>
      <c r="AJ153" s="46">
        <f>IF(E153&gt;Mat_Year,0,  -SUM($AD$5:AD153))</f>
        <v>-9306</v>
      </c>
      <c r="AK153" s="24">
        <f t="shared" si="161"/>
        <v>-0.24549372306693792</v>
      </c>
      <c r="AL153" s="79">
        <f t="shared" si="162"/>
        <v>-89.163350413587366</v>
      </c>
      <c r="AM153" s="24">
        <f t="shared" si="163"/>
        <v>-102.97695011634939</v>
      </c>
      <c r="AN153" s="79">
        <f t="shared" si="164"/>
        <v>-89.408844136654309</v>
      </c>
      <c r="AO153" s="15">
        <f t="shared" si="165"/>
        <v>-3898.078756119542</v>
      </c>
      <c r="AP153" s="46">
        <f>SUMPRODUCT(AN154:AN$605, $I154:$I$605) / $I153</f>
        <v>-3384.4730839718409</v>
      </c>
      <c r="AR153" s="46">
        <v>0</v>
      </c>
      <c r="AS153" s="46">
        <v>0</v>
      </c>
      <c r="AT153" s="46">
        <v>0</v>
      </c>
      <c r="AU153" s="95">
        <f t="shared" si="137"/>
        <v>-2.0563891078909879</v>
      </c>
      <c r="AV153" s="47">
        <f t="shared" si="138"/>
        <v>0</v>
      </c>
      <c r="AW153" s="96">
        <f t="shared" si="173"/>
        <v>-2.0563891078909879</v>
      </c>
      <c r="AX153" s="95">
        <f t="shared" si="139"/>
        <v>-23.579928437149992</v>
      </c>
      <c r="AY153" s="11">
        <f t="shared" si="140"/>
        <v>0</v>
      </c>
      <c r="AZ153" s="96">
        <f t="shared" si="174"/>
        <v>-23.579928437149992</v>
      </c>
      <c r="BA153" s="95">
        <f t="shared" si="175"/>
        <v>-1.7854420141983605</v>
      </c>
      <c r="BB153" s="64">
        <f t="shared" si="176"/>
        <v>-4.535534901907734E-2</v>
      </c>
      <c r="BC153" s="95">
        <f t="shared" si="177"/>
        <v>-2.0563891078909879</v>
      </c>
      <c r="BD153" s="96">
        <f t="shared" si="178"/>
        <v>-5.223818245886918E-2</v>
      </c>
      <c r="BE153" s="96">
        <f t="shared" si="179"/>
        <v>-1.7854420141983605</v>
      </c>
      <c r="BF153" s="96">
        <f t="shared" si="180"/>
        <v>-4.535534901907734E-2</v>
      </c>
      <c r="BG153" s="15">
        <f t="shared" si="166"/>
        <v>-170.60454233837635</v>
      </c>
      <c r="BH153" s="46">
        <f>(SUMPRODUCT(BE154:BE$605,$I153:$I$604)+SUMPRODUCT(BF154:BF$605,$I154:$I$605)) / $I153</f>
        <v>-148.12591475764987</v>
      </c>
      <c r="BJ153" s="46">
        <f t="shared" si="124"/>
        <v>-1.7854420141983605</v>
      </c>
      <c r="BK153" s="46">
        <f t="shared" si="125"/>
        <v>-89.454199485673385</v>
      </c>
      <c r="BM153" s="49">
        <f t="shared" si="167"/>
        <v>4077.7169357683129</v>
      </c>
      <c r="BN153" s="46">
        <f t="shared" si="126"/>
        <v>3532.5989987294902</v>
      </c>
      <c r="BP153" s="46">
        <f>Reserve!BX153</f>
        <v>5356.5507877427926</v>
      </c>
      <c r="BQ153" s="46">
        <f t="shared" si="141"/>
        <v>4640.4756012958796</v>
      </c>
      <c r="BR153" s="15">
        <f t="shared" si="168"/>
        <v>103.51892583338304</v>
      </c>
      <c r="BT153" s="49">
        <f t="shared" si="169"/>
        <v>18.183968189981321</v>
      </c>
      <c r="BU153" s="46">
        <f t="shared" si="142"/>
        <v>15.788072727411205</v>
      </c>
      <c r="BV153" s="46">
        <f>SUMPRODUCT(BU154:BU$605, $I154:$I$605) / $I153</f>
        <v>470.04271793021667</v>
      </c>
      <c r="BX153" s="46">
        <f>-BZ153*Others!$Q$43</f>
        <v>-7.1852434075961575</v>
      </c>
      <c r="BZ153" s="50">
        <f t="shared" si="127"/>
        <v>28.06735706092249</v>
      </c>
      <c r="CA153" s="46">
        <f t="shared" si="170"/>
        <v>20.882113653326332</v>
      </c>
      <c r="CB153" s="46">
        <f t="shared" si="143"/>
        <v>20.882113653326332</v>
      </c>
      <c r="CD153" s="46">
        <f>SUMPRODUCT(BZ154:BZ$605, $I154:$I$605) / $I153</f>
        <v>1107.8766025663911</v>
      </c>
      <c r="CE153" s="46">
        <f>SUMPRODUCT(CA154:CA$605, $I154:$I$605) / $I153</f>
        <v>824.26019230939505</v>
      </c>
      <c r="CF153" s="46">
        <f>SUMPRODUCT(CB154:CB$605, $I154:$I$605) / $I153</f>
        <v>824.26019230939505</v>
      </c>
      <c r="CH153" s="46">
        <f t="shared" si="144"/>
        <v>41643.449212257205</v>
      </c>
      <c r="CI153" s="46">
        <f t="shared" si="145"/>
        <v>3949.4492122572074</v>
      </c>
      <c r="CK153" s="46">
        <f>NPV((1+CK$3)^(1/12)-1,$CB$6:$CB153)+$CB$5</f>
        <v>821.76610223029002</v>
      </c>
      <c r="CL153" s="46">
        <f>NPV((1+CL$3)^(1/12)-1,$CB$6:$CB153)+$CB$5</f>
        <v>615.74439721442582</v>
      </c>
      <c r="CM153" s="46">
        <f>NPV((1+CM$3)^(1/12)-1,$CB$6:$CB153)+$CB$5</f>
        <v>240.53349257694526</v>
      </c>
      <c r="CN153" s="46">
        <f>NPV((1+CN$3)^(1/12)-1,$CB$6:$CB153)+$CB$5</f>
        <v>240.53349257694526</v>
      </c>
    </row>
    <row r="154" spans="1:92" x14ac:dyDescent="0.25">
      <c r="A154" s="61">
        <f t="shared" si="128"/>
        <v>12.416666666666686</v>
      </c>
      <c r="B154" s="32">
        <f t="shared" si="146"/>
        <v>5</v>
      </c>
      <c r="C154" s="62">
        <f t="shared" si="147"/>
        <v>13</v>
      </c>
      <c r="D154" s="64">
        <f t="shared" si="148"/>
        <v>12.916666666666686</v>
      </c>
      <c r="E154" s="28">
        <f t="shared" si="129"/>
        <v>12</v>
      </c>
      <c r="G154" s="68">
        <f>INDEX(Others!$D$11:$E$60, MATCH(C154, Others!$A$11:$A$60, 0), MATCH(G$3, Others!$D$10:$E$10, 0))</f>
        <v>4.0690909090908889E-2</v>
      </c>
      <c r="H154" s="16">
        <f t="shared" si="171"/>
        <v>3.329265421250005E-3</v>
      </c>
      <c r="I154" s="69">
        <f t="shared" si="172"/>
        <v>0.60942668929582311</v>
      </c>
      <c r="K154" s="80">
        <f>INDEX(Mortality!$B$7:$F$32, MATCH( E154,Mortality!$A$7:$A$32, 0), MATCH( K$3,Mortality!$B$6:$F$6,0))</f>
        <v>0.36499999999999999</v>
      </c>
      <c r="L154" s="11">
        <f t="shared" si="130"/>
        <v>0</v>
      </c>
      <c r="M154" s="80">
        <f t="shared" si="149"/>
        <v>0.36499999999999999</v>
      </c>
      <c r="N154" s="76">
        <f>INDEX(Myopia!$H:$H, MATCH(E154, Myopia!$A:$A, 0)) * Trend_Factor^(A154)</f>
        <v>26.22019498477632</v>
      </c>
      <c r="O154" s="11">
        <f t="shared" si="131"/>
        <v>0</v>
      </c>
      <c r="P154" s="80">
        <f t="shared" si="150"/>
        <v>26.22019498477632</v>
      </c>
      <c r="Q154" s="76">
        <f>VLOOKUP(C154,Others!$L$10:$M$61,2)</f>
        <v>0</v>
      </c>
      <c r="R154" s="11">
        <f t="shared" si="132"/>
        <v>0</v>
      </c>
      <c r="S154" s="80">
        <f t="shared" si="151"/>
        <v>0</v>
      </c>
      <c r="T154" s="78">
        <f t="shared" si="152"/>
        <v>3.0416666666666666E-5</v>
      </c>
      <c r="U154" s="81">
        <f t="shared" si="153"/>
        <v>2.1850162487313603E-3</v>
      </c>
      <c r="V154" s="81">
        <f t="shared" si="154"/>
        <v>0</v>
      </c>
      <c r="W154" s="77">
        <f t="shared" si="133"/>
        <v>0.86631785736345801</v>
      </c>
      <c r="X154" s="82">
        <f t="shared" si="155"/>
        <v>2.6321713357840996E-5</v>
      </c>
      <c r="Y154" s="82">
        <f t="shared" si="156"/>
        <v>1.8928898067683284E-3</v>
      </c>
      <c r="Z154" s="82">
        <f t="shared" si="157"/>
        <v>0</v>
      </c>
      <c r="AA154" s="82">
        <f t="shared" si="158"/>
        <v>0.86439864584333181</v>
      </c>
      <c r="AC154" s="46">
        <f t="shared" si="134"/>
        <v>0</v>
      </c>
      <c r="AD154" s="15">
        <f t="shared" si="135"/>
        <v>0</v>
      </c>
      <c r="AE154" s="46">
        <f t="shared" si="159"/>
        <v>0</v>
      </c>
      <c r="AF154" s="15">
        <f t="shared" si="160"/>
        <v>0</v>
      </c>
      <c r="AG154" s="46">
        <f>SUMPRODUCT(AE155:AE$605, $I154:$I$604) / $I154</f>
        <v>0</v>
      </c>
      <c r="AI154" s="46">
        <f t="shared" si="136"/>
        <v>-47000</v>
      </c>
      <c r="AJ154" s="46">
        <f>IF(E154&gt;Mat_Year,0,  -SUM($AD$5:AD154))</f>
        <v>-9306</v>
      </c>
      <c r="AK154" s="24">
        <f t="shared" si="161"/>
        <v>-0.2449498645080683</v>
      </c>
      <c r="AL154" s="79">
        <f t="shared" si="162"/>
        <v>-88.965820918111433</v>
      </c>
      <c r="AM154" s="24">
        <f t="shared" si="163"/>
        <v>-102.9769501163494</v>
      </c>
      <c r="AN154" s="79">
        <f t="shared" si="164"/>
        <v>-89.210770782619505</v>
      </c>
      <c r="AO154" s="15">
        <f t="shared" si="165"/>
        <v>-3816.7632056666775</v>
      </c>
      <c r="AP154" s="46">
        <f>SUMPRODUCT(AN155:AN$605, $I155:$I$605) / $I154</f>
        <v>-3306.5301223968395</v>
      </c>
      <c r="AR154" s="46">
        <v>0</v>
      </c>
      <c r="AS154" s="46">
        <v>0</v>
      </c>
      <c r="AT154" s="46">
        <v>0</v>
      </c>
      <c r="AU154" s="95">
        <f t="shared" si="137"/>
        <v>-2.0586883535003611</v>
      </c>
      <c r="AV154" s="47">
        <f t="shared" si="138"/>
        <v>0</v>
      </c>
      <c r="AW154" s="96">
        <f t="shared" si="173"/>
        <v>-2.0586883535003611</v>
      </c>
      <c r="AX154" s="95">
        <f t="shared" si="139"/>
        <v>-23.606293120137472</v>
      </c>
      <c r="AY154" s="11">
        <f t="shared" si="140"/>
        <v>0</v>
      </c>
      <c r="AZ154" s="96">
        <f t="shared" si="174"/>
        <v>-23.606293120137472</v>
      </c>
      <c r="BA154" s="95">
        <f t="shared" si="175"/>
        <v>-1.783478483383538</v>
      </c>
      <c r="BB154" s="64">
        <f t="shared" si="176"/>
        <v>-4.5305469703642971E-2</v>
      </c>
      <c r="BC154" s="95">
        <f t="shared" si="177"/>
        <v>-2.0586883535003611</v>
      </c>
      <c r="BD154" s="96">
        <f t="shared" si="178"/>
        <v>-5.2296589893142828E-2</v>
      </c>
      <c r="BE154" s="96">
        <f t="shared" si="179"/>
        <v>-1.783478483383538</v>
      </c>
      <c r="BF154" s="96">
        <f t="shared" si="180"/>
        <v>-4.5305469703642971E-2</v>
      </c>
      <c r="BG154" s="15">
        <f t="shared" si="166"/>
        <v>-169.43474311384259</v>
      </c>
      <c r="BH154" s="46">
        <f>(SUMPRODUCT(BE155:BE$605,$I154:$I$604)+SUMPRODUCT(BF155:BF$605,$I155:$I$605)) / $I154</f>
        <v>-146.78434361731203</v>
      </c>
      <c r="BJ154" s="46">
        <f t="shared" si="124"/>
        <v>-1.783478483383538</v>
      </c>
      <c r="BK154" s="46">
        <f t="shared" si="125"/>
        <v>-89.256076252323155</v>
      </c>
      <c r="BM154" s="49">
        <f t="shared" si="167"/>
        <v>3995.0484450898234</v>
      </c>
      <c r="BN154" s="46">
        <f t="shared" si="126"/>
        <v>3453.3144660141515</v>
      </c>
      <c r="BP154" s="46">
        <f>Reserve!BX154</f>
        <v>5248.6044233452349</v>
      </c>
      <c r="BQ154" s="46">
        <f t="shared" si="141"/>
        <v>4536.8865561069424</v>
      </c>
      <c r="BR154" s="15">
        <f t="shared" si="168"/>
        <v>103.58904518893723</v>
      </c>
      <c r="BT154" s="49">
        <f t="shared" si="169"/>
        <v>17.826525394853114</v>
      </c>
      <c r="BU154" s="46">
        <f t="shared" si="142"/>
        <v>15.443437284304423</v>
      </c>
      <c r="BV154" s="46">
        <f>SUMPRODUCT(BU155:BU$605, $I155:$I$605) / $I154</f>
        <v>456.16417761322759</v>
      </c>
      <c r="BX154" s="46">
        <f>-BZ154*Others!$Q$43</f>
        <v>-7.1661895008089527</v>
      </c>
      <c r="BZ154" s="50">
        <f t="shared" si="127"/>
        <v>27.99292773753497</v>
      </c>
      <c r="CA154" s="46">
        <f t="shared" si="170"/>
        <v>20.826738236726015</v>
      </c>
      <c r="CB154" s="46">
        <f t="shared" si="143"/>
        <v>20.826738236726015</v>
      </c>
      <c r="CD154" s="46">
        <f>SUMPRODUCT(BZ155:BZ$605, $I155:$I$605) / $I154</f>
        <v>1083.5720900927922</v>
      </c>
      <c r="CE154" s="46">
        <f>SUMPRODUCT(CA155:CA$605, $I155:$I$605) / $I154</f>
        <v>806.17763502903767</v>
      </c>
      <c r="CF154" s="46">
        <f>SUMPRODUCT(CB155:CB$605, $I155:$I$605) / $I154</f>
        <v>806.17763502903767</v>
      </c>
      <c r="CH154" s="46">
        <f t="shared" si="144"/>
        <v>41751.395576654766</v>
      </c>
      <c r="CI154" s="46">
        <f t="shared" si="145"/>
        <v>4057.3955766547651</v>
      </c>
      <c r="CK154" s="46">
        <f>NPV((1+CK$3)^(1/12)-1,$CB$6:$CB154)+$CB$5</f>
        <v>836.19475288686704</v>
      </c>
      <c r="CL154" s="46">
        <f>NPV((1+CL$3)^(1/12)-1,$CB$6:$CB154)+$CB$5</f>
        <v>627.10812430242686</v>
      </c>
      <c r="CM154" s="46">
        <f>NPV((1+CM$3)^(1/12)-1,$CB$6:$CB154)+$CB$5</f>
        <v>246.91116317553895</v>
      </c>
      <c r="CN154" s="46">
        <f>NPV((1+CN$3)^(1/12)-1,$CB$6:$CB154)+$CB$5</f>
        <v>246.91116317553895</v>
      </c>
    </row>
    <row r="155" spans="1:92" x14ac:dyDescent="0.25">
      <c r="A155" s="61">
        <f t="shared" si="128"/>
        <v>12.50000000000002</v>
      </c>
      <c r="B155" s="32">
        <f t="shared" si="146"/>
        <v>6</v>
      </c>
      <c r="C155" s="62">
        <f t="shared" si="147"/>
        <v>13</v>
      </c>
      <c r="D155" s="64">
        <f t="shared" si="148"/>
        <v>13.00000000000002</v>
      </c>
      <c r="E155" s="28">
        <f t="shared" si="129"/>
        <v>13</v>
      </c>
      <c r="G155" s="68">
        <f>INDEX(Others!$D$11:$E$60, MATCH(C155, Others!$A$11:$A$60, 0), MATCH(G$3, Others!$D$10:$E$10, 0))</f>
        <v>4.0690909090908889E-2</v>
      </c>
      <c r="H155" s="16">
        <f t="shared" si="171"/>
        <v>3.329265421250005E-3</v>
      </c>
      <c r="I155" s="69">
        <f t="shared" si="172"/>
        <v>0.60740447856861224</v>
      </c>
      <c r="K155" s="80">
        <f>INDEX(Mortality!$B$7:$F$32, MATCH( E155,Mortality!$A$7:$A$32, 0), MATCH( K$3,Mortality!$B$6:$F$6,0))</f>
        <v>0.371</v>
      </c>
      <c r="L155" s="11">
        <f t="shared" si="130"/>
        <v>0</v>
      </c>
      <c r="M155" s="80">
        <f t="shared" si="149"/>
        <v>0.371</v>
      </c>
      <c r="N155" s="76">
        <f>INDEX(Myopia!$H:$H, MATCH(E155, Myopia!$A:$A, 0)) * Trend_Factor^(A155)</f>
        <v>22.773501315763465</v>
      </c>
      <c r="O155" s="11">
        <f t="shared" si="131"/>
        <v>0</v>
      </c>
      <c r="P155" s="80">
        <f t="shared" si="150"/>
        <v>22.773501315763465</v>
      </c>
      <c r="Q155" s="76">
        <f>VLOOKUP(C155,Others!$L$10:$M$61,2)</f>
        <v>0</v>
      </c>
      <c r="R155" s="11">
        <f t="shared" si="132"/>
        <v>0</v>
      </c>
      <c r="S155" s="80">
        <f t="shared" si="151"/>
        <v>0</v>
      </c>
      <c r="T155" s="78">
        <f t="shared" si="152"/>
        <v>3.0916666666666668E-5</v>
      </c>
      <c r="U155" s="81">
        <f t="shared" si="153"/>
        <v>1.8977917763136221E-3</v>
      </c>
      <c r="V155" s="81">
        <f t="shared" si="154"/>
        <v>0</v>
      </c>
      <c r="W155" s="77">
        <f t="shared" si="133"/>
        <v>0.86439864584333181</v>
      </c>
      <c r="X155" s="82">
        <f t="shared" si="155"/>
        <v>2.6698966198739235E-5</v>
      </c>
      <c r="Y155" s="82">
        <f t="shared" si="156"/>
        <v>1.640423282936189E-3</v>
      </c>
      <c r="Z155" s="82">
        <f t="shared" si="157"/>
        <v>0</v>
      </c>
      <c r="AA155" s="82">
        <f t="shared" si="158"/>
        <v>0.86273152359419691</v>
      </c>
      <c r="AC155" s="46">
        <f t="shared" si="134"/>
        <v>0</v>
      </c>
      <c r="AD155" s="15">
        <f t="shared" si="135"/>
        <v>0</v>
      </c>
      <c r="AE155" s="46">
        <f t="shared" si="159"/>
        <v>0</v>
      </c>
      <c r="AF155" s="15">
        <f t="shared" si="160"/>
        <v>0</v>
      </c>
      <c r="AG155" s="46">
        <f>SUMPRODUCT(AE156:AE$605, $I155:$I$604) / $I155</f>
        <v>0</v>
      </c>
      <c r="AI155" s="46">
        <f t="shared" si="136"/>
        <v>-47000</v>
      </c>
      <c r="AJ155" s="46">
        <f>IF(E155&gt;Mat_Year,0,  -SUM($AD$5:AD155))</f>
        <v>-9306</v>
      </c>
      <c r="AK155" s="24">
        <f t="shared" si="161"/>
        <v>-0.24846057944546732</v>
      </c>
      <c r="AL155" s="79">
        <f t="shared" si="162"/>
        <v>-77.099894298000891</v>
      </c>
      <c r="AM155" s="24">
        <f t="shared" si="163"/>
        <v>-89.482272154629655</v>
      </c>
      <c r="AN155" s="79">
        <f t="shared" si="164"/>
        <v>-77.348354877446354</v>
      </c>
      <c r="AO155" s="15">
        <f t="shared" si="165"/>
        <v>-3748.4904673340729</v>
      </c>
      <c r="AP155" s="46">
        <f>SUMPRODUCT(AN156:AN$605, $I156:$I$605) / $I155</f>
        <v>-3240.1900839202108</v>
      </c>
      <c r="AR155" s="46">
        <v>0</v>
      </c>
      <c r="AS155" s="46">
        <v>0</v>
      </c>
      <c r="AT155" s="46">
        <v>0</v>
      </c>
      <c r="AU155" s="95">
        <f t="shared" si="137"/>
        <v>-2.0609901698928379</v>
      </c>
      <c r="AV155" s="47">
        <f t="shared" si="138"/>
        <v>0</v>
      </c>
      <c r="AW155" s="96">
        <f t="shared" si="173"/>
        <v>-2.0609901698928379</v>
      </c>
      <c r="AX155" s="95">
        <f t="shared" si="139"/>
        <v>-23.632687281437871</v>
      </c>
      <c r="AY155" s="11">
        <f t="shared" si="140"/>
        <v>0</v>
      </c>
      <c r="AZ155" s="96">
        <f t="shared" si="174"/>
        <v>-23.632687281437871</v>
      </c>
      <c r="BA155" s="95">
        <f t="shared" si="175"/>
        <v>-1.7815171119517874</v>
      </c>
      <c r="BB155" s="64">
        <f t="shared" si="176"/>
        <v>-3.9398578773733116E-2</v>
      </c>
      <c r="BC155" s="95">
        <f t="shared" si="177"/>
        <v>-2.0609901698928379</v>
      </c>
      <c r="BD155" s="96">
        <f t="shared" si="178"/>
        <v>-4.5579176880008579E-2</v>
      </c>
      <c r="BE155" s="96">
        <f t="shared" si="179"/>
        <v>-1.7815171119517874</v>
      </c>
      <c r="BF155" s="96">
        <f t="shared" si="180"/>
        <v>-3.9398578773733116E-2</v>
      </c>
      <c r="BG155" s="15">
        <f t="shared" si="166"/>
        <v>-168.26285131549798</v>
      </c>
      <c r="BH155" s="46">
        <f>(SUMPRODUCT(BE156:BE$605,$I155:$I$604)+SUMPRODUCT(BF156:BF$605,$I156:$I$605)) / $I155</f>
        <v>-145.44618082285433</v>
      </c>
      <c r="BJ155" s="46">
        <f t="shared" ref="BJ155:BJ218" si="181">SUM(AE155,BE155)</f>
        <v>-1.7815171119517874</v>
      </c>
      <c r="BK155" s="46">
        <f t="shared" ref="BK155:BK218" si="182">SUM(AN155,BF155)</f>
        <v>-77.387753456220082</v>
      </c>
      <c r="BM155" s="49">
        <f t="shared" si="167"/>
        <v>3924.3219612959992</v>
      </c>
      <c r="BN155" s="46">
        <f t="shared" ref="BN155:BN218" si="183">MAX(BN156/(1+H156) - (BJ156 + BK156/(1+H156)),0)</f>
        <v>3385.6362647430647</v>
      </c>
      <c r="BP155" s="46">
        <f>Reserve!BX155</f>
        <v>5155.747765143652</v>
      </c>
      <c r="BQ155" s="46">
        <f t="shared" si="141"/>
        <v>4448.0261246897589</v>
      </c>
      <c r="BR155" s="15">
        <f t="shared" si="168"/>
        <v>88.860431417183463</v>
      </c>
      <c r="BT155" s="49">
        <f t="shared" si="169"/>
        <v>17.467135633156953</v>
      </c>
      <c r="BU155" s="46">
        <f t="shared" si="142"/>
        <v>15.098568388062677</v>
      </c>
      <c r="BV155" s="46">
        <f>SUMPRODUCT(BU156:BU$605, $I156:$I$605) / $I155</f>
        <v>442.58430084810556</v>
      </c>
      <c r="BX155" s="46">
        <f>-BZ155*Others!$Q$43</f>
        <v>-6.346170684691014</v>
      </c>
      <c r="BZ155" s="50">
        <f t="shared" si="127"/>
        <v>24.789729237074273</v>
      </c>
      <c r="CA155" s="46">
        <f t="shared" si="170"/>
        <v>18.443558552383259</v>
      </c>
      <c r="CB155" s="46">
        <f t="shared" si="143"/>
        <v>18.443558552383259</v>
      </c>
      <c r="CD155" s="46">
        <f>SUMPRODUCT(BZ156:BZ$605, $I156:$I$605) / $I155</f>
        <v>1062.3898599466952</v>
      </c>
      <c r="CE155" s="46">
        <f>SUMPRODUCT(CA156:CA$605, $I156:$I$605) / $I155</f>
        <v>790.41805580034168</v>
      </c>
      <c r="CF155" s="46">
        <f>SUMPRODUCT(CB156:CB$605, $I156:$I$605) / $I155</f>
        <v>790.41805580034168</v>
      </c>
      <c r="CH155" s="46">
        <f t="shared" si="144"/>
        <v>41844.252234856351</v>
      </c>
      <c r="CI155" s="46">
        <f t="shared" si="145"/>
        <v>4150.252234856348</v>
      </c>
      <c r="CK155" s="46">
        <f>NPV((1+CK$3)^(1/12)-1,$CB$6:$CB155)+$CB$5</f>
        <v>848.94091418422136</v>
      </c>
      <c r="CL155" s="46">
        <f>NPV((1+CL$3)^(1/12)-1,$CB$6:$CB155)+$CB$5</f>
        <v>637.13068004694446</v>
      </c>
      <c r="CM155" s="46">
        <f>NPV((1+CM$3)^(1/12)-1,$CB$6:$CB155)+$CB$5</f>
        <v>252.5143635616605</v>
      </c>
      <c r="CN155" s="46">
        <f>NPV((1+CN$3)^(1/12)-1,$CB$6:$CB155)+$CB$5</f>
        <v>252.5143635616605</v>
      </c>
    </row>
    <row r="156" spans="1:92" x14ac:dyDescent="0.25">
      <c r="A156" s="61">
        <f t="shared" si="128"/>
        <v>12.583333333333353</v>
      </c>
      <c r="B156" s="32">
        <f t="shared" si="146"/>
        <v>7</v>
      </c>
      <c r="C156" s="62">
        <f t="shared" si="147"/>
        <v>13</v>
      </c>
      <c r="D156" s="64">
        <f t="shared" si="148"/>
        <v>13.083333333333353</v>
      </c>
      <c r="E156" s="28">
        <f t="shared" si="129"/>
        <v>13</v>
      </c>
      <c r="G156" s="68">
        <f>INDEX(Others!$D$11:$E$60, MATCH(C156, Others!$A$11:$A$60, 0), MATCH(G$3, Others!$D$10:$E$10, 0))</f>
        <v>4.0690909090908889E-2</v>
      </c>
      <c r="H156" s="16">
        <f t="shared" si="171"/>
        <v>3.329265421250005E-3</v>
      </c>
      <c r="I156" s="69">
        <f t="shared" si="172"/>
        <v>0.60538897797782476</v>
      </c>
      <c r="K156" s="80">
        <f>INDEX(Mortality!$B$7:$F$32, MATCH( E156,Mortality!$A$7:$A$32, 0), MATCH( K$3,Mortality!$B$6:$F$6,0))</f>
        <v>0.371</v>
      </c>
      <c r="L156" s="11">
        <f t="shared" si="130"/>
        <v>0</v>
      </c>
      <c r="M156" s="80">
        <f t="shared" si="149"/>
        <v>0.371</v>
      </c>
      <c r="N156" s="76">
        <f>INDEX(Myopia!$H:$H, MATCH(E156, Myopia!$A:$A, 0)) * Trend_Factor^(A156)</f>
        <v>22.773501315763465</v>
      </c>
      <c r="O156" s="11">
        <f t="shared" si="131"/>
        <v>0</v>
      </c>
      <c r="P156" s="80">
        <f t="shared" si="150"/>
        <v>22.773501315763465</v>
      </c>
      <c r="Q156" s="76">
        <f>VLOOKUP(C156,Others!$L$10:$M$61,2)</f>
        <v>0</v>
      </c>
      <c r="R156" s="11">
        <f t="shared" si="132"/>
        <v>0</v>
      </c>
      <c r="S156" s="80">
        <f t="shared" si="151"/>
        <v>0</v>
      </c>
      <c r="T156" s="78">
        <f t="shared" si="152"/>
        <v>3.0916666666666668E-5</v>
      </c>
      <c r="U156" s="81">
        <f t="shared" si="153"/>
        <v>1.8977917763136221E-3</v>
      </c>
      <c r="V156" s="81">
        <f t="shared" si="154"/>
        <v>0</v>
      </c>
      <c r="W156" s="77">
        <f t="shared" si="133"/>
        <v>0.86273152359419691</v>
      </c>
      <c r="X156" s="82">
        <f t="shared" si="155"/>
        <v>2.6647473243731889E-5</v>
      </c>
      <c r="Y156" s="82">
        <f t="shared" si="156"/>
        <v>1.6372594809495331E-3</v>
      </c>
      <c r="Z156" s="82">
        <f t="shared" si="157"/>
        <v>0</v>
      </c>
      <c r="AA156" s="82">
        <f t="shared" si="158"/>
        <v>0.86106761664000364</v>
      </c>
      <c r="AC156" s="46">
        <f t="shared" si="134"/>
        <v>0</v>
      </c>
      <c r="AD156" s="15">
        <f t="shared" si="135"/>
        <v>0</v>
      </c>
      <c r="AE156" s="46">
        <f t="shared" si="159"/>
        <v>0</v>
      </c>
      <c r="AF156" s="15">
        <f t="shared" si="160"/>
        <v>0</v>
      </c>
      <c r="AG156" s="46">
        <f>SUMPRODUCT(AE157:AE$605, $I156:$I$604) / $I156</f>
        <v>0</v>
      </c>
      <c r="AI156" s="46">
        <f t="shared" si="136"/>
        <v>-47000</v>
      </c>
      <c r="AJ156" s="46">
        <f>IF(E156&gt;Mat_Year,0,  -SUM($AD$5:AD156))</f>
        <v>-9306</v>
      </c>
      <c r="AK156" s="24">
        <f t="shared" si="161"/>
        <v>-0.24798138600616895</v>
      </c>
      <c r="AL156" s="79">
        <f t="shared" si="162"/>
        <v>-76.951195604628055</v>
      </c>
      <c r="AM156" s="24">
        <f t="shared" si="163"/>
        <v>-89.482272154629655</v>
      </c>
      <c r="AN156" s="79">
        <f t="shared" si="164"/>
        <v>-77.199176990634228</v>
      </c>
      <c r="AO156" s="15">
        <f t="shared" si="165"/>
        <v>-3678.7555258350571</v>
      </c>
      <c r="AP156" s="46">
        <f>SUMPRODUCT(AN157:AN$605, $I157:$I$605) / $I156</f>
        <v>-3173.77835973425</v>
      </c>
      <c r="AR156" s="46">
        <v>0</v>
      </c>
      <c r="AS156" s="46">
        <v>0</v>
      </c>
      <c r="AT156" s="46">
        <v>0</v>
      </c>
      <c r="AU156" s="95">
        <f t="shared" si="137"/>
        <v>-2.0632945599428063</v>
      </c>
      <c r="AV156" s="47">
        <f t="shared" si="138"/>
        <v>0</v>
      </c>
      <c r="AW156" s="96">
        <f t="shared" si="173"/>
        <v>-2.0632945599428063</v>
      </c>
      <c r="AX156" s="95">
        <f t="shared" si="139"/>
        <v>-23.659110954010842</v>
      </c>
      <c r="AY156" s="11">
        <f t="shared" si="140"/>
        <v>0</v>
      </c>
      <c r="AZ156" s="96">
        <f t="shared" si="174"/>
        <v>-23.659110954010842</v>
      </c>
      <c r="BA156" s="95">
        <f t="shared" si="175"/>
        <v>-1.7800692593230754</v>
      </c>
      <c r="BB156" s="64">
        <f t="shared" si="176"/>
        <v>-3.9366559246408687E-2</v>
      </c>
      <c r="BC156" s="95">
        <f t="shared" si="177"/>
        <v>-2.0632945599428063</v>
      </c>
      <c r="BD156" s="96">
        <f t="shared" si="178"/>
        <v>-4.5630138890028017E-2</v>
      </c>
      <c r="BE156" s="96">
        <f t="shared" si="179"/>
        <v>-1.7800692593230754</v>
      </c>
      <c r="BF156" s="96">
        <f t="shared" si="180"/>
        <v>-3.9366559246408687E-2</v>
      </c>
      <c r="BG156" s="15">
        <f t="shared" si="166"/>
        <v>-167.03347875984358</v>
      </c>
      <c r="BH156" s="46">
        <f>(SUMPRODUCT(BE157:BE$605,$I156:$I$604)+SUMPRODUCT(BF157:BF$605,$I157:$I$605)) / $I156</f>
        <v>-144.10504762171877</v>
      </c>
      <c r="BJ156" s="46">
        <f t="shared" si="181"/>
        <v>-1.7800692593230754</v>
      </c>
      <c r="BK156" s="46">
        <f t="shared" si="182"/>
        <v>-77.238543549880632</v>
      </c>
      <c r="BM156" s="49">
        <f t="shared" si="167"/>
        <v>3853.2205174580531</v>
      </c>
      <c r="BN156" s="46">
        <f t="shared" si="183"/>
        <v>3317.8834073559674</v>
      </c>
      <c r="BP156" s="46">
        <f>Reserve!BX156</f>
        <v>5062.4195158917055</v>
      </c>
      <c r="BQ156" s="46">
        <f t="shared" si="141"/>
        <v>4359.0855069807121</v>
      </c>
      <c r="BR156" s="15">
        <f t="shared" si="168"/>
        <v>88.940617709046819</v>
      </c>
      <c r="BT156" s="49">
        <f t="shared" si="169"/>
        <v>17.157983499947484</v>
      </c>
      <c r="BU156" s="46">
        <f t="shared" si="142"/>
        <v>14.802733246713784</v>
      </c>
      <c r="BV156" s="46">
        <f>SUMPRODUCT(BU157:BU$605, $I157:$I$605) / $I156</f>
        <v>429.25504821019337</v>
      </c>
      <c r="BX156" s="46">
        <f>-BZ156*Others!$Q$43</f>
        <v>-6.3295329655185668</v>
      </c>
      <c r="BZ156" s="50">
        <f t="shared" si="127"/>
        <v>24.724738146556902</v>
      </c>
      <c r="CA156" s="46">
        <f t="shared" si="170"/>
        <v>18.395205181038335</v>
      </c>
      <c r="CB156" s="46">
        <f t="shared" si="143"/>
        <v>18.395205181038335</v>
      </c>
      <c r="CD156" s="46">
        <f>SUMPRODUCT(BZ157:BZ$605, $I157:$I$605) / $I156</f>
        <v>1041.2020996247459</v>
      </c>
      <c r="CE156" s="46">
        <f>SUMPRODUCT(CA157:CA$605, $I157:$I$605) / $I156</f>
        <v>774.65436212081113</v>
      </c>
      <c r="CF156" s="46">
        <f>SUMPRODUCT(CB157:CB$605, $I157:$I$605) / $I156</f>
        <v>774.65436212081113</v>
      </c>
      <c r="CH156" s="46">
        <f t="shared" si="144"/>
        <v>41937.580484108294</v>
      </c>
      <c r="CI156" s="46">
        <f t="shared" si="145"/>
        <v>4243.5804841082945</v>
      </c>
      <c r="CK156" s="46">
        <f>NPV((1+CK$3)^(1/12)-1,$CB$6:$CB156)+$CB$5</f>
        <v>861.62238302057585</v>
      </c>
      <c r="CL156" s="46">
        <f>NPV((1+CL$3)^(1/12)-1,$CB$6:$CB156)+$CB$5</f>
        <v>647.08639888383323</v>
      </c>
      <c r="CM156" s="46">
        <f>NPV((1+CM$3)^(1/12)-1,$CB$6:$CB156)+$CB$5</f>
        <v>258.05866304689175</v>
      </c>
      <c r="CN156" s="46">
        <f>NPV((1+CN$3)^(1/12)-1,$CB$6:$CB156)+$CB$5</f>
        <v>258.05866304689175</v>
      </c>
    </row>
    <row r="157" spans="1:92" x14ac:dyDescent="0.25">
      <c r="A157" s="61">
        <f t="shared" si="128"/>
        <v>12.666666666666687</v>
      </c>
      <c r="B157" s="32">
        <f t="shared" si="146"/>
        <v>8</v>
      </c>
      <c r="C157" s="62">
        <f t="shared" si="147"/>
        <v>13</v>
      </c>
      <c r="D157" s="64">
        <f t="shared" si="148"/>
        <v>13.166666666666687</v>
      </c>
      <c r="E157" s="28">
        <f t="shared" si="129"/>
        <v>13</v>
      </c>
      <c r="G157" s="68">
        <f>INDEX(Others!$D$11:$E$60, MATCH(C157, Others!$A$11:$A$60, 0), MATCH(G$3, Others!$D$10:$E$10, 0))</f>
        <v>4.0690909090908889E-2</v>
      </c>
      <c r="H157" s="16">
        <f t="shared" si="171"/>
        <v>3.329265421250005E-3</v>
      </c>
      <c r="I157" s="69">
        <f t="shared" si="172"/>
        <v>0.60338016525776395</v>
      </c>
      <c r="K157" s="80">
        <f>INDEX(Mortality!$B$7:$F$32, MATCH( E157,Mortality!$A$7:$A$32, 0), MATCH( K$3,Mortality!$B$6:$F$6,0))</f>
        <v>0.371</v>
      </c>
      <c r="L157" s="11">
        <f t="shared" si="130"/>
        <v>0</v>
      </c>
      <c r="M157" s="80">
        <f t="shared" si="149"/>
        <v>0.371</v>
      </c>
      <c r="N157" s="76">
        <f>INDEX(Myopia!$H:$H, MATCH(E157, Myopia!$A:$A, 0)) * Trend_Factor^(A157)</f>
        <v>22.773501315763465</v>
      </c>
      <c r="O157" s="11">
        <f t="shared" si="131"/>
        <v>0</v>
      </c>
      <c r="P157" s="80">
        <f t="shared" si="150"/>
        <v>22.773501315763465</v>
      </c>
      <c r="Q157" s="76">
        <f>VLOOKUP(C157,Others!$L$10:$M$61,2)</f>
        <v>0</v>
      </c>
      <c r="R157" s="11">
        <f t="shared" si="132"/>
        <v>0</v>
      </c>
      <c r="S157" s="80">
        <f t="shared" si="151"/>
        <v>0</v>
      </c>
      <c r="T157" s="78">
        <f t="shared" si="152"/>
        <v>3.0916666666666668E-5</v>
      </c>
      <c r="U157" s="81">
        <f t="shared" si="153"/>
        <v>1.8977917763136221E-3</v>
      </c>
      <c r="V157" s="81">
        <f t="shared" si="154"/>
        <v>0</v>
      </c>
      <c r="W157" s="77">
        <f t="shared" si="133"/>
        <v>0.86106761664000364</v>
      </c>
      <c r="X157" s="82">
        <f t="shared" si="155"/>
        <v>2.6596079600600357E-5</v>
      </c>
      <c r="Y157" s="82">
        <f t="shared" si="156"/>
        <v>1.6341017808288497E-3</v>
      </c>
      <c r="Z157" s="82">
        <f t="shared" si="157"/>
        <v>0</v>
      </c>
      <c r="AA157" s="82">
        <f t="shared" si="158"/>
        <v>0.8594069187795742</v>
      </c>
      <c r="AC157" s="46">
        <f t="shared" si="134"/>
        <v>0</v>
      </c>
      <c r="AD157" s="15">
        <f t="shared" si="135"/>
        <v>0</v>
      </c>
      <c r="AE157" s="46">
        <f t="shared" si="159"/>
        <v>0</v>
      </c>
      <c r="AF157" s="15">
        <f t="shared" si="160"/>
        <v>0</v>
      </c>
      <c r="AG157" s="46">
        <f>SUMPRODUCT(AE158:AE$605, $I157:$I$604) / $I157</f>
        <v>0</v>
      </c>
      <c r="AI157" s="46">
        <f t="shared" si="136"/>
        <v>-47000</v>
      </c>
      <c r="AJ157" s="46">
        <f>IF(E157&gt;Mat_Year,0,  -SUM($AD$5:AD157))</f>
        <v>-9306</v>
      </c>
      <c r="AK157" s="24">
        <f t="shared" si="161"/>
        <v>-0.24750311676318693</v>
      </c>
      <c r="AL157" s="79">
        <f t="shared" si="162"/>
        <v>-76.802783698955935</v>
      </c>
      <c r="AM157" s="24">
        <f t="shared" si="163"/>
        <v>-89.482272154629655</v>
      </c>
      <c r="AN157" s="79">
        <f t="shared" si="164"/>
        <v>-77.050286815719119</v>
      </c>
      <c r="AO157" s="15">
        <f t="shared" si="165"/>
        <v>-3608.6532154017905</v>
      </c>
      <c r="AP157" s="46">
        <f>SUMPRODUCT(AN158:AN$605, $I158:$I$605) / $I157</f>
        <v>-3107.2944234663055</v>
      </c>
      <c r="AR157" s="46">
        <v>0</v>
      </c>
      <c r="AS157" s="46">
        <v>0</v>
      </c>
      <c r="AT157" s="46">
        <v>0</v>
      </c>
      <c r="AU157" s="95">
        <f t="shared" si="137"/>
        <v>-2.0656015265278693</v>
      </c>
      <c r="AV157" s="47">
        <f t="shared" si="138"/>
        <v>0</v>
      </c>
      <c r="AW157" s="96">
        <f t="shared" si="173"/>
        <v>-2.0656015265278693</v>
      </c>
      <c r="AX157" s="95">
        <f t="shared" si="139"/>
        <v>-23.685564170852899</v>
      </c>
      <c r="AY157" s="11">
        <f t="shared" si="140"/>
        <v>0</v>
      </c>
      <c r="AZ157" s="96">
        <f t="shared" si="174"/>
        <v>-23.685564170852899</v>
      </c>
      <c r="BA157" s="95">
        <f t="shared" si="175"/>
        <v>-1.7786225833753058</v>
      </c>
      <c r="BB157" s="64">
        <f t="shared" si="176"/>
        <v>-3.9334565741599853E-2</v>
      </c>
      <c r="BC157" s="95">
        <f t="shared" si="177"/>
        <v>-2.0656015265278693</v>
      </c>
      <c r="BD157" s="96">
        <f t="shared" si="178"/>
        <v>-4.5681157880595229E-2</v>
      </c>
      <c r="BE157" s="96">
        <f t="shared" si="179"/>
        <v>-1.7786225833753058</v>
      </c>
      <c r="BF157" s="96">
        <f t="shared" si="180"/>
        <v>-3.9334565741599853E-2</v>
      </c>
      <c r="BG157" s="15">
        <f t="shared" si="166"/>
        <v>-165.79526411071367</v>
      </c>
      <c r="BH157" s="46">
        <f>(SUMPRODUCT(BE158:BE$605,$I157:$I$604)+SUMPRODUCT(BF158:BF$605,$I158:$I$605)) / $I157</f>
        <v>-142.76093291801214</v>
      </c>
      <c r="BJ157" s="46">
        <f t="shared" si="181"/>
        <v>-1.7786225833753058</v>
      </c>
      <c r="BK157" s="46">
        <f t="shared" si="182"/>
        <v>-77.089621381460717</v>
      </c>
      <c r="BM157" s="49">
        <f t="shared" si="167"/>
        <v>3781.7421356109771</v>
      </c>
      <c r="BN157" s="46">
        <f t="shared" si="183"/>
        <v>3250.0553563843164</v>
      </c>
      <c r="BP157" s="46">
        <f>Reserve!BX157</f>
        <v>4968.6172966337044</v>
      </c>
      <c r="BQ157" s="46">
        <f t="shared" si="141"/>
        <v>4270.0640814948692</v>
      </c>
      <c r="BR157" s="15">
        <f t="shared" si="168"/>
        <v>89.021425485842883</v>
      </c>
      <c r="BT157" s="49">
        <f t="shared" si="169"/>
        <v>16.847261306383096</v>
      </c>
      <c r="BU157" s="46">
        <f t="shared" si="142"/>
        <v>14.506631139998646</v>
      </c>
      <c r="BV157" s="46">
        <f>SUMPRODUCT(BU158:BU$605, $I158:$I$605) / $I157</f>
        <v>416.17752105909807</v>
      </c>
      <c r="BX157" s="46">
        <f>-BZ157*Others!$Q$43</f>
        <v>-6.3129120412174089</v>
      </c>
      <c r="BZ157" s="50">
        <f t="shared" si="127"/>
        <v>24.659812661005503</v>
      </c>
      <c r="CA157" s="46">
        <f t="shared" si="170"/>
        <v>18.346900619788094</v>
      </c>
      <c r="CB157" s="46">
        <f t="shared" si="143"/>
        <v>18.346900619788094</v>
      </c>
      <c r="CD157" s="46">
        <f>SUMPRODUCT(BZ158:BZ$605, $I158:$I$605) / $I157</f>
        <v>1020.0087251105535</v>
      </c>
      <c r="CE157" s="46">
        <f>SUMPRODUCT(CA158:CA$605, $I158:$I$605) / $I157</f>
        <v>758.8864914822525</v>
      </c>
      <c r="CF157" s="46">
        <f>SUMPRODUCT(CB158:CB$605, $I158:$I$605) / $I157</f>
        <v>758.8864914822525</v>
      </c>
      <c r="CH157" s="46">
        <f t="shared" si="144"/>
        <v>42031.382703366296</v>
      </c>
      <c r="CI157" s="46">
        <f t="shared" si="145"/>
        <v>4337.3827033662956</v>
      </c>
      <c r="CK157" s="46">
        <f>NPV((1+CK$3)^(1/12)-1,$CB$6:$CB157)+$CB$5</f>
        <v>874.23943412805625</v>
      </c>
      <c r="CL157" s="46">
        <f>NPV((1+CL$3)^(1/12)-1,$CB$6:$CB157)+$CB$5</f>
        <v>656.9756845044983</v>
      </c>
      <c r="CM157" s="46">
        <f>NPV((1+CM$3)^(1/12)-1,$CB$6:$CB157)+$CB$5</f>
        <v>263.54465748762414</v>
      </c>
      <c r="CN157" s="46">
        <f>NPV((1+CN$3)^(1/12)-1,$CB$6:$CB157)+$CB$5</f>
        <v>263.54465748762414</v>
      </c>
    </row>
    <row r="158" spans="1:92" x14ac:dyDescent="0.25">
      <c r="A158" s="61">
        <f t="shared" si="128"/>
        <v>12.750000000000021</v>
      </c>
      <c r="B158" s="32">
        <f t="shared" si="146"/>
        <v>9</v>
      </c>
      <c r="C158" s="62">
        <f t="shared" si="147"/>
        <v>13</v>
      </c>
      <c r="D158" s="64">
        <f t="shared" si="148"/>
        <v>13.250000000000021</v>
      </c>
      <c r="E158" s="28">
        <f t="shared" si="129"/>
        <v>13</v>
      </c>
      <c r="G158" s="68">
        <f>INDEX(Others!$D$11:$E$60, MATCH(C158, Others!$A$11:$A$60, 0), MATCH(G$3, Others!$D$10:$E$10, 0))</f>
        <v>4.0690909090908889E-2</v>
      </c>
      <c r="H158" s="16">
        <f t="shared" si="171"/>
        <v>3.329265421250005E-3</v>
      </c>
      <c r="I158" s="69">
        <f t="shared" si="172"/>
        <v>0.60137801821661552</v>
      </c>
      <c r="K158" s="80">
        <f>INDEX(Mortality!$B$7:$F$32, MATCH( E158,Mortality!$A$7:$A$32, 0), MATCH( K$3,Mortality!$B$6:$F$6,0))</f>
        <v>0.371</v>
      </c>
      <c r="L158" s="11">
        <f t="shared" si="130"/>
        <v>0</v>
      </c>
      <c r="M158" s="80">
        <f t="shared" si="149"/>
        <v>0.371</v>
      </c>
      <c r="N158" s="76">
        <f>INDEX(Myopia!$H:$H, MATCH(E158, Myopia!$A:$A, 0)) * Trend_Factor^(A158)</f>
        <v>22.773501315763465</v>
      </c>
      <c r="O158" s="11">
        <f t="shared" si="131"/>
        <v>0</v>
      </c>
      <c r="P158" s="80">
        <f t="shared" si="150"/>
        <v>22.773501315763465</v>
      </c>
      <c r="Q158" s="76">
        <f>VLOOKUP(C158,Others!$L$10:$M$61,2)</f>
        <v>0</v>
      </c>
      <c r="R158" s="11">
        <f t="shared" si="132"/>
        <v>0</v>
      </c>
      <c r="S158" s="80">
        <f t="shared" si="151"/>
        <v>0</v>
      </c>
      <c r="T158" s="78">
        <f t="shared" si="152"/>
        <v>3.0916666666666668E-5</v>
      </c>
      <c r="U158" s="81">
        <f t="shared" si="153"/>
        <v>1.8977917763136221E-3</v>
      </c>
      <c r="V158" s="81">
        <f t="shared" si="154"/>
        <v>0</v>
      </c>
      <c r="W158" s="77">
        <f t="shared" si="133"/>
        <v>0.8594069187795742</v>
      </c>
      <c r="X158" s="82">
        <f t="shared" si="155"/>
        <v>2.6544785077806806E-5</v>
      </c>
      <c r="Y158" s="82">
        <f t="shared" si="156"/>
        <v>1.6309501708057764E-3</v>
      </c>
      <c r="Z158" s="82">
        <f t="shared" si="157"/>
        <v>0</v>
      </c>
      <c r="AA158" s="82">
        <f t="shared" si="158"/>
        <v>0.85774942382369057</v>
      </c>
      <c r="AC158" s="46">
        <f t="shared" si="134"/>
        <v>0</v>
      </c>
      <c r="AD158" s="15">
        <f t="shared" si="135"/>
        <v>0</v>
      </c>
      <c r="AE158" s="46">
        <f t="shared" si="159"/>
        <v>0</v>
      </c>
      <c r="AF158" s="15">
        <f t="shared" si="160"/>
        <v>0</v>
      </c>
      <c r="AG158" s="46">
        <f>SUMPRODUCT(AE159:AE$605, $I158:$I$604) / $I158</f>
        <v>0</v>
      </c>
      <c r="AI158" s="46">
        <f t="shared" si="136"/>
        <v>-47000</v>
      </c>
      <c r="AJ158" s="46">
        <f>IF(E158&gt;Mat_Year,0,  -SUM($AD$5:AD158))</f>
        <v>-9306</v>
      </c>
      <c r="AK158" s="24">
        <f t="shared" si="161"/>
        <v>-0.24702576993407013</v>
      </c>
      <c r="AL158" s="79">
        <f t="shared" si="162"/>
        <v>-76.654658027871491</v>
      </c>
      <c r="AM158" s="24">
        <f t="shared" si="163"/>
        <v>-89.482272154629655</v>
      </c>
      <c r="AN158" s="79">
        <f t="shared" si="164"/>
        <v>-76.901683797805561</v>
      </c>
      <c r="AO158" s="15">
        <f t="shared" si="165"/>
        <v>-3538.1816007070051</v>
      </c>
      <c r="AP158" s="46">
        <f>SUMPRODUCT(AN159:AN$605, $I159:$I$605) / $I158</f>
        <v>-3040.737747546189</v>
      </c>
      <c r="AR158" s="46">
        <v>0</v>
      </c>
      <c r="AS158" s="46">
        <v>0</v>
      </c>
      <c r="AT158" s="46">
        <v>0</v>
      </c>
      <c r="AU158" s="95">
        <f t="shared" si="137"/>
        <v>-2.0679110725288474</v>
      </c>
      <c r="AV158" s="47">
        <f t="shared" si="138"/>
        <v>0</v>
      </c>
      <c r="AW158" s="96">
        <f t="shared" si="173"/>
        <v>-2.0679110725288474</v>
      </c>
      <c r="AX158" s="95">
        <f t="shared" si="139"/>
        <v>-23.712046964997448</v>
      </c>
      <c r="AY158" s="11">
        <f t="shared" si="140"/>
        <v>0</v>
      </c>
      <c r="AZ158" s="96">
        <f t="shared" si="174"/>
        <v>-23.712046964997448</v>
      </c>
      <c r="BA158" s="95">
        <f t="shared" si="175"/>
        <v>-1.7771770831521814</v>
      </c>
      <c r="BB158" s="64">
        <f t="shared" si="176"/>
        <v>-3.9302598238157897E-2</v>
      </c>
      <c r="BC158" s="95">
        <f t="shared" si="177"/>
        <v>-2.0679110725288474</v>
      </c>
      <c r="BD158" s="96">
        <f t="shared" si="178"/>
        <v>-4.5732233915420063E-2</v>
      </c>
      <c r="BE158" s="96">
        <f t="shared" si="179"/>
        <v>-1.7771770831521814</v>
      </c>
      <c r="BF158" s="96">
        <f t="shared" si="180"/>
        <v>-3.9302598238157897E-2</v>
      </c>
      <c r="BG158" s="15">
        <f t="shared" si="166"/>
        <v>-164.54815814224486</v>
      </c>
      <c r="BH158" s="46">
        <f>(SUMPRODUCT(BE159:BE$605,$I158:$I$604)+SUMPRODUCT(BF159:BF$605,$I159:$I$605)) / $I158</f>
        <v>-141.41382557988075</v>
      </c>
      <c r="BJ158" s="46">
        <f t="shared" si="181"/>
        <v>-1.7771770831521814</v>
      </c>
      <c r="BK158" s="46">
        <f t="shared" si="182"/>
        <v>-76.940986396043712</v>
      </c>
      <c r="BM158" s="49">
        <f t="shared" si="167"/>
        <v>3709.884827366735</v>
      </c>
      <c r="BN158" s="46">
        <f t="shared" si="183"/>
        <v>3182.1515731260688</v>
      </c>
      <c r="BP158" s="46">
        <f>Reserve!BX158</f>
        <v>4874.3387164441274</v>
      </c>
      <c r="BQ158" s="46">
        <f t="shared" si="141"/>
        <v>4180.9612255514576</v>
      </c>
      <c r="BR158" s="15">
        <f t="shared" si="168"/>
        <v>89.102855943411669</v>
      </c>
      <c r="BT158" s="49">
        <f t="shared" si="169"/>
        <v>16.534961132279278</v>
      </c>
      <c r="BU158" s="46">
        <f t="shared" si="142"/>
        <v>14.210259998832155</v>
      </c>
      <c r="BV158" s="46">
        <f>SUMPRODUCT(BU159:BU$605, $I159:$I$605) / $I158</f>
        <v>403.35282649022952</v>
      </c>
      <c r="BX158" s="46">
        <f>-BZ158*Others!$Q$43</f>
        <v>-6.2963078305402709</v>
      </c>
      <c r="BZ158" s="50">
        <f t="shared" si="127"/>
        <v>24.594952463047932</v>
      </c>
      <c r="CA158" s="46">
        <f t="shared" si="170"/>
        <v>18.29864463250766</v>
      </c>
      <c r="CB158" s="46">
        <f t="shared" si="143"/>
        <v>18.29864463250766</v>
      </c>
      <c r="CD158" s="46">
        <f>SUMPRODUCT(BZ159:BZ$605, $I159:$I$605) / $I158</f>
        <v>998.80965242538957</v>
      </c>
      <c r="CE158" s="46">
        <f>SUMPRODUCT(CA159:CA$605, $I159:$I$605) / $I158</f>
        <v>743.11438140449047</v>
      </c>
      <c r="CF158" s="46">
        <f>SUMPRODUCT(CB159:CB$605, $I159:$I$605) / $I158</f>
        <v>743.11438140449047</v>
      </c>
      <c r="CH158" s="46">
        <f t="shared" si="144"/>
        <v>42125.66128355587</v>
      </c>
      <c r="CI158" s="46">
        <f t="shared" si="145"/>
        <v>4431.6612835558726</v>
      </c>
      <c r="CK158" s="46">
        <f>NPV((1+CK$3)^(1/12)-1,$CB$6:$CB158)+$CB$5</f>
        <v>886.79234103398949</v>
      </c>
      <c r="CL158" s="46">
        <f>NPV((1+CL$3)^(1/12)-1,$CB$6:$CB158)+$CB$5</f>
        <v>666.7989381912098</v>
      </c>
      <c r="CM158" s="46">
        <f>NPV((1+CM$3)^(1/12)-1,$CB$6:$CB158)+$CB$5</f>
        <v>268.97293681333679</v>
      </c>
      <c r="CN158" s="46">
        <f>NPV((1+CN$3)^(1/12)-1,$CB$6:$CB158)+$CB$5</f>
        <v>268.97293681333679</v>
      </c>
    </row>
    <row r="159" spans="1:92" x14ac:dyDescent="0.25">
      <c r="A159" s="61">
        <f t="shared" si="128"/>
        <v>12.833333333333355</v>
      </c>
      <c r="B159" s="32">
        <f t="shared" si="146"/>
        <v>10</v>
      </c>
      <c r="C159" s="62">
        <f t="shared" si="147"/>
        <v>13</v>
      </c>
      <c r="D159" s="64">
        <f t="shared" si="148"/>
        <v>13.333333333333355</v>
      </c>
      <c r="E159" s="28">
        <f t="shared" si="129"/>
        <v>13</v>
      </c>
      <c r="G159" s="68">
        <f>INDEX(Others!$D$11:$E$60, MATCH(C159, Others!$A$11:$A$60, 0), MATCH(G$3, Others!$D$10:$E$10, 0))</f>
        <v>4.0690909090908889E-2</v>
      </c>
      <c r="H159" s="16">
        <f t="shared" si="171"/>
        <v>3.329265421250005E-3</v>
      </c>
      <c r="I159" s="69">
        <f t="shared" si="172"/>
        <v>0.59938251473620241</v>
      </c>
      <c r="K159" s="80">
        <f>INDEX(Mortality!$B$7:$F$32, MATCH( E159,Mortality!$A$7:$A$32, 0), MATCH( K$3,Mortality!$B$6:$F$6,0))</f>
        <v>0.371</v>
      </c>
      <c r="L159" s="11">
        <f t="shared" si="130"/>
        <v>0</v>
      </c>
      <c r="M159" s="80">
        <f t="shared" si="149"/>
        <v>0.371</v>
      </c>
      <c r="N159" s="76">
        <f>INDEX(Myopia!$H:$H, MATCH(E159, Myopia!$A:$A, 0)) * Trend_Factor^(A159)</f>
        <v>22.773501315763465</v>
      </c>
      <c r="O159" s="11">
        <f t="shared" si="131"/>
        <v>0</v>
      </c>
      <c r="P159" s="80">
        <f t="shared" si="150"/>
        <v>22.773501315763465</v>
      </c>
      <c r="Q159" s="76">
        <f>VLOOKUP(C159,Others!$L$10:$M$61,2)</f>
        <v>0</v>
      </c>
      <c r="R159" s="11">
        <f t="shared" si="132"/>
        <v>0</v>
      </c>
      <c r="S159" s="80">
        <f t="shared" si="151"/>
        <v>0</v>
      </c>
      <c r="T159" s="78">
        <f t="shared" si="152"/>
        <v>3.0916666666666668E-5</v>
      </c>
      <c r="U159" s="81">
        <f t="shared" si="153"/>
        <v>1.8977917763136221E-3</v>
      </c>
      <c r="V159" s="81">
        <f t="shared" si="154"/>
        <v>0</v>
      </c>
      <c r="W159" s="77">
        <f t="shared" si="133"/>
        <v>0.85774942382369057</v>
      </c>
      <c r="X159" s="82">
        <f t="shared" si="155"/>
        <v>2.649358948418282E-5</v>
      </c>
      <c r="Y159" s="82">
        <f t="shared" si="156"/>
        <v>1.627804639134648E-3</v>
      </c>
      <c r="Z159" s="82">
        <f t="shared" si="157"/>
        <v>0</v>
      </c>
      <c r="AA159" s="82">
        <f t="shared" si="158"/>
        <v>0.85609512559507173</v>
      </c>
      <c r="AC159" s="46">
        <f t="shared" si="134"/>
        <v>0</v>
      </c>
      <c r="AD159" s="15">
        <f t="shared" si="135"/>
        <v>0</v>
      </c>
      <c r="AE159" s="46">
        <f t="shared" si="159"/>
        <v>0</v>
      </c>
      <c r="AF159" s="15">
        <f t="shared" si="160"/>
        <v>0</v>
      </c>
      <c r="AG159" s="46">
        <f>SUMPRODUCT(AE160:AE$605, $I159:$I$604) / $I159</f>
        <v>0</v>
      </c>
      <c r="AI159" s="46">
        <f t="shared" si="136"/>
        <v>-47000</v>
      </c>
      <c r="AJ159" s="46">
        <f>IF(E159&gt;Mat_Year,0,  -SUM($AD$5:AD159))</f>
        <v>-9306</v>
      </c>
      <c r="AK159" s="24">
        <f t="shared" si="161"/>
        <v>-0.24654934373980533</v>
      </c>
      <c r="AL159" s="79">
        <f t="shared" si="162"/>
        <v>-76.506818039328465</v>
      </c>
      <c r="AM159" s="24">
        <f t="shared" si="163"/>
        <v>-89.482272154629669</v>
      </c>
      <c r="AN159" s="79">
        <f t="shared" si="164"/>
        <v>-76.753367383068266</v>
      </c>
      <c r="AO159" s="15">
        <f t="shared" si="165"/>
        <v>-3467.3387362279832</v>
      </c>
      <c r="AP159" s="46">
        <f>SUMPRODUCT(AN160:AN$605, $I160:$I$605) / $I159</f>
        <v>-2974.107803201116</v>
      </c>
      <c r="AR159" s="46">
        <v>0</v>
      </c>
      <c r="AS159" s="46">
        <v>0</v>
      </c>
      <c r="AT159" s="46">
        <v>0</v>
      </c>
      <c r="AU159" s="95">
        <f t="shared" si="137"/>
        <v>-2.0702232008297812</v>
      </c>
      <c r="AV159" s="47">
        <f t="shared" si="138"/>
        <v>0</v>
      </c>
      <c r="AW159" s="96">
        <f t="shared" si="173"/>
        <v>-2.0702232008297812</v>
      </c>
      <c r="AX159" s="95">
        <f t="shared" si="139"/>
        <v>-23.738559369514817</v>
      </c>
      <c r="AY159" s="11">
        <f t="shared" si="140"/>
        <v>0</v>
      </c>
      <c r="AZ159" s="96">
        <f t="shared" si="174"/>
        <v>-23.738559369514817</v>
      </c>
      <c r="BA159" s="95">
        <f t="shared" si="175"/>
        <v>-1.7757327576981812</v>
      </c>
      <c r="BB159" s="64">
        <f t="shared" si="176"/>
        <v>-3.9270656714951314E-2</v>
      </c>
      <c r="BC159" s="95">
        <f t="shared" si="177"/>
        <v>-2.0702232008297812</v>
      </c>
      <c r="BD159" s="96">
        <f t="shared" si="178"/>
        <v>-4.5783367058283626E-2</v>
      </c>
      <c r="BE159" s="96">
        <f t="shared" si="179"/>
        <v>-1.7757327576981812</v>
      </c>
      <c r="BF159" s="96">
        <f t="shared" si="180"/>
        <v>-3.9270656714951314E-2</v>
      </c>
      <c r="BG159" s="15">
        <f t="shared" si="166"/>
        <v>-163.29211136629075</v>
      </c>
      <c r="BH159" s="46">
        <f>(SUMPRODUCT(BE160:BE$605,$I159:$I$604)+SUMPRODUCT(BF160:BF$605,$I160:$I$605)) / $I159</f>
        <v>-140.0637144393898</v>
      </c>
      <c r="BJ159" s="46">
        <f t="shared" si="181"/>
        <v>-1.7757327576981812</v>
      </c>
      <c r="BK159" s="46">
        <f t="shared" si="182"/>
        <v>-76.792638039783213</v>
      </c>
      <c r="BM159" s="49">
        <f t="shared" si="167"/>
        <v>3637.6465938593492</v>
      </c>
      <c r="BN159" s="46">
        <f t="shared" si="183"/>
        <v>3114.1715176405046</v>
      </c>
      <c r="BP159" s="46">
        <f>Reserve!BX159</f>
        <v>4779.5813723674455</v>
      </c>
      <c r="BQ159" s="46">
        <f t="shared" si="141"/>
        <v>4091.7763152687735</v>
      </c>
      <c r="BR159" s="15">
        <f t="shared" si="168"/>
        <v>89.184910282684086</v>
      </c>
      <c r="BT159" s="49">
        <f t="shared" si="169"/>
        <v>16.221075017600771</v>
      </c>
      <c r="BU159" s="46">
        <f t="shared" si="142"/>
        <v>13.913617750147925</v>
      </c>
      <c r="BV159" s="46">
        <f>SUMPRODUCT(BU160:BU$605, $I160:$I$605) / $I159</f>
        <v>390.78207735787896</v>
      </c>
      <c r="BX159" s="46">
        <f>-BZ159*Others!$Q$43</f>
        <v>-6.2797202522497582</v>
      </c>
      <c r="BZ159" s="50">
        <f t="shared" si="127"/>
        <v>24.530157235350618</v>
      </c>
      <c r="CA159" s="46">
        <f t="shared" si="170"/>
        <v>18.250436983100862</v>
      </c>
      <c r="CB159" s="46">
        <f t="shared" si="143"/>
        <v>18.250436983100862</v>
      </c>
      <c r="CD159" s="46">
        <f>SUMPRODUCT(BZ160:BZ$605, $I160:$I$605) / $I159</f>
        <v>977.60479762826947</v>
      </c>
      <c r="CE159" s="46">
        <f>SUMPRODUCT(CA160:CA$605, $I160:$I$605) / $I159</f>
        <v>727.33796943543314</v>
      </c>
      <c r="CF159" s="46">
        <f>SUMPRODUCT(CB160:CB$605, $I160:$I$605) / $I159</f>
        <v>727.33796943543314</v>
      </c>
      <c r="CH159" s="46">
        <f t="shared" si="144"/>
        <v>42220.418627632556</v>
      </c>
      <c r="CI159" s="46">
        <f t="shared" si="145"/>
        <v>4526.4186276325545</v>
      </c>
      <c r="CK159" s="46">
        <f>NPV((1+CK$3)^(1/12)-1,$CB$6:$CB159)+$CB$5</f>
        <v>899.28137606618998</v>
      </c>
      <c r="CL159" s="46">
        <f>NPV((1+CL$3)^(1/12)-1,$CB$6:$CB159)+$CB$5</f>
        <v>676.55655883148347</v>
      </c>
      <c r="CM159" s="46">
        <f>NPV((1+CM$3)^(1/12)-1,$CB$6:$CB159)+$CB$5</f>
        <v>274.34408508511012</v>
      </c>
      <c r="CN159" s="46">
        <f>NPV((1+CN$3)^(1/12)-1,$CB$6:$CB159)+$CB$5</f>
        <v>274.34408508511012</v>
      </c>
    </row>
    <row r="160" spans="1:92" x14ac:dyDescent="0.25">
      <c r="A160" s="61">
        <f t="shared" si="128"/>
        <v>12.916666666666689</v>
      </c>
      <c r="B160" s="32">
        <f t="shared" si="146"/>
        <v>11</v>
      </c>
      <c r="C160" s="62">
        <f t="shared" si="147"/>
        <v>13</v>
      </c>
      <c r="D160" s="64">
        <f t="shared" si="148"/>
        <v>13.416666666666689</v>
      </c>
      <c r="E160" s="28">
        <f t="shared" si="129"/>
        <v>13</v>
      </c>
      <c r="G160" s="68">
        <f>INDEX(Others!$D$11:$E$60, MATCH(C160, Others!$A$11:$A$60, 0), MATCH(G$3, Others!$D$10:$E$10, 0))</f>
        <v>4.0690909090908889E-2</v>
      </c>
      <c r="H160" s="16">
        <f t="shared" si="171"/>
        <v>3.329265421250005E-3</v>
      </c>
      <c r="I160" s="69">
        <f t="shared" si="172"/>
        <v>0.59739363277174051</v>
      </c>
      <c r="K160" s="80">
        <f>INDEX(Mortality!$B$7:$F$32, MATCH( E160,Mortality!$A$7:$A$32, 0), MATCH( K$3,Mortality!$B$6:$F$6,0))</f>
        <v>0.371</v>
      </c>
      <c r="L160" s="11">
        <f t="shared" si="130"/>
        <v>0</v>
      </c>
      <c r="M160" s="80">
        <f t="shared" si="149"/>
        <v>0.371</v>
      </c>
      <c r="N160" s="76">
        <f>INDEX(Myopia!$H:$H, MATCH(E160, Myopia!$A:$A, 0)) * Trend_Factor^(A160)</f>
        <v>22.773501315763465</v>
      </c>
      <c r="O160" s="11">
        <f t="shared" si="131"/>
        <v>0</v>
      </c>
      <c r="P160" s="80">
        <f t="shared" si="150"/>
        <v>22.773501315763465</v>
      </c>
      <c r="Q160" s="76">
        <f>VLOOKUP(C160,Others!$L$10:$M$61,2)</f>
        <v>0</v>
      </c>
      <c r="R160" s="11">
        <f t="shared" si="132"/>
        <v>0</v>
      </c>
      <c r="S160" s="80">
        <f t="shared" si="151"/>
        <v>0</v>
      </c>
      <c r="T160" s="78">
        <f t="shared" si="152"/>
        <v>3.0916666666666668E-5</v>
      </c>
      <c r="U160" s="81">
        <f t="shared" si="153"/>
        <v>1.8977917763136221E-3</v>
      </c>
      <c r="V160" s="81">
        <f t="shared" si="154"/>
        <v>0</v>
      </c>
      <c r="W160" s="77">
        <f t="shared" si="133"/>
        <v>0.85609512559507173</v>
      </c>
      <c r="X160" s="82">
        <f t="shared" si="155"/>
        <v>2.6442492628928683E-5</v>
      </c>
      <c r="Y160" s="82">
        <f t="shared" si="156"/>
        <v>1.6246651740924522E-3</v>
      </c>
      <c r="Z160" s="82">
        <f t="shared" si="157"/>
        <v>0</v>
      </c>
      <c r="AA160" s="82">
        <f t="shared" si="158"/>
        <v>0.85444401792835034</v>
      </c>
      <c r="AC160" s="46">
        <f t="shared" si="134"/>
        <v>0</v>
      </c>
      <c r="AD160" s="15">
        <f t="shared" si="135"/>
        <v>0</v>
      </c>
      <c r="AE160" s="46">
        <f t="shared" si="159"/>
        <v>0</v>
      </c>
      <c r="AF160" s="15">
        <f t="shared" si="160"/>
        <v>0</v>
      </c>
      <c r="AG160" s="46">
        <f>SUMPRODUCT(AE161:AE$605, $I160:$I$604) / $I160</f>
        <v>0</v>
      </c>
      <c r="AI160" s="46">
        <f t="shared" si="136"/>
        <v>-47000</v>
      </c>
      <c r="AJ160" s="46">
        <f>IF(E160&gt;Mat_Year,0,  -SUM($AD$5:AD160))</f>
        <v>-9306</v>
      </c>
      <c r="AK160" s="24">
        <f t="shared" si="161"/>
        <v>-0.24607383640481031</v>
      </c>
      <c r="AL160" s="79">
        <f t="shared" si="162"/>
        <v>-76.359263182345259</v>
      </c>
      <c r="AM160" s="24">
        <f t="shared" si="163"/>
        <v>-89.482272154629655</v>
      </c>
      <c r="AN160" s="79">
        <f t="shared" si="164"/>
        <v>-76.605337018750063</v>
      </c>
      <c r="AO160" s="15">
        <f t="shared" si="165"/>
        <v>-3396.1226661928445</v>
      </c>
      <c r="AP160" s="46">
        <f>SUMPRODUCT(AN161:AN$605, $I161:$I$605) / $I160</f>
        <v>-2907.4040604506331</v>
      </c>
      <c r="AR160" s="46">
        <v>0</v>
      </c>
      <c r="AS160" s="46">
        <v>0</v>
      </c>
      <c r="AT160" s="46">
        <v>0</v>
      </c>
      <c r="AU160" s="95">
        <f t="shared" si="137"/>
        <v>-2.0725379143179361</v>
      </c>
      <c r="AV160" s="47">
        <f t="shared" si="138"/>
        <v>0</v>
      </c>
      <c r="AW160" s="96">
        <f t="shared" si="173"/>
        <v>-2.0725379143179361</v>
      </c>
      <c r="AX160" s="95">
        <f t="shared" si="139"/>
        <v>-23.765101417512334</v>
      </c>
      <c r="AY160" s="11">
        <f t="shared" si="140"/>
        <v>0</v>
      </c>
      <c r="AZ160" s="96">
        <f t="shared" si="174"/>
        <v>-23.765101417512334</v>
      </c>
      <c r="BA160" s="95">
        <f t="shared" si="175"/>
        <v>-1.7742896060585616</v>
      </c>
      <c r="BB160" s="64">
        <f t="shared" si="176"/>
        <v>-3.9238741150865772E-2</v>
      </c>
      <c r="BC160" s="95">
        <f t="shared" si="177"/>
        <v>-2.0725379143179361</v>
      </c>
      <c r="BD160" s="96">
        <f t="shared" si="178"/>
        <v>-4.5834557373038334E-2</v>
      </c>
      <c r="BE160" s="96">
        <f t="shared" si="179"/>
        <v>-1.7742896060585616</v>
      </c>
      <c r="BF160" s="96">
        <f t="shared" si="180"/>
        <v>-3.9238741150865772E-2</v>
      </c>
      <c r="BG160" s="15">
        <f t="shared" si="166"/>
        <v>-162.02707403103693</v>
      </c>
      <c r="BH160" s="46">
        <f>(SUMPRODUCT(BE161:BE$605,$I160:$I$604)+SUMPRODUCT(BF161:BF$605,$I161:$I$605)) / $I160</f>
        <v>-138.71058829240255</v>
      </c>
      <c r="BJ160" s="46">
        <f t="shared" si="181"/>
        <v>-1.7742896060585616</v>
      </c>
      <c r="BK160" s="46">
        <f t="shared" si="182"/>
        <v>-76.644575759900931</v>
      </c>
      <c r="BM160" s="49">
        <f t="shared" si="167"/>
        <v>3565.0254256896992</v>
      </c>
      <c r="BN160" s="46">
        <f t="shared" si="183"/>
        <v>3046.1146487430342</v>
      </c>
      <c r="BP160" s="46">
        <f>Reserve!BX160</f>
        <v>4684.3428493576639</v>
      </c>
      <c r="BQ160" s="46">
        <f t="shared" si="141"/>
        <v>4002.5087255590993</v>
      </c>
      <c r="BR160" s="15">
        <f t="shared" si="168"/>
        <v>89.267589709674212</v>
      </c>
      <c r="BT160" s="49">
        <f t="shared" si="169"/>
        <v>15.905594962261214</v>
      </c>
      <c r="BU160" s="46">
        <f t="shared" si="142"/>
        <v>13.616702316881353</v>
      </c>
      <c r="BV160" s="46">
        <f>SUMPRODUCT(BU161:BU$605, $I161:$I$605) / $I160</f>
        <v>378.46639229838939</v>
      </c>
      <c r="BX160" s="46">
        <f>-BZ160*Others!$Q$43</f>
        <v>-6.2631492251125946</v>
      </c>
      <c r="BZ160" s="50">
        <f t="shared" si="127"/>
        <v>24.465426660596073</v>
      </c>
      <c r="CA160" s="46">
        <f t="shared" si="170"/>
        <v>18.202277435483477</v>
      </c>
      <c r="CB160" s="46">
        <f t="shared" si="143"/>
        <v>18.202277435483477</v>
      </c>
      <c r="CD160" s="46">
        <f>SUMPRODUCT(BZ161:BZ$605, $I161:$I$605) / $I160</f>
        <v>956.39407681606531</v>
      </c>
      <c r="CE160" s="46">
        <f>SUMPRODUCT(CA161:CA$605, $I161:$I$605) / $I160</f>
        <v>711.55719315115334</v>
      </c>
      <c r="CF160" s="46">
        <f>SUMPRODUCT(CB161:CB$605, $I161:$I$605) / $I160</f>
        <v>711.55719315115334</v>
      </c>
      <c r="CH160" s="46">
        <f t="shared" si="144"/>
        <v>42315.657150642335</v>
      </c>
      <c r="CI160" s="46">
        <f t="shared" si="145"/>
        <v>4621.6571506423361</v>
      </c>
      <c r="CK160" s="46">
        <f>NPV((1+CK$3)^(1/12)-1,$CB$6:$CB160)+$CB$5</f>
        <v>911.70681035821076</v>
      </c>
      <c r="CL160" s="46">
        <f>NPV((1+CL$3)^(1/12)-1,$CB$6:$CB160)+$CB$5</f>
        <v>686.24894293236775</v>
      </c>
      <c r="CM160" s="46">
        <f>NPV((1+CM$3)^(1/12)-1,$CB$6:$CB160)+$CB$5</f>
        <v>279.65868055356179</v>
      </c>
      <c r="CN160" s="46">
        <f>NPV((1+CN$3)^(1/12)-1,$CB$6:$CB160)+$CB$5</f>
        <v>279.65868055356179</v>
      </c>
    </row>
    <row r="161" spans="1:92" x14ac:dyDescent="0.25">
      <c r="A161" s="61">
        <f t="shared" si="128"/>
        <v>13.000000000000023</v>
      </c>
      <c r="B161" s="32">
        <f t="shared" si="146"/>
        <v>12</v>
      </c>
      <c r="C161" s="62">
        <f t="shared" si="147"/>
        <v>13</v>
      </c>
      <c r="D161" s="64">
        <f t="shared" si="148"/>
        <v>13.500000000000023</v>
      </c>
      <c r="E161" s="28">
        <f t="shared" si="129"/>
        <v>13</v>
      </c>
      <c r="G161" s="68">
        <f>INDEX(Others!$D$11:$E$60, MATCH(C161, Others!$A$11:$A$60, 0), MATCH(G$3, Others!$D$10:$E$10, 0))</f>
        <v>4.0690909090908889E-2</v>
      </c>
      <c r="H161" s="16">
        <f t="shared" si="171"/>
        <v>3.329265421250005E-3</v>
      </c>
      <c r="I161" s="69">
        <f t="shared" si="172"/>
        <v>0.5954113503515952</v>
      </c>
      <c r="K161" s="80">
        <f>INDEX(Mortality!$B$7:$F$32, MATCH( E161,Mortality!$A$7:$A$32, 0), MATCH( K$3,Mortality!$B$6:$F$6,0))</f>
        <v>0.371</v>
      </c>
      <c r="L161" s="11">
        <f t="shared" si="130"/>
        <v>0</v>
      </c>
      <c r="M161" s="80">
        <f t="shared" si="149"/>
        <v>0.371</v>
      </c>
      <c r="N161" s="76">
        <f>INDEX(Myopia!$H:$H, MATCH(E161, Myopia!$A:$A, 0)) * Trend_Factor^(A161)</f>
        <v>22.773501315763465</v>
      </c>
      <c r="O161" s="11">
        <f t="shared" si="131"/>
        <v>0</v>
      </c>
      <c r="P161" s="80">
        <f t="shared" si="150"/>
        <v>22.773501315763465</v>
      </c>
      <c r="Q161" s="76">
        <f>VLOOKUP(C161,Others!$L$10:$M$61,2)</f>
        <v>0</v>
      </c>
      <c r="R161" s="11">
        <f t="shared" si="132"/>
        <v>0</v>
      </c>
      <c r="S161" s="80">
        <f t="shared" si="151"/>
        <v>0</v>
      </c>
      <c r="T161" s="78">
        <f t="shared" si="152"/>
        <v>3.0916666666666668E-5</v>
      </c>
      <c r="U161" s="81">
        <f t="shared" si="153"/>
        <v>1.8977917763136221E-3</v>
      </c>
      <c r="V161" s="81">
        <f t="shared" si="154"/>
        <v>0</v>
      </c>
      <c r="W161" s="77">
        <f t="shared" si="133"/>
        <v>0.85444401792835034</v>
      </c>
      <c r="X161" s="82">
        <f t="shared" si="155"/>
        <v>2.639149432161266E-5</v>
      </c>
      <c r="Y161" s="82">
        <f t="shared" si="156"/>
        <v>1.6215317639787868E-3</v>
      </c>
      <c r="Z161" s="82">
        <f t="shared" si="157"/>
        <v>0</v>
      </c>
      <c r="AA161" s="82">
        <f t="shared" si="158"/>
        <v>0.85279609467004991</v>
      </c>
      <c r="AC161" s="46">
        <f t="shared" si="134"/>
        <v>0</v>
      </c>
      <c r="AD161" s="15">
        <f t="shared" si="135"/>
        <v>0</v>
      </c>
      <c r="AE161" s="46">
        <f t="shared" si="159"/>
        <v>0</v>
      </c>
      <c r="AF161" s="15">
        <f t="shared" si="160"/>
        <v>0</v>
      </c>
      <c r="AG161" s="46">
        <f>SUMPRODUCT(AE162:AE$605, $I161:$I$604) / $I161</f>
        <v>0</v>
      </c>
      <c r="AI161" s="46">
        <f t="shared" si="136"/>
        <v>-47000</v>
      </c>
      <c r="AJ161" s="46">
        <f>IF(E161&gt;Mat_Year,0,  -SUM($AD$5:AD161))</f>
        <v>-9306</v>
      </c>
      <c r="AK161" s="24">
        <f t="shared" si="161"/>
        <v>-0.24559924615692741</v>
      </c>
      <c r="AL161" s="79">
        <f t="shared" si="162"/>
        <v>-76.21199290700298</v>
      </c>
      <c r="AM161" s="24">
        <f t="shared" si="163"/>
        <v>-89.482272154629655</v>
      </c>
      <c r="AN161" s="79">
        <f t="shared" si="164"/>
        <v>-76.457592153159908</v>
      </c>
      <c r="AO161" s="15">
        <f t="shared" si="165"/>
        <v>-3324.5314245265567</v>
      </c>
      <c r="AP161" s="46">
        <f>SUMPRODUCT(AN162:AN$605, $I162:$I$605) / $I161</f>
        <v>-2840.6259881015335</v>
      </c>
      <c r="AR161" s="46">
        <v>0</v>
      </c>
      <c r="AS161" s="46">
        <v>0</v>
      </c>
      <c r="AT161" s="46">
        <v>0</v>
      </c>
      <c r="AU161" s="95">
        <f t="shared" si="137"/>
        <v>-2.0748552158838072</v>
      </c>
      <c r="AV161" s="47">
        <f t="shared" si="138"/>
        <v>0</v>
      </c>
      <c r="AW161" s="96">
        <f t="shared" si="173"/>
        <v>-2.0748552158838072</v>
      </c>
      <c r="AX161" s="95">
        <f t="shared" si="139"/>
        <v>-23.791673142134318</v>
      </c>
      <c r="AY161" s="11">
        <f t="shared" si="140"/>
        <v>0</v>
      </c>
      <c r="AZ161" s="96">
        <f t="shared" si="174"/>
        <v>-23.791673142134318</v>
      </c>
      <c r="BA161" s="95">
        <f t="shared" si="175"/>
        <v>-1.772847627279355</v>
      </c>
      <c r="BB161" s="64">
        <f t="shared" si="176"/>
        <v>-3.920685152480409E-2</v>
      </c>
      <c r="BC161" s="95">
        <f t="shared" si="177"/>
        <v>-2.0748552158838072</v>
      </c>
      <c r="BD161" s="96">
        <f t="shared" si="178"/>
        <v>-4.5885804923607991E-2</v>
      </c>
      <c r="BE161" s="96">
        <f t="shared" si="179"/>
        <v>-1.772847627279355</v>
      </c>
      <c r="BF161" s="96">
        <f t="shared" si="180"/>
        <v>-3.920685152480409E-2</v>
      </c>
      <c r="BG161" s="15">
        <f t="shared" si="166"/>
        <v>-160.75299611960858</v>
      </c>
      <c r="BH161" s="46">
        <f>(SUMPRODUCT(BE162:BE$605,$I161:$I$604)+SUMPRODUCT(BF162:BF$605,$I162:$I$605)) / $I161</f>
        <v>-137.35443589845886</v>
      </c>
      <c r="BJ161" s="46">
        <f t="shared" si="181"/>
        <v>-1.772847627279355</v>
      </c>
      <c r="BK161" s="46">
        <f t="shared" si="182"/>
        <v>-76.496799004684718</v>
      </c>
      <c r="BM161" s="49">
        <f t="shared" si="167"/>
        <v>3492.0193028700287</v>
      </c>
      <c r="BN161" s="46">
        <f t="shared" si="183"/>
        <v>2977.9804239999908</v>
      </c>
      <c r="BP161" s="46">
        <f>Reserve!BX161</f>
        <v>4588.6207202175392</v>
      </c>
      <c r="BQ161" s="46">
        <f t="shared" si="141"/>
        <v>3913.1578301235891</v>
      </c>
      <c r="BR161" s="15">
        <f t="shared" si="168"/>
        <v>89.350895435510211</v>
      </c>
      <c r="BT161" s="49">
        <f t="shared" si="169"/>
        <v>15.588512925921849</v>
      </c>
      <c r="BU161" s="46">
        <f t="shared" si="142"/>
        <v>13.31951161795269</v>
      </c>
      <c r="BV161" s="46">
        <f>SUMPRODUCT(BU162:BU$605, $I162:$I$605) / $I161</f>
        <v>366.406895753421</v>
      </c>
      <c r="BX161" s="46">
        <f>-BZ161*Others!$Q$43</f>
        <v>-6.2465946679036986</v>
      </c>
      <c r="BZ161" s="50">
        <f t="shared" si="127"/>
        <v>24.400760421498823</v>
      </c>
      <c r="CA161" s="46">
        <f t="shared" si="170"/>
        <v>18.154165753595123</v>
      </c>
      <c r="CB161" s="46">
        <f t="shared" si="143"/>
        <v>18.154165753595123</v>
      </c>
      <c r="CD161" s="46">
        <f>SUMPRODUCT(BZ162:BZ$605, $I162:$I$605) / $I161</f>
        <v>935.17740612359819</v>
      </c>
      <c r="CE161" s="46">
        <f>SUMPRODUCT(CA162:CA$605, $I162:$I$605) / $I161</f>
        <v>695.77199015595806</v>
      </c>
      <c r="CF161" s="46">
        <f>SUMPRODUCT(CB162:CB$605, $I162:$I$605) / $I161</f>
        <v>695.77199015595806</v>
      </c>
      <c r="CH161" s="46">
        <f t="shared" si="144"/>
        <v>42411.379279782457</v>
      </c>
      <c r="CI161" s="46">
        <f t="shared" si="145"/>
        <v>4717.3792797824608</v>
      </c>
      <c r="CK161" s="46">
        <f>NPV((1+CK$3)^(1/12)-1,$CB$6:$CB161)+$CB$5</f>
        <v>924.06891385457925</v>
      </c>
      <c r="CL161" s="46">
        <f>NPV((1+CL$3)^(1/12)-1,$CB$6:$CB161)+$CB$5</f>
        <v>695.8764846346528</v>
      </c>
      <c r="CM161" s="46">
        <f>NPV((1+CM$3)^(1/12)-1,$CB$6:$CB161)+$CB$5</f>
        <v>284.91729571621397</v>
      </c>
      <c r="CN161" s="46">
        <f>NPV((1+CN$3)^(1/12)-1,$CB$6:$CB161)+$CB$5</f>
        <v>284.91729571621397</v>
      </c>
    </row>
    <row r="162" spans="1:92" x14ac:dyDescent="0.25">
      <c r="A162" s="61">
        <f t="shared" si="128"/>
        <v>13.083333333333357</v>
      </c>
      <c r="B162" s="32">
        <f t="shared" si="146"/>
        <v>1</v>
      </c>
      <c r="C162" s="62">
        <f t="shared" si="147"/>
        <v>14</v>
      </c>
      <c r="D162" s="64">
        <f t="shared" si="148"/>
        <v>13.583333333333357</v>
      </c>
      <c r="E162" s="28">
        <f t="shared" si="129"/>
        <v>13</v>
      </c>
      <c r="G162" s="68">
        <f>INDEX(Others!$D$11:$E$60, MATCH(C162, Others!$A$11:$A$60, 0), MATCH(G$3, Others!$D$10:$E$10, 0))</f>
        <v>4.0690909090909333E-2</v>
      </c>
      <c r="H162" s="16">
        <f t="shared" si="171"/>
        <v>3.329265421250005E-3</v>
      </c>
      <c r="I162" s="69">
        <f t="shared" si="172"/>
        <v>0.59343564557703843</v>
      </c>
      <c r="K162" s="80">
        <f>INDEX(Mortality!$B$7:$F$32, MATCH( E162,Mortality!$A$7:$A$32, 0), MATCH( K$3,Mortality!$B$6:$F$6,0))</f>
        <v>0.371</v>
      </c>
      <c r="L162" s="11">
        <f t="shared" si="130"/>
        <v>0</v>
      </c>
      <c r="M162" s="80">
        <f t="shared" si="149"/>
        <v>0.371</v>
      </c>
      <c r="N162" s="76">
        <f>INDEX(Myopia!$H:$H, MATCH(E162, Myopia!$A:$A, 0)) * Trend_Factor^(A162)</f>
        <v>22.773501315763465</v>
      </c>
      <c r="O162" s="11">
        <f t="shared" si="131"/>
        <v>0</v>
      </c>
      <c r="P162" s="80">
        <f t="shared" si="150"/>
        <v>22.773501315763465</v>
      </c>
      <c r="Q162" s="76">
        <f>VLOOKUP(C162,Others!$L$10:$M$61,2)</f>
        <v>0</v>
      </c>
      <c r="R162" s="11">
        <f t="shared" si="132"/>
        <v>0</v>
      </c>
      <c r="S162" s="80">
        <f t="shared" si="151"/>
        <v>0</v>
      </c>
      <c r="T162" s="78">
        <f t="shared" si="152"/>
        <v>3.0916666666666668E-5</v>
      </c>
      <c r="U162" s="81">
        <f t="shared" si="153"/>
        <v>1.8977917763136221E-3</v>
      </c>
      <c r="V162" s="81">
        <f t="shared" si="154"/>
        <v>0</v>
      </c>
      <c r="W162" s="77">
        <f t="shared" si="133"/>
        <v>0.85279609467004991</v>
      </c>
      <c r="X162" s="82">
        <f t="shared" si="155"/>
        <v>2.6340594372170289E-5</v>
      </c>
      <c r="Y162" s="82">
        <f t="shared" si="156"/>
        <v>1.618404397115815E-3</v>
      </c>
      <c r="Z162" s="82">
        <f t="shared" si="157"/>
        <v>0</v>
      </c>
      <c r="AA162" s="82">
        <f t="shared" si="158"/>
        <v>0.85115134967856187</v>
      </c>
      <c r="AC162" s="46">
        <f t="shared" si="134"/>
        <v>0</v>
      </c>
      <c r="AD162" s="15">
        <f t="shared" si="135"/>
        <v>0</v>
      </c>
      <c r="AE162" s="46">
        <f t="shared" si="159"/>
        <v>0</v>
      </c>
      <c r="AF162" s="15">
        <f t="shared" si="160"/>
        <v>0</v>
      </c>
      <c r="AG162" s="46">
        <f>SUMPRODUCT(AE163:AE$605, $I162:$I$604) / $I162</f>
        <v>0</v>
      </c>
      <c r="AI162" s="46">
        <f t="shared" si="136"/>
        <v>-47000</v>
      </c>
      <c r="AJ162" s="46">
        <f>IF(E162&gt;Mat_Year,0,  -SUM($AD$5:AD162))</f>
        <v>-9306</v>
      </c>
      <c r="AK162" s="24">
        <f t="shared" si="161"/>
        <v>-0.24512557122741671</v>
      </c>
      <c r="AL162" s="79">
        <f t="shared" si="162"/>
        <v>-76.065006664443302</v>
      </c>
      <c r="AM162" s="24">
        <f t="shared" si="163"/>
        <v>-89.482272154629655</v>
      </c>
      <c r="AN162" s="79">
        <f t="shared" si="164"/>
        <v>-76.310132235670721</v>
      </c>
      <c r="AO162" s="15">
        <f t="shared" si="165"/>
        <v>-3252.5630347966544</v>
      </c>
      <c r="AP162" s="46">
        <f>SUMPRODUCT(AN163:AN$605, $I163:$I$605) / $I162</f>
        <v>-2773.7730537427524</v>
      </c>
      <c r="AR162" s="46">
        <v>0</v>
      </c>
      <c r="AS162" s="46">
        <v>0</v>
      </c>
      <c r="AT162" s="46">
        <v>0</v>
      </c>
      <c r="AU162" s="95">
        <f t="shared" si="137"/>
        <v>-2.0771751084211196</v>
      </c>
      <c r="AV162" s="47">
        <f t="shared" si="138"/>
        <v>0</v>
      </c>
      <c r="AW162" s="96">
        <f t="shared" si="173"/>
        <v>-2.0771751084211196</v>
      </c>
      <c r="AX162" s="95">
        <f t="shared" si="139"/>
        <v>-23.818274576562168</v>
      </c>
      <c r="AY162" s="11">
        <f t="shared" si="140"/>
        <v>0</v>
      </c>
      <c r="AZ162" s="96">
        <f t="shared" si="174"/>
        <v>-23.818274576562168</v>
      </c>
      <c r="BA162" s="95">
        <f t="shared" si="175"/>
        <v>-1.7714068204073683</v>
      </c>
      <c r="BB162" s="64">
        <f t="shared" si="176"/>
        <v>-3.9174987815686242E-2</v>
      </c>
      <c r="BC162" s="95">
        <f t="shared" si="177"/>
        <v>-2.0771751084211196</v>
      </c>
      <c r="BD162" s="96">
        <f t="shared" si="178"/>
        <v>-4.5937109773987878E-2</v>
      </c>
      <c r="BE162" s="96">
        <f t="shared" si="179"/>
        <v>-1.7714068204073683</v>
      </c>
      <c r="BF162" s="96">
        <f t="shared" si="180"/>
        <v>-3.9174987815686242E-2</v>
      </c>
      <c r="BG162" s="15">
        <f t="shared" si="166"/>
        <v>-159.46982734867095</v>
      </c>
      <c r="BH162" s="46">
        <f>(SUMPRODUCT(BE163:BE$605,$I162:$I$604)+SUMPRODUCT(BF163:BF$605,$I163:$I$605)) / $I162</f>
        <v>-135.99524598065369</v>
      </c>
      <c r="BJ162" s="46">
        <f t="shared" si="181"/>
        <v>-1.7714068204073683</v>
      </c>
      <c r="BK162" s="46">
        <f t="shared" si="182"/>
        <v>-76.349307223486406</v>
      </c>
      <c r="BM162" s="49">
        <f t="shared" si="167"/>
        <v>3418.6261947681601</v>
      </c>
      <c r="BN162" s="46">
        <f t="shared" si="183"/>
        <v>2909.7682997234056</v>
      </c>
      <c r="BP162" s="46">
        <f>Reserve!BX162</f>
        <v>4492.4125455375042</v>
      </c>
      <c r="BQ162" s="46">
        <f t="shared" si="141"/>
        <v>3823.7230014471506</v>
      </c>
      <c r="BR162" s="15">
        <f t="shared" si="168"/>
        <v>89.434828676438428</v>
      </c>
      <c r="BT162" s="49">
        <f t="shared" si="169"/>
        <v>15.2698208277892</v>
      </c>
      <c r="BU162" s="46">
        <f t="shared" si="142"/>
        <v>13.022043568250018</v>
      </c>
      <c r="BV162" s="46">
        <f>SUMPRODUCT(BU163:BU$605, $I163:$I$605) / $I162</f>
        <v>354.60471799331032</v>
      </c>
      <c r="BX162" s="46">
        <f>-BZ162*Others!$Q$43</f>
        <v>-6.230056499403438</v>
      </c>
      <c r="BZ162" s="50">
        <f t="shared" si="127"/>
        <v>24.336158200794678</v>
      </c>
      <c r="CA162" s="46">
        <f t="shared" si="170"/>
        <v>18.106101701391239</v>
      </c>
      <c r="CB162" s="46">
        <f t="shared" si="143"/>
        <v>18.106101701391239</v>
      </c>
      <c r="CD162" s="46">
        <f>SUMPRODUCT(BZ163:BZ$605, $I163:$I$605) / $I162</f>
        <v>913.95470172374542</v>
      </c>
      <c r="CE162" s="46">
        <f>SUMPRODUCT(CA163:CA$605, $I163:$I$605) / $I162</f>
        <v>679.98229808246731</v>
      </c>
      <c r="CF162" s="46">
        <f>SUMPRODUCT(CB163:CB$605, $I163:$I$605) / $I162</f>
        <v>679.98229808246731</v>
      </c>
      <c r="CH162" s="46">
        <f t="shared" si="144"/>
        <v>42507.587454462497</v>
      </c>
      <c r="CI162" s="46">
        <f t="shared" si="145"/>
        <v>4813.5874544624958</v>
      </c>
      <c r="CK162" s="46">
        <f>NPV((1+CK$3)^(1/12)-1,$CB$6:$CB162)+$CB$5</f>
        <v>936.36795531600956</v>
      </c>
      <c r="CL162" s="46">
        <f>NPV((1+CL$3)^(1/12)-1,$CB$6:$CB162)+$CB$5</f>
        <v>705.43957572699105</v>
      </c>
      <c r="CM162" s="46">
        <f>NPV((1+CM$3)^(1/12)-1,$CB$6:$CB162)+$CB$5</f>
        <v>290.12049737429538</v>
      </c>
      <c r="CN162" s="46">
        <f>NPV((1+CN$3)^(1/12)-1,$CB$6:$CB162)+$CB$5</f>
        <v>290.12049737429538</v>
      </c>
    </row>
    <row r="163" spans="1:92" x14ac:dyDescent="0.25">
      <c r="A163" s="61">
        <f t="shared" si="128"/>
        <v>13.166666666666691</v>
      </c>
      <c r="B163" s="32">
        <f t="shared" si="146"/>
        <v>2</v>
      </c>
      <c r="C163" s="62">
        <f t="shared" si="147"/>
        <v>14</v>
      </c>
      <c r="D163" s="64">
        <f t="shared" si="148"/>
        <v>13.666666666666691</v>
      </c>
      <c r="E163" s="28">
        <f t="shared" si="129"/>
        <v>13</v>
      </c>
      <c r="G163" s="68">
        <f>INDEX(Others!$D$11:$E$60, MATCH(C163, Others!$A$11:$A$60, 0), MATCH(G$3, Others!$D$10:$E$10, 0))</f>
        <v>4.0690909090909333E-2</v>
      </c>
      <c r="H163" s="16">
        <f t="shared" si="171"/>
        <v>3.329265421250005E-3</v>
      </c>
      <c r="I163" s="69">
        <f t="shared" si="172"/>
        <v>0.5914664966220069</v>
      </c>
      <c r="K163" s="80">
        <f>INDEX(Mortality!$B$7:$F$32, MATCH( E163,Mortality!$A$7:$A$32, 0), MATCH( K$3,Mortality!$B$6:$F$6,0))</f>
        <v>0.371</v>
      </c>
      <c r="L163" s="11">
        <f t="shared" si="130"/>
        <v>0</v>
      </c>
      <c r="M163" s="80">
        <f t="shared" si="149"/>
        <v>0.371</v>
      </c>
      <c r="N163" s="76">
        <f>INDEX(Myopia!$H:$H, MATCH(E163, Myopia!$A:$A, 0)) * Trend_Factor^(A163)</f>
        <v>22.773501315763465</v>
      </c>
      <c r="O163" s="11">
        <f t="shared" si="131"/>
        <v>0</v>
      </c>
      <c r="P163" s="80">
        <f t="shared" si="150"/>
        <v>22.773501315763465</v>
      </c>
      <c r="Q163" s="76">
        <f>VLOOKUP(C163,Others!$L$10:$M$61,2)</f>
        <v>0</v>
      </c>
      <c r="R163" s="11">
        <f t="shared" si="132"/>
        <v>0</v>
      </c>
      <c r="S163" s="80">
        <f t="shared" si="151"/>
        <v>0</v>
      </c>
      <c r="T163" s="78">
        <f t="shared" si="152"/>
        <v>3.0916666666666668E-5</v>
      </c>
      <c r="U163" s="81">
        <f t="shared" si="153"/>
        <v>1.8977917763136221E-3</v>
      </c>
      <c r="V163" s="81">
        <f t="shared" si="154"/>
        <v>0</v>
      </c>
      <c r="W163" s="77">
        <f t="shared" si="133"/>
        <v>0.85115134967856187</v>
      </c>
      <c r="X163" s="82">
        <f t="shared" si="155"/>
        <v>2.6289792590903681E-5</v>
      </c>
      <c r="Y163" s="82">
        <f t="shared" si="156"/>
        <v>1.6152830618482229E-3</v>
      </c>
      <c r="Z163" s="82">
        <f t="shared" si="157"/>
        <v>0</v>
      </c>
      <c r="AA163" s="82">
        <f t="shared" si="158"/>
        <v>0.84950977682412276</v>
      </c>
      <c r="AC163" s="46">
        <f t="shared" si="134"/>
        <v>0</v>
      </c>
      <c r="AD163" s="15">
        <f t="shared" si="135"/>
        <v>0</v>
      </c>
      <c r="AE163" s="46">
        <f t="shared" si="159"/>
        <v>0</v>
      </c>
      <c r="AF163" s="15">
        <f t="shared" si="160"/>
        <v>0</v>
      </c>
      <c r="AG163" s="46">
        <f>SUMPRODUCT(AE164:AE$605, $I163:$I$604) / $I163</f>
        <v>0</v>
      </c>
      <c r="AI163" s="46">
        <f t="shared" si="136"/>
        <v>-47000</v>
      </c>
      <c r="AJ163" s="46">
        <f>IF(E163&gt;Mat_Year,0,  -SUM($AD$5:AD163))</f>
        <v>-9306</v>
      </c>
      <c r="AK163" s="24">
        <f t="shared" si="161"/>
        <v>-0.24465280985094964</v>
      </c>
      <c r="AL163" s="79">
        <f t="shared" si="162"/>
        <v>-75.91830390686647</v>
      </c>
      <c r="AM163" s="24">
        <f t="shared" si="163"/>
        <v>-89.482272154629641</v>
      </c>
      <c r="AN163" s="79">
        <f t="shared" si="164"/>
        <v>-76.162956716717417</v>
      </c>
      <c r="AO163" s="15">
        <f t="shared" si="165"/>
        <v>-3180.2155101586804</v>
      </c>
      <c r="AP163" s="46">
        <f>SUMPRODUCT(AN164:AN$605, $I164:$I$605) / $I163</f>
        <v>-2706.844723740257</v>
      </c>
      <c r="AR163" s="46">
        <v>0</v>
      </c>
      <c r="AS163" s="46">
        <v>0</v>
      </c>
      <c r="AT163" s="46">
        <v>0</v>
      </c>
      <c r="AU163" s="95">
        <f t="shared" si="137"/>
        <v>-2.0794975948268344</v>
      </c>
      <c r="AV163" s="47">
        <f t="shared" si="138"/>
        <v>0</v>
      </c>
      <c r="AW163" s="96">
        <f t="shared" si="173"/>
        <v>-2.0794975948268344</v>
      </c>
      <c r="AX163" s="95">
        <f t="shared" si="139"/>
        <v>-23.844905754014363</v>
      </c>
      <c r="AY163" s="11">
        <f t="shared" si="140"/>
        <v>0</v>
      </c>
      <c r="AZ163" s="96">
        <f t="shared" si="174"/>
        <v>-23.844905754014363</v>
      </c>
      <c r="BA163" s="95">
        <f t="shared" si="175"/>
        <v>-1.7699671844901832</v>
      </c>
      <c r="BB163" s="64">
        <f t="shared" si="176"/>
        <v>-3.9143150002449306E-2</v>
      </c>
      <c r="BC163" s="95">
        <f t="shared" si="177"/>
        <v>-2.0794975948268344</v>
      </c>
      <c r="BD163" s="96">
        <f t="shared" si="178"/>
        <v>-4.5988471988244808E-2</v>
      </c>
      <c r="BE163" s="96">
        <f t="shared" si="179"/>
        <v>-1.7699671844901832</v>
      </c>
      <c r="BF163" s="96">
        <f t="shared" si="180"/>
        <v>-3.9143150002449306E-2</v>
      </c>
      <c r="BG163" s="15">
        <f t="shared" si="166"/>
        <v>-158.17751716702213</v>
      </c>
      <c r="BH163" s="46">
        <f>(SUMPRODUCT(BE164:BE$605,$I163:$I$604)+SUMPRODUCT(BF164:BF$605,$I164:$I$605)) / $I163</f>
        <v>-134.63300722551477</v>
      </c>
      <c r="BJ163" s="46">
        <f t="shared" si="181"/>
        <v>-1.7699671844901832</v>
      </c>
      <c r="BK163" s="46">
        <f t="shared" si="182"/>
        <v>-76.202099866719863</v>
      </c>
      <c r="BM163" s="49">
        <f t="shared" si="167"/>
        <v>3344.844060051415</v>
      </c>
      <c r="BN163" s="46">
        <f t="shared" si="183"/>
        <v>2841.4777309657702</v>
      </c>
      <c r="BP163" s="46">
        <f>Reserve!BX163</f>
        <v>4395.7158736342835</v>
      </c>
      <c r="BQ163" s="46">
        <f t="shared" si="141"/>
        <v>3734.2036107933141</v>
      </c>
      <c r="BR163" s="15">
        <f t="shared" si="168"/>
        <v>89.519390653836581</v>
      </c>
      <c r="BT163" s="49">
        <f t="shared" si="169"/>
        <v>14.949510546411696</v>
      </c>
      <c r="BU163" s="46">
        <f t="shared" si="142"/>
        <v>12.724296078612211</v>
      </c>
      <c r="BV163" s="46">
        <f>SUMPRODUCT(BU164:BU$605, $I164:$I$605) / $I163</f>
        <v>343.06099514052528</v>
      </c>
      <c r="BX163" s="46">
        <f>-BZ163*Others!$Q$43</f>
        <v>-6.2135346383971193</v>
      </c>
      <c r="BZ163" s="50">
        <f t="shared" si="127"/>
        <v>24.271619681238747</v>
      </c>
      <c r="CA163" s="46">
        <f t="shared" si="170"/>
        <v>18.058085042841626</v>
      </c>
      <c r="CB163" s="46">
        <f t="shared" si="143"/>
        <v>18.058085042841626</v>
      </c>
      <c r="CD163" s="46">
        <f>SUMPRODUCT(BZ164:BZ$605, $I164:$I$605) / $I163</f>
        <v>892.72587982754465</v>
      </c>
      <c r="CE163" s="46">
        <f>SUMPRODUCT(CA164:CA$605, $I164:$I$605) / $I163</f>
        <v>664.18805459169369</v>
      </c>
      <c r="CF163" s="46">
        <f>SUMPRODUCT(CB164:CB$605, $I164:$I$605) / $I163</f>
        <v>664.18805459169369</v>
      </c>
      <c r="CH163" s="46">
        <f t="shared" si="144"/>
        <v>42604.284126365717</v>
      </c>
      <c r="CI163" s="46">
        <f t="shared" si="145"/>
        <v>4910.2841263657165</v>
      </c>
      <c r="CK163" s="46">
        <f>NPV((1+CK$3)^(1/12)-1,$CB$6:$CB163)+$CB$5</f>
        <v>948.6042023245875</v>
      </c>
      <c r="CL163" s="46">
        <f>NPV((1+CL$3)^(1/12)-1,$CB$6:$CB163)+$CB$5</f>
        <v>714.9386056599335</v>
      </c>
      <c r="CM163" s="46">
        <f>NPV((1+CM$3)^(1/12)-1,$CB$6:$CB163)+$CB$5</f>
        <v>295.26884668898435</v>
      </c>
      <c r="CN163" s="46">
        <f>NPV((1+CN$3)^(1/12)-1,$CB$6:$CB163)+$CB$5</f>
        <v>295.26884668898435</v>
      </c>
    </row>
    <row r="164" spans="1:92" x14ac:dyDescent="0.25">
      <c r="A164" s="61">
        <f t="shared" si="128"/>
        <v>13.250000000000025</v>
      </c>
      <c r="B164" s="32">
        <f t="shared" si="146"/>
        <v>3</v>
      </c>
      <c r="C164" s="62">
        <f t="shared" si="147"/>
        <v>14</v>
      </c>
      <c r="D164" s="64">
        <f t="shared" si="148"/>
        <v>13.750000000000025</v>
      </c>
      <c r="E164" s="28">
        <f t="shared" si="129"/>
        <v>13</v>
      </c>
      <c r="G164" s="68">
        <f>INDEX(Others!$D$11:$E$60, MATCH(C164, Others!$A$11:$A$60, 0), MATCH(G$3, Others!$D$10:$E$10, 0))</f>
        <v>4.0690909090909333E-2</v>
      </c>
      <c r="H164" s="16">
        <f t="shared" si="171"/>
        <v>3.329265421250005E-3</v>
      </c>
      <c r="I164" s="69">
        <f t="shared" si="172"/>
        <v>0.58950388173286106</v>
      </c>
      <c r="K164" s="80">
        <f>INDEX(Mortality!$B$7:$F$32, MATCH( E164,Mortality!$A$7:$A$32, 0), MATCH( K$3,Mortality!$B$6:$F$6,0))</f>
        <v>0.371</v>
      </c>
      <c r="L164" s="11">
        <f t="shared" si="130"/>
        <v>0</v>
      </c>
      <c r="M164" s="80">
        <f t="shared" si="149"/>
        <v>0.371</v>
      </c>
      <c r="N164" s="76">
        <f>INDEX(Myopia!$H:$H, MATCH(E164, Myopia!$A:$A, 0)) * Trend_Factor^(A164)</f>
        <v>22.773501315763465</v>
      </c>
      <c r="O164" s="11">
        <f t="shared" si="131"/>
        <v>0</v>
      </c>
      <c r="P164" s="80">
        <f t="shared" si="150"/>
        <v>22.773501315763465</v>
      </c>
      <c r="Q164" s="76">
        <f>VLOOKUP(C164,Others!$L$10:$M$61,2)</f>
        <v>0</v>
      </c>
      <c r="R164" s="11">
        <f t="shared" si="132"/>
        <v>0</v>
      </c>
      <c r="S164" s="80">
        <f t="shared" si="151"/>
        <v>0</v>
      </c>
      <c r="T164" s="78">
        <f t="shared" si="152"/>
        <v>3.0916666666666668E-5</v>
      </c>
      <c r="U164" s="81">
        <f t="shared" si="153"/>
        <v>1.8977917763136221E-3</v>
      </c>
      <c r="V164" s="81">
        <f t="shared" si="154"/>
        <v>0</v>
      </c>
      <c r="W164" s="77">
        <f t="shared" si="133"/>
        <v>0.84950977682412276</v>
      </c>
      <c r="X164" s="82">
        <f t="shared" si="155"/>
        <v>2.623908878848081E-5</v>
      </c>
      <c r="Y164" s="82">
        <f t="shared" si="156"/>
        <v>1.6121677465431757E-3</v>
      </c>
      <c r="Z164" s="82">
        <f t="shared" si="157"/>
        <v>0</v>
      </c>
      <c r="AA164" s="82">
        <f t="shared" si="158"/>
        <v>0.84787136998879109</v>
      </c>
      <c r="AC164" s="46">
        <f t="shared" si="134"/>
        <v>0</v>
      </c>
      <c r="AD164" s="15">
        <f t="shared" si="135"/>
        <v>0</v>
      </c>
      <c r="AE164" s="46">
        <f t="shared" si="159"/>
        <v>0</v>
      </c>
      <c r="AF164" s="15">
        <f t="shared" si="160"/>
        <v>0</v>
      </c>
      <c r="AG164" s="46">
        <f>SUMPRODUCT(AE165:AE$605, $I164:$I$604) / $I164</f>
        <v>0</v>
      </c>
      <c r="AI164" s="46">
        <f t="shared" si="136"/>
        <v>-47000</v>
      </c>
      <c r="AJ164" s="46">
        <f>IF(E164&gt;Mat_Year,0,  -SUM($AD$5:AD164))</f>
        <v>-9306</v>
      </c>
      <c r="AK164" s="24">
        <f t="shared" si="161"/>
        <v>-0.24418096026560243</v>
      </c>
      <c r="AL164" s="79">
        <f t="shared" si="162"/>
        <v>-75.771884087529259</v>
      </c>
      <c r="AM164" s="24">
        <f t="shared" si="163"/>
        <v>-89.482272154629669</v>
      </c>
      <c r="AN164" s="79">
        <f t="shared" si="164"/>
        <v>-76.016065047794868</v>
      </c>
      <c r="AO164" s="15">
        <f t="shared" si="165"/>
        <v>-3107.4868533013232</v>
      </c>
      <c r="AP164" s="46">
        <f>SUMPRODUCT(AN165:AN$605, $I165:$I$605) / $I164</f>
        <v>-2639.8404632319025</v>
      </c>
      <c r="AR164" s="46">
        <v>0</v>
      </c>
      <c r="AS164" s="46">
        <v>0</v>
      </c>
      <c r="AT164" s="46">
        <v>0</v>
      </c>
      <c r="AU164" s="95">
        <f t="shared" si="137"/>
        <v>-2.0818226780011524</v>
      </c>
      <c r="AV164" s="47">
        <f t="shared" si="138"/>
        <v>0</v>
      </c>
      <c r="AW164" s="96">
        <f t="shared" si="173"/>
        <v>-2.0818226780011524</v>
      </c>
      <c r="AX164" s="95">
        <f t="shared" si="139"/>
        <v>-23.871566707746542</v>
      </c>
      <c r="AY164" s="11">
        <f t="shared" si="140"/>
        <v>0</v>
      </c>
      <c r="AZ164" s="96">
        <f t="shared" si="174"/>
        <v>-23.871566707746542</v>
      </c>
      <c r="BA164" s="95">
        <f t="shared" si="175"/>
        <v>-1.7685287185761565</v>
      </c>
      <c r="BB164" s="64">
        <f t="shared" si="176"/>
        <v>-3.9111338064047541E-2</v>
      </c>
      <c r="BC164" s="95">
        <f t="shared" si="177"/>
        <v>-2.0818226780011524</v>
      </c>
      <c r="BD164" s="96">
        <f t="shared" si="178"/>
        <v>-4.6039891630517291E-2</v>
      </c>
      <c r="BE164" s="96">
        <f t="shared" si="179"/>
        <v>-1.7685287185761565</v>
      </c>
      <c r="BF164" s="96">
        <f t="shared" si="180"/>
        <v>-3.9111338064047541E-2</v>
      </c>
      <c r="BG164" s="15">
        <f t="shared" si="166"/>
        <v>-156.8760147541787</v>
      </c>
      <c r="BH164" s="46">
        <f>(SUMPRODUCT(BE165:BE$605,$I164:$I$604)+SUMPRODUCT(BF165:BF$605,$I165:$I$605)) / $I164</f>
        <v>-133.26770828288014</v>
      </c>
      <c r="BJ164" s="46">
        <f t="shared" si="181"/>
        <v>-1.7685287185761565</v>
      </c>
      <c r="BK164" s="46">
        <f t="shared" si="182"/>
        <v>-76.055176385858914</v>
      </c>
      <c r="BM164" s="49">
        <f t="shared" si="167"/>
        <v>3270.6708466302421</v>
      </c>
      <c r="BN164" s="46">
        <f t="shared" si="183"/>
        <v>2773.1081715147825</v>
      </c>
      <c r="BP164" s="46">
        <f>Reserve!BX164</f>
        <v>4298.5282404892005</v>
      </c>
      <c r="BQ164" s="46">
        <f t="shared" si="141"/>
        <v>3644.5990281990862</v>
      </c>
      <c r="BR164" s="15">
        <f t="shared" si="168"/>
        <v>89.60458259422785</v>
      </c>
      <c r="BT164" s="49">
        <f t="shared" si="169"/>
        <v>14.627573919475333</v>
      </c>
      <c r="BU164" s="46">
        <f t="shared" si="142"/>
        <v>12.426267055811849</v>
      </c>
      <c r="BV164" s="46">
        <f>SUMPRODUCT(BU165:BU$605, $I165:$I$605) / $I164</f>
        <v>331.77686919321434</v>
      </c>
      <c r="BX164" s="46">
        <f>-BZ164*Others!$Q$43</f>
        <v>-6.1970290036747864</v>
      </c>
      <c r="BZ164" s="50">
        <f t="shared" si="127"/>
        <v>24.207144545604635</v>
      </c>
      <c r="CA164" s="46">
        <f t="shared" si="170"/>
        <v>18.010115541929849</v>
      </c>
      <c r="CB164" s="46">
        <f t="shared" si="143"/>
        <v>18.010115541929849</v>
      </c>
      <c r="CD164" s="46">
        <f>SUMPRODUCT(BZ165:BZ$605, $I165:$I$605) / $I164</f>
        <v>871.49085668430484</v>
      </c>
      <c r="CE164" s="46">
        <f>SUMPRODUCT(CA165:CA$605, $I165:$I$605) / $I164</f>
        <v>648.38919737312312</v>
      </c>
      <c r="CF164" s="46">
        <f>SUMPRODUCT(CB165:CB$605, $I165:$I$605) / $I164</f>
        <v>648.38919737312312</v>
      </c>
      <c r="CH164" s="46">
        <f t="shared" si="144"/>
        <v>42701.471759510801</v>
      </c>
      <c r="CI164" s="46">
        <f t="shared" si="145"/>
        <v>5007.4717595107995</v>
      </c>
      <c r="CK164" s="46">
        <f>NPV((1+CK$3)^(1/12)-1,$CB$6:$CB164)+$CB$5</f>
        <v>960.77792128893589</v>
      </c>
      <c r="CL164" s="46">
        <f>NPV((1+CL$3)^(1/12)-1,$CB$6:$CB164)+$CB$5</f>
        <v>724.37396155988199</v>
      </c>
      <c r="CM164" s="46">
        <f>NPV((1+CM$3)^(1/12)-1,$CB$6:$CB164)+$CB$5</f>
        <v>300.36289923709853</v>
      </c>
      <c r="CN164" s="46">
        <f>NPV((1+CN$3)^(1/12)-1,$CB$6:$CB164)+$CB$5</f>
        <v>300.36289923709853</v>
      </c>
    </row>
    <row r="165" spans="1:92" x14ac:dyDescent="0.25">
      <c r="A165" s="61">
        <f t="shared" si="128"/>
        <v>13.333333333333359</v>
      </c>
      <c r="B165" s="32">
        <f t="shared" si="146"/>
        <v>4</v>
      </c>
      <c r="C165" s="62">
        <f t="shared" si="147"/>
        <v>14</v>
      </c>
      <c r="D165" s="64">
        <f t="shared" si="148"/>
        <v>13.833333333333359</v>
      </c>
      <c r="E165" s="28">
        <f t="shared" si="129"/>
        <v>13</v>
      </c>
      <c r="G165" s="68">
        <f>INDEX(Others!$D$11:$E$60, MATCH(C165, Others!$A$11:$A$60, 0), MATCH(G$3, Others!$D$10:$E$10, 0))</f>
        <v>4.0690909090909333E-2</v>
      </c>
      <c r="H165" s="16">
        <f t="shared" si="171"/>
        <v>3.329265421250005E-3</v>
      </c>
      <c r="I165" s="69">
        <f t="shared" si="172"/>
        <v>0.58754777922814461</v>
      </c>
      <c r="K165" s="80">
        <f>INDEX(Mortality!$B$7:$F$32, MATCH( E165,Mortality!$A$7:$A$32, 0), MATCH( K$3,Mortality!$B$6:$F$6,0))</f>
        <v>0.371</v>
      </c>
      <c r="L165" s="11">
        <f t="shared" si="130"/>
        <v>0</v>
      </c>
      <c r="M165" s="80">
        <f t="shared" si="149"/>
        <v>0.371</v>
      </c>
      <c r="N165" s="76">
        <f>INDEX(Myopia!$H:$H, MATCH(E165, Myopia!$A:$A, 0)) * Trend_Factor^(A165)</f>
        <v>22.773501315763465</v>
      </c>
      <c r="O165" s="11">
        <f t="shared" si="131"/>
        <v>0</v>
      </c>
      <c r="P165" s="80">
        <f t="shared" si="150"/>
        <v>22.773501315763465</v>
      </c>
      <c r="Q165" s="76">
        <f>VLOOKUP(C165,Others!$L$10:$M$61,2)</f>
        <v>0</v>
      </c>
      <c r="R165" s="11">
        <f t="shared" si="132"/>
        <v>0</v>
      </c>
      <c r="S165" s="80">
        <f t="shared" si="151"/>
        <v>0</v>
      </c>
      <c r="T165" s="78">
        <f t="shared" si="152"/>
        <v>3.0916666666666668E-5</v>
      </c>
      <c r="U165" s="81">
        <f t="shared" si="153"/>
        <v>1.8977917763136221E-3</v>
      </c>
      <c r="V165" s="81">
        <f t="shared" si="154"/>
        <v>0</v>
      </c>
      <c r="W165" s="77">
        <f t="shared" si="133"/>
        <v>0.84787136998879109</v>
      </c>
      <c r="X165" s="82">
        <f t="shared" si="155"/>
        <v>2.61884827759348E-5</v>
      </c>
      <c r="Y165" s="82">
        <f t="shared" si="156"/>
        <v>1.6090584395902733E-3</v>
      </c>
      <c r="Z165" s="82">
        <f t="shared" si="157"/>
        <v>0</v>
      </c>
      <c r="AA165" s="82">
        <f t="shared" si="158"/>
        <v>0.84623612306642493</v>
      </c>
      <c r="AC165" s="46">
        <f t="shared" si="134"/>
        <v>0</v>
      </c>
      <c r="AD165" s="15">
        <f t="shared" si="135"/>
        <v>0</v>
      </c>
      <c r="AE165" s="46">
        <f t="shared" si="159"/>
        <v>0</v>
      </c>
      <c r="AF165" s="15">
        <f t="shared" si="160"/>
        <v>0</v>
      </c>
      <c r="AG165" s="46">
        <f>SUMPRODUCT(AE166:AE$605, $I165:$I$604) / $I165</f>
        <v>0</v>
      </c>
      <c r="AI165" s="46">
        <f t="shared" si="136"/>
        <v>-47000</v>
      </c>
      <c r="AJ165" s="46">
        <f>IF(E165&gt;Mat_Year,0,  -SUM($AD$5:AD165))</f>
        <v>-9306</v>
      </c>
      <c r="AK165" s="24">
        <f t="shared" si="161"/>
        <v>-0.24371002071284925</v>
      </c>
      <c r="AL165" s="79">
        <f t="shared" si="162"/>
        <v>-75.625746660742848</v>
      </c>
      <c r="AM165" s="24">
        <f t="shared" si="163"/>
        <v>-89.482272154629655</v>
      </c>
      <c r="AN165" s="79">
        <f t="shared" si="164"/>
        <v>-75.869456681455702</v>
      </c>
      <c r="AO165" s="15">
        <f t="shared" si="165"/>
        <v>-3034.3750563912945</v>
      </c>
      <c r="AP165" s="46">
        <f>SUMPRODUCT(AN166:AN$605, $I166:$I$605) / $I165</f>
        <v>-2572.759736122302</v>
      </c>
      <c r="AR165" s="46">
        <v>0</v>
      </c>
      <c r="AS165" s="46">
        <v>0</v>
      </c>
      <c r="AT165" s="46">
        <v>0</v>
      </c>
      <c r="AU165" s="95">
        <f t="shared" si="137"/>
        <v>-2.0841503608475165</v>
      </c>
      <c r="AV165" s="47">
        <f t="shared" si="138"/>
        <v>0</v>
      </c>
      <c r="AW165" s="96">
        <f t="shared" si="173"/>
        <v>-2.0841503608475165</v>
      </c>
      <c r="AX165" s="95">
        <f t="shared" si="139"/>
        <v>-23.898257471051519</v>
      </c>
      <c r="AY165" s="11">
        <f t="shared" si="140"/>
        <v>0</v>
      </c>
      <c r="AZ165" s="96">
        <f t="shared" si="174"/>
        <v>-23.898257471051519</v>
      </c>
      <c r="BA165" s="95">
        <f t="shared" si="175"/>
        <v>-1.7670914217144171</v>
      </c>
      <c r="BB165" s="64">
        <f t="shared" si="176"/>
        <v>-3.9079551979452232E-2</v>
      </c>
      <c r="BC165" s="95">
        <f t="shared" si="177"/>
        <v>-2.0841503608475165</v>
      </c>
      <c r="BD165" s="96">
        <f t="shared" si="178"/>
        <v>-4.6091368765015461E-2</v>
      </c>
      <c r="BE165" s="96">
        <f t="shared" si="179"/>
        <v>-1.7670914217144171</v>
      </c>
      <c r="BF165" s="96">
        <f t="shared" si="180"/>
        <v>-3.9079551979452232E-2</v>
      </c>
      <c r="BG165" s="15">
        <f t="shared" si="166"/>
        <v>-155.56526901895379</v>
      </c>
      <c r="BH165" s="46">
        <f>(SUMPRODUCT(BE166:BE$605,$I165:$I$604)+SUMPRODUCT(BF166:BF$605,$I166:$I$605)) / $I165</f>
        <v>-131.89933776577519</v>
      </c>
      <c r="BJ165" s="46">
        <f t="shared" si="181"/>
        <v>-1.7670914217144171</v>
      </c>
      <c r="BK165" s="46">
        <f t="shared" si="182"/>
        <v>-75.908536233435157</v>
      </c>
      <c r="BM165" s="49">
        <f t="shared" si="167"/>
        <v>3196.1044916015426</v>
      </c>
      <c r="BN165" s="46">
        <f t="shared" si="183"/>
        <v>2704.6590738880764</v>
      </c>
      <c r="BP165" s="46">
        <f>Reserve!BX165</f>
        <v>4200.847169686167</v>
      </c>
      <c r="BQ165" s="46">
        <f t="shared" si="141"/>
        <v>3554.9086224697862</v>
      </c>
      <c r="BR165" s="15">
        <f t="shared" si="168"/>
        <v>89.690405729299982</v>
      </c>
      <c r="BT165" s="49">
        <f t="shared" si="169"/>
        <v>14.304002743598266</v>
      </c>
      <c r="BU165" s="46">
        <f t="shared" si="142"/>
        <v>12.127954402538089</v>
      </c>
      <c r="BV165" s="46">
        <f>SUMPRODUCT(BU166:BU$605, $I166:$I$605) / $I165</f>
        <v>320.75348804885175</v>
      </c>
      <c r="BX165" s="46">
        <f>-BZ165*Others!$Q$43</f>
        <v>-6.1805395140322563</v>
      </c>
      <c r="BZ165" s="50">
        <f t="shared" si="127"/>
        <v>24.142732476688501</v>
      </c>
      <c r="CA165" s="46">
        <f t="shared" si="170"/>
        <v>17.962192962656246</v>
      </c>
      <c r="CB165" s="46">
        <f t="shared" si="143"/>
        <v>17.962192962656246</v>
      </c>
      <c r="CD165" s="46">
        <f>SUMPRODUCT(BZ166:BZ$605, $I166:$I$605) / $I165</f>
        <v>850.249548581711</v>
      </c>
      <c r="CE165" s="46">
        <f>SUMPRODUCT(CA166:CA$605, $I166:$I$605) / $I165</f>
        <v>632.58566414479344</v>
      </c>
      <c r="CF165" s="46">
        <f>SUMPRODUCT(CB166:CB$605, $I166:$I$605) / $I165</f>
        <v>632.58566414479344</v>
      </c>
      <c r="CH165" s="46">
        <f t="shared" si="144"/>
        <v>42799.152830313833</v>
      </c>
      <c r="CI165" s="46">
        <f t="shared" si="145"/>
        <v>5105.152830313833</v>
      </c>
      <c r="CK165" s="46">
        <f>NPV((1+CK$3)^(1/12)-1,$CB$6:$CB165)+$CB$5</f>
        <v>972.8893774493597</v>
      </c>
      <c r="CL165" s="46">
        <f>NPV((1+CL$3)^(1/12)-1,$CB$6:$CB165)+$CB$5</f>
        <v>733.74602824296085</v>
      </c>
      <c r="CM165" s="46">
        <f>NPV((1+CM$3)^(1/12)-1,$CB$6:$CB165)+$CB$5</f>
        <v>305.40320506623709</v>
      </c>
      <c r="CN165" s="46">
        <f>NPV((1+CN$3)^(1/12)-1,$CB$6:$CB165)+$CB$5</f>
        <v>305.40320506623709</v>
      </c>
    </row>
    <row r="166" spans="1:92" x14ac:dyDescent="0.25">
      <c r="A166" s="61">
        <f t="shared" si="128"/>
        <v>13.416666666666693</v>
      </c>
      <c r="B166" s="32">
        <f t="shared" si="146"/>
        <v>5</v>
      </c>
      <c r="C166" s="62">
        <f t="shared" si="147"/>
        <v>14</v>
      </c>
      <c r="D166" s="64">
        <f t="shared" si="148"/>
        <v>13.916666666666693</v>
      </c>
      <c r="E166" s="28">
        <f t="shared" si="129"/>
        <v>13</v>
      </c>
      <c r="G166" s="68">
        <f>INDEX(Others!$D$11:$E$60, MATCH(C166, Others!$A$11:$A$60, 0), MATCH(G$3, Others!$D$10:$E$10, 0))</f>
        <v>4.0690909090909333E-2</v>
      </c>
      <c r="H166" s="16">
        <f t="shared" si="171"/>
        <v>3.329265421250005E-3</v>
      </c>
      <c r="I166" s="69">
        <f t="shared" si="172"/>
        <v>0.58559816749834503</v>
      </c>
      <c r="K166" s="80">
        <f>INDEX(Mortality!$B$7:$F$32, MATCH( E166,Mortality!$A$7:$A$32, 0), MATCH( K$3,Mortality!$B$6:$F$6,0))</f>
        <v>0.371</v>
      </c>
      <c r="L166" s="11">
        <f t="shared" si="130"/>
        <v>0</v>
      </c>
      <c r="M166" s="80">
        <f t="shared" si="149"/>
        <v>0.371</v>
      </c>
      <c r="N166" s="76">
        <f>INDEX(Myopia!$H:$H, MATCH(E166, Myopia!$A:$A, 0)) * Trend_Factor^(A166)</f>
        <v>22.773501315763465</v>
      </c>
      <c r="O166" s="11">
        <f t="shared" si="131"/>
        <v>0</v>
      </c>
      <c r="P166" s="80">
        <f t="shared" si="150"/>
        <v>22.773501315763465</v>
      </c>
      <c r="Q166" s="76">
        <f>VLOOKUP(C166,Others!$L$10:$M$61,2)</f>
        <v>0</v>
      </c>
      <c r="R166" s="11">
        <f t="shared" si="132"/>
        <v>0</v>
      </c>
      <c r="S166" s="80">
        <f t="shared" si="151"/>
        <v>0</v>
      </c>
      <c r="T166" s="78">
        <f t="shared" si="152"/>
        <v>3.0916666666666668E-5</v>
      </c>
      <c r="U166" s="81">
        <f t="shared" si="153"/>
        <v>1.8977917763136221E-3</v>
      </c>
      <c r="V166" s="81">
        <f t="shared" si="154"/>
        <v>0</v>
      </c>
      <c r="W166" s="77">
        <f t="shared" si="133"/>
        <v>0.84623612306642493</v>
      </c>
      <c r="X166" s="82">
        <f t="shared" si="155"/>
        <v>2.6137974364663223E-5</v>
      </c>
      <c r="Y166" s="82">
        <f t="shared" si="156"/>
        <v>1.6059551294015097E-3</v>
      </c>
      <c r="Z166" s="82">
        <f t="shared" si="157"/>
        <v>0</v>
      </c>
      <c r="AA166" s="82">
        <f t="shared" si="158"/>
        <v>0.84460402996265871</v>
      </c>
      <c r="AC166" s="46">
        <f t="shared" si="134"/>
        <v>0</v>
      </c>
      <c r="AD166" s="15">
        <f t="shared" si="135"/>
        <v>0</v>
      </c>
      <c r="AE166" s="46">
        <f t="shared" si="159"/>
        <v>0</v>
      </c>
      <c r="AF166" s="15">
        <f t="shared" si="160"/>
        <v>0</v>
      </c>
      <c r="AG166" s="46">
        <f>SUMPRODUCT(AE167:AE$605, $I166:$I$604) / $I166</f>
        <v>0</v>
      </c>
      <c r="AI166" s="46">
        <f t="shared" si="136"/>
        <v>-47000</v>
      </c>
      <c r="AJ166" s="46">
        <f>IF(E166&gt;Mat_Year,0,  -SUM($AD$5:AD166))</f>
        <v>-9306</v>
      </c>
      <c r="AK166" s="24">
        <f t="shared" si="161"/>
        <v>-0.24323998943755595</v>
      </c>
      <c r="AL166" s="79">
        <f t="shared" si="162"/>
        <v>-75.47989108187096</v>
      </c>
      <c r="AM166" s="24">
        <f t="shared" si="163"/>
        <v>-89.482272154629655</v>
      </c>
      <c r="AN166" s="79">
        <f t="shared" si="164"/>
        <v>-75.723131071308515</v>
      </c>
      <c r="AO166" s="15">
        <f t="shared" si="165"/>
        <v>-2960.8781010178805</v>
      </c>
      <c r="AP166" s="46">
        <f>SUMPRODUCT(AN167:AN$605, $I167:$I$605) / $I166</f>
        <v>-2505.6020050776497</v>
      </c>
      <c r="AR166" s="46">
        <v>0</v>
      </c>
      <c r="AS166" s="46">
        <v>0</v>
      </c>
      <c r="AT166" s="46">
        <v>0</v>
      </c>
      <c r="AU166" s="95">
        <f t="shared" si="137"/>
        <v>-2.0864806462726162</v>
      </c>
      <c r="AV166" s="47">
        <f t="shared" si="138"/>
        <v>0</v>
      </c>
      <c r="AW166" s="96">
        <f t="shared" si="173"/>
        <v>-2.0864806462726162</v>
      </c>
      <c r="AX166" s="95">
        <f t="shared" si="139"/>
        <v>-23.924978077259333</v>
      </c>
      <c r="AY166" s="11">
        <f t="shared" si="140"/>
        <v>0</v>
      </c>
      <c r="AZ166" s="96">
        <f t="shared" si="174"/>
        <v>-23.924978077259333</v>
      </c>
      <c r="BA166" s="95">
        <f t="shared" si="175"/>
        <v>-1.7656552929548675</v>
      </c>
      <c r="BB166" s="64">
        <f t="shared" si="176"/>
        <v>-3.9047791727651833E-2</v>
      </c>
      <c r="BC166" s="95">
        <f t="shared" si="177"/>
        <v>-2.0864806462726162</v>
      </c>
      <c r="BD166" s="96">
        <f t="shared" si="178"/>
        <v>-4.6142903456021331E-2</v>
      </c>
      <c r="BE166" s="96">
        <f t="shared" si="179"/>
        <v>-1.7656552929548675</v>
      </c>
      <c r="BF166" s="96">
        <f t="shared" si="180"/>
        <v>-3.9047791727651833E-2</v>
      </c>
      <c r="BG166" s="15">
        <f t="shared" si="166"/>
        <v>-154.24522859802761</v>
      </c>
      <c r="BH166" s="46">
        <f>(SUMPRODUCT(BE167:BE$605,$I166:$I$604)+SUMPRODUCT(BF167:BF$605,$I167:$I$605)) / $I166</f>
        <v>-130.52788425028933</v>
      </c>
      <c r="BJ166" s="46">
        <f t="shared" si="181"/>
        <v>-1.7656552929548675</v>
      </c>
      <c r="BK166" s="46">
        <f t="shared" si="182"/>
        <v>-75.762178863036169</v>
      </c>
      <c r="BM166" s="49">
        <f t="shared" si="167"/>
        <v>3121.1429211917039</v>
      </c>
      <c r="BN166" s="46">
        <f t="shared" si="183"/>
        <v>2636.1298893279381</v>
      </c>
      <c r="BP166" s="46">
        <f>Reserve!BX166</f>
        <v>4102.6701723493725</v>
      </c>
      <c r="BQ166" s="46">
        <f t="shared" si="141"/>
        <v>3465.1317611738755</v>
      </c>
      <c r="BR166" s="15">
        <f t="shared" si="168"/>
        <v>89.776861295910749</v>
      </c>
      <c r="BT166" s="49">
        <f t="shared" si="169"/>
        <v>13.978788774124368</v>
      </c>
      <c r="BU166" s="46">
        <f t="shared" si="142"/>
        <v>11.829356017379467</v>
      </c>
      <c r="BV166" s="46">
        <f>SUMPRODUCT(BU167:BU$605, $I167:$I$605) / $I166</f>
        <v>309.99200552797862</v>
      </c>
      <c r="BX166" s="46">
        <f>-BZ166*Others!$Q$43</f>
        <v>-6.1640660882685916</v>
      </c>
      <c r="BZ166" s="50">
        <f t="shared" si="127"/>
        <v>24.078383157299186</v>
      </c>
      <c r="CA166" s="46">
        <f t="shared" si="170"/>
        <v>17.914317069030595</v>
      </c>
      <c r="CB166" s="46">
        <f t="shared" si="143"/>
        <v>17.914317069030595</v>
      </c>
      <c r="CD166" s="46">
        <f>SUMPRODUCT(BZ167:BZ$605, $I167:$I$605) / $I166</f>
        <v>829.00187184593824</v>
      </c>
      <c r="CE166" s="46">
        <f>SUMPRODUCT(CA167:CA$605, $I167:$I$605) / $I166</f>
        <v>616.77739265337846</v>
      </c>
      <c r="CF166" s="46">
        <f>SUMPRODUCT(CB167:CB$605, $I167:$I$605) / $I166</f>
        <v>616.77739265337846</v>
      </c>
      <c r="CH166" s="46">
        <f t="shared" si="144"/>
        <v>42897.329827650625</v>
      </c>
      <c r="CI166" s="46">
        <f t="shared" si="145"/>
        <v>5203.3298276506275</v>
      </c>
      <c r="CK166" s="46">
        <f>NPV((1+CK$3)^(1/12)-1,$CB$6:$CB166)+$CB$5</f>
        <v>984.93883488296478</v>
      </c>
      <c r="CL166" s="46">
        <f>NPV((1+CL$3)^(1/12)-1,$CB$6:$CB166)+$CB$5</f>
        <v>743.05518822880276</v>
      </c>
      <c r="CM166" s="46">
        <f>NPV((1+CM$3)^(1/12)-1,$CB$6:$CB166)+$CB$5</f>
        <v>310.39030874937976</v>
      </c>
      <c r="CN166" s="46">
        <f>NPV((1+CN$3)^(1/12)-1,$CB$6:$CB166)+$CB$5</f>
        <v>310.39030874937976</v>
      </c>
    </row>
    <row r="167" spans="1:92" x14ac:dyDescent="0.25">
      <c r="A167" s="61">
        <f t="shared" si="128"/>
        <v>13.500000000000027</v>
      </c>
      <c r="B167" s="32">
        <f t="shared" si="146"/>
        <v>6</v>
      </c>
      <c r="C167" s="62">
        <f t="shared" si="147"/>
        <v>14</v>
      </c>
      <c r="D167" s="64">
        <f t="shared" si="148"/>
        <v>14.000000000000027</v>
      </c>
      <c r="E167" s="28">
        <f t="shared" si="129"/>
        <v>14</v>
      </c>
      <c r="G167" s="68">
        <f>INDEX(Others!$D$11:$E$60, MATCH(C167, Others!$A$11:$A$60, 0), MATCH(G$3, Others!$D$10:$E$10, 0))</f>
        <v>4.0690909090909333E-2</v>
      </c>
      <c r="H167" s="16">
        <f t="shared" si="171"/>
        <v>3.329265421250005E-3</v>
      </c>
      <c r="I167" s="69">
        <f t="shared" si="172"/>
        <v>0.58365502500565491</v>
      </c>
      <c r="K167" s="80">
        <f>INDEX(Mortality!$B$7:$F$32, MATCH( E167,Mortality!$A$7:$A$32, 0), MATCH( K$3,Mortality!$B$6:$F$6,0))</f>
        <v>0.377</v>
      </c>
      <c r="L167" s="11">
        <f t="shared" si="130"/>
        <v>0</v>
      </c>
      <c r="M167" s="80">
        <f t="shared" si="149"/>
        <v>0.377</v>
      </c>
      <c r="N167" s="76">
        <f>INDEX(Myopia!$H:$H, MATCH(E167, Myopia!$A:$A, 0)) * Trend_Factor^(A167)</f>
        <v>22.266417038050125</v>
      </c>
      <c r="O167" s="11">
        <f t="shared" si="131"/>
        <v>0</v>
      </c>
      <c r="P167" s="80">
        <f t="shared" si="150"/>
        <v>22.266417038050125</v>
      </c>
      <c r="Q167" s="76">
        <f>VLOOKUP(C167,Others!$L$10:$M$61,2)</f>
        <v>0</v>
      </c>
      <c r="R167" s="11">
        <f t="shared" si="132"/>
        <v>0</v>
      </c>
      <c r="S167" s="80">
        <f t="shared" si="151"/>
        <v>0</v>
      </c>
      <c r="T167" s="78">
        <f t="shared" si="152"/>
        <v>3.1416666666666667E-5</v>
      </c>
      <c r="U167" s="81">
        <f t="shared" si="153"/>
        <v>1.8555347531708439E-3</v>
      </c>
      <c r="V167" s="81">
        <f t="shared" si="154"/>
        <v>0</v>
      </c>
      <c r="W167" s="77">
        <f t="shared" si="133"/>
        <v>0.84460402996265871</v>
      </c>
      <c r="X167" s="82">
        <f t="shared" si="155"/>
        <v>2.6510025298280633E-5</v>
      </c>
      <c r="Y167" s="82">
        <f t="shared" si="156"/>
        <v>1.5671675122874824E-3</v>
      </c>
      <c r="Z167" s="82">
        <f t="shared" si="157"/>
        <v>0</v>
      </c>
      <c r="AA167" s="82">
        <f t="shared" si="158"/>
        <v>0.84301035242507294</v>
      </c>
      <c r="AC167" s="46">
        <f t="shared" si="134"/>
        <v>0</v>
      </c>
      <c r="AD167" s="15">
        <f t="shared" si="135"/>
        <v>0</v>
      </c>
      <c r="AE167" s="46">
        <f t="shared" si="159"/>
        <v>0</v>
      </c>
      <c r="AF167" s="15">
        <f t="shared" si="160"/>
        <v>0</v>
      </c>
      <c r="AG167" s="46">
        <f>SUMPRODUCT(AE168:AE$605, $I167:$I$604) / $I167</f>
        <v>0</v>
      </c>
      <c r="AI167" s="46">
        <f t="shared" si="136"/>
        <v>-47000</v>
      </c>
      <c r="AJ167" s="46">
        <f>IF(E167&gt;Mat_Year,0,  -SUM($AD$5:AD167))</f>
        <v>-9306</v>
      </c>
      <c r="AK167" s="24">
        <f t="shared" si="161"/>
        <v>-0.24670229542579958</v>
      </c>
      <c r="AL167" s="79">
        <f t="shared" si="162"/>
        <v>-73.656873077511676</v>
      </c>
      <c r="AM167" s="24">
        <f t="shared" si="163"/>
        <v>-87.500855727866792</v>
      </c>
      <c r="AN167" s="79">
        <f t="shared" si="164"/>
        <v>-73.903575372937482</v>
      </c>
      <c r="AO167" s="15">
        <f t="shared" si="165"/>
        <v>-2888.9753745639955</v>
      </c>
      <c r="AP167" s="46">
        <f>SUMPRODUCT(AN168:AN$605, $I168:$I$605) / $I167</f>
        <v>-2440.040243819632</v>
      </c>
      <c r="AR167" s="46">
        <v>0</v>
      </c>
      <c r="AS167" s="46">
        <v>0</v>
      </c>
      <c r="AT167" s="46">
        <v>0</v>
      </c>
      <c r="AU167" s="95">
        <f t="shared" si="137"/>
        <v>-2.0888135371863914</v>
      </c>
      <c r="AV167" s="47">
        <f t="shared" si="138"/>
        <v>0</v>
      </c>
      <c r="AW167" s="96">
        <f t="shared" si="173"/>
        <v>-2.0888135371863914</v>
      </c>
      <c r="AX167" s="95">
        <f t="shared" si="139"/>
        <v>-23.951728559737283</v>
      </c>
      <c r="AY167" s="11">
        <f t="shared" si="140"/>
        <v>0</v>
      </c>
      <c r="AZ167" s="96">
        <f t="shared" si="174"/>
        <v>-23.951728559737283</v>
      </c>
      <c r="BA167" s="95">
        <f t="shared" si="175"/>
        <v>-1.7642203313481821</v>
      </c>
      <c r="BB167" s="64">
        <f t="shared" si="176"/>
        <v>-3.8171331792004708E-2</v>
      </c>
      <c r="BC167" s="95">
        <f t="shared" si="177"/>
        <v>-2.0888135371863914</v>
      </c>
      <c r="BD167" s="96">
        <f t="shared" si="178"/>
        <v>-4.5194351954124967E-2</v>
      </c>
      <c r="BE167" s="96">
        <f t="shared" si="179"/>
        <v>-1.7642203313481821</v>
      </c>
      <c r="BF167" s="96">
        <f t="shared" si="180"/>
        <v>-3.8171331792004708E-2</v>
      </c>
      <c r="BG167" s="15">
        <f t="shared" si="166"/>
        <v>-152.91684199832437</v>
      </c>
      <c r="BH167" s="46">
        <f>(SUMPRODUCT(BE168:BE$605,$I167:$I$604)+SUMPRODUCT(BF168:BF$605,$I168:$I$605)) / $I167</f>
        <v>-129.15418100094791</v>
      </c>
      <c r="BJ167" s="46">
        <f t="shared" si="181"/>
        <v>-1.7642203313481821</v>
      </c>
      <c r="BK167" s="46">
        <f t="shared" si="182"/>
        <v>-73.941746704729482</v>
      </c>
      <c r="BM167" s="49">
        <f t="shared" si="167"/>
        <v>3047.6427927958689</v>
      </c>
      <c r="BN167" s="46">
        <f t="shared" si="183"/>
        <v>2569.1944248205791</v>
      </c>
      <c r="BP167" s="46">
        <f>Reserve!BX167</f>
        <v>4006.3610600295774</v>
      </c>
      <c r="BQ167" s="46">
        <f t="shared" si="141"/>
        <v>3377.403849157623</v>
      </c>
      <c r="BR167" s="15">
        <f t="shared" si="168"/>
        <v>87.727912016252503</v>
      </c>
      <c r="BT167" s="49">
        <f t="shared" si="169"/>
        <v>13.651923724915772</v>
      </c>
      <c r="BU167" s="46">
        <f t="shared" si="142"/>
        <v>11.530469794806692</v>
      </c>
      <c r="BV167" s="46">
        <f>SUMPRODUCT(BU168:BU$605, $I168:$I$605) / $I167</f>
        <v>299.49358139804013</v>
      </c>
      <c r="BX167" s="46">
        <f>-BZ167*Others!$Q$43</f>
        <v>-6.0294181823952711</v>
      </c>
      <c r="BZ167" s="50">
        <f t="shared" si="127"/>
        <v>23.552414774981528</v>
      </c>
      <c r="CA167" s="46">
        <f t="shared" si="170"/>
        <v>17.522996592586257</v>
      </c>
      <c r="CB167" s="46">
        <f t="shared" si="143"/>
        <v>17.522996592586257</v>
      </c>
      <c r="CD167" s="46">
        <f>SUMPRODUCT(BZ168:BZ$605, $I168:$I$605) / $I167</f>
        <v>808.20942433704499</v>
      </c>
      <c r="CE167" s="46">
        <f>SUMPRODUCT(CA168:CA$605, $I168:$I$605) / $I167</f>
        <v>601.30781170676175</v>
      </c>
      <c r="CF167" s="46">
        <f>SUMPRODUCT(CB168:CB$605, $I168:$I$605) / $I167</f>
        <v>601.30781170676175</v>
      </c>
      <c r="CH167" s="46">
        <f t="shared" si="144"/>
        <v>42993.63893997042</v>
      </c>
      <c r="CI167" s="46">
        <f t="shared" si="145"/>
        <v>5299.6389399704221</v>
      </c>
      <c r="CK167" s="46">
        <f>NPV((1+CK$3)^(1/12)-1,$CB$6:$CB167)+$CB$5</f>
        <v>996.69608732170332</v>
      </c>
      <c r="CL167" s="46">
        <f>NPV((1+CL$3)^(1/12)-1,$CB$6:$CB167)+$CB$5</f>
        <v>752.12405118382344</v>
      </c>
      <c r="CM167" s="46">
        <f>NPV((1+CM$3)^(1/12)-1,$CB$6:$CB167)+$CB$5</f>
        <v>315.22988266027414</v>
      </c>
      <c r="CN167" s="46">
        <f>NPV((1+CN$3)^(1/12)-1,$CB$6:$CB167)+$CB$5</f>
        <v>315.22988266027414</v>
      </c>
    </row>
    <row r="168" spans="1:92" x14ac:dyDescent="0.25">
      <c r="A168" s="61">
        <f t="shared" si="128"/>
        <v>13.583333333333361</v>
      </c>
      <c r="B168" s="32">
        <f t="shared" si="146"/>
        <v>7</v>
      </c>
      <c r="C168" s="62">
        <f t="shared" si="147"/>
        <v>14</v>
      </c>
      <c r="D168" s="64">
        <f t="shared" si="148"/>
        <v>14.083333333333361</v>
      </c>
      <c r="E168" s="28">
        <f t="shared" si="129"/>
        <v>14</v>
      </c>
      <c r="G168" s="68">
        <f>INDEX(Others!$D$11:$E$60, MATCH(C168, Others!$A$11:$A$60, 0), MATCH(G$3, Others!$D$10:$E$10, 0))</f>
        <v>4.0690909090909333E-2</v>
      </c>
      <c r="H168" s="16">
        <f t="shared" si="171"/>
        <v>3.329265421250005E-3</v>
      </c>
      <c r="I168" s="69">
        <f t="shared" si="172"/>
        <v>0.58171833028373399</v>
      </c>
      <c r="K168" s="80">
        <f>INDEX(Mortality!$B$7:$F$32, MATCH( E168,Mortality!$A$7:$A$32, 0), MATCH( K$3,Mortality!$B$6:$F$6,0))</f>
        <v>0.377</v>
      </c>
      <c r="L168" s="11">
        <f t="shared" si="130"/>
        <v>0</v>
      </c>
      <c r="M168" s="80">
        <f t="shared" si="149"/>
        <v>0.377</v>
      </c>
      <c r="N168" s="76">
        <f>INDEX(Myopia!$H:$H, MATCH(E168, Myopia!$A:$A, 0)) * Trend_Factor^(A168)</f>
        <v>22.266417038050125</v>
      </c>
      <c r="O168" s="11">
        <f t="shared" si="131"/>
        <v>0</v>
      </c>
      <c r="P168" s="80">
        <f t="shared" si="150"/>
        <v>22.266417038050125</v>
      </c>
      <c r="Q168" s="76">
        <f>VLOOKUP(C168,Others!$L$10:$M$61,2)</f>
        <v>0</v>
      </c>
      <c r="R168" s="11">
        <f t="shared" si="132"/>
        <v>0</v>
      </c>
      <c r="S168" s="80">
        <f t="shared" si="151"/>
        <v>0</v>
      </c>
      <c r="T168" s="78">
        <f t="shared" si="152"/>
        <v>3.1416666666666667E-5</v>
      </c>
      <c r="U168" s="81">
        <f t="shared" si="153"/>
        <v>1.8555347531708439E-3</v>
      </c>
      <c r="V168" s="81">
        <f t="shared" si="154"/>
        <v>0</v>
      </c>
      <c r="W168" s="77">
        <f t="shared" si="133"/>
        <v>0.84301035242507294</v>
      </c>
      <c r="X168" s="82">
        <f t="shared" si="155"/>
        <v>2.6460003713798529E-5</v>
      </c>
      <c r="Y168" s="82">
        <f t="shared" si="156"/>
        <v>1.5642104346826346E-3</v>
      </c>
      <c r="Z168" s="82">
        <f t="shared" si="157"/>
        <v>0</v>
      </c>
      <c r="AA168" s="82">
        <f t="shared" si="158"/>
        <v>0.84141968198667649</v>
      </c>
      <c r="AC168" s="46">
        <f t="shared" si="134"/>
        <v>0</v>
      </c>
      <c r="AD168" s="15">
        <f t="shared" si="135"/>
        <v>0</v>
      </c>
      <c r="AE168" s="46">
        <f t="shared" si="159"/>
        <v>0</v>
      </c>
      <c r="AF168" s="15">
        <f t="shared" si="160"/>
        <v>0</v>
      </c>
      <c r="AG168" s="46">
        <f>SUMPRODUCT(AE169:AE$605, $I168:$I$604) / $I168</f>
        <v>0</v>
      </c>
      <c r="AI168" s="46">
        <f t="shared" si="136"/>
        <v>-47000</v>
      </c>
      <c r="AJ168" s="46">
        <f>IF(E168&gt;Mat_Year,0,  -SUM($AD$5:AD168))</f>
        <v>-9306</v>
      </c>
      <c r="AK168" s="24">
        <f t="shared" si="161"/>
        <v>-0.24623679456060912</v>
      </c>
      <c r="AL168" s="79">
        <f t="shared" si="162"/>
        <v>-73.517890430083824</v>
      </c>
      <c r="AM168" s="24">
        <f t="shared" si="163"/>
        <v>-87.500855727866778</v>
      </c>
      <c r="AN168" s="79">
        <f t="shared" si="164"/>
        <v>-73.76412722464444</v>
      </c>
      <c r="AO168" s="15">
        <f t="shared" si="165"/>
        <v>-2816.5723604399413</v>
      </c>
      <c r="AP168" s="46">
        <f>SUMPRODUCT(AN169:AN$605, $I169:$I$605) / $I168</f>
        <v>-2374.3996582051946</v>
      </c>
      <c r="AR168" s="46">
        <v>0</v>
      </c>
      <c r="AS168" s="46">
        <v>0</v>
      </c>
      <c r="AT168" s="46">
        <v>0</v>
      </c>
      <c r="AU168" s="95">
        <f t="shared" si="137"/>
        <v>-2.0911490365020349</v>
      </c>
      <c r="AV168" s="47">
        <f t="shared" si="138"/>
        <v>0</v>
      </c>
      <c r="AW168" s="96">
        <f t="shared" si="173"/>
        <v>-2.0911490365020349</v>
      </c>
      <c r="AX168" s="95">
        <f t="shared" si="139"/>
        <v>-23.978508951889996</v>
      </c>
      <c r="AY168" s="11">
        <f t="shared" si="140"/>
        <v>0</v>
      </c>
      <c r="AZ168" s="96">
        <f t="shared" si="174"/>
        <v>-23.978508951889996</v>
      </c>
      <c r="BA168" s="95">
        <f t="shared" si="175"/>
        <v>-1.7628602862349321</v>
      </c>
      <c r="BB168" s="64">
        <f t="shared" si="176"/>
        <v>-3.8141905346595652E-2</v>
      </c>
      <c r="BC168" s="95">
        <f t="shared" si="177"/>
        <v>-2.0911490365020349</v>
      </c>
      <c r="BD168" s="96">
        <f t="shared" si="178"/>
        <v>-4.5244883691965949E-2</v>
      </c>
      <c r="BE168" s="96">
        <f t="shared" si="179"/>
        <v>-1.7628602862349321</v>
      </c>
      <c r="BF168" s="96">
        <f t="shared" si="180"/>
        <v>-3.8141905346595652E-2</v>
      </c>
      <c r="BG168" s="15">
        <f t="shared" si="166"/>
        <v>-151.57263248406687</v>
      </c>
      <c r="BH168" s="46">
        <f>(SUMPRODUCT(BE169:BE$605,$I168:$I$604)+SUMPRODUCT(BF169:BF$605,$I169:$I$605)) / $I168</f>
        <v>-127.77729832838926</v>
      </c>
      <c r="BJ168" s="46">
        <f t="shared" si="181"/>
        <v>-1.7628602862349321</v>
      </c>
      <c r="BK168" s="46">
        <f t="shared" si="182"/>
        <v>-73.802269129991032</v>
      </c>
      <c r="BM168" s="49">
        <f t="shared" si="167"/>
        <v>2973.7561529648219</v>
      </c>
      <c r="BN168" s="46">
        <f t="shared" si="183"/>
        <v>2502.1769565335831</v>
      </c>
      <c r="BP168" s="46">
        <f>Reserve!BX168</f>
        <v>3909.5681707575868</v>
      </c>
      <c r="BQ168" s="46">
        <f t="shared" si="141"/>
        <v>3289.587606944081</v>
      </c>
      <c r="BR168" s="15">
        <f t="shared" si="168"/>
        <v>87.816242213541955</v>
      </c>
      <c r="BT168" s="49">
        <f t="shared" si="169"/>
        <v>13.331277352021083</v>
      </c>
      <c r="BU168" s="46">
        <f t="shared" si="142"/>
        <v>11.238404818803685</v>
      </c>
      <c r="BV168" s="46">
        <f>SUMPRODUCT(BU169:BU$605, $I169:$I$605) / $I168</f>
        <v>289.25227020367123</v>
      </c>
      <c r="BX168" s="46">
        <f>-BZ168*Others!$Q$43</f>
        <v>-6.0133165097266392</v>
      </c>
      <c r="BZ168" s="50">
        <f t="shared" si="127"/>
        <v>23.489517616119684</v>
      </c>
      <c r="CA168" s="46">
        <f t="shared" si="170"/>
        <v>17.476201106393045</v>
      </c>
      <c r="CB168" s="46">
        <f t="shared" si="143"/>
        <v>17.476201106393045</v>
      </c>
      <c r="CD168" s="46">
        <f>SUMPRODUCT(BZ169:BZ$605, $I169:$I$605) / $I168</f>
        <v>787.41065041049899</v>
      </c>
      <c r="CE168" s="46">
        <f>SUMPRODUCT(CA169:CA$605, $I169:$I$605) / $I168</f>
        <v>585.83352390541143</v>
      </c>
      <c r="CF168" s="46">
        <f>SUMPRODUCT(CB169:CB$605, $I169:$I$605) / $I168</f>
        <v>585.83352390541143</v>
      </c>
      <c r="CH168" s="46">
        <f t="shared" si="144"/>
        <v>43090.431829242414</v>
      </c>
      <c r="CI168" s="46">
        <f t="shared" si="145"/>
        <v>5396.4318292424132</v>
      </c>
      <c r="CK168" s="46">
        <f>NPV((1+CK$3)^(1/12)-1,$CB$6:$CB168)+$CB$5</f>
        <v>1008.3930938269814</v>
      </c>
      <c r="CL168" s="46">
        <f>NPV((1+CL$3)^(1/12)-1,$CB$6:$CB168)+$CB$5</f>
        <v>761.13199609016215</v>
      </c>
      <c r="CM168" s="46">
        <f>NPV((1+CM$3)^(1/12)-1,$CB$6:$CB168)+$CB$5</f>
        <v>320.01834850056366</v>
      </c>
      <c r="CN168" s="46">
        <f>NPV((1+CN$3)^(1/12)-1,$CB$6:$CB168)+$CB$5</f>
        <v>320.01834850056366</v>
      </c>
    </row>
    <row r="169" spans="1:92" x14ac:dyDescent="0.25">
      <c r="A169" s="61">
        <f t="shared" si="128"/>
        <v>13.666666666666694</v>
      </c>
      <c r="B169" s="32">
        <f t="shared" si="146"/>
        <v>8</v>
      </c>
      <c r="C169" s="62">
        <f t="shared" si="147"/>
        <v>14</v>
      </c>
      <c r="D169" s="64">
        <f t="shared" si="148"/>
        <v>14.166666666666694</v>
      </c>
      <c r="E169" s="28">
        <f t="shared" si="129"/>
        <v>14</v>
      </c>
      <c r="G169" s="68">
        <f>INDEX(Others!$D$11:$E$60, MATCH(C169, Others!$A$11:$A$60, 0), MATCH(G$3, Others!$D$10:$E$10, 0))</f>
        <v>4.0690909090909333E-2</v>
      </c>
      <c r="H169" s="16">
        <f t="shared" si="171"/>
        <v>3.329265421250005E-3</v>
      </c>
      <c r="I169" s="69">
        <f t="shared" si="172"/>
        <v>0.57978806193747201</v>
      </c>
      <c r="K169" s="80">
        <f>INDEX(Mortality!$B$7:$F$32, MATCH( E169,Mortality!$A$7:$A$32, 0), MATCH( K$3,Mortality!$B$6:$F$6,0))</f>
        <v>0.377</v>
      </c>
      <c r="L169" s="11">
        <f t="shared" si="130"/>
        <v>0</v>
      </c>
      <c r="M169" s="80">
        <f t="shared" si="149"/>
        <v>0.377</v>
      </c>
      <c r="N169" s="76">
        <f>INDEX(Myopia!$H:$H, MATCH(E169, Myopia!$A:$A, 0)) * Trend_Factor^(A169)</f>
        <v>22.266417038050125</v>
      </c>
      <c r="O169" s="11">
        <f t="shared" si="131"/>
        <v>0</v>
      </c>
      <c r="P169" s="80">
        <f t="shared" si="150"/>
        <v>22.266417038050125</v>
      </c>
      <c r="Q169" s="76">
        <f>VLOOKUP(C169,Others!$L$10:$M$61,2)</f>
        <v>0</v>
      </c>
      <c r="R169" s="11">
        <f t="shared" si="132"/>
        <v>0</v>
      </c>
      <c r="S169" s="80">
        <f t="shared" si="151"/>
        <v>0</v>
      </c>
      <c r="T169" s="78">
        <f t="shared" si="152"/>
        <v>3.1416666666666667E-5</v>
      </c>
      <c r="U169" s="81">
        <f t="shared" si="153"/>
        <v>1.8555347531708439E-3</v>
      </c>
      <c r="V169" s="81">
        <f t="shared" si="154"/>
        <v>0</v>
      </c>
      <c r="W169" s="77">
        <f t="shared" si="133"/>
        <v>0.84141968198667649</v>
      </c>
      <c r="X169" s="82">
        <f t="shared" si="155"/>
        <v>2.64100765147003E-5</v>
      </c>
      <c r="Y169" s="82">
        <f t="shared" si="156"/>
        <v>1.5612589367671901E-3</v>
      </c>
      <c r="Z169" s="82">
        <f t="shared" si="157"/>
        <v>0</v>
      </c>
      <c r="AA169" s="82">
        <f t="shared" si="158"/>
        <v>0.8398320129733946</v>
      </c>
      <c r="AC169" s="46">
        <f t="shared" si="134"/>
        <v>0</v>
      </c>
      <c r="AD169" s="15">
        <f t="shared" si="135"/>
        <v>0</v>
      </c>
      <c r="AE169" s="46">
        <f t="shared" si="159"/>
        <v>0</v>
      </c>
      <c r="AF169" s="15">
        <f t="shared" si="160"/>
        <v>0</v>
      </c>
      <c r="AG169" s="46">
        <f>SUMPRODUCT(AE170:AE$605, $I169:$I$604) / $I169</f>
        <v>0</v>
      </c>
      <c r="AI169" s="46">
        <f t="shared" si="136"/>
        <v>-47000</v>
      </c>
      <c r="AJ169" s="46">
        <f>IF(E169&gt;Mat_Year,0,  -SUM($AD$5:AD169))</f>
        <v>-9306</v>
      </c>
      <c r="AK169" s="24">
        <f t="shared" si="161"/>
        <v>-0.24577217204580099</v>
      </c>
      <c r="AL169" s="79">
        <f t="shared" si="162"/>
        <v>-73.379170028057942</v>
      </c>
      <c r="AM169" s="24">
        <f t="shared" si="163"/>
        <v>-87.500855727866806</v>
      </c>
      <c r="AN169" s="79">
        <f t="shared" si="164"/>
        <v>-73.624942200103746</v>
      </c>
      <c r="AO169" s="15">
        <f t="shared" si="165"/>
        <v>-2743.7909667531849</v>
      </c>
      <c r="AP169" s="46">
        <f>SUMPRODUCT(AN170:AN$605, $I170:$I$605) / $I169</f>
        <v>-2308.6797226833805</v>
      </c>
      <c r="AR169" s="46">
        <v>0</v>
      </c>
      <c r="AS169" s="46">
        <v>0</v>
      </c>
      <c r="AT169" s="46">
        <v>0</v>
      </c>
      <c r="AU169" s="95">
        <f t="shared" si="137"/>
        <v>-2.0934871471359964</v>
      </c>
      <c r="AV169" s="47">
        <f t="shared" si="138"/>
        <v>0</v>
      </c>
      <c r="AW169" s="96">
        <f t="shared" si="173"/>
        <v>-2.0934871471359964</v>
      </c>
      <c r="AX169" s="95">
        <f t="shared" si="139"/>
        <v>-24.00531928715942</v>
      </c>
      <c r="AY169" s="11">
        <f t="shared" si="140"/>
        <v>0</v>
      </c>
      <c r="AZ169" s="96">
        <f t="shared" si="174"/>
        <v>-24.00531928715942</v>
      </c>
      <c r="BA169" s="95">
        <f t="shared" si="175"/>
        <v>-1.7615012895863646</v>
      </c>
      <c r="BB169" s="64">
        <f t="shared" si="176"/>
        <v>-3.8112501586161127E-2</v>
      </c>
      <c r="BC169" s="95">
        <f t="shared" si="177"/>
        <v>-2.0934871471359964</v>
      </c>
      <c r="BD169" s="96">
        <f t="shared" si="178"/>
        <v>-4.5295471929268014E-2</v>
      </c>
      <c r="BE169" s="96">
        <f t="shared" si="179"/>
        <v>-1.7615012895863646</v>
      </c>
      <c r="BF169" s="96">
        <f t="shared" si="180"/>
        <v>-3.8112501586161127E-2</v>
      </c>
      <c r="BG169" s="15">
        <f t="shared" si="166"/>
        <v>-150.21900162163155</v>
      </c>
      <c r="BH169" s="46">
        <f>(SUMPRODUCT(BE170:BE$605,$I169:$I$604)+SUMPRODUCT(BF170:BF$605,$I170:$I$605)) / $I169</f>
        <v>-126.39722457282926</v>
      </c>
      <c r="BJ169" s="46">
        <f t="shared" si="181"/>
        <v>-1.7615012895863646</v>
      </c>
      <c r="BK169" s="46">
        <f t="shared" si="182"/>
        <v>-73.663054701689902</v>
      </c>
      <c r="BM169" s="49">
        <f t="shared" si="167"/>
        <v>2899.4809791006996</v>
      </c>
      <c r="BN169" s="46">
        <f t="shared" si="183"/>
        <v>2435.0769472562097</v>
      </c>
      <c r="BP169" s="46">
        <f>Reserve!BX169</f>
        <v>3812.2890906299008</v>
      </c>
      <c r="BQ169" s="46">
        <f t="shared" si="141"/>
        <v>3201.6824210202217</v>
      </c>
      <c r="BR169" s="15">
        <f t="shared" si="168"/>
        <v>87.905185923859335</v>
      </c>
      <c r="BT169" s="49">
        <f t="shared" si="169"/>
        <v>13.009020348554076</v>
      </c>
      <c r="BU169" s="46">
        <f t="shared" si="142"/>
        <v>10.946045764638574</v>
      </c>
      <c r="BV169" s="46">
        <f>SUMPRODUCT(BU170:BU$605, $I170:$I$605) / $I169</f>
        <v>279.26922202023979</v>
      </c>
      <c r="BX169" s="46">
        <f>-BZ169*Others!$Q$43</f>
        <v>-5.9972289784887414</v>
      </c>
      <c r="BZ169" s="50">
        <f t="shared" si="127"/>
        <v>23.426675697221647</v>
      </c>
      <c r="CA169" s="46">
        <f t="shared" si="170"/>
        <v>17.429446718732905</v>
      </c>
      <c r="CB169" s="46">
        <f t="shared" si="143"/>
        <v>17.429446718732905</v>
      </c>
      <c r="CD169" s="46">
        <f>SUMPRODUCT(BZ170:BZ$605, $I170:$I$605) / $I169</f>
        <v>766.60547376401291</v>
      </c>
      <c r="CE169" s="46">
        <f>SUMPRODUCT(CA170:CA$605, $I170:$I$605) / $I169</f>
        <v>570.3544724804259</v>
      </c>
      <c r="CF169" s="46">
        <f>SUMPRODUCT(CB170:CB$605, $I170:$I$605) / $I169</f>
        <v>570.3544724804259</v>
      </c>
      <c r="CH169" s="46">
        <f t="shared" si="144"/>
        <v>43187.7109093701</v>
      </c>
      <c r="CI169" s="46">
        <f t="shared" si="145"/>
        <v>5493.7109093700992</v>
      </c>
      <c r="CK169" s="46">
        <f>NPV((1+CK$3)^(1/12)-1,$CB$6:$CB169)+$CB$5</f>
        <v>1020.0301071112815</v>
      </c>
      <c r="CL169" s="46">
        <f>NPV((1+CL$3)^(1/12)-1,$CB$6:$CB169)+$CB$5</f>
        <v>770.07938909668542</v>
      </c>
      <c r="CM169" s="46">
        <f>NPV((1+CM$3)^(1/12)-1,$CB$6:$CB169)+$CB$5</f>
        <v>324.75622319596118</v>
      </c>
      <c r="CN169" s="46">
        <f>NPV((1+CN$3)^(1/12)-1,$CB$6:$CB169)+$CB$5</f>
        <v>324.75622319596118</v>
      </c>
    </row>
    <row r="170" spans="1:92" x14ac:dyDescent="0.25">
      <c r="A170" s="61">
        <f t="shared" si="128"/>
        <v>13.750000000000028</v>
      </c>
      <c r="B170" s="32">
        <f t="shared" si="146"/>
        <v>9</v>
      </c>
      <c r="C170" s="62">
        <f t="shared" si="147"/>
        <v>14</v>
      </c>
      <c r="D170" s="64">
        <f t="shared" si="148"/>
        <v>14.250000000000028</v>
      </c>
      <c r="E170" s="28">
        <f t="shared" si="129"/>
        <v>14</v>
      </c>
      <c r="G170" s="68">
        <f>INDEX(Others!$D$11:$E$60, MATCH(C170, Others!$A$11:$A$60, 0), MATCH(G$3, Others!$D$10:$E$10, 0))</f>
        <v>4.0690909090909333E-2</v>
      </c>
      <c r="H170" s="16">
        <f t="shared" si="171"/>
        <v>3.329265421250005E-3</v>
      </c>
      <c r="I170" s="69">
        <f t="shared" si="172"/>
        <v>0.5778641986427524</v>
      </c>
      <c r="K170" s="80">
        <f>INDEX(Mortality!$B$7:$F$32, MATCH( E170,Mortality!$A$7:$A$32, 0), MATCH( K$3,Mortality!$B$6:$F$6,0))</f>
        <v>0.377</v>
      </c>
      <c r="L170" s="11">
        <f t="shared" si="130"/>
        <v>0</v>
      </c>
      <c r="M170" s="80">
        <f t="shared" si="149"/>
        <v>0.377</v>
      </c>
      <c r="N170" s="76">
        <f>INDEX(Myopia!$H:$H, MATCH(E170, Myopia!$A:$A, 0)) * Trend_Factor^(A170)</f>
        <v>22.266417038050125</v>
      </c>
      <c r="O170" s="11">
        <f t="shared" si="131"/>
        <v>0</v>
      </c>
      <c r="P170" s="80">
        <f t="shared" si="150"/>
        <v>22.266417038050125</v>
      </c>
      <c r="Q170" s="76">
        <f>VLOOKUP(C170,Others!$L$10:$M$61,2)</f>
        <v>0</v>
      </c>
      <c r="R170" s="11">
        <f t="shared" si="132"/>
        <v>0</v>
      </c>
      <c r="S170" s="80">
        <f t="shared" si="151"/>
        <v>0</v>
      </c>
      <c r="T170" s="78">
        <f t="shared" si="152"/>
        <v>3.1416666666666667E-5</v>
      </c>
      <c r="U170" s="81">
        <f t="shared" si="153"/>
        <v>1.8555347531708439E-3</v>
      </c>
      <c r="V170" s="81">
        <f t="shared" si="154"/>
        <v>0</v>
      </c>
      <c r="W170" s="77">
        <f t="shared" si="133"/>
        <v>0.8398320129733946</v>
      </c>
      <c r="X170" s="82">
        <f t="shared" si="155"/>
        <v>2.6360243522890799E-5</v>
      </c>
      <c r="Y170" s="82">
        <f t="shared" si="156"/>
        <v>1.5583130080128707E-3</v>
      </c>
      <c r="Z170" s="82">
        <f t="shared" si="157"/>
        <v>0</v>
      </c>
      <c r="AA170" s="82">
        <f t="shared" si="158"/>
        <v>0.83824733972185883</v>
      </c>
      <c r="AC170" s="46">
        <f t="shared" si="134"/>
        <v>0</v>
      </c>
      <c r="AD170" s="15">
        <f t="shared" si="135"/>
        <v>0</v>
      </c>
      <c r="AE170" s="46">
        <f t="shared" si="159"/>
        <v>0</v>
      </c>
      <c r="AF170" s="15">
        <f t="shared" si="160"/>
        <v>0</v>
      </c>
      <c r="AG170" s="46">
        <f>SUMPRODUCT(AE171:AE$605, $I170:$I$604) / $I170</f>
        <v>0</v>
      </c>
      <c r="AI170" s="46">
        <f t="shared" si="136"/>
        <v>-47000</v>
      </c>
      <c r="AJ170" s="46">
        <f>IF(E170&gt;Mat_Year,0,  -SUM($AD$5:AD170))</f>
        <v>-9306</v>
      </c>
      <c r="AK170" s="24">
        <f t="shared" si="161"/>
        <v>-0.24530842622402177</v>
      </c>
      <c r="AL170" s="79">
        <f t="shared" si="162"/>
        <v>-73.240711376604921</v>
      </c>
      <c r="AM170" s="24">
        <f t="shared" si="163"/>
        <v>-87.500855727866792</v>
      </c>
      <c r="AN170" s="79">
        <f t="shared" si="164"/>
        <v>-73.486019802828949</v>
      </c>
      <c r="AO170" s="15">
        <f t="shared" si="165"/>
        <v>-2670.6292160847597</v>
      </c>
      <c r="AP170" s="46">
        <f>SUMPRODUCT(AN171:AN$605, $I171:$I$605) / $I170</f>
        <v>-2242.8799104500226</v>
      </c>
      <c r="AR170" s="46">
        <v>0</v>
      </c>
      <c r="AS170" s="46">
        <v>0</v>
      </c>
      <c r="AT170" s="46">
        <v>0</v>
      </c>
      <c r="AU170" s="95">
        <f t="shared" si="137"/>
        <v>-2.0958278720079875</v>
      </c>
      <c r="AV170" s="47">
        <f t="shared" si="138"/>
        <v>0</v>
      </c>
      <c r="AW170" s="96">
        <f t="shared" si="173"/>
        <v>-2.0958278720079875</v>
      </c>
      <c r="AX170" s="95">
        <f t="shared" si="139"/>
        <v>-24.032159599024919</v>
      </c>
      <c r="AY170" s="11">
        <f t="shared" si="140"/>
        <v>0</v>
      </c>
      <c r="AZ170" s="96">
        <f t="shared" si="174"/>
        <v>-24.032159599024919</v>
      </c>
      <c r="BA170" s="95">
        <f t="shared" si="175"/>
        <v>-1.7601433405942142</v>
      </c>
      <c r="BB170" s="64">
        <f t="shared" si="176"/>
        <v>-3.8083120493213184E-2</v>
      </c>
      <c r="BC170" s="95">
        <f t="shared" si="177"/>
        <v>-2.0958278720079875</v>
      </c>
      <c r="BD170" s="96">
        <f t="shared" si="178"/>
        <v>-4.534611672920312E-2</v>
      </c>
      <c r="BE170" s="96">
        <f t="shared" si="179"/>
        <v>-1.7601433405942142</v>
      </c>
      <c r="BF170" s="96">
        <f t="shared" si="180"/>
        <v>-3.8083120493213184E-2</v>
      </c>
      <c r="BG170" s="15">
        <f t="shared" si="166"/>
        <v>-148.85589749536521</v>
      </c>
      <c r="BH170" s="46">
        <f>(SUMPRODUCT(BE171:BE$605,$I170:$I$604)+SUMPRODUCT(BF171:BF$605,$I171:$I$605)) / $I170</f>
        <v>-125.01394803649384</v>
      </c>
      <c r="BJ170" s="46">
        <f t="shared" si="181"/>
        <v>-1.7601433405942142</v>
      </c>
      <c r="BK170" s="46">
        <f t="shared" si="182"/>
        <v>-73.524102923322161</v>
      </c>
      <c r="BM170" s="49">
        <f t="shared" si="167"/>
        <v>2824.8152380325041</v>
      </c>
      <c r="BN170" s="46">
        <f t="shared" si="183"/>
        <v>2367.8938584865159</v>
      </c>
      <c r="BP170" s="46">
        <f>Reserve!BX170</f>
        <v>3714.5213937293861</v>
      </c>
      <c r="BQ170" s="46">
        <f t="shared" si="141"/>
        <v>3113.687676633589</v>
      </c>
      <c r="BR170" s="15">
        <f t="shared" si="168"/>
        <v>87.994744386632647</v>
      </c>
      <c r="BT170" s="49">
        <f t="shared" si="169"/>
        <v>12.685144677979588</v>
      </c>
      <c r="BU170" s="46">
        <f t="shared" si="142"/>
        <v>10.653390589766341</v>
      </c>
      <c r="BV170" s="46">
        <f>SUMPRODUCT(BU171:BU$605, $I171:$I$605) / $I170</f>
        <v>269.54559279456487</v>
      </c>
      <c r="BX170" s="46">
        <f>-BZ170*Others!$Q$43</f>
        <v>-5.9811555103955492</v>
      </c>
      <c r="BZ170" s="50">
        <f t="shared" si="127"/>
        <v>23.363888712482613</v>
      </c>
      <c r="CA170" s="46">
        <f t="shared" si="170"/>
        <v>17.382733202087064</v>
      </c>
      <c r="CB170" s="46">
        <f t="shared" si="143"/>
        <v>17.382733202087064</v>
      </c>
      <c r="CD170" s="46">
        <f>SUMPRODUCT(BZ171:BZ$605, $I171:$I$605) / $I170</f>
        <v>745.79381814707381</v>
      </c>
      <c r="CE170" s="46">
        <f>SUMPRODUCT(CA171:CA$605, $I171:$I$605) / $I170</f>
        <v>554.87060070142309</v>
      </c>
      <c r="CF170" s="46">
        <f>SUMPRODUCT(CB171:CB$605, $I171:$I$605) / $I170</f>
        <v>554.87060070142309</v>
      </c>
      <c r="CH170" s="46">
        <f t="shared" si="144"/>
        <v>43285.478606270612</v>
      </c>
      <c r="CI170" s="46">
        <f t="shared" si="145"/>
        <v>5591.4786062706135</v>
      </c>
      <c r="CK170" s="46">
        <f>NPV((1+CK$3)^(1/12)-1,$CB$6:$CB170)+$CB$5</f>
        <v>1031.6073787892424</v>
      </c>
      <c r="CL170" s="46">
        <f>NPV((1+CL$3)^(1/12)-1,$CB$6:$CB170)+$CB$5</f>
        <v>778.96659418192303</v>
      </c>
      <c r="CM170" s="46">
        <f>NPV((1+CM$3)^(1/12)-1,$CB$6:$CB170)+$CB$5</f>
        <v>329.44401854217244</v>
      </c>
      <c r="CN170" s="46">
        <f>NPV((1+CN$3)^(1/12)-1,$CB$6:$CB170)+$CB$5</f>
        <v>329.44401854217244</v>
      </c>
    </row>
    <row r="171" spans="1:92" x14ac:dyDescent="0.25">
      <c r="A171" s="61">
        <f t="shared" si="128"/>
        <v>13.833333333333362</v>
      </c>
      <c r="B171" s="32">
        <f t="shared" si="146"/>
        <v>10</v>
      </c>
      <c r="C171" s="62">
        <f t="shared" si="147"/>
        <v>14</v>
      </c>
      <c r="D171" s="64">
        <f t="shared" si="148"/>
        <v>14.333333333333362</v>
      </c>
      <c r="E171" s="28">
        <f t="shared" si="129"/>
        <v>14</v>
      </c>
      <c r="G171" s="68">
        <f>INDEX(Others!$D$11:$E$60, MATCH(C171, Others!$A$11:$A$60, 0), MATCH(G$3, Others!$D$10:$E$10, 0))</f>
        <v>4.0690909090909333E-2</v>
      </c>
      <c r="H171" s="16">
        <f t="shared" si="171"/>
        <v>3.329265421250005E-3</v>
      </c>
      <c r="I171" s="69">
        <f t="shared" si="172"/>
        <v>0.57594671914621653</v>
      </c>
      <c r="K171" s="80">
        <f>INDEX(Mortality!$B$7:$F$32, MATCH( E171,Mortality!$A$7:$A$32, 0), MATCH( K$3,Mortality!$B$6:$F$6,0))</f>
        <v>0.377</v>
      </c>
      <c r="L171" s="11">
        <f t="shared" si="130"/>
        <v>0</v>
      </c>
      <c r="M171" s="80">
        <f t="shared" si="149"/>
        <v>0.377</v>
      </c>
      <c r="N171" s="76">
        <f>INDEX(Myopia!$H:$H, MATCH(E171, Myopia!$A:$A, 0)) * Trend_Factor^(A171)</f>
        <v>22.266417038050125</v>
      </c>
      <c r="O171" s="11">
        <f t="shared" si="131"/>
        <v>0</v>
      </c>
      <c r="P171" s="80">
        <f t="shared" si="150"/>
        <v>22.266417038050125</v>
      </c>
      <c r="Q171" s="76">
        <f>VLOOKUP(C171,Others!$L$10:$M$61,2)</f>
        <v>0</v>
      </c>
      <c r="R171" s="11">
        <f t="shared" si="132"/>
        <v>0</v>
      </c>
      <c r="S171" s="80">
        <f t="shared" si="151"/>
        <v>0</v>
      </c>
      <c r="T171" s="78">
        <f t="shared" si="152"/>
        <v>3.1416666666666667E-5</v>
      </c>
      <c r="U171" s="81">
        <f t="shared" si="153"/>
        <v>1.8555347531708439E-3</v>
      </c>
      <c r="V171" s="81">
        <f t="shared" si="154"/>
        <v>0</v>
      </c>
      <c r="W171" s="77">
        <f t="shared" si="133"/>
        <v>0.83824733972185883</v>
      </c>
      <c r="X171" s="82">
        <f t="shared" si="155"/>
        <v>2.6310504560610951E-5</v>
      </c>
      <c r="Y171" s="82">
        <f t="shared" si="156"/>
        <v>1.555372637911265E-3</v>
      </c>
      <c r="Z171" s="82">
        <f t="shared" si="157"/>
        <v>0</v>
      </c>
      <c r="AA171" s="82">
        <f t="shared" si="158"/>
        <v>0.83666565657938696</v>
      </c>
      <c r="AC171" s="46">
        <f t="shared" si="134"/>
        <v>0</v>
      </c>
      <c r="AD171" s="15">
        <f t="shared" si="135"/>
        <v>0</v>
      </c>
      <c r="AE171" s="46">
        <f t="shared" si="159"/>
        <v>0</v>
      </c>
      <c r="AF171" s="15">
        <f t="shared" si="160"/>
        <v>0</v>
      </c>
      <c r="AG171" s="46">
        <f>SUMPRODUCT(AE172:AE$605, $I171:$I$604) / $I171</f>
        <v>0</v>
      </c>
      <c r="AI171" s="46">
        <f t="shared" si="136"/>
        <v>-47000</v>
      </c>
      <c r="AJ171" s="46">
        <f>IF(E171&gt;Mat_Year,0,  -SUM($AD$5:AD171))</f>
        <v>-9306</v>
      </c>
      <c r="AK171" s="24">
        <f t="shared" si="161"/>
        <v>-0.2448455554410455</v>
      </c>
      <c r="AL171" s="79">
        <f t="shared" si="162"/>
        <v>-73.10251398182946</v>
      </c>
      <c r="AM171" s="24">
        <f t="shared" si="163"/>
        <v>-87.500855727866792</v>
      </c>
      <c r="AN171" s="79">
        <f t="shared" si="164"/>
        <v>-73.347359537270506</v>
      </c>
      <c r="AO171" s="15">
        <f t="shared" si="165"/>
        <v>-2597.0851206816656</v>
      </c>
      <c r="AP171" s="46">
        <f>SUMPRODUCT(AN172:AN$605, $I172:$I$605) / $I171</f>
        <v>-2176.999693442629</v>
      </c>
      <c r="AR171" s="46">
        <v>0</v>
      </c>
      <c r="AS171" s="46">
        <v>0</v>
      </c>
      <c r="AT171" s="46">
        <v>0</v>
      </c>
      <c r="AU171" s="95">
        <f t="shared" si="137"/>
        <v>-2.0981712140409838</v>
      </c>
      <c r="AV171" s="47">
        <f t="shared" si="138"/>
        <v>0</v>
      </c>
      <c r="AW171" s="96">
        <f t="shared" si="173"/>
        <v>-2.0981712140409838</v>
      </c>
      <c r="AX171" s="95">
        <f t="shared" si="139"/>
        <v>-24.059029921003276</v>
      </c>
      <c r="AY171" s="11">
        <f t="shared" si="140"/>
        <v>0</v>
      </c>
      <c r="AZ171" s="96">
        <f t="shared" si="174"/>
        <v>-24.059029921003276</v>
      </c>
      <c r="BA171" s="95">
        <f t="shared" si="175"/>
        <v>-1.7587864384508376</v>
      </c>
      <c r="BB171" s="64">
        <f t="shared" si="176"/>
        <v>-3.8053762050277357E-2</v>
      </c>
      <c r="BC171" s="95">
        <f t="shared" si="177"/>
        <v>-2.0981712140409838</v>
      </c>
      <c r="BD171" s="96">
        <f t="shared" si="178"/>
        <v>-4.5396818155013868E-2</v>
      </c>
      <c r="BE171" s="96">
        <f t="shared" si="179"/>
        <v>-1.7587864384508376</v>
      </c>
      <c r="BF171" s="96">
        <f t="shared" si="180"/>
        <v>-3.8053762050277357E-2</v>
      </c>
      <c r="BG171" s="15">
        <f t="shared" si="166"/>
        <v>-147.48326791530624</v>
      </c>
      <c r="BH171" s="46">
        <f>(SUMPRODUCT(BE172:BE$605,$I171:$I$604)+SUMPRODUCT(BF172:BF$605,$I172:$I$605)) / $I171</f>
        <v>-123.62745698349164</v>
      </c>
      <c r="BJ171" s="46">
        <f t="shared" si="181"/>
        <v>-1.7587864384508376</v>
      </c>
      <c r="BK171" s="46">
        <f t="shared" si="182"/>
        <v>-73.385413299320788</v>
      </c>
      <c r="BM171" s="49">
        <f t="shared" si="167"/>
        <v>2749.756885960845</v>
      </c>
      <c r="BN171" s="46">
        <f t="shared" si="183"/>
        <v>2300.6271504261208</v>
      </c>
      <c r="BP171" s="46">
        <f>Reserve!BX171</f>
        <v>3616.2626420655456</v>
      </c>
      <c r="BQ171" s="46">
        <f t="shared" si="141"/>
        <v>3025.6027577872783</v>
      </c>
      <c r="BR171" s="15">
        <f t="shared" si="168"/>
        <v>88.084918846310757</v>
      </c>
      <c r="BT171" s="49">
        <f t="shared" si="169"/>
        <v>12.359642263765851</v>
      </c>
      <c r="BU171" s="46">
        <f t="shared" si="142"/>
        <v>10.360437247515577</v>
      </c>
      <c r="BV171" s="46">
        <f>SUMPRODUCT(BU172:BU$605, $I172:$I$605) / $I171</f>
        <v>260.08254436859062</v>
      </c>
      <c r="BX171" s="46">
        <f>-BZ171*Others!$Q$43</f>
        <v>-5.9650960271500049</v>
      </c>
      <c r="BZ171" s="50">
        <f t="shared" si="127"/>
        <v>23.301156356054705</v>
      </c>
      <c r="CA171" s="46">
        <f t="shared" si="170"/>
        <v>17.336060328904701</v>
      </c>
      <c r="CB171" s="46">
        <f t="shared" si="143"/>
        <v>17.336060328904701</v>
      </c>
      <c r="CD171" s="46">
        <f>SUMPRODUCT(BZ172:BZ$605, $I172:$I$605) / $I171</f>
        <v>724.97560736115827</v>
      </c>
      <c r="CE171" s="46">
        <f>SUMPRODUCT(CA172:CA$605, $I172:$I$605) / $I171</f>
        <v>539.38185187670183</v>
      </c>
      <c r="CF171" s="46">
        <f>SUMPRODUCT(CB172:CB$605, $I172:$I$605) / $I171</f>
        <v>539.38185187670183</v>
      </c>
      <c r="CH171" s="46">
        <f t="shared" si="144"/>
        <v>43383.737357934457</v>
      </c>
      <c r="CI171" s="46">
        <f t="shared" si="145"/>
        <v>5689.7373579344548</v>
      </c>
      <c r="CK171" s="46">
        <f>NPV((1+CK$3)^(1/12)-1,$CB$6:$CB171)+$CB$5</f>
        <v>1043.125159382422</v>
      </c>
      <c r="CL171" s="46">
        <f>NPV((1+CL$3)^(1/12)-1,$CB$6:$CB171)+$CB$5</f>
        <v>787.79397316692689</v>
      </c>
      <c r="CM171" s="46">
        <f>NPV((1+CM$3)^(1/12)-1,$CB$6:$CB171)+$CB$5</f>
        <v>334.0822412553739</v>
      </c>
      <c r="CN171" s="46">
        <f>NPV((1+CN$3)^(1/12)-1,$CB$6:$CB171)+$CB$5</f>
        <v>334.0822412553739</v>
      </c>
    </row>
    <row r="172" spans="1:92" x14ac:dyDescent="0.25">
      <c r="A172" s="61">
        <f t="shared" si="128"/>
        <v>13.916666666666696</v>
      </c>
      <c r="B172" s="32">
        <f t="shared" si="146"/>
        <v>11</v>
      </c>
      <c r="C172" s="62">
        <f t="shared" si="147"/>
        <v>14</v>
      </c>
      <c r="D172" s="64">
        <f t="shared" si="148"/>
        <v>14.416666666666696</v>
      </c>
      <c r="E172" s="28">
        <f t="shared" si="129"/>
        <v>14</v>
      </c>
      <c r="G172" s="68">
        <f>INDEX(Others!$D$11:$E$60, MATCH(C172, Others!$A$11:$A$60, 0), MATCH(G$3, Others!$D$10:$E$10, 0))</f>
        <v>4.0690909090909333E-2</v>
      </c>
      <c r="H172" s="16">
        <f t="shared" si="171"/>
        <v>3.329265421250005E-3</v>
      </c>
      <c r="I172" s="69">
        <f t="shared" si="172"/>
        <v>0.57403560226502914</v>
      </c>
      <c r="K172" s="80">
        <f>INDEX(Mortality!$B$7:$F$32, MATCH( E172,Mortality!$A$7:$A$32, 0), MATCH( K$3,Mortality!$B$6:$F$6,0))</f>
        <v>0.377</v>
      </c>
      <c r="L172" s="11">
        <f t="shared" si="130"/>
        <v>0</v>
      </c>
      <c r="M172" s="80">
        <f t="shared" si="149"/>
        <v>0.377</v>
      </c>
      <c r="N172" s="76">
        <f>INDEX(Myopia!$H:$H, MATCH(E172, Myopia!$A:$A, 0)) * Trend_Factor^(A172)</f>
        <v>22.266417038050125</v>
      </c>
      <c r="O172" s="11">
        <f t="shared" si="131"/>
        <v>0</v>
      </c>
      <c r="P172" s="80">
        <f t="shared" si="150"/>
        <v>22.266417038050125</v>
      </c>
      <c r="Q172" s="76">
        <f>VLOOKUP(C172,Others!$L$10:$M$61,2)</f>
        <v>0</v>
      </c>
      <c r="R172" s="11">
        <f t="shared" si="132"/>
        <v>0</v>
      </c>
      <c r="S172" s="80">
        <f t="shared" si="151"/>
        <v>0</v>
      </c>
      <c r="T172" s="78">
        <f t="shared" si="152"/>
        <v>3.1416666666666667E-5</v>
      </c>
      <c r="U172" s="81">
        <f t="shared" si="153"/>
        <v>1.8555347531708439E-3</v>
      </c>
      <c r="V172" s="81">
        <f t="shared" si="154"/>
        <v>0</v>
      </c>
      <c r="W172" s="77">
        <f t="shared" si="133"/>
        <v>0.83666565657938696</v>
      </c>
      <c r="X172" s="82">
        <f t="shared" si="155"/>
        <v>2.6260859450437077E-5</v>
      </c>
      <c r="Y172" s="82">
        <f t="shared" si="156"/>
        <v>1.5524378159737894E-3</v>
      </c>
      <c r="Z172" s="82">
        <f t="shared" si="157"/>
        <v>0</v>
      </c>
      <c r="AA172" s="82">
        <f t="shared" si="158"/>
        <v>0.8350869579039627</v>
      </c>
      <c r="AC172" s="46">
        <f t="shared" si="134"/>
        <v>0</v>
      </c>
      <c r="AD172" s="15">
        <f t="shared" si="135"/>
        <v>0</v>
      </c>
      <c r="AE172" s="46">
        <f t="shared" si="159"/>
        <v>0</v>
      </c>
      <c r="AF172" s="15">
        <f t="shared" si="160"/>
        <v>0</v>
      </c>
      <c r="AG172" s="46">
        <f>SUMPRODUCT(AE173:AE$605, $I172:$I$604) / $I172</f>
        <v>0</v>
      </c>
      <c r="AI172" s="46">
        <f t="shared" si="136"/>
        <v>-47000</v>
      </c>
      <c r="AJ172" s="46">
        <f>IF(E172&gt;Mat_Year,0,  -SUM($AD$5:AD172))</f>
        <v>-9306</v>
      </c>
      <c r="AK172" s="24">
        <f t="shared" si="161"/>
        <v>-0.24438355804576745</v>
      </c>
      <c r="AL172" s="79">
        <f t="shared" si="162"/>
        <v>-72.96457735076811</v>
      </c>
      <c r="AM172" s="24">
        <f t="shared" si="163"/>
        <v>-87.500855727866792</v>
      </c>
      <c r="AN172" s="79">
        <f t="shared" si="164"/>
        <v>-73.208960908813879</v>
      </c>
      <c r="AO172" s="15">
        <f t="shared" si="165"/>
        <v>-2523.1566824028705</v>
      </c>
      <c r="AP172" s="46">
        <f>SUMPRODUCT(AN173:AN$605, $I173:$I$605) / $I172</f>
        <v>-2111.0385423352654</v>
      </c>
      <c r="AR172" s="46">
        <v>0</v>
      </c>
      <c r="AS172" s="46">
        <v>0</v>
      </c>
      <c r="AT172" s="46">
        <v>0</v>
      </c>
      <c r="AU172" s="95">
        <f t="shared" si="137"/>
        <v>-2.1005171761612287</v>
      </c>
      <c r="AV172" s="47">
        <f t="shared" si="138"/>
        <v>0</v>
      </c>
      <c r="AW172" s="96">
        <f t="shared" si="173"/>
        <v>-2.1005171761612287</v>
      </c>
      <c r="AX172" s="95">
        <f t="shared" si="139"/>
        <v>-24.085930286648754</v>
      </c>
      <c r="AY172" s="11">
        <f t="shared" si="140"/>
        <v>0</v>
      </c>
      <c r="AZ172" s="96">
        <f t="shared" si="174"/>
        <v>-24.085930286648754</v>
      </c>
      <c r="BA172" s="95">
        <f t="shared" si="175"/>
        <v>-1.7574305823492142</v>
      </c>
      <c r="BB172" s="64">
        <f t="shared" si="176"/>
        <v>-3.8024426239892647E-2</v>
      </c>
      <c r="BC172" s="95">
        <f t="shared" si="177"/>
        <v>-2.1005171761612287</v>
      </c>
      <c r="BD172" s="96">
        <f t="shared" si="178"/>
        <v>-4.5447576270013543E-2</v>
      </c>
      <c r="BE172" s="96">
        <f t="shared" si="179"/>
        <v>-1.7574305823492142</v>
      </c>
      <c r="BF172" s="96">
        <f t="shared" si="180"/>
        <v>-3.8024426239892647E-2</v>
      </c>
      <c r="BG172" s="15">
        <f t="shared" si="166"/>
        <v>-146.10106041574826</v>
      </c>
      <c r="BH172" s="46">
        <f>(SUMPRODUCT(BE173:BE$605,$I172:$I$604)+SUMPRODUCT(BF173:BF$605,$I173:$I$605)) / $I172</f>
        <v>-122.23773963968671</v>
      </c>
      <c r="BJ172" s="46">
        <f t="shared" si="181"/>
        <v>-1.7574305823492142</v>
      </c>
      <c r="BK172" s="46">
        <f t="shared" si="182"/>
        <v>-73.246985335053765</v>
      </c>
      <c r="BM172" s="49">
        <f t="shared" si="167"/>
        <v>2674.3038684023913</v>
      </c>
      <c r="BN172" s="46">
        <f t="shared" si="183"/>
        <v>2233.2762819749523</v>
      </c>
      <c r="BP172" s="46">
        <f>Reserve!BX172</f>
        <v>3517.5103855144889</v>
      </c>
      <c r="BQ172" s="46">
        <f t="shared" si="141"/>
        <v>2937.4270472348894</v>
      </c>
      <c r="BR172" s="15">
        <f t="shared" si="168"/>
        <v>88.175710552388864</v>
      </c>
      <c r="BT172" s="49">
        <f t="shared" si="169"/>
        <v>12.03250498918567</v>
      </c>
      <c r="BU172" s="46">
        <f t="shared" si="142"/>
        <v>10.067183687071777</v>
      </c>
      <c r="BV172" s="46">
        <f>SUMPRODUCT(BU173:BU$605, $I173:$I$605) / $I172</f>
        <v>250.88124450315593</v>
      </c>
      <c r="BX172" s="46">
        <f>-BZ172*Others!$Q$43</f>
        <v>-5.9490504504467605</v>
      </c>
      <c r="BZ172" s="50">
        <f t="shared" si="127"/>
        <v>23.238478322057659</v>
      </c>
      <c r="CA172" s="46">
        <f t="shared" si="170"/>
        <v>17.289427871610897</v>
      </c>
      <c r="CB172" s="46">
        <f t="shared" si="143"/>
        <v>17.289427871610897</v>
      </c>
      <c r="CD172" s="46">
        <f>SUMPRODUCT(BZ173:BZ$605, $I173:$I$605) / $I172</f>
        <v>704.15076525993777</v>
      </c>
      <c r="CE172" s="46">
        <f>SUMPRODUCT(CA173:CA$605, $I173:$I$605) / $I172</f>
        <v>523.88816935339378</v>
      </c>
      <c r="CF172" s="46">
        <f>SUMPRODUCT(CB173:CB$605, $I173:$I$605) / $I172</f>
        <v>523.88816935339378</v>
      </c>
      <c r="CH172" s="46">
        <f t="shared" si="144"/>
        <v>43482.489614485508</v>
      </c>
      <c r="CI172" s="46">
        <f t="shared" si="145"/>
        <v>5788.4896144855111</v>
      </c>
      <c r="CK172" s="46">
        <f>NPV((1+CK$3)^(1/12)-1,$CB$6:$CB172)+$CB$5</f>
        <v>1054.5836983240447</v>
      </c>
      <c r="CL172" s="46">
        <f>NPV((1+CL$3)^(1/12)-1,$CB$6:$CB172)+$CB$5</f>
        <v>796.56188572805968</v>
      </c>
      <c r="CM172" s="46">
        <f>NPV((1+CM$3)^(1/12)-1,$CB$6:$CB172)+$CB$5</f>
        <v>338.67139302219744</v>
      </c>
      <c r="CN172" s="46">
        <f>NPV((1+CN$3)^(1/12)-1,$CB$6:$CB172)+$CB$5</f>
        <v>338.67139302219744</v>
      </c>
    </row>
    <row r="173" spans="1:92" x14ac:dyDescent="0.25">
      <c r="A173" s="61">
        <f t="shared" si="128"/>
        <v>14.00000000000003</v>
      </c>
      <c r="B173" s="32">
        <f t="shared" si="146"/>
        <v>12</v>
      </c>
      <c r="C173" s="62">
        <f t="shared" si="147"/>
        <v>14</v>
      </c>
      <c r="D173" s="64">
        <f t="shared" si="148"/>
        <v>14.50000000000003</v>
      </c>
      <c r="E173" s="28">
        <f t="shared" si="129"/>
        <v>14</v>
      </c>
      <c r="G173" s="68">
        <f>INDEX(Others!$D$11:$E$60, MATCH(C173, Others!$A$11:$A$60, 0), MATCH(G$3, Others!$D$10:$E$10, 0))</f>
        <v>4.0690909090909333E-2</v>
      </c>
      <c r="H173" s="16">
        <f t="shared" si="171"/>
        <v>3.329265421250005E-3</v>
      </c>
      <c r="I173" s="69">
        <f t="shared" si="172"/>
        <v>0.57213082688664429</v>
      </c>
      <c r="K173" s="80">
        <f>INDEX(Mortality!$B$7:$F$32, MATCH( E173,Mortality!$A$7:$A$32, 0), MATCH( K$3,Mortality!$B$6:$F$6,0))</f>
        <v>0.377</v>
      </c>
      <c r="L173" s="11">
        <f t="shared" si="130"/>
        <v>0</v>
      </c>
      <c r="M173" s="80">
        <f t="shared" si="149"/>
        <v>0.377</v>
      </c>
      <c r="N173" s="76">
        <f>INDEX(Myopia!$H:$H, MATCH(E173, Myopia!$A:$A, 0)) * Trend_Factor^(A173)</f>
        <v>22.266417038050125</v>
      </c>
      <c r="O173" s="11">
        <f t="shared" si="131"/>
        <v>0</v>
      </c>
      <c r="P173" s="80">
        <f t="shared" si="150"/>
        <v>22.266417038050125</v>
      </c>
      <c r="Q173" s="76">
        <f>VLOOKUP(C173,Others!$L$10:$M$61,2)</f>
        <v>0</v>
      </c>
      <c r="R173" s="11">
        <f t="shared" si="132"/>
        <v>0</v>
      </c>
      <c r="S173" s="80">
        <f t="shared" si="151"/>
        <v>0</v>
      </c>
      <c r="T173" s="78">
        <f t="shared" si="152"/>
        <v>3.1416666666666667E-5</v>
      </c>
      <c r="U173" s="81">
        <f t="shared" si="153"/>
        <v>1.8555347531708439E-3</v>
      </c>
      <c r="V173" s="81">
        <f t="shared" si="154"/>
        <v>0</v>
      </c>
      <c r="W173" s="77">
        <f t="shared" si="133"/>
        <v>0.8350869579039627</v>
      </c>
      <c r="X173" s="82">
        <f t="shared" si="155"/>
        <v>2.6211308015280284E-5</v>
      </c>
      <c r="Y173" s="82">
        <f t="shared" si="156"/>
        <v>1.5495085317316511E-3</v>
      </c>
      <c r="Z173" s="82">
        <f t="shared" si="157"/>
        <v>0</v>
      </c>
      <c r="AA173" s="82">
        <f t="shared" si="158"/>
        <v>0.83351123806421579</v>
      </c>
      <c r="AC173" s="46">
        <f t="shared" si="134"/>
        <v>0</v>
      </c>
      <c r="AD173" s="15">
        <f t="shared" si="135"/>
        <v>0</v>
      </c>
      <c r="AE173" s="46">
        <f t="shared" si="159"/>
        <v>0</v>
      </c>
      <c r="AF173" s="15">
        <f t="shared" si="160"/>
        <v>0</v>
      </c>
      <c r="AG173" s="46">
        <f>SUMPRODUCT(AE174:AE$605, $I173:$I$604) / $I173</f>
        <v>0</v>
      </c>
      <c r="AI173" s="46">
        <f t="shared" si="136"/>
        <v>-47000</v>
      </c>
      <c r="AJ173" s="46">
        <f>IF(E173&gt;Mat_Year,0,  -SUM($AD$5:AD173))</f>
        <v>-9306</v>
      </c>
      <c r="AK173" s="24">
        <f t="shared" si="161"/>
        <v>-0.24392243239019831</v>
      </c>
      <c r="AL173" s="79">
        <f t="shared" si="162"/>
        <v>-72.826900991387603</v>
      </c>
      <c r="AM173" s="24">
        <f t="shared" si="163"/>
        <v>-87.500855727866778</v>
      </c>
      <c r="AN173" s="79">
        <f t="shared" si="164"/>
        <v>-73.070823423777796</v>
      </c>
      <c r="AO173" s="15">
        <f t="shared" si="165"/>
        <v>-2448.8418926650147</v>
      </c>
      <c r="AP173" s="46">
        <f>SUMPRODUCT(AN174:AN$605, $I174:$I$605) / $I173</f>
        <v>-2044.9959265334096</v>
      </c>
      <c r="AR173" s="46">
        <v>0</v>
      </c>
      <c r="AS173" s="46">
        <v>0</v>
      </c>
      <c r="AT173" s="46">
        <v>0</v>
      </c>
      <c r="AU173" s="95">
        <f t="shared" si="137"/>
        <v>-2.1028657612982387</v>
      </c>
      <c r="AV173" s="47">
        <f t="shared" si="138"/>
        <v>0</v>
      </c>
      <c r="AW173" s="96">
        <f t="shared" si="173"/>
        <v>-2.1028657612982387</v>
      </c>
      <c r="AX173" s="95">
        <f t="shared" si="139"/>
        <v>-24.112860729553137</v>
      </c>
      <c r="AY173" s="11">
        <f t="shared" si="140"/>
        <v>0</v>
      </c>
      <c r="AZ173" s="96">
        <f t="shared" si="174"/>
        <v>-24.112860729553137</v>
      </c>
      <c r="BA173" s="95">
        <f t="shared" si="175"/>
        <v>-1.7560757714829467</v>
      </c>
      <c r="BB173" s="64">
        <f t="shared" si="176"/>
        <v>-3.7995113044611548E-2</v>
      </c>
      <c r="BC173" s="95">
        <f t="shared" si="177"/>
        <v>-2.1028657612982387</v>
      </c>
      <c r="BD173" s="96">
        <f t="shared" si="178"/>
        <v>-4.5498391137586282E-2</v>
      </c>
      <c r="BE173" s="96">
        <f t="shared" si="179"/>
        <v>-1.7560757714829467</v>
      </c>
      <c r="BF173" s="96">
        <f t="shared" si="180"/>
        <v>-3.7995113044611548E-2</v>
      </c>
      <c r="BG173" s="15">
        <f t="shared" si="166"/>
        <v>-144.70922225379516</v>
      </c>
      <c r="BH173" s="46">
        <f>(SUMPRODUCT(BE174:BE$605,$I173:$I$604)+SUMPRODUCT(BF174:BF$605,$I174:$I$605)) / $I173</f>
        <v>-120.84478419257022</v>
      </c>
      <c r="BJ173" s="46">
        <f t="shared" si="181"/>
        <v>-1.7560757714829467</v>
      </c>
      <c r="BK173" s="46">
        <f t="shared" si="182"/>
        <v>-73.108818536822412</v>
      </c>
      <c r="BM173" s="49">
        <f t="shared" si="167"/>
        <v>2598.4541201340335</v>
      </c>
      <c r="BN173" s="46">
        <f t="shared" si="183"/>
        <v>2165.8407107259809</v>
      </c>
      <c r="BP173" s="46">
        <f>Reserve!BX173</f>
        <v>3418.2621617586119</v>
      </c>
      <c r="BQ173" s="46">
        <f t="shared" si="141"/>
        <v>2849.1599264754832</v>
      </c>
      <c r="BR173" s="15">
        <f t="shared" si="168"/>
        <v>88.267120759406225</v>
      </c>
      <c r="BT173" s="49">
        <f t="shared" si="169"/>
        <v>11.703724697116542</v>
      </c>
      <c r="BU173" s="46">
        <f t="shared" si="142"/>
        <v>9.7736278534605301</v>
      </c>
      <c r="BV173" s="46">
        <f>SUMPRODUCT(BU174:BU$605, $I174:$I$605) / $I173</f>
        <v>241.94286690185993</v>
      </c>
      <c r="BX173" s="46">
        <f>-BZ173*Others!$Q$43</f>
        <v>-5.9330187019677201</v>
      </c>
      <c r="BZ173" s="50">
        <f t="shared" si="127"/>
        <v>23.175854304561405</v>
      </c>
      <c r="CA173" s="46">
        <f t="shared" si="170"/>
        <v>17.242835602593686</v>
      </c>
      <c r="CB173" s="46">
        <f t="shared" si="143"/>
        <v>17.242835602593686</v>
      </c>
      <c r="CD173" s="46">
        <f>SUMPRODUCT(BZ174:BZ$605, $I174:$I$605) / $I173</f>
        <v>683.31921574950309</v>
      </c>
      <c r="CE173" s="46">
        <f>SUMPRODUCT(CA174:CA$605, $I174:$I$605) / $I173</f>
        <v>508.38949651763011</v>
      </c>
      <c r="CF173" s="46">
        <f>SUMPRODUCT(CB174:CB$605, $I174:$I$605) / $I173</f>
        <v>508.38949651763011</v>
      </c>
      <c r="CH173" s="46">
        <f t="shared" si="144"/>
        <v>43581.737838241388</v>
      </c>
      <c r="CI173" s="46">
        <f t="shared" si="145"/>
        <v>5887.7378382413881</v>
      </c>
      <c r="CK173" s="46">
        <f>NPV((1+CK$3)^(1/12)-1,$CB$6:$CB173)+$CB$5</f>
        <v>1065.9832439637225</v>
      </c>
      <c r="CL173" s="46">
        <f>NPV((1+CL$3)^(1/12)-1,$CB$6:$CB173)+$CB$5</f>
        <v>805.2706894096998</v>
      </c>
      <c r="CM173" s="46">
        <f>NPV((1+CM$3)^(1/12)-1,$CB$6:$CB173)+$CB$5</f>
        <v>343.21197054922163</v>
      </c>
      <c r="CN173" s="46">
        <f>NPV((1+CN$3)^(1/12)-1,$CB$6:$CB173)+$CB$5</f>
        <v>343.21197054922163</v>
      </c>
    </row>
    <row r="174" spans="1:92" x14ac:dyDescent="0.25">
      <c r="A174" s="61">
        <f t="shared" si="128"/>
        <v>14.083333333333364</v>
      </c>
      <c r="B174" s="32">
        <f t="shared" si="146"/>
        <v>1</v>
      </c>
      <c r="C174" s="62">
        <f t="shared" si="147"/>
        <v>15</v>
      </c>
      <c r="D174" s="64">
        <f t="shared" si="148"/>
        <v>14.583333333333364</v>
      </c>
      <c r="E174" s="28">
        <f t="shared" si="129"/>
        <v>14</v>
      </c>
      <c r="G174" s="68">
        <f>INDEX(Others!$D$11:$E$60, MATCH(C174, Others!$A$11:$A$60, 0), MATCH(G$3, Others!$D$10:$E$10, 0))</f>
        <v>4.0690909090909111E-2</v>
      </c>
      <c r="H174" s="16">
        <f t="shared" si="171"/>
        <v>3.329265421250005E-3</v>
      </c>
      <c r="I174" s="69">
        <f t="shared" si="172"/>
        <v>0.57023237196857191</v>
      </c>
      <c r="K174" s="80">
        <f>INDEX(Mortality!$B$7:$F$32, MATCH( E174,Mortality!$A$7:$A$32, 0), MATCH( K$3,Mortality!$B$6:$F$6,0))</f>
        <v>0.377</v>
      </c>
      <c r="L174" s="11">
        <f t="shared" si="130"/>
        <v>0</v>
      </c>
      <c r="M174" s="80">
        <f t="shared" si="149"/>
        <v>0.377</v>
      </c>
      <c r="N174" s="76">
        <f>INDEX(Myopia!$H:$H, MATCH(E174, Myopia!$A:$A, 0)) * Trend_Factor^(A174)</f>
        <v>22.266417038050125</v>
      </c>
      <c r="O174" s="11">
        <f t="shared" si="131"/>
        <v>0</v>
      </c>
      <c r="P174" s="80">
        <f t="shared" si="150"/>
        <v>22.266417038050125</v>
      </c>
      <c r="Q174" s="76">
        <f>VLOOKUP(C174,Others!$L$10:$M$61,2)</f>
        <v>0</v>
      </c>
      <c r="R174" s="11">
        <f t="shared" si="132"/>
        <v>0</v>
      </c>
      <c r="S174" s="80">
        <f t="shared" si="151"/>
        <v>0</v>
      </c>
      <c r="T174" s="78">
        <f t="shared" si="152"/>
        <v>3.1416666666666667E-5</v>
      </c>
      <c r="U174" s="81">
        <f t="shared" si="153"/>
        <v>1.8555347531708439E-3</v>
      </c>
      <c r="V174" s="81">
        <f t="shared" si="154"/>
        <v>0</v>
      </c>
      <c r="W174" s="77">
        <f t="shared" si="133"/>
        <v>0.83351123806421579</v>
      </c>
      <c r="X174" s="82">
        <f t="shared" si="155"/>
        <v>2.6161850078385833E-5</v>
      </c>
      <c r="Y174" s="82">
        <f t="shared" si="156"/>
        <v>1.546584774735811E-3</v>
      </c>
      <c r="Z174" s="82">
        <f t="shared" si="157"/>
        <v>0</v>
      </c>
      <c r="AA174" s="82">
        <f t="shared" si="158"/>
        <v>0.83193849143940157</v>
      </c>
      <c r="AC174" s="46">
        <f t="shared" si="134"/>
        <v>0</v>
      </c>
      <c r="AD174" s="15">
        <f t="shared" si="135"/>
        <v>0</v>
      </c>
      <c r="AE174" s="46">
        <f t="shared" si="159"/>
        <v>0</v>
      </c>
      <c r="AF174" s="15">
        <f t="shared" si="160"/>
        <v>0</v>
      </c>
      <c r="AG174" s="46">
        <f>SUMPRODUCT(AE175:AE$605, $I174:$I$604) / $I174</f>
        <v>0</v>
      </c>
      <c r="AI174" s="46">
        <f t="shared" si="136"/>
        <v>-47000</v>
      </c>
      <c r="AJ174" s="46">
        <f>IF(E174&gt;Mat_Year,0,  -SUM($AD$5:AD174))</f>
        <v>-9306</v>
      </c>
      <c r="AK174" s="24">
        <f t="shared" si="161"/>
        <v>-0.24346217682945856</v>
      </c>
      <c r="AL174" s="79">
        <f t="shared" si="162"/>
        <v>-72.689484412583113</v>
      </c>
      <c r="AM174" s="24">
        <f t="shared" si="163"/>
        <v>-87.500855727866778</v>
      </c>
      <c r="AN174" s="79">
        <f t="shared" si="164"/>
        <v>-72.932946589412566</v>
      </c>
      <c r="AO174" s="15">
        <f t="shared" si="165"/>
        <v>-2374.1387323878466</v>
      </c>
      <c r="AP174" s="46">
        <f>SUMPRODUCT(AN175:AN$605, $I175:$I$605) / $I174</f>
        <v>-1978.8713141688017</v>
      </c>
      <c r="AR174" s="46">
        <v>0</v>
      </c>
      <c r="AS174" s="46">
        <v>0</v>
      </c>
      <c r="AT174" s="46">
        <v>0</v>
      </c>
      <c r="AU174" s="95">
        <f t="shared" si="137"/>
        <v>-2.1052169723848051</v>
      </c>
      <c r="AV174" s="47">
        <f t="shared" si="138"/>
        <v>0</v>
      </c>
      <c r="AW174" s="96">
        <f t="shared" si="173"/>
        <v>-2.1052169723848051</v>
      </c>
      <c r="AX174" s="95">
        <f t="shared" si="139"/>
        <v>-24.139821283345761</v>
      </c>
      <c r="AY174" s="11">
        <f t="shared" si="140"/>
        <v>0</v>
      </c>
      <c r="AZ174" s="96">
        <f t="shared" si="174"/>
        <v>-24.139821283345761</v>
      </c>
      <c r="BA174" s="95">
        <f t="shared" si="175"/>
        <v>-1.7547220050462589</v>
      </c>
      <c r="BB174" s="64">
        <f t="shared" si="176"/>
        <v>-3.7965822446999954E-2</v>
      </c>
      <c r="BC174" s="95">
        <f t="shared" si="177"/>
        <v>-2.1052169723848051</v>
      </c>
      <c r="BD174" s="96">
        <f t="shared" si="178"/>
        <v>-4.5549262821187028E-2</v>
      </c>
      <c r="BE174" s="96">
        <f t="shared" si="179"/>
        <v>-1.7547220050462589</v>
      </c>
      <c r="BF174" s="96">
        <f t="shared" si="180"/>
        <v>-3.7965822446999954E-2</v>
      </c>
      <c r="BG174" s="15">
        <f t="shared" si="166"/>
        <v>-143.30770040790955</v>
      </c>
      <c r="BH174" s="46">
        <f>(SUMPRODUCT(BE175:BE$605,$I174:$I$604)+SUMPRODUCT(BF175:BF$605,$I175:$I$605)) / $I174</f>
        <v>-119.44857879113241</v>
      </c>
      <c r="BJ174" s="46">
        <f t="shared" si="181"/>
        <v>-1.7547220050462589</v>
      </c>
      <c r="BK174" s="46">
        <f t="shared" si="182"/>
        <v>-72.970912411859572</v>
      </c>
      <c r="BM174" s="49">
        <f t="shared" si="167"/>
        <v>2522.205565136755</v>
      </c>
      <c r="BN174" s="46">
        <f t="shared" si="183"/>
        <v>2098.3198929599353</v>
      </c>
      <c r="BP174" s="46">
        <f>Reserve!BX174</f>
        <v>3318.5154962259667</v>
      </c>
      <c r="BQ174" s="46">
        <f t="shared" si="141"/>
        <v>2760.8007757485079</v>
      </c>
      <c r="BR174" s="15">
        <f t="shared" si="168"/>
        <v>88.359150726975258</v>
      </c>
      <c r="BT174" s="49">
        <f t="shared" si="169"/>
        <v>11.373293189839847</v>
      </c>
      <c r="BU174" s="46">
        <f t="shared" si="142"/>
        <v>9.4797676875307246</v>
      </c>
      <c r="BV174" s="46">
        <f>SUMPRODUCT(BU175:BU$605, $I175:$I$605) / $I174</f>
        <v>233.26859123502365</v>
      </c>
      <c r="BX174" s="46">
        <f>-BZ174*Others!$Q$43</f>
        <v>-5.9170007033856384</v>
      </c>
      <c r="BZ174" s="50">
        <f t="shared" si="127"/>
        <v>23.113283997600149</v>
      </c>
      <c r="CA174" s="46">
        <f t="shared" si="170"/>
        <v>17.19628329421451</v>
      </c>
      <c r="CB174" s="46">
        <f t="shared" si="143"/>
        <v>17.19628329421451</v>
      </c>
      <c r="CD174" s="46">
        <f>SUMPRODUCT(BZ175:BZ$605, $I175:$I$605) / $I174</f>
        <v>662.48088278857347</v>
      </c>
      <c r="CE174" s="46">
        <f>SUMPRODUCT(CA175:CA$605, $I175:$I$605) / $I174</f>
        <v>492.88577679469842</v>
      </c>
      <c r="CF174" s="46">
        <f>SUMPRODUCT(CB175:CB$605, $I175:$I$605) / $I174</f>
        <v>492.88577679469842</v>
      </c>
      <c r="CH174" s="46">
        <f t="shared" si="144"/>
        <v>43681.484503774031</v>
      </c>
      <c r="CI174" s="46">
        <f t="shared" si="145"/>
        <v>5987.4845037740333</v>
      </c>
      <c r="CK174" s="46">
        <f>NPV((1+CK$3)^(1/12)-1,$CB$6:$CB174)+$CB$5</f>
        <v>1077.3240435721607</v>
      </c>
      <c r="CL174" s="46">
        <f>NPV((1+CL$3)^(1/12)-1,$CB$6:$CB174)+$CB$5</f>
        <v>813.92073963687926</v>
      </c>
      <c r="CM174" s="46">
        <f>NPV((1+CM$3)^(1/12)-1,$CB$6:$CB174)+$CB$5</f>
        <v>347.70446561198332</v>
      </c>
      <c r="CN174" s="46">
        <f>NPV((1+CN$3)^(1/12)-1,$CB$6:$CB174)+$CB$5</f>
        <v>347.70446561198332</v>
      </c>
    </row>
    <row r="175" spans="1:92" x14ac:dyDescent="0.25">
      <c r="A175" s="61">
        <f t="shared" si="128"/>
        <v>14.166666666666698</v>
      </c>
      <c r="B175" s="32">
        <f t="shared" si="146"/>
        <v>2</v>
      </c>
      <c r="C175" s="62">
        <f t="shared" si="147"/>
        <v>15</v>
      </c>
      <c r="D175" s="64">
        <f t="shared" si="148"/>
        <v>14.666666666666698</v>
      </c>
      <c r="E175" s="28">
        <f t="shared" si="129"/>
        <v>14</v>
      </c>
      <c r="G175" s="68">
        <f>INDEX(Others!$D$11:$E$60, MATCH(C175, Others!$A$11:$A$60, 0), MATCH(G$3, Others!$D$10:$E$10, 0))</f>
        <v>4.0690909090909111E-2</v>
      </c>
      <c r="H175" s="16">
        <f t="shared" si="171"/>
        <v>3.329265421250005E-3</v>
      </c>
      <c r="I175" s="69">
        <f t="shared" si="172"/>
        <v>0.5683402165381457</v>
      </c>
      <c r="K175" s="80">
        <f>INDEX(Mortality!$B$7:$F$32, MATCH( E175,Mortality!$A$7:$A$32, 0), MATCH( K$3,Mortality!$B$6:$F$6,0))</f>
        <v>0.377</v>
      </c>
      <c r="L175" s="11">
        <f t="shared" si="130"/>
        <v>0</v>
      </c>
      <c r="M175" s="80">
        <f t="shared" si="149"/>
        <v>0.377</v>
      </c>
      <c r="N175" s="76">
        <f>INDEX(Myopia!$H:$H, MATCH(E175, Myopia!$A:$A, 0)) * Trend_Factor^(A175)</f>
        <v>22.266417038050125</v>
      </c>
      <c r="O175" s="11">
        <f t="shared" si="131"/>
        <v>0</v>
      </c>
      <c r="P175" s="80">
        <f t="shared" si="150"/>
        <v>22.266417038050125</v>
      </c>
      <c r="Q175" s="76">
        <f>VLOOKUP(C175,Others!$L$10:$M$61,2)</f>
        <v>0</v>
      </c>
      <c r="R175" s="11">
        <f t="shared" si="132"/>
        <v>0</v>
      </c>
      <c r="S175" s="80">
        <f t="shared" si="151"/>
        <v>0</v>
      </c>
      <c r="T175" s="78">
        <f t="shared" si="152"/>
        <v>3.1416666666666667E-5</v>
      </c>
      <c r="U175" s="81">
        <f t="shared" si="153"/>
        <v>1.8555347531708439E-3</v>
      </c>
      <c r="V175" s="81">
        <f t="shared" si="154"/>
        <v>0</v>
      </c>
      <c r="W175" s="77">
        <f t="shared" si="133"/>
        <v>0.83193849143940157</v>
      </c>
      <c r="X175" s="82">
        <f t="shared" si="155"/>
        <v>2.6112485463332487E-5</v>
      </c>
      <c r="Y175" s="82">
        <f t="shared" si="156"/>
        <v>1.5436665345569455E-3</v>
      </c>
      <c r="Z175" s="82">
        <f t="shared" si="157"/>
        <v>0</v>
      </c>
      <c r="AA175" s="82">
        <f t="shared" si="158"/>
        <v>0.83036871241938126</v>
      </c>
      <c r="AC175" s="46">
        <f t="shared" si="134"/>
        <v>0</v>
      </c>
      <c r="AD175" s="15">
        <f t="shared" si="135"/>
        <v>0</v>
      </c>
      <c r="AE175" s="46">
        <f t="shared" si="159"/>
        <v>0</v>
      </c>
      <c r="AF175" s="15">
        <f t="shared" si="160"/>
        <v>0</v>
      </c>
      <c r="AG175" s="46">
        <f>SUMPRODUCT(AE176:AE$605, $I175:$I$604) / $I175</f>
        <v>0</v>
      </c>
      <c r="AI175" s="46">
        <f t="shared" si="136"/>
        <v>-47000</v>
      </c>
      <c r="AJ175" s="46">
        <f>IF(E175&gt;Mat_Year,0,  -SUM($AD$5:AD175))</f>
        <v>-9306</v>
      </c>
      <c r="AK175" s="24">
        <f t="shared" si="161"/>
        <v>-0.24300278972177214</v>
      </c>
      <c r="AL175" s="79">
        <f t="shared" si="162"/>
        <v>-72.552327124176443</v>
      </c>
      <c r="AM175" s="24">
        <f t="shared" si="163"/>
        <v>-87.500855727866792</v>
      </c>
      <c r="AN175" s="79">
        <f t="shared" si="164"/>
        <v>-72.795329913898215</v>
      </c>
      <c r="AO175" s="15">
        <f t="shared" si="165"/>
        <v>-2299.0451719393582</v>
      </c>
      <c r="AP175" s="46">
        <f>SUMPRODUCT(AN176:AN$605, $I176:$I$605) / $I175</f>
        <v>-1912.6641720942694</v>
      </c>
      <c r="AR175" s="46">
        <v>0</v>
      </c>
      <c r="AS175" s="46">
        <v>0</v>
      </c>
      <c r="AT175" s="46">
        <v>0</v>
      </c>
      <c r="AU175" s="95">
        <f t="shared" si="137"/>
        <v>-2.1075708123569967</v>
      </c>
      <c r="AV175" s="47">
        <f t="shared" si="138"/>
        <v>0</v>
      </c>
      <c r="AW175" s="96">
        <f t="shared" si="173"/>
        <v>-2.1075708123569967</v>
      </c>
      <c r="AX175" s="95">
        <f t="shared" si="139"/>
        <v>-24.166811981693559</v>
      </c>
      <c r="AY175" s="11">
        <f t="shared" si="140"/>
        <v>0</v>
      </c>
      <c r="AZ175" s="96">
        <f t="shared" si="174"/>
        <v>-24.166811981693559</v>
      </c>
      <c r="BA175" s="95">
        <f t="shared" si="175"/>
        <v>-1.7533692822339939</v>
      </c>
      <c r="BB175" s="64">
        <f t="shared" si="176"/>
        <v>-3.7936554429637233E-2</v>
      </c>
      <c r="BC175" s="95">
        <f t="shared" si="177"/>
        <v>-2.1075708123569967</v>
      </c>
      <c r="BD175" s="96">
        <f t="shared" si="178"/>
        <v>-4.5600191384341703E-2</v>
      </c>
      <c r="BE175" s="96">
        <f t="shared" si="179"/>
        <v>-1.7533692822339939</v>
      </c>
      <c r="BF175" s="96">
        <f t="shared" si="180"/>
        <v>-3.7936554429637233E-2</v>
      </c>
      <c r="BG175" s="15">
        <f t="shared" si="166"/>
        <v>-141.89644157645307</v>
      </c>
      <c r="BH175" s="46">
        <f>(SUMPRODUCT(BE176:BE$605,$I175:$I$604)+SUMPRODUCT(BF176:BF$605,$I176:$I$605)) / $I175</f>
        <v>-118.04911154573354</v>
      </c>
      <c r="BJ175" s="46">
        <f t="shared" si="181"/>
        <v>-1.7533692822339939</v>
      </c>
      <c r="BK175" s="46">
        <f t="shared" si="182"/>
        <v>-72.833266468327849</v>
      </c>
      <c r="BM175" s="49">
        <f t="shared" si="167"/>
        <v>2445.5561165392078</v>
      </c>
      <c r="BN175" s="46">
        <f t="shared" si="183"/>
        <v>2030.7132836400042</v>
      </c>
      <c r="BP175" s="46">
        <f>Reserve!BX175</f>
        <v>3218.2679020293385</v>
      </c>
      <c r="BQ175" s="46">
        <f t="shared" si="141"/>
        <v>2672.3489740287255</v>
      </c>
      <c r="BR175" s="15">
        <f t="shared" si="168"/>
        <v>88.451801719782452</v>
      </c>
      <c r="BT175" s="49">
        <f t="shared" si="169"/>
        <v>11.041202228838996</v>
      </c>
      <c r="BU175" s="46">
        <f t="shared" si="142"/>
        <v>9.1856011259376729</v>
      </c>
      <c r="BV175" s="46">
        <f>SUMPRODUCT(BU176:BU$605, $I176:$I$605) / $I175</f>
        <v>224.85960316374849</v>
      </c>
      <c r="BX175" s="46">
        <f>-BZ175*Others!$Q$43</f>
        <v>-5.9009963763605215</v>
      </c>
      <c r="BZ175" s="50">
        <f t="shared" si="127"/>
        <v>23.050767095158285</v>
      </c>
      <c r="CA175" s="46">
        <f t="shared" si="170"/>
        <v>17.149770718797765</v>
      </c>
      <c r="CB175" s="46">
        <f t="shared" si="143"/>
        <v>17.149770718797765</v>
      </c>
      <c r="CD175" s="46">
        <f>SUMPRODUCT(BZ176:BZ$605, $I176:$I$605) / $I175</f>
        <v>641.63569038872231</v>
      </c>
      <c r="CE175" s="46">
        <f>SUMPRODUCT(CA176:CA$605, $I176:$I$605) / $I175</f>
        <v>477.37695364920916</v>
      </c>
      <c r="CF175" s="46">
        <f>SUMPRODUCT(CB176:CB$605, $I176:$I$605) / $I175</f>
        <v>477.37695364920916</v>
      </c>
      <c r="CH175" s="46">
        <f t="shared" si="144"/>
        <v>43781.732097970664</v>
      </c>
      <c r="CI175" s="46">
        <f t="shared" si="145"/>
        <v>6087.7320979706619</v>
      </c>
      <c r="CK175" s="46">
        <f>NPV((1+CK$3)^(1/12)-1,$CB$6:$CB175)+$CB$5</f>
        <v>1088.6063433458396</v>
      </c>
      <c r="CL175" s="46">
        <f>NPV((1+CL$3)^(1/12)-1,$CB$6:$CB175)+$CB$5</f>
        <v>822.5123897278404</v>
      </c>
      <c r="CM175" s="46">
        <f>NPV((1+CM$3)^(1/12)-1,$CB$6:$CB175)+$CB$5</f>
        <v>352.14936510350185</v>
      </c>
      <c r="CN175" s="46">
        <f>NPV((1+CN$3)^(1/12)-1,$CB$6:$CB175)+$CB$5</f>
        <v>352.14936510350185</v>
      </c>
    </row>
    <row r="176" spans="1:92" x14ac:dyDescent="0.25">
      <c r="A176" s="61">
        <f t="shared" si="128"/>
        <v>14.250000000000032</v>
      </c>
      <c r="B176" s="32">
        <f t="shared" si="146"/>
        <v>3</v>
      </c>
      <c r="C176" s="62">
        <f t="shared" si="147"/>
        <v>15</v>
      </c>
      <c r="D176" s="64">
        <f t="shared" si="148"/>
        <v>14.750000000000032</v>
      </c>
      <c r="E176" s="28">
        <f t="shared" si="129"/>
        <v>14</v>
      </c>
      <c r="G176" s="68">
        <f>INDEX(Others!$D$11:$E$60, MATCH(C176, Others!$A$11:$A$60, 0), MATCH(G$3, Others!$D$10:$E$10, 0))</f>
        <v>4.0690909090909111E-2</v>
      </c>
      <c r="H176" s="16">
        <f t="shared" si="171"/>
        <v>3.329265421250005E-3</v>
      </c>
      <c r="I176" s="69">
        <f t="shared" si="172"/>
        <v>0.5664543396922912</v>
      </c>
      <c r="K176" s="80">
        <f>INDEX(Mortality!$B$7:$F$32, MATCH( E176,Mortality!$A$7:$A$32, 0), MATCH( K$3,Mortality!$B$6:$F$6,0))</f>
        <v>0.377</v>
      </c>
      <c r="L176" s="11">
        <f t="shared" si="130"/>
        <v>0</v>
      </c>
      <c r="M176" s="80">
        <f t="shared" si="149"/>
        <v>0.377</v>
      </c>
      <c r="N176" s="76">
        <f>INDEX(Myopia!$H:$H, MATCH(E176, Myopia!$A:$A, 0)) * Trend_Factor^(A176)</f>
        <v>22.266417038050125</v>
      </c>
      <c r="O176" s="11">
        <f t="shared" si="131"/>
        <v>0</v>
      </c>
      <c r="P176" s="80">
        <f t="shared" si="150"/>
        <v>22.266417038050125</v>
      </c>
      <c r="Q176" s="76">
        <f>VLOOKUP(C176,Others!$L$10:$M$61,2)</f>
        <v>0</v>
      </c>
      <c r="R176" s="11">
        <f t="shared" si="132"/>
        <v>0</v>
      </c>
      <c r="S176" s="80">
        <f t="shared" si="151"/>
        <v>0</v>
      </c>
      <c r="T176" s="78">
        <f t="shared" si="152"/>
        <v>3.1416666666666667E-5</v>
      </c>
      <c r="U176" s="81">
        <f t="shared" si="153"/>
        <v>1.8555347531708439E-3</v>
      </c>
      <c r="V176" s="81">
        <f t="shared" si="154"/>
        <v>0</v>
      </c>
      <c r="W176" s="77">
        <f t="shared" si="133"/>
        <v>0.83036871241938126</v>
      </c>
      <c r="X176" s="82">
        <f t="shared" si="155"/>
        <v>2.6063213994031911E-5</v>
      </c>
      <c r="Y176" s="82">
        <f t="shared" si="156"/>
        <v>1.540753800785411E-3</v>
      </c>
      <c r="Z176" s="82">
        <f t="shared" si="157"/>
        <v>0</v>
      </c>
      <c r="AA176" s="82">
        <f t="shared" si="158"/>
        <v>0.82880189540460181</v>
      </c>
      <c r="AC176" s="46">
        <f t="shared" si="134"/>
        <v>0</v>
      </c>
      <c r="AD176" s="15">
        <f t="shared" si="135"/>
        <v>0</v>
      </c>
      <c r="AE176" s="46">
        <f t="shared" si="159"/>
        <v>0</v>
      </c>
      <c r="AF176" s="15">
        <f t="shared" si="160"/>
        <v>0</v>
      </c>
      <c r="AG176" s="46">
        <f>SUMPRODUCT(AE177:AE$605, $I176:$I$604) / $I176</f>
        <v>0</v>
      </c>
      <c r="AI176" s="46">
        <f t="shared" si="136"/>
        <v>-47000</v>
      </c>
      <c r="AJ176" s="46">
        <f>IF(E176&gt;Mat_Year,0,  -SUM($AD$5:AD176))</f>
        <v>-9306</v>
      </c>
      <c r="AK176" s="24">
        <f t="shared" si="161"/>
        <v>-0.24254426942846097</v>
      </c>
      <c r="AL176" s="79">
        <f t="shared" si="162"/>
        <v>-72.415428636914314</v>
      </c>
      <c r="AM176" s="24">
        <f t="shared" si="163"/>
        <v>-87.500855727866778</v>
      </c>
      <c r="AN176" s="79">
        <f t="shared" si="164"/>
        <v>-72.657972906342778</v>
      </c>
      <c r="AO176" s="15">
        <f t="shared" si="165"/>
        <v>-2223.559171080647</v>
      </c>
      <c r="AP176" s="46">
        <f>SUMPRODUCT(AN177:AN$605, $I177:$I$605) / $I176</f>
        <v>-1846.3739658785437</v>
      </c>
      <c r="AR176" s="46">
        <v>0</v>
      </c>
      <c r="AS176" s="46">
        <v>0</v>
      </c>
      <c r="AT176" s="46">
        <v>0</v>
      </c>
      <c r="AU176" s="95">
        <f t="shared" si="137"/>
        <v>-2.1099272841541681</v>
      </c>
      <c r="AV176" s="47">
        <f t="shared" si="138"/>
        <v>0</v>
      </c>
      <c r="AW176" s="96">
        <f t="shared" si="173"/>
        <v>-2.1099272841541681</v>
      </c>
      <c r="AX176" s="95">
        <f t="shared" si="139"/>
        <v>-24.193832858301125</v>
      </c>
      <c r="AY176" s="11">
        <f t="shared" si="140"/>
        <v>0</v>
      </c>
      <c r="AZ176" s="96">
        <f t="shared" si="174"/>
        <v>-24.193832858301125</v>
      </c>
      <c r="BA176" s="95">
        <f t="shared" si="175"/>
        <v>-1.7520176022416185</v>
      </c>
      <c r="BB176" s="64">
        <f t="shared" si="176"/>
        <v>-3.7907308975116169E-2</v>
      </c>
      <c r="BC176" s="95">
        <f t="shared" si="177"/>
        <v>-2.1099272841541681</v>
      </c>
      <c r="BD176" s="96">
        <f t="shared" si="178"/>
        <v>-4.5651176890647252E-2</v>
      </c>
      <c r="BE176" s="96">
        <f t="shared" si="179"/>
        <v>-1.7520176022416185</v>
      </c>
      <c r="BF176" s="96">
        <f t="shared" si="180"/>
        <v>-3.7907308975116169E-2</v>
      </c>
      <c r="BG176" s="15">
        <f t="shared" si="166"/>
        <v>-140.47539217621915</v>
      </c>
      <c r="BH176" s="46">
        <f>(SUMPRODUCT(BE177:BE$605,$I176:$I$604)+SUMPRODUCT(BF177:BF$605,$I177:$I$605)) / $I176</f>
        <v>-116.64637052797471</v>
      </c>
      <c r="BJ176" s="46">
        <f t="shared" si="181"/>
        <v>-1.7520176022416185</v>
      </c>
      <c r="BK176" s="46">
        <f t="shared" si="182"/>
        <v>-72.695880215317899</v>
      </c>
      <c r="BM176" s="49">
        <f t="shared" si="167"/>
        <v>2368.5036765609939</v>
      </c>
      <c r="BN176" s="46">
        <f t="shared" si="183"/>
        <v>1963.0203364065196</v>
      </c>
      <c r="BP176" s="46">
        <f>Reserve!BX176</f>
        <v>3117.5168799050152</v>
      </c>
      <c r="BQ176" s="46">
        <f t="shared" si="141"/>
        <v>2583.8038990211171</v>
      </c>
      <c r="BR176" s="15">
        <f t="shared" si="168"/>
        <v>88.545075007608375</v>
      </c>
      <c r="BT176" s="49">
        <f t="shared" si="169"/>
        <v>10.707443534596591</v>
      </c>
      <c r="BU176" s="46">
        <f t="shared" si="142"/>
        <v>8.8911261011261988</v>
      </c>
      <c r="BV176" s="46">
        <f>SUMPRODUCT(BU177:BU$605, $I177:$I$605) / $I176</f>
        <v>216.71709436407133</v>
      </c>
      <c r="BX176" s="46">
        <f>-BZ176*Others!$Q$43</f>
        <v>-5.885005642540813</v>
      </c>
      <c r="BZ176" s="50">
        <f t="shared" si="127"/>
        <v>22.98830329117505</v>
      </c>
      <c r="CA176" s="46">
        <f t="shared" si="170"/>
        <v>17.103297648634239</v>
      </c>
      <c r="CB176" s="46">
        <f t="shared" si="143"/>
        <v>17.103297648634239</v>
      </c>
      <c r="CD176" s="46">
        <f>SUMPRODUCT(BZ177:BZ$605, $I177:$I$605) / $I176</f>
        <v>620.78356261459828</v>
      </c>
      <c r="CE176" s="46">
        <f>SUMPRODUCT(CA177:CA$605, $I177:$I$605) / $I176</f>
        <v>461.86297058526088</v>
      </c>
      <c r="CF176" s="46">
        <f>SUMPRODUCT(CB177:CB$605, $I177:$I$605) / $I176</f>
        <v>461.86297058526088</v>
      </c>
      <c r="CH176" s="46">
        <f t="shared" si="144"/>
        <v>43882.483120094985</v>
      </c>
      <c r="CI176" s="46">
        <f t="shared" si="145"/>
        <v>6188.4831200949848</v>
      </c>
      <c r="CK176" s="46">
        <f>NPV((1+CK$3)^(1/12)-1,$CB$6:$CB176)+$CB$5</f>
        <v>1099.8303884116774</v>
      </c>
      <c r="CL176" s="46">
        <f>NPV((1+CL$3)^(1/12)-1,$CB$6:$CB176)+$CB$5</f>
        <v>831.04599090652027</v>
      </c>
      <c r="CM176" s="46">
        <f>NPV((1+CM$3)^(1/12)-1,$CB$6:$CB176)+$CB$5</f>
        <v>356.54715108233336</v>
      </c>
      <c r="CN176" s="46">
        <f>NPV((1+CN$3)^(1/12)-1,$CB$6:$CB176)+$CB$5</f>
        <v>356.54715108233336</v>
      </c>
    </row>
    <row r="177" spans="1:92" x14ac:dyDescent="0.25">
      <c r="A177" s="61">
        <f t="shared" si="128"/>
        <v>14.333333333333366</v>
      </c>
      <c r="B177" s="32">
        <f t="shared" si="146"/>
        <v>4</v>
      </c>
      <c r="C177" s="62">
        <f t="shared" si="147"/>
        <v>15</v>
      </c>
      <c r="D177" s="64">
        <f t="shared" si="148"/>
        <v>14.833333333333366</v>
      </c>
      <c r="E177" s="28">
        <f t="shared" si="129"/>
        <v>14</v>
      </c>
      <c r="G177" s="68">
        <f>INDEX(Others!$D$11:$E$60, MATCH(C177, Others!$A$11:$A$60, 0), MATCH(G$3, Others!$D$10:$E$10, 0))</f>
        <v>4.0690909090909111E-2</v>
      </c>
      <c r="H177" s="16">
        <f t="shared" si="171"/>
        <v>3.329265421250005E-3</v>
      </c>
      <c r="I177" s="69">
        <f t="shared" si="172"/>
        <v>0.56457472059729474</v>
      </c>
      <c r="K177" s="80">
        <f>INDEX(Mortality!$B$7:$F$32, MATCH( E177,Mortality!$A$7:$A$32, 0), MATCH( K$3,Mortality!$B$6:$F$6,0))</f>
        <v>0.377</v>
      </c>
      <c r="L177" s="11">
        <f t="shared" si="130"/>
        <v>0</v>
      </c>
      <c r="M177" s="80">
        <f t="shared" si="149"/>
        <v>0.377</v>
      </c>
      <c r="N177" s="76">
        <f>INDEX(Myopia!$H:$H, MATCH(E177, Myopia!$A:$A, 0)) * Trend_Factor^(A177)</f>
        <v>22.266417038050125</v>
      </c>
      <c r="O177" s="11">
        <f t="shared" si="131"/>
        <v>0</v>
      </c>
      <c r="P177" s="80">
        <f t="shared" si="150"/>
        <v>22.266417038050125</v>
      </c>
      <c r="Q177" s="76">
        <f>VLOOKUP(C177,Others!$L$10:$M$61,2)</f>
        <v>0</v>
      </c>
      <c r="R177" s="11">
        <f t="shared" si="132"/>
        <v>0</v>
      </c>
      <c r="S177" s="80">
        <f t="shared" si="151"/>
        <v>0</v>
      </c>
      <c r="T177" s="78">
        <f t="shared" si="152"/>
        <v>3.1416666666666667E-5</v>
      </c>
      <c r="U177" s="81">
        <f t="shared" si="153"/>
        <v>1.8555347531708439E-3</v>
      </c>
      <c r="V177" s="81">
        <f t="shared" si="154"/>
        <v>0</v>
      </c>
      <c r="W177" s="77">
        <f t="shared" si="133"/>
        <v>0.82880189540460181</v>
      </c>
      <c r="X177" s="82">
        <f t="shared" si="155"/>
        <v>2.6014035494728022E-5</v>
      </c>
      <c r="Y177" s="82">
        <f t="shared" si="156"/>
        <v>1.5378465630312057E-3</v>
      </c>
      <c r="Z177" s="82">
        <f t="shared" si="157"/>
        <v>0</v>
      </c>
      <c r="AA177" s="82">
        <f t="shared" si="158"/>
        <v>0.82723803480607583</v>
      </c>
      <c r="AC177" s="46">
        <f t="shared" si="134"/>
        <v>0</v>
      </c>
      <c r="AD177" s="15">
        <f t="shared" si="135"/>
        <v>0</v>
      </c>
      <c r="AE177" s="46">
        <f t="shared" si="159"/>
        <v>0</v>
      </c>
      <c r="AF177" s="15">
        <f t="shared" si="160"/>
        <v>0</v>
      </c>
      <c r="AG177" s="46">
        <f>SUMPRODUCT(AE178:AE$605, $I177:$I$604) / $I177</f>
        <v>0</v>
      </c>
      <c r="AI177" s="46">
        <f t="shared" si="136"/>
        <v>-47000</v>
      </c>
      <c r="AJ177" s="46">
        <f>IF(E177&gt;Mat_Year,0,  -SUM($AD$5:AD177))</f>
        <v>-9306</v>
      </c>
      <c r="AK177" s="24">
        <f t="shared" si="161"/>
        <v>-0.24208661431393896</v>
      </c>
      <c r="AL177" s="79">
        <f t="shared" si="162"/>
        <v>-72.278788462466665</v>
      </c>
      <c r="AM177" s="24">
        <f t="shared" si="163"/>
        <v>-87.500855727866778</v>
      </c>
      <c r="AN177" s="79">
        <f t="shared" si="164"/>
        <v>-72.520875076780598</v>
      </c>
      <c r="AO177" s="15">
        <f t="shared" si="165"/>
        <v>-2147.6786789104826</v>
      </c>
      <c r="AP177" s="46">
        <f>SUMPRODUCT(AN178:AN$605, $I178:$I$605) / $I177</f>
        <v>-1780.0001598010592</v>
      </c>
      <c r="AR177" s="46">
        <v>0</v>
      </c>
      <c r="AS177" s="46">
        <v>0</v>
      </c>
      <c r="AT177" s="46">
        <v>0</v>
      </c>
      <c r="AU177" s="95">
        <f t="shared" si="137"/>
        <v>-2.1122863907189586</v>
      </c>
      <c r="AV177" s="47">
        <f t="shared" si="138"/>
        <v>0</v>
      </c>
      <c r="AW177" s="96">
        <f t="shared" si="173"/>
        <v>-2.1122863907189586</v>
      </c>
      <c r="AX177" s="95">
        <f t="shared" si="139"/>
        <v>-24.220883946910721</v>
      </c>
      <c r="AY177" s="11">
        <f t="shared" si="140"/>
        <v>0</v>
      </c>
      <c r="AZ177" s="96">
        <f t="shared" si="174"/>
        <v>-24.220883946910721</v>
      </c>
      <c r="BA177" s="95">
        <f t="shared" si="175"/>
        <v>-1.7506669642652182</v>
      </c>
      <c r="BB177" s="64">
        <f t="shared" si="176"/>
        <v>-3.7878086066042982E-2</v>
      </c>
      <c r="BC177" s="95">
        <f t="shared" si="177"/>
        <v>-2.1122863907189586</v>
      </c>
      <c r="BD177" s="96">
        <f t="shared" si="178"/>
        <v>-4.5702219403771734E-2</v>
      </c>
      <c r="BE177" s="96">
        <f t="shared" si="179"/>
        <v>-1.7506669642652182</v>
      </c>
      <c r="BF177" s="96">
        <f t="shared" si="180"/>
        <v>-3.7878086066042982E-2</v>
      </c>
      <c r="BG177" s="15">
        <f t="shared" si="166"/>
        <v>-139.04449834095837</v>
      </c>
      <c r="BH177" s="46">
        <f>(SUMPRODUCT(BE178:BE$605,$I177:$I$604)+SUMPRODUCT(BF178:BF$605,$I178:$I$605)) / $I177</f>
        <v>-115.2403437705683</v>
      </c>
      <c r="BJ177" s="46">
        <f t="shared" si="181"/>
        <v>-1.7506669642652182</v>
      </c>
      <c r="BK177" s="46">
        <f t="shared" si="182"/>
        <v>-72.558753162846642</v>
      </c>
      <c r="BM177" s="49">
        <f t="shared" si="167"/>
        <v>2291.0461364556545</v>
      </c>
      <c r="BN177" s="46">
        <f t="shared" si="183"/>
        <v>1895.2405035716281</v>
      </c>
      <c r="BP177" s="46">
        <f>Reserve!BX177</f>
        <v>3016.2599181512524</v>
      </c>
      <c r="BQ177" s="46">
        <f t="shared" si="141"/>
        <v>2495.1649271557771</v>
      </c>
      <c r="BR177" s="15">
        <f t="shared" si="168"/>
        <v>88.638971865339954</v>
      </c>
      <c r="BT177" s="49">
        <f t="shared" si="169"/>
        <v>10.372008786390575</v>
      </c>
      <c r="BU177" s="46">
        <f t="shared" si="142"/>
        <v>8.5963405413136922</v>
      </c>
      <c r="BV177" s="46">
        <f>SUMPRODUCT(BU178:BU$605, $I178:$I$605) / $I177</f>
        <v>208.84226255121771</v>
      </c>
      <c r="BX177" s="46">
        <f>-BZ177*Others!$Q$43</f>
        <v>-5.869028423562697</v>
      </c>
      <c r="BZ177" s="50">
        <f t="shared" si="127"/>
        <v>22.925892279541785</v>
      </c>
      <c r="CA177" s="46">
        <f t="shared" si="170"/>
        <v>17.056863855979088</v>
      </c>
      <c r="CB177" s="46">
        <f t="shared" si="143"/>
        <v>17.056863855979088</v>
      </c>
      <c r="CD177" s="46">
        <f>SUMPRODUCT(BZ178:BZ$605, $I178:$I$605) / $I177</f>
        <v>599.92442358414962</v>
      </c>
      <c r="CE177" s="46">
        <f>SUMPRODUCT(CA178:CA$605, $I178:$I$605) / $I177</f>
        <v>446.34377114660708</v>
      </c>
      <c r="CF177" s="46">
        <f>SUMPRODUCT(CB178:CB$605, $I178:$I$605) / $I177</f>
        <v>446.34377114660708</v>
      </c>
      <c r="CH177" s="46">
        <f t="shared" si="144"/>
        <v>43983.740081848751</v>
      </c>
      <c r="CI177" s="46">
        <f t="shared" si="145"/>
        <v>6289.7400818487476</v>
      </c>
      <c r="CK177" s="46">
        <f>NPV((1+CK$3)^(1/12)-1,$CB$6:$CB177)+$CB$5</f>
        <v>1110.996422831673</v>
      </c>
      <c r="CL177" s="46">
        <f>NPV((1+CL$3)^(1/12)-1,$CB$6:$CB177)+$CB$5</f>
        <v>839.52189231496254</v>
      </c>
      <c r="CM177" s="46">
        <f>NPV((1+CM$3)^(1/12)-1,$CB$6:$CB177)+$CB$5</f>
        <v>360.89830082015146</v>
      </c>
      <c r="CN177" s="46">
        <f>NPV((1+CN$3)^(1/12)-1,$CB$6:$CB177)+$CB$5</f>
        <v>360.89830082015146</v>
      </c>
    </row>
    <row r="178" spans="1:92" x14ac:dyDescent="0.25">
      <c r="A178" s="61">
        <f t="shared" si="128"/>
        <v>14.4166666666667</v>
      </c>
      <c r="B178" s="32">
        <f t="shared" si="146"/>
        <v>5</v>
      </c>
      <c r="C178" s="62">
        <f t="shared" si="147"/>
        <v>15</v>
      </c>
      <c r="D178" s="64">
        <f t="shared" si="148"/>
        <v>14.9166666666667</v>
      </c>
      <c r="E178" s="28">
        <f t="shared" si="129"/>
        <v>14</v>
      </c>
      <c r="G178" s="68">
        <f>INDEX(Others!$D$11:$E$60, MATCH(C178, Others!$A$11:$A$60, 0), MATCH(G$3, Others!$D$10:$E$10, 0))</f>
        <v>4.0690909090909111E-2</v>
      </c>
      <c r="H178" s="16">
        <f t="shared" si="171"/>
        <v>3.329265421250005E-3</v>
      </c>
      <c r="I178" s="69">
        <f t="shared" si="172"/>
        <v>0.56270133848857362</v>
      </c>
      <c r="K178" s="80">
        <f>INDEX(Mortality!$B$7:$F$32, MATCH( E178,Mortality!$A$7:$A$32, 0), MATCH( K$3,Mortality!$B$6:$F$6,0))</f>
        <v>0.377</v>
      </c>
      <c r="L178" s="11">
        <f t="shared" si="130"/>
        <v>0</v>
      </c>
      <c r="M178" s="80">
        <f t="shared" si="149"/>
        <v>0.377</v>
      </c>
      <c r="N178" s="76">
        <f>INDEX(Myopia!$H:$H, MATCH(E178, Myopia!$A:$A, 0)) * Trend_Factor^(A178)</f>
        <v>22.266417038050125</v>
      </c>
      <c r="O178" s="11">
        <f t="shared" si="131"/>
        <v>0</v>
      </c>
      <c r="P178" s="80">
        <f t="shared" si="150"/>
        <v>22.266417038050125</v>
      </c>
      <c r="Q178" s="76">
        <f>VLOOKUP(C178,Others!$L$10:$M$61,2)</f>
        <v>0</v>
      </c>
      <c r="R178" s="11">
        <f t="shared" si="132"/>
        <v>0</v>
      </c>
      <c r="S178" s="80">
        <f t="shared" si="151"/>
        <v>0</v>
      </c>
      <c r="T178" s="78">
        <f t="shared" si="152"/>
        <v>3.1416666666666667E-5</v>
      </c>
      <c r="U178" s="81">
        <f t="shared" si="153"/>
        <v>1.8555347531708439E-3</v>
      </c>
      <c r="V178" s="81">
        <f t="shared" si="154"/>
        <v>0</v>
      </c>
      <c r="W178" s="77">
        <f t="shared" si="133"/>
        <v>0.82723803480607583</v>
      </c>
      <c r="X178" s="82">
        <f t="shared" si="155"/>
        <v>2.5964949789996371E-5</v>
      </c>
      <c r="Y178" s="82">
        <f t="shared" si="156"/>
        <v>1.5349448109239314E-3</v>
      </c>
      <c r="Z178" s="82">
        <f t="shared" si="157"/>
        <v>0</v>
      </c>
      <c r="AA178" s="82">
        <f t="shared" si="158"/>
        <v>0.82567712504536195</v>
      </c>
      <c r="AC178" s="46">
        <f t="shared" si="134"/>
        <v>0</v>
      </c>
      <c r="AD178" s="15">
        <f t="shared" si="135"/>
        <v>0</v>
      </c>
      <c r="AE178" s="46">
        <f t="shared" si="159"/>
        <v>0</v>
      </c>
      <c r="AF178" s="15">
        <f t="shared" si="160"/>
        <v>0</v>
      </c>
      <c r="AG178" s="46">
        <f>SUMPRODUCT(AE179:AE$605, $I178:$I$604) / $I178</f>
        <v>0</v>
      </c>
      <c r="AI178" s="46">
        <f t="shared" si="136"/>
        <v>-47000</v>
      </c>
      <c r="AJ178" s="46">
        <f>IF(E178&gt;Mat_Year,0,  -SUM($AD$5:AD178))</f>
        <v>-9306</v>
      </c>
      <c r="AK178" s="24">
        <f t="shared" si="161"/>
        <v>-0.24162982274570624</v>
      </c>
      <c r="AL178" s="79">
        <f t="shared" si="162"/>
        <v>-72.142406113424769</v>
      </c>
      <c r="AM178" s="24">
        <f t="shared" si="163"/>
        <v>-87.500855727866778</v>
      </c>
      <c r="AN178" s="79">
        <f t="shared" si="164"/>
        <v>-72.384035936170477</v>
      </c>
      <c r="AO178" s="15">
        <f t="shared" si="165"/>
        <v>-2071.4016338095826</v>
      </c>
      <c r="AP178" s="46">
        <f>SUMPRODUCT(AN179:AN$605, $I179:$I$605) / $I178</f>
        <v>-1713.5422168467339</v>
      </c>
      <c r="AR178" s="46">
        <v>0</v>
      </c>
      <c r="AS178" s="46">
        <v>0</v>
      </c>
      <c r="AT178" s="46">
        <v>0</v>
      </c>
      <c r="AU178" s="95">
        <f t="shared" si="137"/>
        <v>-2.1146481349972968</v>
      </c>
      <c r="AV178" s="47">
        <f t="shared" si="138"/>
        <v>0</v>
      </c>
      <c r="AW178" s="96">
        <f t="shared" si="173"/>
        <v>-2.1146481349972968</v>
      </c>
      <c r="AX178" s="95">
        <f t="shared" si="139"/>
        <v>-24.247965281302335</v>
      </c>
      <c r="AY178" s="11">
        <f t="shared" si="140"/>
        <v>0</v>
      </c>
      <c r="AZ178" s="96">
        <f t="shared" si="174"/>
        <v>-24.247965281302335</v>
      </c>
      <c r="BA178" s="95">
        <f t="shared" si="175"/>
        <v>-1.749317367501497</v>
      </c>
      <c r="BB178" s="64">
        <f t="shared" si="176"/>
        <v>-3.7848885685037255E-2</v>
      </c>
      <c r="BC178" s="95">
        <f t="shared" si="177"/>
        <v>-2.1146481349972968</v>
      </c>
      <c r="BD178" s="96">
        <f t="shared" si="178"/>
        <v>-4.5753318987454356E-2</v>
      </c>
      <c r="BE178" s="96">
        <f t="shared" si="179"/>
        <v>-1.749317367501497</v>
      </c>
      <c r="BF178" s="96">
        <f t="shared" si="180"/>
        <v>-3.7848885685037255E-2</v>
      </c>
      <c r="BG178" s="15">
        <f t="shared" si="166"/>
        <v>-137.60370591989562</v>
      </c>
      <c r="BH178" s="46">
        <f>(SUMPRODUCT(BE179:BE$605,$I178:$I$604)+SUMPRODUCT(BF179:BF$605,$I179:$I$605)) / $I178</f>
        <v>-113.83101926720764</v>
      </c>
      <c r="BJ178" s="46">
        <f t="shared" si="181"/>
        <v>-1.749317367501497</v>
      </c>
      <c r="BK178" s="46">
        <f t="shared" si="182"/>
        <v>-72.421884821855514</v>
      </c>
      <c r="BM178" s="49">
        <f t="shared" si="167"/>
        <v>2213.181376453354</v>
      </c>
      <c r="BN178" s="46">
        <f t="shared" si="183"/>
        <v>1827.3732361139421</v>
      </c>
      <c r="BP178" s="46">
        <f>Reserve!BX178</f>
        <v>2914.4944925664363</v>
      </c>
      <c r="BQ178" s="46">
        <f t="shared" si="141"/>
        <v>2406.4314335827962</v>
      </c>
      <c r="BR178" s="15">
        <f t="shared" si="168"/>
        <v>88.733493572980933</v>
      </c>
      <c r="BT178" s="49">
        <f t="shared" si="169"/>
        <v>10.034889622089377</v>
      </c>
      <c r="BU178" s="46">
        <f t="shared" si="142"/>
        <v>8.3012423704731013</v>
      </c>
      <c r="BV178" s="46">
        <f>SUMPRODUCT(BU179:BU$605, $I179:$I$605) / $I178</f>
        <v>201.23631150395201</v>
      </c>
      <c r="BX178" s="46">
        <f>-BZ178*Others!$Q$43</f>
        <v>-5.8530646410488396</v>
      </c>
      <c r="BZ178" s="50">
        <f t="shared" si="127"/>
        <v>22.86353375409703</v>
      </c>
      <c r="CA178" s="46">
        <f t="shared" si="170"/>
        <v>17.010469113048192</v>
      </c>
      <c r="CB178" s="46">
        <f t="shared" si="143"/>
        <v>17.010469113048192</v>
      </c>
      <c r="CD178" s="46">
        <f>SUMPRODUCT(BZ179:BZ$605, $I179:$I$605) / $I178</f>
        <v>579.05819746885459</v>
      </c>
      <c r="CE178" s="46">
        <f>SUMPRODUCT(CA179:CA$605, $I179:$I$605) / $I178</f>
        <v>430.81929891682756</v>
      </c>
      <c r="CF178" s="46">
        <f>SUMPRODUCT(CB179:CB$605, $I179:$I$605) / $I178</f>
        <v>430.81929891682756</v>
      </c>
      <c r="CH178" s="46">
        <f t="shared" si="144"/>
        <v>44085.505507433561</v>
      </c>
      <c r="CI178" s="46">
        <f t="shared" si="145"/>
        <v>6391.5055074335633</v>
      </c>
      <c r="CK178" s="46">
        <f>NPV((1+CK$3)^(1/12)-1,$CB$6:$CB178)+$CB$5</f>
        <v>1122.104689607527</v>
      </c>
      <c r="CL178" s="46">
        <f>NPV((1+CL$3)^(1/12)-1,$CB$6:$CB178)+$CB$5</f>
        <v>847.94044102565204</v>
      </c>
      <c r="CM178" s="46">
        <f>NPV((1+CM$3)^(1/12)-1,$CB$6:$CB178)+$CB$5</f>
        <v>365.20328684886135</v>
      </c>
      <c r="CN178" s="46">
        <f>NPV((1+CN$3)^(1/12)-1,$CB$6:$CB178)+$CB$5</f>
        <v>365.20328684886135</v>
      </c>
    </row>
    <row r="179" spans="1:92" x14ac:dyDescent="0.25">
      <c r="A179" s="61">
        <f t="shared" si="128"/>
        <v>14.500000000000034</v>
      </c>
      <c r="B179" s="32">
        <f t="shared" si="146"/>
        <v>6</v>
      </c>
      <c r="C179" s="62">
        <f t="shared" si="147"/>
        <v>15</v>
      </c>
      <c r="D179" s="64">
        <f t="shared" si="148"/>
        <v>15.000000000000034</v>
      </c>
      <c r="E179" s="28">
        <f t="shared" si="129"/>
        <v>15</v>
      </c>
      <c r="G179" s="68">
        <f>INDEX(Others!$D$11:$E$60, MATCH(C179, Others!$A$11:$A$60, 0), MATCH(G$3, Others!$D$10:$E$10, 0))</f>
        <v>4.0690909090909111E-2</v>
      </c>
      <c r="H179" s="16">
        <f t="shared" si="171"/>
        <v>3.329265421250005E-3</v>
      </c>
      <c r="I179" s="69">
        <f t="shared" si="172"/>
        <v>0.56083417267044655</v>
      </c>
      <c r="K179" s="80">
        <f>INDEX(Mortality!$B$7:$F$32, MATCH( E179,Mortality!$A$7:$A$32, 0), MATCH( K$3,Mortality!$B$6:$F$6,0))</f>
        <v>0.38499999999999995</v>
      </c>
      <c r="L179" s="11">
        <f t="shared" si="130"/>
        <v>0</v>
      </c>
      <c r="M179" s="80">
        <f t="shared" si="149"/>
        <v>0.38499999999999995</v>
      </c>
      <c r="N179" s="76">
        <f>INDEX(Myopia!$H:$H, MATCH(E179, Myopia!$A:$A, 0)) * Trend_Factor^(A179)</f>
        <v>21.7814227944273</v>
      </c>
      <c r="O179" s="11">
        <f t="shared" si="131"/>
        <v>0</v>
      </c>
      <c r="P179" s="80">
        <f t="shared" si="150"/>
        <v>21.7814227944273</v>
      </c>
      <c r="Q179" s="76">
        <f>VLOOKUP(C179,Others!$L$10:$M$61,2)</f>
        <v>0</v>
      </c>
      <c r="R179" s="11">
        <f t="shared" si="132"/>
        <v>0</v>
      </c>
      <c r="S179" s="80">
        <f t="shared" si="151"/>
        <v>0</v>
      </c>
      <c r="T179" s="78">
        <f t="shared" si="152"/>
        <v>3.2083333333333332E-5</v>
      </c>
      <c r="U179" s="81">
        <f t="shared" si="153"/>
        <v>1.8151185662022751E-3</v>
      </c>
      <c r="V179" s="81">
        <f t="shared" si="154"/>
        <v>0</v>
      </c>
      <c r="W179" s="77">
        <f t="shared" si="133"/>
        <v>0.82567712504536195</v>
      </c>
      <c r="X179" s="82">
        <f t="shared" si="155"/>
        <v>2.646643275255732E-5</v>
      </c>
      <c r="Y179" s="82">
        <f t="shared" si="156"/>
        <v>1.4986778376823726E-3</v>
      </c>
      <c r="Z179" s="82">
        <f t="shared" si="157"/>
        <v>0</v>
      </c>
      <c r="AA179" s="82">
        <f t="shared" si="158"/>
        <v>0.82415198077492702</v>
      </c>
      <c r="AC179" s="46">
        <f t="shared" si="134"/>
        <v>0</v>
      </c>
      <c r="AD179" s="15">
        <f t="shared" si="135"/>
        <v>0</v>
      </c>
      <c r="AE179" s="46">
        <f t="shared" si="159"/>
        <v>0</v>
      </c>
      <c r="AF179" s="15">
        <f t="shared" si="160"/>
        <v>0</v>
      </c>
      <c r="AG179" s="46">
        <f>SUMPRODUCT(AE180:AE$605, $I179:$I$604) / $I179</f>
        <v>0</v>
      </c>
      <c r="AI179" s="46">
        <f t="shared" si="136"/>
        <v>-47000</v>
      </c>
      <c r="AJ179" s="46">
        <f>IF(E179&gt;Mat_Year,0,  -SUM($AD$5:AD179))</f>
        <v>-9306</v>
      </c>
      <c r="AK179" s="24">
        <f t="shared" si="161"/>
        <v>-0.24629662319529844</v>
      </c>
      <c r="AL179" s="79">
        <f t="shared" si="162"/>
        <v>-70.437858371071513</v>
      </c>
      <c r="AM179" s="24">
        <f t="shared" si="163"/>
        <v>-85.607500620031686</v>
      </c>
      <c r="AN179" s="79">
        <f t="shared" si="164"/>
        <v>-70.684154994266805</v>
      </c>
      <c r="AO179" s="15">
        <f t="shared" si="165"/>
        <v>-1996.6193184924389</v>
      </c>
      <c r="AP179" s="46">
        <f>SUMPRODUCT(AN180:AN$605, $I180:$I$605) / $I179</f>
        <v>-1648.5628987028667</v>
      </c>
      <c r="AR179" s="46">
        <v>0</v>
      </c>
      <c r="AS179" s="46">
        <v>0</v>
      </c>
      <c r="AT179" s="46">
        <v>0</v>
      </c>
      <c r="AU179" s="95">
        <f t="shared" si="137"/>
        <v>-2.1170125199384078</v>
      </c>
      <c r="AV179" s="47">
        <f t="shared" si="138"/>
        <v>0</v>
      </c>
      <c r="AW179" s="96">
        <f t="shared" si="173"/>
        <v>-2.1170125199384078</v>
      </c>
      <c r="AX179" s="95">
        <f t="shared" si="139"/>
        <v>-24.27507689529374</v>
      </c>
      <c r="AY179" s="11">
        <f t="shared" si="140"/>
        <v>0</v>
      </c>
      <c r="AZ179" s="96">
        <f t="shared" si="174"/>
        <v>-24.27507689529374</v>
      </c>
      <c r="BA179" s="95">
        <f t="shared" si="175"/>
        <v>-1.7479688111477816</v>
      </c>
      <c r="BB179" s="64">
        <f t="shared" si="176"/>
        <v>-3.7022994441224595E-2</v>
      </c>
      <c r="BC179" s="95">
        <f t="shared" si="177"/>
        <v>-2.1170125199384078</v>
      </c>
      <c r="BD179" s="96">
        <f t="shared" si="178"/>
        <v>-4.4839554491945731E-2</v>
      </c>
      <c r="BE179" s="96">
        <f t="shared" si="179"/>
        <v>-1.7479688111477816</v>
      </c>
      <c r="BF179" s="96">
        <f t="shared" si="180"/>
        <v>-3.7022994441224595E-2</v>
      </c>
      <c r="BG179" s="15">
        <f t="shared" si="166"/>
        <v>-136.15392539745363</v>
      </c>
      <c r="BH179" s="46">
        <f>(SUMPRODUCT(BE180:BE$605,$I179:$I$604)+SUMPRODUCT(BF180:BF$605,$I180:$I$605)) / $I179</f>
        <v>-112.41918168581022</v>
      </c>
      <c r="BJ179" s="46">
        <f t="shared" si="181"/>
        <v>-1.7479688111477816</v>
      </c>
      <c r="BK179" s="46">
        <f t="shared" si="182"/>
        <v>-70.721177988708035</v>
      </c>
      <c r="BM179" s="49">
        <f t="shared" si="167"/>
        <v>2136.7200728352018</v>
      </c>
      <c r="BN179" s="46">
        <f t="shared" si="183"/>
        <v>1760.9820803886778</v>
      </c>
      <c r="BP179" s="46">
        <f>Reserve!BX179</f>
        <v>2814.541919468862</v>
      </c>
      <c r="BQ179" s="46">
        <f t="shared" si="141"/>
        <v>2319.6102979043276</v>
      </c>
      <c r="BR179" s="15">
        <f t="shared" si="168"/>
        <v>86.821135678468636</v>
      </c>
      <c r="BT179" s="49">
        <f t="shared" si="169"/>
        <v>9.6960776379460327</v>
      </c>
      <c r="BU179" s="46">
        <f t="shared" si="142"/>
        <v>8.0058295083159035</v>
      </c>
      <c r="BV179" s="46">
        <f>SUMPRODUCT(BU180:BU$605, $I180:$I$605) / $I179</f>
        <v>193.90045108902609</v>
      </c>
      <c r="BX179" s="46">
        <f>-BZ179*Others!$Q$43</f>
        <v>-5.7236015070537523</v>
      </c>
      <c r="BZ179" s="50">
        <f t="shared" si="127"/>
        <v>22.35781838692872</v>
      </c>
      <c r="CA179" s="46">
        <f t="shared" si="170"/>
        <v>16.63421687987497</v>
      </c>
      <c r="CB179" s="46">
        <f t="shared" si="143"/>
        <v>16.63421687987497</v>
      </c>
      <c r="CD179" s="46">
        <f>SUMPRODUCT(BZ180:BZ$605, $I180:$I$605) / $I179</f>
        <v>558.62821751565048</v>
      </c>
      <c r="CE179" s="46">
        <f>SUMPRODUCT(CA180:CA$605, $I180:$I$605) / $I179</f>
        <v>415.61939383164361</v>
      </c>
      <c r="CF179" s="46">
        <f>SUMPRODUCT(CB180:CB$605, $I180:$I$605) / $I179</f>
        <v>415.61939383164361</v>
      </c>
      <c r="CH179" s="46">
        <f t="shared" si="144"/>
        <v>44185.458080531142</v>
      </c>
      <c r="CI179" s="46">
        <f t="shared" si="145"/>
        <v>6491.458080531138</v>
      </c>
      <c r="CK179" s="46">
        <f>NPV((1+CK$3)^(1/12)-1,$CB$6:$CB179)+$CB$5</f>
        <v>1132.9405300484275</v>
      </c>
      <c r="CL179" s="46">
        <f>NPV((1+CL$3)^(1/12)-1,$CB$6:$CB179)+$CB$5</f>
        <v>856.13937752987681</v>
      </c>
      <c r="CM179" s="46">
        <f>NPV((1+CM$3)^(1/12)-1,$CB$6:$CB179)+$CB$5</f>
        <v>369.37974779598153</v>
      </c>
      <c r="CN179" s="46">
        <f>NPV((1+CN$3)^(1/12)-1,$CB$6:$CB179)+$CB$5</f>
        <v>369.37974779598153</v>
      </c>
    </row>
    <row r="180" spans="1:92" x14ac:dyDescent="0.25">
      <c r="A180" s="61">
        <f t="shared" si="128"/>
        <v>14.583333333333368</v>
      </c>
      <c r="B180" s="32">
        <f t="shared" si="146"/>
        <v>7</v>
      </c>
      <c r="C180" s="62">
        <f t="shared" si="147"/>
        <v>15</v>
      </c>
      <c r="D180" s="64">
        <f t="shared" si="148"/>
        <v>15.083333333333368</v>
      </c>
      <c r="E180" s="28">
        <f t="shared" si="129"/>
        <v>15</v>
      </c>
      <c r="G180" s="68">
        <f>INDEX(Others!$D$11:$E$60, MATCH(C180, Others!$A$11:$A$60, 0), MATCH(G$3, Others!$D$10:$E$10, 0))</f>
        <v>4.0690909090909111E-2</v>
      </c>
      <c r="H180" s="16">
        <f t="shared" si="171"/>
        <v>3.329265421250005E-3</v>
      </c>
      <c r="I180" s="69">
        <f t="shared" si="172"/>
        <v>0.55897320251590499</v>
      </c>
      <c r="K180" s="80">
        <f>INDEX(Mortality!$B$7:$F$32, MATCH( E180,Mortality!$A$7:$A$32, 0), MATCH( K$3,Mortality!$B$6:$F$6,0))</f>
        <v>0.38499999999999995</v>
      </c>
      <c r="L180" s="11">
        <f t="shared" si="130"/>
        <v>0</v>
      </c>
      <c r="M180" s="80">
        <f t="shared" si="149"/>
        <v>0.38499999999999995</v>
      </c>
      <c r="N180" s="76">
        <f>INDEX(Myopia!$H:$H, MATCH(E180, Myopia!$A:$A, 0)) * Trend_Factor^(A180)</f>
        <v>21.7814227944273</v>
      </c>
      <c r="O180" s="11">
        <f t="shared" si="131"/>
        <v>0</v>
      </c>
      <c r="P180" s="80">
        <f t="shared" si="150"/>
        <v>21.7814227944273</v>
      </c>
      <c r="Q180" s="76">
        <f>VLOOKUP(C180,Others!$L$10:$M$61,2)</f>
        <v>0</v>
      </c>
      <c r="R180" s="11">
        <f t="shared" si="132"/>
        <v>0</v>
      </c>
      <c r="S180" s="80">
        <f t="shared" si="151"/>
        <v>0</v>
      </c>
      <c r="T180" s="78">
        <f t="shared" si="152"/>
        <v>3.2083333333333332E-5</v>
      </c>
      <c r="U180" s="81">
        <f t="shared" si="153"/>
        <v>1.8151185662022751E-3</v>
      </c>
      <c r="V180" s="81">
        <f t="shared" si="154"/>
        <v>0</v>
      </c>
      <c r="W180" s="77">
        <f t="shared" si="133"/>
        <v>0.82415198077492702</v>
      </c>
      <c r="X180" s="82">
        <f t="shared" si="155"/>
        <v>2.6417545448977006E-5</v>
      </c>
      <c r="Y180" s="82">
        <f t="shared" si="156"/>
        <v>1.4959095644093987E-3</v>
      </c>
      <c r="Z180" s="82">
        <f t="shared" si="157"/>
        <v>0</v>
      </c>
      <c r="AA180" s="82">
        <f t="shared" si="158"/>
        <v>0.82262965366506868</v>
      </c>
      <c r="AC180" s="46">
        <f t="shared" si="134"/>
        <v>0</v>
      </c>
      <c r="AD180" s="15">
        <f t="shared" si="135"/>
        <v>0</v>
      </c>
      <c r="AE180" s="46">
        <f t="shared" si="159"/>
        <v>0</v>
      </c>
      <c r="AF180" s="15">
        <f t="shared" si="160"/>
        <v>0</v>
      </c>
      <c r="AG180" s="46">
        <f>SUMPRODUCT(AE181:AE$605, $I180:$I$604) / $I180</f>
        <v>0</v>
      </c>
      <c r="AI180" s="46">
        <f t="shared" si="136"/>
        <v>-47000</v>
      </c>
      <c r="AJ180" s="46">
        <f>IF(E180&gt;Mat_Year,0,  -SUM($AD$5:AD180))</f>
        <v>-9306</v>
      </c>
      <c r="AK180" s="24">
        <f t="shared" si="161"/>
        <v>-0.24584167794818002</v>
      </c>
      <c r="AL180" s="79">
        <f t="shared" si="162"/>
        <v>-70.307749527241739</v>
      </c>
      <c r="AM180" s="24">
        <f t="shared" si="163"/>
        <v>-85.607500620031701</v>
      </c>
      <c r="AN180" s="79">
        <f t="shared" si="164"/>
        <v>-70.553591205189917</v>
      </c>
      <c r="AO180" s="15">
        <f t="shared" si="165"/>
        <v>-1921.3662624000076</v>
      </c>
      <c r="AP180" s="46">
        <f>SUMPRODUCT(AN181:AN$605, $I181:$I$605) / $I180</f>
        <v>-1583.4978109510844</v>
      </c>
      <c r="AR180" s="46">
        <v>0</v>
      </c>
      <c r="AS180" s="46">
        <v>0</v>
      </c>
      <c r="AT180" s="46">
        <v>0</v>
      </c>
      <c r="AU180" s="95">
        <f t="shared" si="137"/>
        <v>-2.1193795484948126</v>
      </c>
      <c r="AV180" s="47">
        <f t="shared" si="138"/>
        <v>0</v>
      </c>
      <c r="AW180" s="96">
        <f t="shared" si="173"/>
        <v>-2.1193795484948126</v>
      </c>
      <c r="AX180" s="95">
        <f t="shared" si="139"/>
        <v>-24.302218822740514</v>
      </c>
      <c r="AY180" s="11">
        <f t="shared" si="140"/>
        <v>0</v>
      </c>
      <c r="AZ180" s="96">
        <f t="shared" si="174"/>
        <v>-24.302218822740514</v>
      </c>
      <c r="BA180" s="95">
        <f t="shared" si="175"/>
        <v>-1.7466908529058702</v>
      </c>
      <c r="BB180" s="64">
        <f t="shared" si="176"/>
        <v>-3.6995926543568383E-2</v>
      </c>
      <c r="BC180" s="95">
        <f t="shared" si="177"/>
        <v>-2.1193795484948126</v>
      </c>
      <c r="BD180" s="96">
        <f t="shared" si="178"/>
        <v>-4.4889689531270857E-2</v>
      </c>
      <c r="BE180" s="96">
        <f t="shared" si="179"/>
        <v>-1.7466908529058702</v>
      </c>
      <c r="BF180" s="96">
        <f t="shared" si="180"/>
        <v>-3.6995926543568383E-2</v>
      </c>
      <c r="BG180" s="15">
        <f t="shared" si="166"/>
        <v>-134.68869285347162</v>
      </c>
      <c r="BH180" s="46">
        <f>(SUMPRODUCT(BE181:BE$605,$I180:$I$604)+SUMPRODUCT(BF181:BF$605,$I181:$I$605)) / $I180</f>
        <v>-111.00395300317439</v>
      </c>
      <c r="BJ180" s="46">
        <f t="shared" si="181"/>
        <v>-1.7466908529058702</v>
      </c>
      <c r="BK180" s="46">
        <f t="shared" si="182"/>
        <v>-70.590587131733486</v>
      </c>
      <c r="BM180" s="49">
        <f t="shared" si="167"/>
        <v>2059.8598122554072</v>
      </c>
      <c r="BN180" s="46">
        <f t="shared" si="183"/>
        <v>1694.5017639542591</v>
      </c>
      <c r="BP180" s="46">
        <f>Reserve!BX180</f>
        <v>2714.0925594438067</v>
      </c>
      <c r="BQ180" s="46">
        <f t="shared" si="141"/>
        <v>2232.6930221901985</v>
      </c>
      <c r="BR180" s="15">
        <f t="shared" si="168"/>
        <v>86.917275714129119</v>
      </c>
      <c r="BT180" s="49">
        <f t="shared" si="169"/>
        <v>9.3633011121009897</v>
      </c>
      <c r="BU180" s="46">
        <f t="shared" si="142"/>
        <v>7.7167831581301076</v>
      </c>
      <c r="BV180" s="46">
        <f>SUMPRODUCT(BU181:BU$605, $I181:$I$605) / $I180</f>
        <v>186.82921399787148</v>
      </c>
      <c r="BX180" s="46">
        <f>-BZ180*Others!$Q$43</f>
        <v>-5.7079759072306864</v>
      </c>
      <c r="BZ180" s="50">
        <f t="shared" si="127"/>
        <v>22.296780887619867</v>
      </c>
      <c r="CA180" s="46">
        <f t="shared" si="170"/>
        <v>16.588804980389181</v>
      </c>
      <c r="CB180" s="46">
        <f t="shared" si="143"/>
        <v>16.588804980389181</v>
      </c>
      <c r="CD180" s="46">
        <f>SUMPRODUCT(BZ181:BZ$605, $I181:$I$605) / $I180</f>
        <v>538.19125823593993</v>
      </c>
      <c r="CE180" s="46">
        <f>SUMPRODUCT(CA181:CA$605, $I181:$I$605) / $I180</f>
        <v>400.41429612753905</v>
      </c>
      <c r="CF180" s="46">
        <f>SUMPRODUCT(CB181:CB$605, $I181:$I$605) / $I180</f>
        <v>400.41429612753905</v>
      </c>
      <c r="CH180" s="46">
        <f t="shared" si="144"/>
        <v>44285.907440556191</v>
      </c>
      <c r="CI180" s="46">
        <f t="shared" si="145"/>
        <v>6591.9074405561933</v>
      </c>
      <c r="CK180" s="46">
        <f>NPV((1+CK$3)^(1/12)-1,$CB$6:$CB180)+$CB$5</f>
        <v>1143.7202027464896</v>
      </c>
      <c r="CL180" s="46">
        <f>NPV((1+CL$3)^(1/12)-1,$CB$6:$CB180)+$CB$5</f>
        <v>864.28275357518032</v>
      </c>
      <c r="CM180" s="46">
        <f>NPV((1+CM$3)^(1/12)-1,$CB$6:$CB180)+$CB$5</f>
        <v>373.51185686436179</v>
      </c>
      <c r="CN180" s="46">
        <f>NPV((1+CN$3)^(1/12)-1,$CB$6:$CB180)+$CB$5</f>
        <v>373.51185686436179</v>
      </c>
    </row>
    <row r="181" spans="1:92" x14ac:dyDescent="0.25">
      <c r="A181" s="61">
        <f t="shared" si="128"/>
        <v>14.666666666666702</v>
      </c>
      <c r="B181" s="32">
        <f t="shared" si="146"/>
        <v>8</v>
      </c>
      <c r="C181" s="62">
        <f t="shared" si="147"/>
        <v>15</v>
      </c>
      <c r="D181" s="64">
        <f t="shared" si="148"/>
        <v>15.166666666666702</v>
      </c>
      <c r="E181" s="28">
        <f t="shared" si="129"/>
        <v>15</v>
      </c>
      <c r="G181" s="68">
        <f>INDEX(Others!$D$11:$E$60, MATCH(C181, Others!$A$11:$A$60, 0), MATCH(G$3, Others!$D$10:$E$10, 0))</f>
        <v>4.0690909090909111E-2</v>
      </c>
      <c r="H181" s="16">
        <f t="shared" si="171"/>
        <v>3.329265421250005E-3</v>
      </c>
      <c r="I181" s="69">
        <f t="shared" si="172"/>
        <v>0.5571184074663853</v>
      </c>
      <c r="K181" s="80">
        <f>INDEX(Mortality!$B$7:$F$32, MATCH( E181,Mortality!$A$7:$A$32, 0), MATCH( K$3,Mortality!$B$6:$F$6,0))</f>
        <v>0.38499999999999995</v>
      </c>
      <c r="L181" s="11">
        <f t="shared" si="130"/>
        <v>0</v>
      </c>
      <c r="M181" s="80">
        <f t="shared" si="149"/>
        <v>0.38499999999999995</v>
      </c>
      <c r="N181" s="76">
        <f>INDEX(Myopia!$H:$H, MATCH(E181, Myopia!$A:$A, 0)) * Trend_Factor^(A181)</f>
        <v>21.7814227944273</v>
      </c>
      <c r="O181" s="11">
        <f t="shared" si="131"/>
        <v>0</v>
      </c>
      <c r="P181" s="80">
        <f t="shared" si="150"/>
        <v>21.7814227944273</v>
      </c>
      <c r="Q181" s="76">
        <f>VLOOKUP(C181,Others!$L$10:$M$61,2)</f>
        <v>0</v>
      </c>
      <c r="R181" s="11">
        <f t="shared" si="132"/>
        <v>0</v>
      </c>
      <c r="S181" s="80">
        <f t="shared" si="151"/>
        <v>0</v>
      </c>
      <c r="T181" s="78">
        <f t="shared" si="152"/>
        <v>3.2083333333333332E-5</v>
      </c>
      <c r="U181" s="81">
        <f t="shared" si="153"/>
        <v>1.8151185662022751E-3</v>
      </c>
      <c r="V181" s="81">
        <f t="shared" si="154"/>
        <v>0</v>
      </c>
      <c r="W181" s="77">
        <f t="shared" si="133"/>
        <v>0.82262965366506868</v>
      </c>
      <c r="X181" s="82">
        <f t="shared" si="155"/>
        <v>2.6368748447269773E-5</v>
      </c>
      <c r="Y181" s="82">
        <f t="shared" si="156"/>
        <v>1.4931464045348625E-3</v>
      </c>
      <c r="Z181" s="82">
        <f t="shared" si="157"/>
        <v>0</v>
      </c>
      <c r="AA181" s="82">
        <f t="shared" si="158"/>
        <v>0.82111013851208658</v>
      </c>
      <c r="AC181" s="46">
        <f t="shared" si="134"/>
        <v>0</v>
      </c>
      <c r="AD181" s="15">
        <f t="shared" si="135"/>
        <v>0</v>
      </c>
      <c r="AE181" s="46">
        <f t="shared" si="159"/>
        <v>0</v>
      </c>
      <c r="AF181" s="15">
        <f t="shared" si="160"/>
        <v>0</v>
      </c>
      <c r="AG181" s="46">
        <f>SUMPRODUCT(AE182:AE$605, $I181:$I$604) / $I181</f>
        <v>0</v>
      </c>
      <c r="AI181" s="46">
        <f t="shared" si="136"/>
        <v>-47000</v>
      </c>
      <c r="AJ181" s="46">
        <f>IF(E181&gt;Mat_Year,0,  -SUM($AD$5:AD181))</f>
        <v>-9306</v>
      </c>
      <c r="AK181" s="24">
        <f t="shared" si="161"/>
        <v>-0.24538757305029252</v>
      </c>
      <c r="AL181" s="79">
        <f t="shared" si="162"/>
        <v>-70.177881013138546</v>
      </c>
      <c r="AM181" s="24">
        <f t="shared" si="163"/>
        <v>-85.607500620031715</v>
      </c>
      <c r="AN181" s="79">
        <f t="shared" si="164"/>
        <v>-70.42326858618884</v>
      </c>
      <c r="AO181" s="15">
        <f t="shared" si="165"/>
        <v>-1845.7229448352832</v>
      </c>
      <c r="AP181" s="46">
        <f>SUMPRODUCT(AN182:AN$605, $I182:$I$605) / $I181</f>
        <v>-1518.3464268715197</v>
      </c>
      <c r="AR181" s="46">
        <v>0</v>
      </c>
      <c r="AS181" s="46">
        <v>0</v>
      </c>
      <c r="AT181" s="46">
        <v>0</v>
      </c>
      <c r="AU181" s="95">
        <f t="shared" si="137"/>
        <v>-2.1217492236223325</v>
      </c>
      <c r="AV181" s="47">
        <f t="shared" si="138"/>
        <v>0</v>
      </c>
      <c r="AW181" s="96">
        <f t="shared" si="173"/>
        <v>-2.1217492236223325</v>
      </c>
      <c r="AX181" s="95">
        <f t="shared" si="139"/>
        <v>-24.329391097536078</v>
      </c>
      <c r="AY181" s="11">
        <f t="shared" si="140"/>
        <v>0</v>
      </c>
      <c r="AZ181" s="96">
        <f t="shared" si="174"/>
        <v>-24.329391097536078</v>
      </c>
      <c r="BA181" s="95">
        <f t="shared" si="175"/>
        <v>-1.7454138289925678</v>
      </c>
      <c r="BB181" s="64">
        <f t="shared" si="176"/>
        <v>-3.6968878435534661E-2</v>
      </c>
      <c r="BC181" s="95">
        <f t="shared" si="177"/>
        <v>-2.1217492236223325</v>
      </c>
      <c r="BD181" s="96">
        <f t="shared" si="178"/>
        <v>-4.4939880626509041E-2</v>
      </c>
      <c r="BE181" s="96">
        <f t="shared" si="179"/>
        <v>-1.7454138289925678</v>
      </c>
      <c r="BF181" s="96">
        <f t="shared" si="180"/>
        <v>-3.6968878435534661E-2</v>
      </c>
      <c r="BG181" s="15">
        <f t="shared" si="166"/>
        <v>-133.21343387508435</v>
      </c>
      <c r="BH181" s="46">
        <f>(SUMPRODUCT(BE182:BE$605,$I181:$I$604)+SUMPRODUCT(BF182:BF$605,$I182:$I$605)) / $I181</f>
        <v>-109.58532097219516</v>
      </c>
      <c r="BJ181" s="46">
        <f t="shared" si="181"/>
        <v>-1.7454138289925678</v>
      </c>
      <c r="BK181" s="46">
        <f t="shared" si="182"/>
        <v>-70.46023746462437</v>
      </c>
      <c r="BM181" s="49">
        <f t="shared" si="167"/>
        <v>1982.5985230113595</v>
      </c>
      <c r="BN181" s="46">
        <f t="shared" si="183"/>
        <v>1627.9317478437156</v>
      </c>
      <c r="BP181" s="46">
        <f>Reserve!BX181</f>
        <v>2613.1439596235573</v>
      </c>
      <c r="BQ181" s="46">
        <f t="shared" si="141"/>
        <v>2145.6789986385215</v>
      </c>
      <c r="BR181" s="15">
        <f t="shared" si="168"/>
        <v>87.014023551676928</v>
      </c>
      <c r="BT181" s="49">
        <f t="shared" si="169"/>
        <v>9.028870641905419</v>
      </c>
      <c r="BU181" s="46">
        <f t="shared" si="142"/>
        <v>7.4274167291373612</v>
      </c>
      <c r="BV181" s="46">
        <f>SUMPRODUCT(BU182:BU$605, $I182:$I$605) / $I181</f>
        <v>180.02380131057654</v>
      </c>
      <c r="BX181" s="46">
        <f>-BZ181*Others!$Q$43</f>
        <v>-5.6923619807225228</v>
      </c>
      <c r="BZ181" s="50">
        <f t="shared" si="127"/>
        <v>22.235788987197353</v>
      </c>
      <c r="CA181" s="46">
        <f t="shared" si="170"/>
        <v>16.543427006474829</v>
      </c>
      <c r="CB181" s="46">
        <f t="shared" si="143"/>
        <v>16.543427006474829</v>
      </c>
      <c r="CD181" s="46">
        <f>SUMPRODUCT(BZ182:BZ$605, $I182:$I$605) / $I181</f>
        <v>517.74725079480652</v>
      </c>
      <c r="CE181" s="46">
        <f>SUMPRODUCT(CA182:CA$605, $I182:$I$605) / $I181</f>
        <v>385.20395459133579</v>
      </c>
      <c r="CF181" s="46">
        <f>SUMPRODUCT(CB182:CB$605, $I182:$I$605) / $I181</f>
        <v>385.20395459133579</v>
      </c>
      <c r="CH181" s="46">
        <f t="shared" si="144"/>
        <v>44386.856040376442</v>
      </c>
      <c r="CI181" s="46">
        <f t="shared" si="145"/>
        <v>6692.8560403764423</v>
      </c>
      <c r="CK181" s="46">
        <f>NPV((1+CK$3)^(1/12)-1,$CB$6:$CB181)+$CB$5</f>
        <v>1154.44394047592</v>
      </c>
      <c r="CL181" s="46">
        <f>NPV((1+CL$3)^(1/12)-1,$CB$6:$CB181)+$CB$5</f>
        <v>872.37090164356346</v>
      </c>
      <c r="CM181" s="46">
        <f>NPV((1+CM$3)^(1/12)-1,$CB$6:$CB181)+$CB$5</f>
        <v>377.60006279508025</v>
      </c>
      <c r="CN181" s="46">
        <f>NPV((1+CN$3)^(1/12)-1,$CB$6:$CB181)+$CB$5</f>
        <v>377.60006279508025</v>
      </c>
    </row>
    <row r="182" spans="1:92" x14ac:dyDescent="0.25">
      <c r="A182" s="61">
        <f t="shared" si="128"/>
        <v>14.750000000000036</v>
      </c>
      <c r="B182" s="32">
        <f t="shared" si="146"/>
        <v>9</v>
      </c>
      <c r="C182" s="62">
        <f t="shared" si="147"/>
        <v>15</v>
      </c>
      <c r="D182" s="64">
        <f t="shared" si="148"/>
        <v>15.250000000000036</v>
      </c>
      <c r="E182" s="28">
        <f t="shared" si="129"/>
        <v>15</v>
      </c>
      <c r="G182" s="68">
        <f>INDEX(Others!$D$11:$E$60, MATCH(C182, Others!$A$11:$A$60, 0), MATCH(G$3, Others!$D$10:$E$10, 0))</f>
        <v>4.0690909090909111E-2</v>
      </c>
      <c r="H182" s="16">
        <f t="shared" si="171"/>
        <v>3.329265421250005E-3</v>
      </c>
      <c r="I182" s="69">
        <f t="shared" si="172"/>
        <v>0.55526976703154163</v>
      </c>
      <c r="K182" s="80">
        <f>INDEX(Mortality!$B$7:$F$32, MATCH( E182,Mortality!$A$7:$A$32, 0), MATCH( K$3,Mortality!$B$6:$F$6,0))</f>
        <v>0.38499999999999995</v>
      </c>
      <c r="L182" s="11">
        <f t="shared" si="130"/>
        <v>0</v>
      </c>
      <c r="M182" s="80">
        <f t="shared" si="149"/>
        <v>0.38499999999999995</v>
      </c>
      <c r="N182" s="76">
        <f>INDEX(Myopia!$H:$H, MATCH(E182, Myopia!$A:$A, 0)) * Trend_Factor^(A182)</f>
        <v>21.7814227944273</v>
      </c>
      <c r="O182" s="11">
        <f t="shared" si="131"/>
        <v>0</v>
      </c>
      <c r="P182" s="80">
        <f t="shared" si="150"/>
        <v>21.7814227944273</v>
      </c>
      <c r="Q182" s="76">
        <f>VLOOKUP(C182,Others!$L$10:$M$61,2)</f>
        <v>0</v>
      </c>
      <c r="R182" s="11">
        <f t="shared" si="132"/>
        <v>0</v>
      </c>
      <c r="S182" s="80">
        <f t="shared" si="151"/>
        <v>0</v>
      </c>
      <c r="T182" s="78">
        <f t="shared" si="152"/>
        <v>3.2083333333333332E-5</v>
      </c>
      <c r="U182" s="81">
        <f t="shared" si="153"/>
        <v>1.8151185662022751E-3</v>
      </c>
      <c r="V182" s="81">
        <f t="shared" si="154"/>
        <v>0</v>
      </c>
      <c r="W182" s="77">
        <f t="shared" si="133"/>
        <v>0.82111013851208658</v>
      </c>
      <c r="X182" s="82">
        <f t="shared" si="155"/>
        <v>2.6320041580635093E-5</v>
      </c>
      <c r="Y182" s="82">
        <f t="shared" si="156"/>
        <v>1.4903883486135825E-3</v>
      </c>
      <c r="Z182" s="82">
        <f t="shared" si="157"/>
        <v>0</v>
      </c>
      <c r="AA182" s="82">
        <f t="shared" si="158"/>
        <v>0.81959343012189234</v>
      </c>
      <c r="AC182" s="46">
        <f t="shared" si="134"/>
        <v>0</v>
      </c>
      <c r="AD182" s="15">
        <f t="shared" si="135"/>
        <v>0</v>
      </c>
      <c r="AE182" s="46">
        <f t="shared" si="159"/>
        <v>0</v>
      </c>
      <c r="AF182" s="15">
        <f t="shared" si="160"/>
        <v>0</v>
      </c>
      <c r="AG182" s="46">
        <f>SUMPRODUCT(AE183:AE$605, $I182:$I$604) / $I182</f>
        <v>0</v>
      </c>
      <c r="AI182" s="46">
        <f t="shared" si="136"/>
        <v>-47000</v>
      </c>
      <c r="AJ182" s="46">
        <f>IF(E182&gt;Mat_Year,0,  -SUM($AD$5:AD182))</f>
        <v>-9306</v>
      </c>
      <c r="AK182" s="24">
        <f t="shared" si="161"/>
        <v>-0.24493430694939017</v>
      </c>
      <c r="AL182" s="79">
        <f t="shared" si="162"/>
        <v>-70.048252384838378</v>
      </c>
      <c r="AM182" s="24">
        <f t="shared" si="163"/>
        <v>-85.607500620031701</v>
      </c>
      <c r="AN182" s="79">
        <f t="shared" si="164"/>
        <v>-70.293186691787767</v>
      </c>
      <c r="AO182" s="15">
        <f t="shared" si="165"/>
        <v>-1769.6873419068183</v>
      </c>
      <c r="AP182" s="46">
        <f>SUMPRODUCT(AN183:AN$605, $I183:$I$605) / $I182</f>
        <v>-1453.108218436194</v>
      </c>
      <c r="AR182" s="46">
        <v>0</v>
      </c>
      <c r="AS182" s="46">
        <v>0</v>
      </c>
      <c r="AT182" s="46">
        <v>0</v>
      </c>
      <c r="AU182" s="95">
        <f t="shared" si="137"/>
        <v>-2.1241215482800957</v>
      </c>
      <c r="AV182" s="47">
        <f t="shared" si="138"/>
        <v>0</v>
      </c>
      <c r="AW182" s="96">
        <f t="shared" si="173"/>
        <v>-2.1241215482800957</v>
      </c>
      <c r="AX182" s="95">
        <f t="shared" si="139"/>
        <v>-24.356593753611758</v>
      </c>
      <c r="AY182" s="11">
        <f t="shared" si="140"/>
        <v>0</v>
      </c>
      <c r="AZ182" s="96">
        <f t="shared" si="174"/>
        <v>-24.356593753611758</v>
      </c>
      <c r="BA182" s="95">
        <f t="shared" si="175"/>
        <v>-1.7441377387247772</v>
      </c>
      <c r="BB182" s="64">
        <f t="shared" si="176"/>
        <v>-3.6941850102655022E-2</v>
      </c>
      <c r="BC182" s="95">
        <f t="shared" si="177"/>
        <v>-2.1241215482800957</v>
      </c>
      <c r="BD182" s="96">
        <f t="shared" si="178"/>
        <v>-4.4990127840336298E-2</v>
      </c>
      <c r="BE182" s="96">
        <f t="shared" si="179"/>
        <v>-1.7441377387247772</v>
      </c>
      <c r="BF182" s="96">
        <f t="shared" si="180"/>
        <v>-3.6941850102655022E-2</v>
      </c>
      <c r="BG182" s="15">
        <f t="shared" si="166"/>
        <v>-131.72809375085006</v>
      </c>
      <c r="BH182" s="46">
        <f>(SUMPRODUCT(BE183:BE$605,$I182:$I$604)+SUMPRODUCT(BF183:BF$605,$I183:$I$605)) / $I182</f>
        <v>-108.16327330569362</v>
      </c>
      <c r="BJ182" s="46">
        <f t="shared" si="181"/>
        <v>-1.7441377387247772</v>
      </c>
      <c r="BK182" s="46">
        <f t="shared" si="182"/>
        <v>-70.330128541890417</v>
      </c>
      <c r="BM182" s="49">
        <f t="shared" si="167"/>
        <v>1904.9341226535835</v>
      </c>
      <c r="BN182" s="46">
        <f t="shared" si="183"/>
        <v>1561.271491741888</v>
      </c>
      <c r="BP182" s="46">
        <f>Reserve!BX182</f>
        <v>2511.6936550606483</v>
      </c>
      <c r="BQ182" s="46">
        <f t="shared" si="141"/>
        <v>2058.5676181665499</v>
      </c>
      <c r="BR182" s="15">
        <f t="shared" si="168"/>
        <v>87.111380471971643</v>
      </c>
      <c r="BT182" s="49">
        <f t="shared" si="169"/>
        <v>8.6927780611018068</v>
      </c>
      <c r="BU182" s="46">
        <f t="shared" si="142"/>
        <v>7.1377281978061324</v>
      </c>
      <c r="BV182" s="46">
        <f>SUMPRODUCT(BU183:BU$605, $I183:$I$605) / $I182</f>
        <v>173.4854201294757</v>
      </c>
      <c r="BX182" s="46">
        <f>-BZ182*Others!$Q$43</f>
        <v>-5.6767596516256216</v>
      </c>
      <c r="BZ182" s="50">
        <f t="shared" si="127"/>
        <v>22.174842389162585</v>
      </c>
      <c r="CA182" s="46">
        <f t="shared" si="170"/>
        <v>16.498082737536961</v>
      </c>
      <c r="CB182" s="46">
        <f t="shared" si="143"/>
        <v>16.498082737536961</v>
      </c>
      <c r="CD182" s="46">
        <f>SUMPRODUCT(BZ183:BZ$605, $I183:$I$605) / $I182</f>
        <v>497.29612642466225</v>
      </c>
      <c r="CE182" s="46">
        <f>SUMPRODUCT(CA183:CA$605, $I183:$I$605) / $I182</f>
        <v>369.98831805994854</v>
      </c>
      <c r="CF182" s="46">
        <f>SUMPRODUCT(CB183:CB$605, $I183:$I$605) / $I182</f>
        <v>369.98831805994854</v>
      </c>
      <c r="CH182" s="46">
        <f t="shared" si="144"/>
        <v>44488.306344939352</v>
      </c>
      <c r="CI182" s="46">
        <f t="shared" si="145"/>
        <v>6794.3063449393521</v>
      </c>
      <c r="CK182" s="46">
        <f>NPV((1+CK$3)^(1/12)-1,$CB$6:$CB182)+$CB$5</f>
        <v>1165.1119750087983</v>
      </c>
      <c r="CL182" s="46">
        <f>NPV((1+CL$3)^(1/12)-1,$CB$6:$CB182)+$CB$5</f>
        <v>880.40415225891184</v>
      </c>
      <c r="CM182" s="46">
        <f>NPV((1+CM$3)^(1/12)-1,$CB$6:$CB182)+$CB$5</f>
        <v>381.64480988453147</v>
      </c>
      <c r="CN182" s="46">
        <f>NPV((1+CN$3)^(1/12)-1,$CB$6:$CB182)+$CB$5</f>
        <v>381.64480988453147</v>
      </c>
    </row>
    <row r="183" spans="1:92" x14ac:dyDescent="0.25">
      <c r="A183" s="61">
        <f t="shared" si="128"/>
        <v>14.833333333333369</v>
      </c>
      <c r="B183" s="32">
        <f t="shared" si="146"/>
        <v>10</v>
      </c>
      <c r="C183" s="62">
        <f t="shared" si="147"/>
        <v>15</v>
      </c>
      <c r="D183" s="64">
        <f t="shared" si="148"/>
        <v>15.333333333333369</v>
      </c>
      <c r="E183" s="28">
        <f t="shared" si="129"/>
        <v>15</v>
      </c>
      <c r="G183" s="68">
        <f>INDEX(Others!$D$11:$E$60, MATCH(C183, Others!$A$11:$A$60, 0), MATCH(G$3, Others!$D$10:$E$10, 0))</f>
        <v>4.0690909090909111E-2</v>
      </c>
      <c r="H183" s="16">
        <f t="shared" si="171"/>
        <v>3.329265421250005E-3</v>
      </c>
      <c r="I183" s="69">
        <f t="shared" si="172"/>
        <v>0.5534272607890196</v>
      </c>
      <c r="K183" s="80">
        <f>INDEX(Mortality!$B$7:$F$32, MATCH( E183,Mortality!$A$7:$A$32, 0), MATCH( K$3,Mortality!$B$6:$F$6,0))</f>
        <v>0.38499999999999995</v>
      </c>
      <c r="L183" s="11">
        <f t="shared" si="130"/>
        <v>0</v>
      </c>
      <c r="M183" s="80">
        <f t="shared" si="149"/>
        <v>0.38499999999999995</v>
      </c>
      <c r="N183" s="76">
        <f>INDEX(Myopia!$H:$H, MATCH(E183, Myopia!$A:$A, 0)) * Trend_Factor^(A183)</f>
        <v>21.7814227944273</v>
      </c>
      <c r="O183" s="11">
        <f t="shared" si="131"/>
        <v>0</v>
      </c>
      <c r="P183" s="80">
        <f t="shared" si="150"/>
        <v>21.7814227944273</v>
      </c>
      <c r="Q183" s="76">
        <f>VLOOKUP(C183,Others!$L$10:$M$61,2)</f>
        <v>0</v>
      </c>
      <c r="R183" s="11">
        <f t="shared" si="132"/>
        <v>0</v>
      </c>
      <c r="S183" s="80">
        <f t="shared" si="151"/>
        <v>0</v>
      </c>
      <c r="T183" s="78">
        <f t="shared" si="152"/>
        <v>3.2083333333333332E-5</v>
      </c>
      <c r="U183" s="81">
        <f t="shared" si="153"/>
        <v>1.8151185662022751E-3</v>
      </c>
      <c r="V183" s="81">
        <f t="shared" si="154"/>
        <v>0</v>
      </c>
      <c r="W183" s="77">
        <f t="shared" si="133"/>
        <v>0.81959343012189234</v>
      </c>
      <c r="X183" s="82">
        <f t="shared" si="155"/>
        <v>2.6271424682580528E-5</v>
      </c>
      <c r="Y183" s="82">
        <f t="shared" si="156"/>
        <v>1.4876353872178235E-3</v>
      </c>
      <c r="Z183" s="82">
        <f t="shared" si="157"/>
        <v>0</v>
      </c>
      <c r="AA183" s="82">
        <f t="shared" si="158"/>
        <v>0.8180795233099919</v>
      </c>
      <c r="AC183" s="46">
        <f t="shared" si="134"/>
        <v>0</v>
      </c>
      <c r="AD183" s="15">
        <f t="shared" si="135"/>
        <v>0</v>
      </c>
      <c r="AE183" s="46">
        <f t="shared" si="159"/>
        <v>0</v>
      </c>
      <c r="AF183" s="15">
        <f t="shared" si="160"/>
        <v>0</v>
      </c>
      <c r="AG183" s="46">
        <f>SUMPRODUCT(AE184:AE$605, $I183:$I$604) / $I183</f>
        <v>0</v>
      </c>
      <c r="AI183" s="46">
        <f t="shared" si="136"/>
        <v>-47000</v>
      </c>
      <c r="AJ183" s="46">
        <f>IF(E183&gt;Mat_Year,0,  -SUM($AD$5:AD183))</f>
        <v>-9306</v>
      </c>
      <c r="AK183" s="24">
        <f t="shared" si="161"/>
        <v>-0.2444818780960944</v>
      </c>
      <c r="AL183" s="79">
        <f t="shared" si="162"/>
        <v>-69.918863199237705</v>
      </c>
      <c r="AM183" s="24">
        <f t="shared" si="163"/>
        <v>-85.607500620031701</v>
      </c>
      <c r="AN183" s="79">
        <f t="shared" si="164"/>
        <v>-70.163345077333801</v>
      </c>
      <c r="AO183" s="15">
        <f t="shared" si="165"/>
        <v>-1693.2574192272857</v>
      </c>
      <c r="AP183" s="46">
        <f>SUMPRODUCT(AN184:AN$605, $I184:$I$605) / $I183</f>
        <v>-1387.7826563038341</v>
      </c>
      <c r="AR183" s="46">
        <v>0</v>
      </c>
      <c r="AS183" s="46">
        <v>0</v>
      </c>
      <c r="AT183" s="46">
        <v>0</v>
      </c>
      <c r="AU183" s="95">
        <f t="shared" si="137"/>
        <v>-2.1264965254305372</v>
      </c>
      <c r="AV183" s="47">
        <f t="shared" si="138"/>
        <v>0</v>
      </c>
      <c r="AW183" s="96">
        <f t="shared" si="173"/>
        <v>-2.1264965254305372</v>
      </c>
      <c r="AX183" s="95">
        <f t="shared" si="139"/>
        <v>-24.383826824936826</v>
      </c>
      <c r="AY183" s="11">
        <f t="shared" si="140"/>
        <v>0</v>
      </c>
      <c r="AZ183" s="96">
        <f t="shared" si="174"/>
        <v>-24.383826824936826</v>
      </c>
      <c r="BA183" s="95">
        <f t="shared" si="175"/>
        <v>-1.7428625814198999</v>
      </c>
      <c r="BB183" s="64">
        <f t="shared" si="176"/>
        <v>-3.6914841530471663E-2</v>
      </c>
      <c r="BC183" s="95">
        <f t="shared" si="177"/>
        <v>-2.1264965254305372</v>
      </c>
      <c r="BD183" s="96">
        <f t="shared" si="178"/>
        <v>-4.5040431235498779E-2</v>
      </c>
      <c r="BE183" s="96">
        <f t="shared" si="179"/>
        <v>-1.7428625814198999</v>
      </c>
      <c r="BF183" s="96">
        <f t="shared" si="180"/>
        <v>-3.6914841530471663E-2</v>
      </c>
      <c r="BG183" s="15">
        <f t="shared" si="166"/>
        <v>-130.23261748255894</v>
      </c>
      <c r="BH183" s="46">
        <f>(SUMPRODUCT(BE184:BE$605,$I183:$I$604)+SUMPRODUCT(BF184:BF$605,$I184:$I$605)) / $I183</f>
        <v>-106.7377976762828</v>
      </c>
      <c r="BJ183" s="46">
        <f t="shared" si="181"/>
        <v>-1.7428625814198999</v>
      </c>
      <c r="BK183" s="46">
        <f t="shared" si="182"/>
        <v>-70.200259918864276</v>
      </c>
      <c r="BM183" s="49">
        <f t="shared" si="167"/>
        <v>1826.8645179300058</v>
      </c>
      <c r="BN183" s="46">
        <f t="shared" si="183"/>
        <v>1494.5204539801173</v>
      </c>
      <c r="BP183" s="46">
        <f>Reserve!BX183</f>
        <v>2409.7391686684314</v>
      </c>
      <c r="BQ183" s="46">
        <f t="shared" si="141"/>
        <v>1971.3582704056864</v>
      </c>
      <c r="BR183" s="15">
        <f t="shared" si="168"/>
        <v>87.209347760863466</v>
      </c>
      <c r="BT183" s="49">
        <f t="shared" si="169"/>
        <v>8.3550151632159295</v>
      </c>
      <c r="BU183" s="46">
        <f t="shared" si="142"/>
        <v>6.8477155363405657</v>
      </c>
      <c r="BV183" s="46">
        <f>SUMPRODUCT(BU184:BU$605, $I184:$I$605) / $I183</f>
        <v>167.21528360346326</v>
      </c>
      <c r="BX183" s="46">
        <f>-BZ183*Others!$Q$43</f>
        <v>-5.6611688440114829</v>
      </c>
      <c r="BZ183" s="50">
        <f t="shared" si="127"/>
        <v>22.113940796919856</v>
      </c>
      <c r="CA183" s="46">
        <f t="shared" si="170"/>
        <v>16.452771952908371</v>
      </c>
      <c r="CB183" s="46">
        <f t="shared" si="143"/>
        <v>16.452771952908371</v>
      </c>
      <c r="CD183" s="46">
        <f>SUMPRODUCT(BZ184:BZ$605, $I184:$I$605) / $I183</f>
        <v>476.83781642556954</v>
      </c>
      <c r="CE183" s="46">
        <f>SUMPRODUCT(CA184:CA$605, $I184:$I$605) / $I183</f>
        <v>354.76733542062357</v>
      </c>
      <c r="CF183" s="46">
        <f>SUMPRODUCT(CB184:CB$605, $I184:$I$605) / $I183</f>
        <v>354.76733542062357</v>
      </c>
      <c r="CH183" s="46">
        <f t="shared" si="144"/>
        <v>44590.260831331572</v>
      </c>
      <c r="CI183" s="46">
        <f t="shared" si="145"/>
        <v>6896.2608313315686</v>
      </c>
      <c r="CK183" s="46">
        <f>NPV((1+CK$3)^(1/12)-1,$CB$6:$CB183)+$CB$5</f>
        <v>1175.7245371193869</v>
      </c>
      <c r="CL183" s="46">
        <f>NPV((1+CL$3)^(1/12)-1,$CB$6:$CB183)+$CB$5</f>
        <v>888.3828339985223</v>
      </c>
      <c r="CM183" s="46">
        <f>NPV((1+CM$3)^(1/12)-1,$CB$6:$CB183)+$CB$5</f>
        <v>385.646538028029</v>
      </c>
      <c r="CN183" s="46">
        <f>NPV((1+CN$3)^(1/12)-1,$CB$6:$CB183)+$CB$5</f>
        <v>385.646538028029</v>
      </c>
    </row>
    <row r="184" spans="1:92" x14ac:dyDescent="0.25">
      <c r="A184" s="61">
        <f t="shared" si="128"/>
        <v>14.916666666666703</v>
      </c>
      <c r="B184" s="32">
        <f t="shared" si="146"/>
        <v>11</v>
      </c>
      <c r="C184" s="62">
        <f t="shared" si="147"/>
        <v>15</v>
      </c>
      <c r="D184" s="64">
        <f t="shared" si="148"/>
        <v>15.416666666666703</v>
      </c>
      <c r="E184" s="28">
        <f t="shared" si="129"/>
        <v>15</v>
      </c>
      <c r="G184" s="68">
        <f>INDEX(Others!$D$11:$E$60, MATCH(C184, Others!$A$11:$A$60, 0), MATCH(G$3, Others!$D$10:$E$10, 0))</f>
        <v>4.0690909090909111E-2</v>
      </c>
      <c r="H184" s="16">
        <f t="shared" si="171"/>
        <v>3.329265421250005E-3</v>
      </c>
      <c r="I184" s="69">
        <f t="shared" si="172"/>
        <v>0.55159086838423077</v>
      </c>
      <c r="K184" s="80">
        <f>INDEX(Mortality!$B$7:$F$32, MATCH( E184,Mortality!$A$7:$A$32, 0), MATCH( K$3,Mortality!$B$6:$F$6,0))</f>
        <v>0.38499999999999995</v>
      </c>
      <c r="L184" s="11">
        <f t="shared" si="130"/>
        <v>0</v>
      </c>
      <c r="M184" s="80">
        <f t="shared" si="149"/>
        <v>0.38499999999999995</v>
      </c>
      <c r="N184" s="76">
        <f>INDEX(Myopia!$H:$H, MATCH(E184, Myopia!$A:$A, 0)) * Trend_Factor^(A184)</f>
        <v>21.7814227944273</v>
      </c>
      <c r="O184" s="11">
        <f t="shared" si="131"/>
        <v>0</v>
      </c>
      <c r="P184" s="80">
        <f t="shared" si="150"/>
        <v>21.7814227944273</v>
      </c>
      <c r="Q184" s="76">
        <f>VLOOKUP(C184,Others!$L$10:$M$61,2)</f>
        <v>0</v>
      </c>
      <c r="R184" s="11">
        <f t="shared" si="132"/>
        <v>0</v>
      </c>
      <c r="S184" s="80">
        <f t="shared" si="151"/>
        <v>0</v>
      </c>
      <c r="T184" s="78">
        <f t="shared" si="152"/>
        <v>3.2083333333333332E-5</v>
      </c>
      <c r="U184" s="81">
        <f t="shared" si="153"/>
        <v>1.8151185662022751E-3</v>
      </c>
      <c r="V184" s="81">
        <f t="shared" si="154"/>
        <v>0</v>
      </c>
      <c r="W184" s="77">
        <f t="shared" si="133"/>
        <v>0.8180795233099919</v>
      </c>
      <c r="X184" s="82">
        <f t="shared" si="155"/>
        <v>2.6222897586921192E-5</v>
      </c>
      <c r="Y184" s="82">
        <f t="shared" si="156"/>
        <v>1.4848875109372654E-3</v>
      </c>
      <c r="Z184" s="82">
        <f t="shared" si="157"/>
        <v>0</v>
      </c>
      <c r="AA184" s="82">
        <f t="shared" si="158"/>
        <v>0.81656841290146776</v>
      </c>
      <c r="AC184" s="46">
        <f t="shared" si="134"/>
        <v>0</v>
      </c>
      <c r="AD184" s="15">
        <f t="shared" si="135"/>
        <v>0</v>
      </c>
      <c r="AE184" s="46">
        <f t="shared" si="159"/>
        <v>0</v>
      </c>
      <c r="AF184" s="15">
        <f t="shared" si="160"/>
        <v>0</v>
      </c>
      <c r="AG184" s="46">
        <f>SUMPRODUCT(AE185:AE$605, $I184:$I$604) / $I184</f>
        <v>0</v>
      </c>
      <c r="AI184" s="46">
        <f t="shared" si="136"/>
        <v>-47000</v>
      </c>
      <c r="AJ184" s="46">
        <f>IF(E184&gt;Mat_Year,0,  -SUM($AD$5:AD184))</f>
        <v>-9306</v>
      </c>
      <c r="AK184" s="24">
        <f t="shared" si="161"/>
        <v>-0.24403028494388862</v>
      </c>
      <c r="AL184" s="79">
        <f t="shared" si="162"/>
        <v>-69.789713014051472</v>
      </c>
      <c r="AM184" s="24">
        <f t="shared" si="163"/>
        <v>-85.607500620031686</v>
      </c>
      <c r="AN184" s="79">
        <f t="shared" si="164"/>
        <v>-70.033743298995361</v>
      </c>
      <c r="AO184" s="15">
        <f t="shared" si="165"/>
        <v>-1616.4311318590489</v>
      </c>
      <c r="AP184" s="46">
        <f>SUMPRODUCT(AN185:AN$605, $I185:$I$605) / $I184</f>
        <v>-1322.3692098146814</v>
      </c>
      <c r="AR184" s="46">
        <v>0</v>
      </c>
      <c r="AS184" s="46">
        <v>0</v>
      </c>
      <c r="AT184" s="46">
        <v>0</v>
      </c>
      <c r="AU184" s="95">
        <f t="shared" si="137"/>
        <v>-2.1288741580394062</v>
      </c>
      <c r="AV184" s="47">
        <f t="shared" si="138"/>
        <v>0</v>
      </c>
      <c r="AW184" s="96">
        <f t="shared" si="173"/>
        <v>-2.1288741580394062</v>
      </c>
      <c r="AX184" s="95">
        <f t="shared" si="139"/>
        <v>-24.411090345518517</v>
      </c>
      <c r="AY184" s="11">
        <f t="shared" si="140"/>
        <v>0</v>
      </c>
      <c r="AZ184" s="96">
        <f t="shared" si="174"/>
        <v>-24.411090345518517</v>
      </c>
      <c r="BA184" s="95">
        <f t="shared" si="175"/>
        <v>-1.7415883563958376</v>
      </c>
      <c r="BB184" s="64">
        <f t="shared" si="176"/>
        <v>-3.6887852704537316E-2</v>
      </c>
      <c r="BC184" s="95">
        <f t="shared" si="177"/>
        <v>-2.1288741580394062</v>
      </c>
      <c r="BD184" s="96">
        <f t="shared" si="178"/>
        <v>-4.5090790874812714E-2</v>
      </c>
      <c r="BE184" s="96">
        <f t="shared" si="179"/>
        <v>-1.7415883563958376</v>
      </c>
      <c r="BF184" s="96">
        <f t="shared" si="180"/>
        <v>-3.6887852704537316E-2</v>
      </c>
      <c r="BG184" s="15">
        <f t="shared" si="166"/>
        <v>-128.72694978374264</v>
      </c>
      <c r="BH184" s="46">
        <f>(SUMPRODUCT(BE185:BE$605,$I184:$I$604)+SUMPRODUCT(BF185:BF$605,$I185:$I$605)) / $I184</f>
        <v>-105.30888171623344</v>
      </c>
      <c r="BJ184" s="46">
        <f t="shared" si="181"/>
        <v>-1.7415883563958376</v>
      </c>
      <c r="BK184" s="46">
        <f t="shared" si="182"/>
        <v>-70.070631151699899</v>
      </c>
      <c r="BM184" s="49">
        <f t="shared" si="167"/>
        <v>1748.387604729927</v>
      </c>
      <c r="BN184" s="46">
        <f t="shared" si="183"/>
        <v>1427.6780915309153</v>
      </c>
      <c r="BP184" s="46">
        <f>Reserve!BX184</f>
        <v>2307.278011161357</v>
      </c>
      <c r="BQ184" s="46">
        <f t="shared" si="141"/>
        <v>1884.0503436964843</v>
      </c>
      <c r="BR184" s="15">
        <f t="shared" si="168"/>
        <v>87.307926709202093</v>
      </c>
      <c r="BT184" s="49">
        <f t="shared" si="169"/>
        <v>8.0155737013589885</v>
      </c>
      <c r="BU184" s="46">
        <f t="shared" si="142"/>
        <v>6.5573767126638689</v>
      </c>
      <c r="BV184" s="46">
        <f>SUMPRODUCT(BU185:BU$605, $I185:$I$605) / $I184</f>
        <v>161.21461095240491</v>
      </c>
      <c r="BX184" s="46">
        <f>-BZ184*Others!$Q$43</f>
        <v>-5.6455894819251773</v>
      </c>
      <c r="BZ184" s="50">
        <f t="shared" si="127"/>
        <v>22.053083913770223</v>
      </c>
      <c r="CA184" s="46">
        <f t="shared" si="170"/>
        <v>16.407494431845045</v>
      </c>
      <c r="CB184" s="46">
        <f t="shared" si="143"/>
        <v>16.407494431845045</v>
      </c>
      <c r="CD184" s="46">
        <f>SUMPRODUCT(BZ185:BZ$605, $I185:$I$605) / $I184</f>
        <v>456.37225216556908</v>
      </c>
      <c r="CE184" s="46">
        <f>SUMPRODUCT(CA185:CA$605, $I185:$I$605) / $I184</f>
        <v>339.54095561118345</v>
      </c>
      <c r="CF184" s="46">
        <f>SUMPRODUCT(CB185:CB$605, $I185:$I$605) / $I184</f>
        <v>339.54095561118345</v>
      </c>
      <c r="CH184" s="46">
        <f t="shared" si="144"/>
        <v>44692.721988838646</v>
      </c>
      <c r="CI184" s="46">
        <f t="shared" si="145"/>
        <v>6998.7219888386426</v>
      </c>
      <c r="CK184" s="46">
        <f>NPV((1+CK$3)^(1/12)-1,$CB$6:$CB184)+$CB$5</f>
        <v>1186.281856588422</v>
      </c>
      <c r="CL184" s="46">
        <f>NPV((1+CL$3)^(1/12)-1,$CB$6:$CB184)+$CB$5</f>
        <v>896.30727350455868</v>
      </c>
      <c r="CM184" s="46">
        <f>NPV((1+CM$3)^(1/12)-1,$CB$6:$CB184)+$CB$5</f>
        <v>389.60568276298113</v>
      </c>
      <c r="CN184" s="46">
        <f>NPV((1+CN$3)^(1/12)-1,$CB$6:$CB184)+$CB$5</f>
        <v>389.60568276298113</v>
      </c>
    </row>
    <row r="185" spans="1:92" x14ac:dyDescent="0.25">
      <c r="A185" s="61">
        <f t="shared" si="128"/>
        <v>15.000000000000037</v>
      </c>
      <c r="B185" s="32">
        <f t="shared" si="146"/>
        <v>12</v>
      </c>
      <c r="C185" s="62">
        <f t="shared" si="147"/>
        <v>15</v>
      </c>
      <c r="D185" s="64">
        <f t="shared" si="148"/>
        <v>15.500000000000037</v>
      </c>
      <c r="E185" s="28">
        <f t="shared" si="129"/>
        <v>15</v>
      </c>
      <c r="G185" s="68">
        <f>INDEX(Others!$D$11:$E$60, MATCH(C185, Others!$A$11:$A$60, 0), MATCH(G$3, Others!$D$10:$E$10, 0))</f>
        <v>4.0690909090909111E-2</v>
      </c>
      <c r="H185" s="16">
        <f t="shared" si="171"/>
        <v>3.329265421250005E-3</v>
      </c>
      <c r="I185" s="69">
        <f t="shared" si="172"/>
        <v>0.54976056953012742</v>
      </c>
      <c r="K185" s="80">
        <f>INDEX(Mortality!$B$7:$F$32, MATCH( E185,Mortality!$A$7:$A$32, 0), MATCH( K$3,Mortality!$B$6:$F$6,0))</f>
        <v>0.38499999999999995</v>
      </c>
      <c r="L185" s="11">
        <f t="shared" si="130"/>
        <v>0</v>
      </c>
      <c r="M185" s="80">
        <f t="shared" si="149"/>
        <v>0.38499999999999995</v>
      </c>
      <c r="N185" s="76">
        <f>INDEX(Myopia!$H:$H, MATCH(E185, Myopia!$A:$A, 0)) * Trend_Factor^(A185)</f>
        <v>21.7814227944273</v>
      </c>
      <c r="O185" s="11">
        <f t="shared" si="131"/>
        <v>0</v>
      </c>
      <c r="P185" s="80">
        <f t="shared" si="150"/>
        <v>21.7814227944273</v>
      </c>
      <c r="Q185" s="76">
        <f>VLOOKUP(C185,Others!$L$10:$M$61,2)</f>
        <v>0</v>
      </c>
      <c r="R185" s="11">
        <f t="shared" si="132"/>
        <v>0</v>
      </c>
      <c r="S185" s="80">
        <f t="shared" si="151"/>
        <v>0</v>
      </c>
      <c r="T185" s="78">
        <f t="shared" si="152"/>
        <v>3.2083333333333332E-5</v>
      </c>
      <c r="U185" s="81">
        <f t="shared" si="153"/>
        <v>1.8151185662022751E-3</v>
      </c>
      <c r="V185" s="81">
        <f t="shared" si="154"/>
        <v>0</v>
      </c>
      <c r="W185" s="77">
        <f t="shared" si="133"/>
        <v>0.81656841290146776</v>
      </c>
      <c r="X185" s="82">
        <f t="shared" si="155"/>
        <v>2.6174460127779164E-5</v>
      </c>
      <c r="Y185" s="82">
        <f t="shared" si="156"/>
        <v>1.48214471037897E-3</v>
      </c>
      <c r="Z185" s="82">
        <f t="shared" si="157"/>
        <v>0</v>
      </c>
      <c r="AA185" s="82">
        <f t="shared" si="158"/>
        <v>0.815060093730961</v>
      </c>
      <c r="AC185" s="46">
        <f t="shared" si="134"/>
        <v>0</v>
      </c>
      <c r="AD185" s="15">
        <f t="shared" si="135"/>
        <v>0</v>
      </c>
      <c r="AE185" s="46">
        <f t="shared" si="159"/>
        <v>0</v>
      </c>
      <c r="AF185" s="15">
        <f t="shared" si="160"/>
        <v>0</v>
      </c>
      <c r="AG185" s="46">
        <f>SUMPRODUCT(AE186:AE$605, $I185:$I$604) / $I185</f>
        <v>0</v>
      </c>
      <c r="AI185" s="46">
        <f t="shared" si="136"/>
        <v>-47000</v>
      </c>
      <c r="AJ185" s="46">
        <f>IF(E185&gt;Mat_Year,0,  -SUM($AD$5:AD185))</f>
        <v>-9306</v>
      </c>
      <c r="AK185" s="24">
        <f t="shared" si="161"/>
        <v>-0.24357952594911289</v>
      </c>
      <c r="AL185" s="79">
        <f t="shared" si="162"/>
        <v>-69.660801387811588</v>
      </c>
      <c r="AM185" s="24">
        <f t="shared" si="163"/>
        <v>-85.607500620031701</v>
      </c>
      <c r="AN185" s="79">
        <f t="shared" si="164"/>
        <v>-69.904380913760704</v>
      </c>
      <c r="AO185" s="15">
        <f t="shared" si="165"/>
        <v>-1539.2064242594506</v>
      </c>
      <c r="AP185" s="46">
        <f>SUMPRODUCT(AN186:AN$605, $I186:$I$605) / $I185</f>
        <v>-1256.8673469852829</v>
      </c>
      <c r="AR185" s="46">
        <v>0</v>
      </c>
      <c r="AS185" s="46">
        <v>0</v>
      </c>
      <c r="AT185" s="46">
        <v>0</v>
      </c>
      <c r="AU185" s="95">
        <f t="shared" si="137"/>
        <v>-2.1312544490757657</v>
      </c>
      <c r="AV185" s="47">
        <f t="shared" si="138"/>
        <v>0</v>
      </c>
      <c r="AW185" s="96">
        <f t="shared" si="173"/>
        <v>-2.1312544490757657</v>
      </c>
      <c r="AX185" s="95">
        <f t="shared" si="139"/>
        <v>-24.438384349402106</v>
      </c>
      <c r="AY185" s="11">
        <f t="shared" si="140"/>
        <v>0</v>
      </c>
      <c r="AZ185" s="96">
        <f t="shared" si="174"/>
        <v>-24.438384349402106</v>
      </c>
      <c r="BA185" s="95">
        <f t="shared" si="175"/>
        <v>-1.74031506297099</v>
      </c>
      <c r="BB185" s="64">
        <f t="shared" si="176"/>
        <v>-3.6860883610415306E-2</v>
      </c>
      <c r="BC185" s="95">
        <f t="shared" si="177"/>
        <v>-2.1312544490757657</v>
      </c>
      <c r="BD185" s="96">
        <f t="shared" si="178"/>
        <v>-4.5141206821164619E-2</v>
      </c>
      <c r="BE185" s="96">
        <f t="shared" si="179"/>
        <v>-1.74031506297099</v>
      </c>
      <c r="BF185" s="96">
        <f t="shared" si="180"/>
        <v>-3.6860883610415306E-2</v>
      </c>
      <c r="BG185" s="15">
        <f t="shared" si="166"/>
        <v>-127.21103507817605</v>
      </c>
      <c r="BH185" s="46">
        <f>(SUMPRODUCT(BE186:BE$605,$I185:$I$604)+SUMPRODUCT(BF186:BF$605,$I186:$I$605)) / $I185</f>
        <v>-103.87651301733916</v>
      </c>
      <c r="BJ185" s="46">
        <f t="shared" si="181"/>
        <v>-1.74031506297099</v>
      </c>
      <c r="BK185" s="46">
        <f t="shared" si="182"/>
        <v>-69.94124179737112</v>
      </c>
      <c r="BM185" s="49">
        <f t="shared" si="167"/>
        <v>1669.501268027708</v>
      </c>
      <c r="BN185" s="46">
        <f t="shared" si="183"/>
        <v>1360.7438600026219</v>
      </c>
      <c r="BP185" s="46">
        <f>Reserve!BX185</f>
        <v>2204.3076809949539</v>
      </c>
      <c r="BQ185" s="46">
        <f t="shared" si="141"/>
        <v>1796.6432250836244</v>
      </c>
      <c r="BR185" s="15">
        <f t="shared" si="168"/>
        <v>87.407118612859904</v>
      </c>
      <c r="BT185" s="49">
        <f t="shared" si="169"/>
        <v>7.6744453880287971</v>
      </c>
      <c r="BU185" s="46">
        <f t="shared" si="142"/>
        <v>6.2667096904016635</v>
      </c>
      <c r="BV185" s="46">
        <f>SUMPRODUCT(BU186:BU$605, $I186:$I$605) / $I185</f>
        <v>155.48462749164739</v>
      </c>
      <c r="BX185" s="46">
        <f>-BZ185*Others!$Q$43</f>
        <v>-5.6300214893873797</v>
      </c>
      <c r="BZ185" s="50">
        <f t="shared" si="127"/>
        <v>21.992271442919453</v>
      </c>
      <c r="CA185" s="46">
        <f t="shared" si="170"/>
        <v>16.362249953532071</v>
      </c>
      <c r="CB185" s="46">
        <f t="shared" si="143"/>
        <v>16.362249953532071</v>
      </c>
      <c r="CD185" s="46">
        <f>SUMPRODUCT(BZ186:BZ$605, $I186:$I$605) / $I185</f>
        <v>435.89936508100249</v>
      </c>
      <c r="CE185" s="46">
        <f>SUMPRODUCT(CA186:CA$605, $I186:$I$605) / $I185</f>
        <v>324.30912762026588</v>
      </c>
      <c r="CF185" s="46">
        <f>SUMPRODUCT(CB186:CB$605, $I186:$I$605) / $I185</f>
        <v>324.30912762026588</v>
      </c>
      <c r="CH185" s="46">
        <f t="shared" si="144"/>
        <v>44795.692319005044</v>
      </c>
      <c r="CI185" s="46">
        <f t="shared" si="145"/>
        <v>7101.6923190050456</v>
      </c>
      <c r="CK185" s="46">
        <f>NPV((1+CK$3)^(1/12)-1,$CB$6:$CB185)+$CB$5</f>
        <v>1196.7841622073877</v>
      </c>
      <c r="CL185" s="46">
        <f>NPV((1+CL$3)^(1/12)-1,$CB$6:$CB185)+$CB$5</f>
        <v>904.17779549544571</v>
      </c>
      <c r="CM185" s="46">
        <f>NPV((1+CM$3)^(1/12)-1,$CB$6:$CB185)+$CB$5</f>
        <v>393.52267531164762</v>
      </c>
      <c r="CN185" s="46">
        <f>NPV((1+CN$3)^(1/12)-1,$CB$6:$CB185)+$CB$5</f>
        <v>393.52267531164762</v>
      </c>
    </row>
    <row r="186" spans="1:92" x14ac:dyDescent="0.25">
      <c r="A186" s="61">
        <f t="shared" si="128"/>
        <v>15.083333333333371</v>
      </c>
      <c r="B186" s="32">
        <f t="shared" si="146"/>
        <v>1</v>
      </c>
      <c r="C186" s="62">
        <f t="shared" si="147"/>
        <v>16</v>
      </c>
      <c r="D186" s="64">
        <f t="shared" si="148"/>
        <v>15.583333333333371</v>
      </c>
      <c r="E186" s="28">
        <f t="shared" si="129"/>
        <v>15</v>
      </c>
      <c r="G186" s="68">
        <f>INDEX(Others!$D$11:$E$60, MATCH(C186, Others!$A$11:$A$60, 0), MATCH(G$3, Others!$D$10:$E$10, 0))</f>
        <v>4.0690909090909111E-2</v>
      </c>
      <c r="H186" s="16">
        <f t="shared" si="171"/>
        <v>3.329265421250005E-3</v>
      </c>
      <c r="I186" s="69">
        <f t="shared" si="172"/>
        <v>0.54793634400697888</v>
      </c>
      <c r="K186" s="80">
        <f>INDEX(Mortality!$B$7:$F$32, MATCH( E186,Mortality!$A$7:$A$32, 0), MATCH( K$3,Mortality!$B$6:$F$6,0))</f>
        <v>0.38499999999999995</v>
      </c>
      <c r="L186" s="11">
        <f t="shared" si="130"/>
        <v>0</v>
      </c>
      <c r="M186" s="80">
        <f t="shared" si="149"/>
        <v>0.38499999999999995</v>
      </c>
      <c r="N186" s="76">
        <f>INDEX(Myopia!$H:$H, MATCH(E186, Myopia!$A:$A, 0)) * Trend_Factor^(A186)</f>
        <v>21.7814227944273</v>
      </c>
      <c r="O186" s="11">
        <f t="shared" si="131"/>
        <v>0</v>
      </c>
      <c r="P186" s="80">
        <f t="shared" si="150"/>
        <v>21.7814227944273</v>
      </c>
      <c r="Q186" s="76">
        <f>VLOOKUP(C186,Others!$L$10:$M$61,2)</f>
        <v>0</v>
      </c>
      <c r="R186" s="11">
        <f t="shared" si="132"/>
        <v>0</v>
      </c>
      <c r="S186" s="80">
        <f t="shared" si="151"/>
        <v>0</v>
      </c>
      <c r="T186" s="78">
        <f t="shared" si="152"/>
        <v>3.2083333333333332E-5</v>
      </c>
      <c r="U186" s="81">
        <f t="shared" si="153"/>
        <v>1.8151185662022751E-3</v>
      </c>
      <c r="V186" s="81">
        <f t="shared" si="154"/>
        <v>0</v>
      </c>
      <c r="W186" s="77">
        <f t="shared" si="133"/>
        <v>0.815060093730961</v>
      </c>
      <c r="X186" s="82">
        <f t="shared" si="155"/>
        <v>2.6126112139582908E-5</v>
      </c>
      <c r="Y186" s="82">
        <f t="shared" si="156"/>
        <v>1.4794069761673485E-3</v>
      </c>
      <c r="Z186" s="82">
        <f t="shared" si="157"/>
        <v>0</v>
      </c>
      <c r="AA186" s="82">
        <f t="shared" si="158"/>
        <v>0.81355456064265408</v>
      </c>
      <c r="AC186" s="46">
        <f t="shared" si="134"/>
        <v>0</v>
      </c>
      <c r="AD186" s="15">
        <f t="shared" si="135"/>
        <v>0</v>
      </c>
      <c r="AE186" s="46">
        <f t="shared" si="159"/>
        <v>0</v>
      </c>
      <c r="AF186" s="15">
        <f t="shared" si="160"/>
        <v>0</v>
      </c>
      <c r="AG186" s="46">
        <f>SUMPRODUCT(AE187:AE$605, $I186:$I$604) / $I186</f>
        <v>0</v>
      </c>
      <c r="AI186" s="46">
        <f t="shared" si="136"/>
        <v>-47000</v>
      </c>
      <c r="AJ186" s="46">
        <f>IF(E186&gt;Mat_Year,0,  -SUM($AD$5:AD186))</f>
        <v>-9306</v>
      </c>
      <c r="AK186" s="24">
        <f t="shared" si="161"/>
        <v>-0.24312959957095853</v>
      </c>
      <c r="AL186" s="79">
        <f t="shared" si="162"/>
        <v>-69.532127879865385</v>
      </c>
      <c r="AM186" s="24">
        <f t="shared" si="163"/>
        <v>-85.607500620031715</v>
      </c>
      <c r="AN186" s="79">
        <f t="shared" si="164"/>
        <v>-69.775257479436348</v>
      </c>
      <c r="AO186" s="15">
        <f t="shared" si="165"/>
        <v>-1461.5812302258109</v>
      </c>
      <c r="AP186" s="46">
        <f>SUMPRODUCT(AN187:AN$605, $I187:$I$605) / $I186</f>
        <v>-1191.2765345032628</v>
      </c>
      <c r="AR186" s="46">
        <v>0</v>
      </c>
      <c r="AS186" s="46">
        <v>0</v>
      </c>
      <c r="AT186" s="46">
        <v>0</v>
      </c>
      <c r="AU186" s="95">
        <f t="shared" si="137"/>
        <v>-2.1336374015119999</v>
      </c>
      <c r="AV186" s="47">
        <f t="shared" si="138"/>
        <v>0</v>
      </c>
      <c r="AW186" s="96">
        <f t="shared" si="173"/>
        <v>-2.1336374015119999</v>
      </c>
      <c r="AX186" s="95">
        <f t="shared" si="139"/>
        <v>-24.46570887067093</v>
      </c>
      <c r="AY186" s="11">
        <f t="shared" si="140"/>
        <v>0</v>
      </c>
      <c r="AZ186" s="96">
        <f t="shared" si="174"/>
        <v>-24.46570887067093</v>
      </c>
      <c r="BA186" s="95">
        <f t="shared" si="175"/>
        <v>-1.7390427004642546</v>
      </c>
      <c r="BB186" s="64">
        <f t="shared" si="176"/>
        <v>-3.6833934233679498E-2</v>
      </c>
      <c r="BC186" s="95">
        <f t="shared" si="177"/>
        <v>-2.1336374015119999</v>
      </c>
      <c r="BD186" s="96">
        <f t="shared" si="178"/>
        <v>-4.5191679137511327E-2</v>
      </c>
      <c r="BE186" s="96">
        <f t="shared" si="179"/>
        <v>-1.7390427004642546</v>
      </c>
      <c r="BF186" s="96">
        <f t="shared" si="180"/>
        <v>-3.6833934233679498E-2</v>
      </c>
      <c r="BG186" s="15">
        <f t="shared" si="166"/>
        <v>-125.6848174983712</v>
      </c>
      <c r="BH186" s="46">
        <f>(SUMPRODUCT(BE187:BE$605,$I186:$I$604)+SUMPRODUCT(BF187:BF$605,$I187:$I$605)) / $I186</f>
        <v>-102.44067913078116</v>
      </c>
      <c r="BJ186" s="46">
        <f t="shared" si="181"/>
        <v>-1.7390427004642546</v>
      </c>
      <c r="BK186" s="46">
        <f t="shared" si="182"/>
        <v>-69.812091413670032</v>
      </c>
      <c r="BM186" s="49">
        <f t="shared" si="167"/>
        <v>1590.2033818261596</v>
      </c>
      <c r="BN186" s="46">
        <f t="shared" si="183"/>
        <v>1293.7172136340439</v>
      </c>
      <c r="BP186" s="46">
        <f>Reserve!BX186</f>
        <v>2100.8256643055238</v>
      </c>
      <c r="BQ186" s="46">
        <f t="shared" si="141"/>
        <v>1709.1363003108922</v>
      </c>
      <c r="BR186" s="15">
        <f t="shared" si="168"/>
        <v>87.506924772732191</v>
      </c>
      <c r="BT186" s="49">
        <f t="shared" si="169"/>
        <v>7.3316218949099472</v>
      </c>
      <c r="BU186" s="46">
        <f t="shared" si="142"/>
        <v>5.9757124288652674</v>
      </c>
      <c r="BV186" s="46">
        <f>SUMPRODUCT(BU187:BU$605, $I187:$I$605) / $I186</f>
        <v>150.02656465662596</v>
      </c>
      <c r="BX186" s="46">
        <f>-BZ186*Others!$Q$43</f>
        <v>-5.6144647903905724</v>
      </c>
      <c r="BZ186" s="50">
        <f t="shared" si="127"/>
        <v>21.931503087463174</v>
      </c>
      <c r="CA186" s="46">
        <f t="shared" si="170"/>
        <v>16.3170382970726</v>
      </c>
      <c r="CB186" s="46">
        <f t="shared" si="143"/>
        <v>16.3170382970726</v>
      </c>
      <c r="CD186" s="46">
        <f>SUMPRODUCT(BZ187:BZ$605, $I187:$I$605) / $I186</f>
        <v>415.41908667684828</v>
      </c>
      <c r="CE186" s="46">
        <f>SUMPRODUCT(CA187:CA$605, $I187:$I$605) / $I186</f>
        <v>309.07180048757516</v>
      </c>
      <c r="CF186" s="46">
        <f>SUMPRODUCT(CB187:CB$605, $I187:$I$605) / $I186</f>
        <v>309.07180048757516</v>
      </c>
      <c r="CH186" s="46">
        <f t="shared" si="144"/>
        <v>44899.174335694479</v>
      </c>
      <c r="CI186" s="46">
        <f t="shared" si="145"/>
        <v>7205.1743356944762</v>
      </c>
      <c r="CK186" s="46">
        <f>NPV((1+CK$3)^(1/12)-1,$CB$6:$CB186)+$CB$5</f>
        <v>1207.2316817827691</v>
      </c>
      <c r="CL186" s="46">
        <f>NPV((1+CL$3)^(1/12)-1,$CB$6:$CB186)+$CB$5</f>
        <v>911.99472277718928</v>
      </c>
      <c r="CM186" s="46">
        <f>NPV((1+CM$3)^(1/12)-1,$CB$6:$CB186)+$CB$5</f>
        <v>397.39794262347482</v>
      </c>
      <c r="CN186" s="46">
        <f>NPV((1+CN$3)^(1/12)-1,$CB$6:$CB186)+$CB$5</f>
        <v>397.39794262347482</v>
      </c>
    </row>
    <row r="187" spans="1:92" x14ac:dyDescent="0.25">
      <c r="A187" s="61">
        <f t="shared" si="128"/>
        <v>15.166666666666705</v>
      </c>
      <c r="B187" s="32">
        <f t="shared" si="146"/>
        <v>2</v>
      </c>
      <c r="C187" s="62">
        <f t="shared" si="147"/>
        <v>16</v>
      </c>
      <c r="D187" s="64">
        <f t="shared" si="148"/>
        <v>15.666666666666705</v>
      </c>
      <c r="E187" s="28">
        <f t="shared" si="129"/>
        <v>15</v>
      </c>
      <c r="G187" s="68">
        <f>INDEX(Others!$D$11:$E$60, MATCH(C187, Others!$A$11:$A$60, 0), MATCH(G$3, Others!$D$10:$E$10, 0))</f>
        <v>4.0690909090909111E-2</v>
      </c>
      <c r="H187" s="16">
        <f t="shared" si="171"/>
        <v>3.329265421250005E-3</v>
      </c>
      <c r="I187" s="69">
        <f t="shared" si="172"/>
        <v>0.54611817166214782</v>
      </c>
      <c r="K187" s="80">
        <f>INDEX(Mortality!$B$7:$F$32, MATCH( E187,Mortality!$A$7:$A$32, 0), MATCH( K$3,Mortality!$B$6:$F$6,0))</f>
        <v>0.38499999999999995</v>
      </c>
      <c r="L187" s="11">
        <f t="shared" si="130"/>
        <v>0</v>
      </c>
      <c r="M187" s="80">
        <f t="shared" si="149"/>
        <v>0.38499999999999995</v>
      </c>
      <c r="N187" s="76">
        <f>INDEX(Myopia!$H:$H, MATCH(E187, Myopia!$A:$A, 0)) * Trend_Factor^(A187)</f>
        <v>21.7814227944273</v>
      </c>
      <c r="O187" s="11">
        <f t="shared" si="131"/>
        <v>0</v>
      </c>
      <c r="P187" s="80">
        <f t="shared" si="150"/>
        <v>21.7814227944273</v>
      </c>
      <c r="Q187" s="76">
        <f>VLOOKUP(C187,Others!$L$10:$M$61,2)</f>
        <v>0</v>
      </c>
      <c r="R187" s="11">
        <f t="shared" si="132"/>
        <v>0</v>
      </c>
      <c r="S187" s="80">
        <f t="shared" si="151"/>
        <v>0</v>
      </c>
      <c r="T187" s="78">
        <f t="shared" si="152"/>
        <v>3.2083333333333332E-5</v>
      </c>
      <c r="U187" s="81">
        <f t="shared" si="153"/>
        <v>1.8151185662022751E-3</v>
      </c>
      <c r="V187" s="81">
        <f t="shared" si="154"/>
        <v>0</v>
      </c>
      <c r="W187" s="77">
        <f t="shared" si="133"/>
        <v>0.81355456064265408</v>
      </c>
      <c r="X187" s="82">
        <f t="shared" si="155"/>
        <v>2.6077853457066742E-5</v>
      </c>
      <c r="Y187" s="82">
        <f t="shared" si="156"/>
        <v>1.476674298944131E-3</v>
      </c>
      <c r="Z187" s="82">
        <f t="shared" si="157"/>
        <v>0</v>
      </c>
      <c r="AA187" s="82">
        <f t="shared" si="158"/>
        <v>0.81205180849025294</v>
      </c>
      <c r="AC187" s="46">
        <f t="shared" si="134"/>
        <v>0</v>
      </c>
      <c r="AD187" s="15">
        <f t="shared" si="135"/>
        <v>0</v>
      </c>
      <c r="AE187" s="46">
        <f t="shared" si="159"/>
        <v>0</v>
      </c>
      <c r="AF187" s="15">
        <f t="shared" si="160"/>
        <v>0</v>
      </c>
      <c r="AG187" s="46">
        <f>SUMPRODUCT(AE188:AE$605, $I187:$I$604) / $I187</f>
        <v>0</v>
      </c>
      <c r="AI187" s="46">
        <f t="shared" si="136"/>
        <v>-47000</v>
      </c>
      <c r="AJ187" s="46">
        <f>IF(E187&gt;Mat_Year,0,  -SUM($AD$5:AD187))</f>
        <v>-9306</v>
      </c>
      <c r="AK187" s="24">
        <f t="shared" si="161"/>
        <v>-0.24268050427146309</v>
      </c>
      <c r="AL187" s="79">
        <f t="shared" si="162"/>
        <v>-69.403692050374161</v>
      </c>
      <c r="AM187" s="24">
        <f t="shared" si="163"/>
        <v>-85.607500620031701</v>
      </c>
      <c r="AN187" s="79">
        <f t="shared" si="164"/>
        <v>-69.646372554645623</v>
      </c>
      <c r="AO187" s="15">
        <f t="shared" si="165"/>
        <v>-1383.5534728401483</v>
      </c>
      <c r="AP187" s="46">
        <f>SUMPRODUCT(AN188:AN$605, $I188:$I$605) / $I187</f>
        <v>-1125.5962377220851</v>
      </c>
      <c r="AR187" s="46">
        <v>0</v>
      </c>
      <c r="AS187" s="46">
        <v>0</v>
      </c>
      <c r="AT187" s="46">
        <v>0</v>
      </c>
      <c r="AU187" s="95">
        <f t="shared" si="137"/>
        <v>-2.1360230183238165</v>
      </c>
      <c r="AV187" s="47">
        <f t="shared" si="138"/>
        <v>0</v>
      </c>
      <c r="AW187" s="96">
        <f t="shared" si="173"/>
        <v>-2.1360230183238165</v>
      </c>
      <c r="AX187" s="95">
        <f t="shared" si="139"/>
        <v>-24.493063943446426</v>
      </c>
      <c r="AY187" s="11">
        <f t="shared" si="140"/>
        <v>0</v>
      </c>
      <c r="AZ187" s="96">
        <f t="shared" si="174"/>
        <v>-24.493063943446426</v>
      </c>
      <c r="BA187" s="95">
        <f t="shared" si="175"/>
        <v>-1.7377712681950284</v>
      </c>
      <c r="BB187" s="64">
        <f t="shared" si="176"/>
        <v>-3.6807004559914286E-2</v>
      </c>
      <c r="BC187" s="95">
        <f t="shared" si="177"/>
        <v>-2.1360230183238165</v>
      </c>
      <c r="BD187" s="96">
        <f t="shared" si="178"/>
        <v>-4.5242207886880013E-2</v>
      </c>
      <c r="BE187" s="96">
        <f t="shared" si="179"/>
        <v>-1.7377712681950284</v>
      </c>
      <c r="BF187" s="96">
        <f t="shared" si="180"/>
        <v>-3.6807004559914286E-2</v>
      </c>
      <c r="BG187" s="15">
        <f t="shared" si="166"/>
        <v>-124.14824088406323</v>
      </c>
      <c r="BH187" s="46">
        <f>(SUMPRODUCT(BE188:BE$605,$I187:$I$604)+SUMPRODUCT(BF188:BF$605,$I188:$I$605)) / $I187</f>
        <v>-101.00136756699244</v>
      </c>
      <c r="BJ187" s="46">
        <f t="shared" si="181"/>
        <v>-1.7377712681950284</v>
      </c>
      <c r="BK187" s="46">
        <f t="shared" si="182"/>
        <v>-69.683179559205541</v>
      </c>
      <c r="BM187" s="49">
        <f t="shared" si="167"/>
        <v>1510.4918090996416</v>
      </c>
      <c r="BN187" s="46">
        <f t="shared" si="183"/>
        <v>1226.5976052890778</v>
      </c>
      <c r="BP187" s="46">
        <f>Reserve!BX187</f>
        <v>1996.8294348495299</v>
      </c>
      <c r="BQ187" s="46">
        <f t="shared" si="141"/>
        <v>1621.5289538161305</v>
      </c>
      <c r="BR187" s="15">
        <f t="shared" si="168"/>
        <v>87.607346494761714</v>
      </c>
      <c r="BT187" s="49">
        <f t="shared" si="169"/>
        <v>6.9870948526730512</v>
      </c>
      <c r="BU187" s="46">
        <f t="shared" si="142"/>
        <v>5.6843828830349743</v>
      </c>
      <c r="BV187" s="46">
        <f>SUMPRODUCT(BU188:BU$605, $I188:$I$605) / $I187</f>
        <v>144.84166002757121</v>
      </c>
      <c r="BX187" s="46">
        <f>-BZ187*Others!$Q$43</f>
        <v>-5.5989193089014053</v>
      </c>
      <c r="BZ187" s="50">
        <f t="shared" si="127"/>
        <v>21.870778550396114</v>
      </c>
      <c r="CA187" s="46">
        <f t="shared" si="170"/>
        <v>16.27185924149471</v>
      </c>
      <c r="CB187" s="46">
        <f t="shared" si="143"/>
        <v>16.27185924149471</v>
      </c>
      <c r="CD187" s="46">
        <f>SUMPRODUCT(BZ188:BZ$605, $I188:$I$605) / $I187</f>
        <v>394.93134852705259</v>
      </c>
      <c r="CE187" s="46">
        <f>SUMPRODUCT(CA188:CA$605, $I188:$I$605) / $I187</f>
        <v>293.82892330412722</v>
      </c>
      <c r="CF187" s="46">
        <f>SUMPRODUCT(CB188:CB$605, $I188:$I$605) / $I187</f>
        <v>293.82892330412722</v>
      </c>
      <c r="CH187" s="46">
        <f t="shared" si="144"/>
        <v>45003.170565150467</v>
      </c>
      <c r="CI187" s="46">
        <f t="shared" si="145"/>
        <v>7309.1705651504699</v>
      </c>
      <c r="CK187" s="46">
        <f>NPV((1+CK$3)^(1/12)-1,$CB$6:$CB187)+$CB$5</f>
        <v>1217.6246421402891</v>
      </c>
      <c r="CL187" s="46">
        <f>NPV((1+CL$3)^(1/12)-1,$CB$6:$CB187)+$CB$5</f>
        <v>919.75837625463396</v>
      </c>
      <c r="CM187" s="46">
        <f>NPV((1+CM$3)^(1/12)-1,$CB$6:$CB187)+$CB$5</f>
        <v>401.23190741702092</v>
      </c>
      <c r="CN187" s="46">
        <f>NPV((1+CN$3)^(1/12)-1,$CB$6:$CB187)+$CB$5</f>
        <v>401.23190741702092</v>
      </c>
    </row>
    <row r="188" spans="1:92" x14ac:dyDescent="0.25">
      <c r="A188" s="61">
        <f t="shared" si="128"/>
        <v>15.250000000000039</v>
      </c>
      <c r="B188" s="32">
        <f t="shared" si="146"/>
        <v>3</v>
      </c>
      <c r="C188" s="62">
        <f t="shared" si="147"/>
        <v>16</v>
      </c>
      <c r="D188" s="64">
        <f t="shared" si="148"/>
        <v>15.750000000000039</v>
      </c>
      <c r="E188" s="28">
        <f t="shared" si="129"/>
        <v>15</v>
      </c>
      <c r="G188" s="68">
        <f>INDEX(Others!$D$11:$E$60, MATCH(C188, Others!$A$11:$A$60, 0), MATCH(G$3, Others!$D$10:$E$10, 0))</f>
        <v>4.0690909090909111E-2</v>
      </c>
      <c r="H188" s="16">
        <f t="shared" si="171"/>
        <v>3.329265421250005E-3</v>
      </c>
      <c r="I188" s="69">
        <f t="shared" si="172"/>
        <v>0.54430603240986786</v>
      </c>
      <c r="K188" s="80">
        <f>INDEX(Mortality!$B$7:$F$32, MATCH( E188,Mortality!$A$7:$A$32, 0), MATCH( K$3,Mortality!$B$6:$F$6,0))</f>
        <v>0.38499999999999995</v>
      </c>
      <c r="L188" s="11">
        <f t="shared" si="130"/>
        <v>0</v>
      </c>
      <c r="M188" s="80">
        <f t="shared" si="149"/>
        <v>0.38499999999999995</v>
      </c>
      <c r="N188" s="76">
        <f>INDEX(Myopia!$H:$H, MATCH(E188, Myopia!$A:$A, 0)) * Trend_Factor^(A188)</f>
        <v>21.7814227944273</v>
      </c>
      <c r="O188" s="11">
        <f t="shared" si="131"/>
        <v>0</v>
      </c>
      <c r="P188" s="80">
        <f t="shared" si="150"/>
        <v>21.7814227944273</v>
      </c>
      <c r="Q188" s="76">
        <f>VLOOKUP(C188,Others!$L$10:$M$61,2)</f>
        <v>0</v>
      </c>
      <c r="R188" s="11">
        <f t="shared" si="132"/>
        <v>0</v>
      </c>
      <c r="S188" s="80">
        <f t="shared" si="151"/>
        <v>0</v>
      </c>
      <c r="T188" s="78">
        <f t="shared" si="152"/>
        <v>3.2083333333333332E-5</v>
      </c>
      <c r="U188" s="81">
        <f t="shared" si="153"/>
        <v>1.8151185662022751E-3</v>
      </c>
      <c r="V188" s="81">
        <f t="shared" si="154"/>
        <v>0</v>
      </c>
      <c r="W188" s="77">
        <f t="shared" si="133"/>
        <v>0.81205180849025294</v>
      </c>
      <c r="X188" s="82">
        <f t="shared" si="155"/>
        <v>2.6029683915270243E-5</v>
      </c>
      <c r="Y188" s="82">
        <f t="shared" si="156"/>
        <v>1.4739466693683336E-3</v>
      </c>
      <c r="Z188" s="82">
        <f t="shared" si="157"/>
        <v>0</v>
      </c>
      <c r="AA188" s="82">
        <f t="shared" si="158"/>
        <v>0.81055183213696935</v>
      </c>
      <c r="AC188" s="46">
        <f t="shared" si="134"/>
        <v>0</v>
      </c>
      <c r="AD188" s="15">
        <f t="shared" si="135"/>
        <v>0</v>
      </c>
      <c r="AE188" s="46">
        <f t="shared" si="159"/>
        <v>0</v>
      </c>
      <c r="AF188" s="15">
        <f t="shared" si="160"/>
        <v>0</v>
      </c>
      <c r="AG188" s="46">
        <f>SUMPRODUCT(AE189:AE$605, $I188:$I$604) / $I188</f>
        <v>0</v>
      </c>
      <c r="AI188" s="46">
        <f t="shared" si="136"/>
        <v>-47000</v>
      </c>
      <c r="AJ188" s="46">
        <f>IF(E188&gt;Mat_Year,0,  -SUM($AD$5:AD188))</f>
        <v>-9306</v>
      </c>
      <c r="AK188" s="24">
        <f t="shared" si="161"/>
        <v>-0.24223223851550488</v>
      </c>
      <c r="AL188" s="79">
        <f t="shared" si="162"/>
        <v>-69.275493460311679</v>
      </c>
      <c r="AM188" s="24">
        <f t="shared" si="163"/>
        <v>-85.607500620031686</v>
      </c>
      <c r="AN188" s="79">
        <f t="shared" si="164"/>
        <v>-69.517725698827178</v>
      </c>
      <c r="AO188" s="15">
        <f t="shared" si="165"/>
        <v>-1305.1210644136095</v>
      </c>
      <c r="AP188" s="46">
        <f>SUMPRODUCT(AN189:AN$605, $I189:$I$605) / $I188</f>
        <v>-1059.8259206557955</v>
      </c>
      <c r="AR188" s="46">
        <v>0</v>
      </c>
      <c r="AS188" s="46">
        <v>0</v>
      </c>
      <c r="AT188" s="46">
        <v>0</v>
      </c>
      <c r="AU188" s="95">
        <f t="shared" si="137"/>
        <v>-2.1384113024902498</v>
      </c>
      <c r="AV188" s="47">
        <f t="shared" si="138"/>
        <v>0</v>
      </c>
      <c r="AW188" s="96">
        <f t="shared" si="173"/>
        <v>-2.1384113024902498</v>
      </c>
      <c r="AX188" s="95">
        <f t="shared" si="139"/>
        <v>-24.520449601888192</v>
      </c>
      <c r="AY188" s="11">
        <f t="shared" si="140"/>
        <v>0</v>
      </c>
      <c r="AZ188" s="96">
        <f t="shared" si="174"/>
        <v>-24.520449601888192</v>
      </c>
      <c r="BA188" s="95">
        <f t="shared" si="175"/>
        <v>-1.7365007654832048</v>
      </c>
      <c r="BB188" s="64">
        <f t="shared" si="176"/>
        <v>-3.6780094574714643E-2</v>
      </c>
      <c r="BC188" s="95">
        <f t="shared" si="177"/>
        <v>-2.1384113024902498</v>
      </c>
      <c r="BD188" s="96">
        <f t="shared" si="178"/>
        <v>-4.5292793132368371E-2</v>
      </c>
      <c r="BE188" s="96">
        <f t="shared" si="179"/>
        <v>-1.7365007654832048</v>
      </c>
      <c r="BF188" s="96">
        <f t="shared" si="180"/>
        <v>-3.6780094574714643E-2</v>
      </c>
      <c r="BG188" s="15">
        <f t="shared" si="166"/>
        <v>-122.60124878068883</v>
      </c>
      <c r="BH188" s="46">
        <f>(SUMPRODUCT(BE189:BE$605,$I188:$I$604)+SUMPRODUCT(BF189:BF$605,$I189:$I$605)) / $I188</f>
        <v>-99.558565795521787</v>
      </c>
      <c r="BJ188" s="46">
        <f t="shared" si="181"/>
        <v>-1.7365007654832048</v>
      </c>
      <c r="BK188" s="46">
        <f t="shared" si="182"/>
        <v>-69.554505793401887</v>
      </c>
      <c r="BM188" s="49">
        <f t="shared" si="167"/>
        <v>1430.3644017368663</v>
      </c>
      <c r="BN188" s="46">
        <f t="shared" si="183"/>
        <v>1159.3844864513171</v>
      </c>
      <c r="BP188" s="46">
        <f>Reserve!BX188</f>
        <v>1892.3164539426932</v>
      </c>
      <c r="BQ188" s="46">
        <f t="shared" si="141"/>
        <v>1533.820568726183</v>
      </c>
      <c r="BR188" s="15">
        <f t="shared" si="168"/>
        <v>87.708385089947569</v>
      </c>
      <c r="BT188" s="49">
        <f t="shared" si="169"/>
        <v>6.6408558507729394</v>
      </c>
      <c r="BU188" s="46">
        <f t="shared" si="142"/>
        <v>5.3927190035432426</v>
      </c>
      <c r="BV188" s="46">
        <f>SUMPRODUCT(BU189:BU$605, $I189:$I$605) / $I188</f>
        <v>139.93115735431422</v>
      </c>
      <c r="BX188" s="46">
        <f>-BZ188*Others!$Q$43</f>
        <v>-5.5833849688590655</v>
      </c>
      <c r="BZ188" s="50">
        <f t="shared" si="127"/>
        <v>21.810097534605724</v>
      </c>
      <c r="CA188" s="46">
        <f t="shared" si="170"/>
        <v>16.226712565746659</v>
      </c>
      <c r="CB188" s="46">
        <f t="shared" si="143"/>
        <v>16.226712565746659</v>
      </c>
      <c r="CD188" s="46">
        <f>SUMPRODUCT(BZ189:BZ$605, $I189:$I$605) / $I188</f>
        <v>374.43608227486567</v>
      </c>
      <c r="CE188" s="46">
        <f>SUMPRODUCT(CA189:CA$605, $I189:$I$605) / $I188</f>
        <v>278.58044521250008</v>
      </c>
      <c r="CF188" s="46">
        <f>SUMPRODUCT(CB189:CB$605, $I189:$I$605) / $I188</f>
        <v>278.58044521250008</v>
      </c>
      <c r="CH188" s="46">
        <f t="shared" si="144"/>
        <v>45107.683546057306</v>
      </c>
      <c r="CI188" s="46">
        <f t="shared" si="145"/>
        <v>7413.6835460573066</v>
      </c>
      <c r="CK188" s="46">
        <f>NPV((1+CK$3)^(1/12)-1,$CB$6:$CB188)+$CB$5</f>
        <v>1227.9632691291265</v>
      </c>
      <c r="CL188" s="46">
        <f>NPV((1+CL$3)^(1/12)-1,$CB$6:$CB188)+$CB$5</f>
        <v>927.46907494265452</v>
      </c>
      <c r="CM188" s="46">
        <f>NPV((1+CM$3)^(1/12)-1,$CB$6:$CB188)+$CB$5</f>
        <v>405.02498822146867</v>
      </c>
      <c r="CN188" s="46">
        <f>NPV((1+CN$3)^(1/12)-1,$CB$6:$CB188)+$CB$5</f>
        <v>405.02498822146867</v>
      </c>
    </row>
    <row r="189" spans="1:92" x14ac:dyDescent="0.25">
      <c r="A189" s="61">
        <f t="shared" si="128"/>
        <v>15.333333333333373</v>
      </c>
      <c r="B189" s="32">
        <f t="shared" si="146"/>
        <v>4</v>
      </c>
      <c r="C189" s="62">
        <f t="shared" si="147"/>
        <v>16</v>
      </c>
      <c r="D189" s="64">
        <f t="shared" si="148"/>
        <v>15.833333333333373</v>
      </c>
      <c r="E189" s="28">
        <f t="shared" si="129"/>
        <v>15</v>
      </c>
      <c r="G189" s="68">
        <f>INDEX(Others!$D$11:$E$60, MATCH(C189, Others!$A$11:$A$60, 0), MATCH(G$3, Others!$D$10:$E$10, 0))</f>
        <v>4.0690909090909111E-2</v>
      </c>
      <c r="H189" s="16">
        <f t="shared" si="171"/>
        <v>3.329265421250005E-3</v>
      </c>
      <c r="I189" s="69">
        <f t="shared" si="172"/>
        <v>0.54249990623102151</v>
      </c>
      <c r="K189" s="80">
        <f>INDEX(Mortality!$B$7:$F$32, MATCH( E189,Mortality!$A$7:$A$32, 0), MATCH( K$3,Mortality!$B$6:$F$6,0))</f>
        <v>0.38499999999999995</v>
      </c>
      <c r="L189" s="11">
        <f t="shared" si="130"/>
        <v>0</v>
      </c>
      <c r="M189" s="80">
        <f t="shared" si="149"/>
        <v>0.38499999999999995</v>
      </c>
      <c r="N189" s="76">
        <f>INDEX(Myopia!$H:$H, MATCH(E189, Myopia!$A:$A, 0)) * Trend_Factor^(A189)</f>
        <v>21.7814227944273</v>
      </c>
      <c r="O189" s="11">
        <f t="shared" si="131"/>
        <v>0</v>
      </c>
      <c r="P189" s="80">
        <f t="shared" si="150"/>
        <v>21.7814227944273</v>
      </c>
      <c r="Q189" s="76">
        <f>VLOOKUP(C189,Others!$L$10:$M$61,2)</f>
        <v>0</v>
      </c>
      <c r="R189" s="11">
        <f t="shared" si="132"/>
        <v>0</v>
      </c>
      <c r="S189" s="80">
        <f t="shared" si="151"/>
        <v>0</v>
      </c>
      <c r="T189" s="78">
        <f t="shared" si="152"/>
        <v>3.2083333333333332E-5</v>
      </c>
      <c r="U189" s="81">
        <f t="shared" si="153"/>
        <v>1.8151185662022751E-3</v>
      </c>
      <c r="V189" s="81">
        <f t="shared" si="154"/>
        <v>0</v>
      </c>
      <c r="W189" s="77">
        <f t="shared" si="133"/>
        <v>0.81055183213696935</v>
      </c>
      <c r="X189" s="82">
        <f t="shared" si="155"/>
        <v>2.598160334953769E-5</v>
      </c>
      <c r="Y189" s="82">
        <f t="shared" si="156"/>
        <v>1.4712240781162263E-3</v>
      </c>
      <c r="Z189" s="82">
        <f t="shared" si="157"/>
        <v>0</v>
      </c>
      <c r="AA189" s="82">
        <f t="shared" si="158"/>
        <v>0.80905462645550363</v>
      </c>
      <c r="AC189" s="46">
        <f t="shared" si="134"/>
        <v>0</v>
      </c>
      <c r="AD189" s="15">
        <f t="shared" si="135"/>
        <v>0</v>
      </c>
      <c r="AE189" s="46">
        <f t="shared" si="159"/>
        <v>0</v>
      </c>
      <c r="AF189" s="15">
        <f t="shared" si="160"/>
        <v>0</v>
      </c>
      <c r="AG189" s="46">
        <f>SUMPRODUCT(AE190:AE$605, $I189:$I$604) / $I189</f>
        <v>0</v>
      </c>
      <c r="AI189" s="46">
        <f t="shared" si="136"/>
        <v>-47000</v>
      </c>
      <c r="AJ189" s="46">
        <f>IF(E189&gt;Mat_Year,0,  -SUM($AD$5:AD189))</f>
        <v>-9306</v>
      </c>
      <c r="AK189" s="24">
        <f t="shared" si="161"/>
        <v>-0.24178480077079775</v>
      </c>
      <c r="AL189" s="79">
        <f t="shared" si="162"/>
        <v>-69.14753167146263</v>
      </c>
      <c r="AM189" s="24">
        <f t="shared" si="163"/>
        <v>-85.607500620031701</v>
      </c>
      <c r="AN189" s="79">
        <f t="shared" si="164"/>
        <v>-69.389316472233432</v>
      </c>
      <c r="AO189" s="15">
        <f t="shared" si="165"/>
        <v>-1226.2819064306091</v>
      </c>
      <c r="AP189" s="46">
        <f>SUMPRODUCT(AN190:AN$605, $I190:$I$605) / $I189</f>
        <v>-993.96504597374587</v>
      </c>
      <c r="AR189" s="46">
        <v>0</v>
      </c>
      <c r="AS189" s="46">
        <v>0</v>
      </c>
      <c r="AT189" s="46">
        <v>0</v>
      </c>
      <c r="AU189" s="95">
        <f t="shared" si="137"/>
        <v>-2.1408022569936649</v>
      </c>
      <c r="AV189" s="47">
        <f t="shared" si="138"/>
        <v>0</v>
      </c>
      <c r="AW189" s="96">
        <f t="shared" si="173"/>
        <v>-2.1408022569936649</v>
      </c>
      <c r="AX189" s="95">
        <f t="shared" si="139"/>
        <v>-24.547865880194017</v>
      </c>
      <c r="AY189" s="11">
        <f t="shared" si="140"/>
        <v>0</v>
      </c>
      <c r="AZ189" s="96">
        <f t="shared" si="174"/>
        <v>-24.547865880194017</v>
      </c>
      <c r="BA189" s="95">
        <f t="shared" si="175"/>
        <v>-1.7352311916491743</v>
      </c>
      <c r="BB189" s="64">
        <f t="shared" si="176"/>
        <v>-3.6753204263686057E-2</v>
      </c>
      <c r="BC189" s="95">
        <f t="shared" si="177"/>
        <v>-2.1408022569936649</v>
      </c>
      <c r="BD189" s="96">
        <f t="shared" si="178"/>
        <v>-4.5343434937144642E-2</v>
      </c>
      <c r="BE189" s="96">
        <f t="shared" si="179"/>
        <v>-1.7352311916491743</v>
      </c>
      <c r="BF189" s="96">
        <f t="shared" si="180"/>
        <v>-3.6753204263686057E-2</v>
      </c>
      <c r="BG189" s="15">
        <f t="shared" si="166"/>
        <v>-121.0437844378565</v>
      </c>
      <c r="BH189" s="46">
        <f>(SUMPRODUCT(BE190:BE$605,$I189:$I$604)+SUMPRODUCT(BF190:BF$605,$I190:$I$605)) / $I189</f>
        <v>-98.11226124489697</v>
      </c>
      <c r="BJ189" s="46">
        <f t="shared" si="181"/>
        <v>-1.7352311916491743</v>
      </c>
      <c r="BK189" s="46">
        <f t="shared" si="182"/>
        <v>-69.426069676497121</v>
      </c>
      <c r="BM189" s="49">
        <f t="shared" si="167"/>
        <v>1349.8190004834053</v>
      </c>
      <c r="BN189" s="46">
        <f t="shared" si="183"/>
        <v>1092.0773072186428</v>
      </c>
      <c r="BP189" s="46">
        <f>Reserve!BX189</f>
        <v>1787.284170398789</v>
      </c>
      <c r="BQ189" s="46">
        <f t="shared" si="141"/>
        <v>1446.0105268518269</v>
      </c>
      <c r="BR189" s="15">
        <f t="shared" si="168"/>
        <v>87.810041874356102</v>
      </c>
      <c r="BT189" s="49">
        <f t="shared" si="169"/>
        <v>6.2928964372458935</v>
      </c>
      <c r="BU189" s="46">
        <f t="shared" si="142"/>
        <v>5.1007187366578659</v>
      </c>
      <c r="BV189" s="46">
        <f>SUMPRODUCT(BU190:BU$605, $I190:$I$605) / $I189</f>
        <v>135.29630658119157</v>
      </c>
      <c r="BX189" s="46">
        <f>-BZ189*Others!$Q$43</f>
        <v>-5.5678616941741241</v>
      </c>
      <c r="BZ189" s="50">
        <f t="shared" si="127"/>
        <v>21.749459742867671</v>
      </c>
      <c r="CA189" s="46">
        <f t="shared" si="170"/>
        <v>16.181598048693548</v>
      </c>
      <c r="CB189" s="46">
        <f t="shared" si="143"/>
        <v>16.181598048693548</v>
      </c>
      <c r="CD189" s="46">
        <f>SUMPRODUCT(BZ190:BZ$605, $I190:$I$605) / $I189</f>
        <v>353.93321963318397</v>
      </c>
      <c r="CE189" s="46">
        <f>SUMPRODUCT(CA190:CA$605, $I190:$I$605) / $I189</f>
        <v>263.326315407089</v>
      </c>
      <c r="CF189" s="46">
        <f>SUMPRODUCT(CB190:CB$605, $I190:$I$605) / $I189</f>
        <v>263.326315407089</v>
      </c>
      <c r="CH189" s="46">
        <f t="shared" si="144"/>
        <v>45212.715829601213</v>
      </c>
      <c r="CI189" s="46">
        <f t="shared" si="145"/>
        <v>7518.7158296012112</v>
      </c>
      <c r="CK189" s="46">
        <f>NPV((1+CK$3)^(1/12)-1,$CB$6:$CB189)+$CB$5</f>
        <v>1238.2477876261144</v>
      </c>
      <c r="CL189" s="46">
        <f>NPV((1+CL$3)^(1/12)-1,$CB$6:$CB189)+$CB$5</f>
        <v>935.12713597727793</v>
      </c>
      <c r="CM189" s="46">
        <f>NPV((1+CM$3)^(1/12)-1,$CB$6:$CB189)+$CB$5</f>
        <v>408.77759941773502</v>
      </c>
      <c r="CN189" s="46">
        <f>NPV((1+CN$3)^(1/12)-1,$CB$6:$CB189)+$CB$5</f>
        <v>408.77759941773502</v>
      </c>
    </row>
    <row r="190" spans="1:92" x14ac:dyDescent="0.25">
      <c r="A190" s="61">
        <f t="shared" si="128"/>
        <v>15.416666666666707</v>
      </c>
      <c r="B190" s="32">
        <f t="shared" si="146"/>
        <v>5</v>
      </c>
      <c r="C190" s="62">
        <f t="shared" si="147"/>
        <v>16</v>
      </c>
      <c r="D190" s="64">
        <f t="shared" si="148"/>
        <v>15.916666666666707</v>
      </c>
      <c r="E190" s="28">
        <f t="shared" si="129"/>
        <v>15</v>
      </c>
      <c r="G190" s="68">
        <f>INDEX(Others!$D$11:$E$60, MATCH(C190, Others!$A$11:$A$60, 0), MATCH(G$3, Others!$D$10:$E$10, 0))</f>
        <v>4.0690909090909111E-2</v>
      </c>
      <c r="H190" s="16">
        <f t="shared" si="171"/>
        <v>3.329265421250005E-3</v>
      </c>
      <c r="I190" s="69">
        <f t="shared" si="172"/>
        <v>0.54069977317291917</v>
      </c>
      <c r="K190" s="80">
        <f>INDEX(Mortality!$B$7:$F$32, MATCH( E190,Mortality!$A$7:$A$32, 0), MATCH( K$3,Mortality!$B$6:$F$6,0))</f>
        <v>0.38499999999999995</v>
      </c>
      <c r="L190" s="11">
        <f t="shared" si="130"/>
        <v>0</v>
      </c>
      <c r="M190" s="80">
        <f t="shared" si="149"/>
        <v>0.38499999999999995</v>
      </c>
      <c r="N190" s="76">
        <f>INDEX(Myopia!$H:$H, MATCH(E190, Myopia!$A:$A, 0)) * Trend_Factor^(A190)</f>
        <v>21.7814227944273</v>
      </c>
      <c r="O190" s="11">
        <f t="shared" si="131"/>
        <v>0</v>
      </c>
      <c r="P190" s="80">
        <f t="shared" si="150"/>
        <v>21.7814227944273</v>
      </c>
      <c r="Q190" s="76">
        <f>VLOOKUP(C190,Others!$L$10:$M$61,2)</f>
        <v>0</v>
      </c>
      <c r="R190" s="11">
        <f t="shared" si="132"/>
        <v>0</v>
      </c>
      <c r="S190" s="80">
        <f t="shared" si="151"/>
        <v>0</v>
      </c>
      <c r="T190" s="78">
        <f t="shared" si="152"/>
        <v>3.2083333333333332E-5</v>
      </c>
      <c r="U190" s="81">
        <f t="shared" si="153"/>
        <v>1.8151185662022751E-3</v>
      </c>
      <c r="V190" s="81">
        <f t="shared" si="154"/>
        <v>0</v>
      </c>
      <c r="W190" s="77">
        <f t="shared" si="133"/>
        <v>0.80905462645550363</v>
      </c>
      <c r="X190" s="82">
        <f t="shared" si="155"/>
        <v>2.5933611595517524E-5</v>
      </c>
      <c r="Y190" s="82">
        <f t="shared" si="156"/>
        <v>1.4685065158813011E-3</v>
      </c>
      <c r="Z190" s="82">
        <f t="shared" si="157"/>
        <v>0</v>
      </c>
      <c r="AA190" s="82">
        <f t="shared" si="158"/>
        <v>0.80756018632802684</v>
      </c>
      <c r="AC190" s="46">
        <f t="shared" si="134"/>
        <v>0</v>
      </c>
      <c r="AD190" s="15">
        <f t="shared" si="135"/>
        <v>0</v>
      </c>
      <c r="AE190" s="46">
        <f t="shared" si="159"/>
        <v>0</v>
      </c>
      <c r="AF190" s="15">
        <f t="shared" si="160"/>
        <v>0</v>
      </c>
      <c r="AG190" s="46">
        <f>SUMPRODUCT(AE191:AE$605, $I190:$I$604) / $I190</f>
        <v>0</v>
      </c>
      <c r="AI190" s="46">
        <f t="shared" si="136"/>
        <v>-47000</v>
      </c>
      <c r="AJ190" s="46">
        <f>IF(E190&gt;Mat_Year,0,  -SUM($AD$5:AD190))</f>
        <v>-9306</v>
      </c>
      <c r="AK190" s="24">
        <f t="shared" si="161"/>
        <v>-0.24133818950788608</v>
      </c>
      <c r="AL190" s="79">
        <f t="shared" si="162"/>
        <v>-69.019806246421155</v>
      </c>
      <c r="AM190" s="24">
        <f t="shared" si="163"/>
        <v>-85.607500620031701</v>
      </c>
      <c r="AN190" s="79">
        <f t="shared" si="164"/>
        <v>-69.26114443592904</v>
      </c>
      <c r="AO190" s="15">
        <f t="shared" si="165"/>
        <v>-1147.0338894926858</v>
      </c>
      <c r="AP190" s="46">
        <f>SUMPRODUCT(AN191:AN$605, $I191:$I$605) / $I190</f>
        <v>-928.01307499530833</v>
      </c>
      <c r="AR190" s="46">
        <v>0</v>
      </c>
      <c r="AS190" s="46">
        <v>0</v>
      </c>
      <c r="AT190" s="46">
        <v>0</v>
      </c>
      <c r="AU190" s="95">
        <f t="shared" si="137"/>
        <v>-2.143195884819761</v>
      </c>
      <c r="AV190" s="47">
        <f t="shared" si="138"/>
        <v>0</v>
      </c>
      <c r="AW190" s="96">
        <f t="shared" si="173"/>
        <v>-2.143195884819761</v>
      </c>
      <c r="AX190" s="95">
        <f t="shared" si="139"/>
        <v>-24.575312812599922</v>
      </c>
      <c r="AY190" s="11">
        <f t="shared" si="140"/>
        <v>0</v>
      </c>
      <c r="AZ190" s="96">
        <f t="shared" si="174"/>
        <v>-24.575312812599922</v>
      </c>
      <c r="BA190" s="95">
        <f t="shared" si="175"/>
        <v>-1.7339625460138244</v>
      </c>
      <c r="BB190" s="64">
        <f t="shared" si="176"/>
        <v>-3.6726333612444526E-2</v>
      </c>
      <c r="BC190" s="95">
        <f t="shared" si="177"/>
        <v>-2.143195884819761</v>
      </c>
      <c r="BD190" s="96">
        <f t="shared" si="178"/>
        <v>-4.539413336444767E-2</v>
      </c>
      <c r="BE190" s="96">
        <f t="shared" si="179"/>
        <v>-1.7339625460138244</v>
      </c>
      <c r="BF190" s="96">
        <f t="shared" si="180"/>
        <v>-3.6726333612444526E-2</v>
      </c>
      <c r="BG190" s="15">
        <f t="shared" si="166"/>
        <v>-119.47579080780902</v>
      </c>
      <c r="BH190" s="46">
        <f>(SUMPRODUCT(BE191:BE$605,$I190:$I$604)+SUMPRODUCT(BF191:BF$605,$I191:$I$605)) / $I190</f>
        <v>-96.662441302487821</v>
      </c>
      <c r="BJ190" s="46">
        <f t="shared" si="181"/>
        <v>-1.7339625460138244</v>
      </c>
      <c r="BK190" s="46">
        <f t="shared" si="182"/>
        <v>-69.29787076954149</v>
      </c>
      <c r="BM190" s="49">
        <f t="shared" si="167"/>
        <v>1268.8534348838962</v>
      </c>
      <c r="BN190" s="46">
        <f t="shared" si="183"/>
        <v>1024.6755162977961</v>
      </c>
      <c r="BP190" s="46">
        <f>Reserve!BX190</f>
        <v>1681.7300204681387</v>
      </c>
      <c r="BQ190" s="46">
        <f t="shared" si="141"/>
        <v>1358.0982086826864</v>
      </c>
      <c r="BR190" s="15">
        <f t="shared" si="168"/>
        <v>87.912318169140462</v>
      </c>
      <c r="BT190" s="49">
        <f t="shared" si="169"/>
        <v>5.9432081185058934</v>
      </c>
      <c r="BU190" s="46">
        <f t="shared" si="142"/>
        <v>4.8083800242651025</v>
      </c>
      <c r="BV190" s="46">
        <f>SUMPRODUCT(BU191:BU$605, $I191:$I$605) / $I190</f>
        <v>130.9383638720501</v>
      </c>
      <c r="BX190" s="46">
        <f>-BZ190*Others!$Q$43</f>
        <v>-5.552349408729663</v>
      </c>
      <c r="BZ190" s="50">
        <f t="shared" si="127"/>
        <v>21.688864877850246</v>
      </c>
      <c r="CA190" s="46">
        <f t="shared" si="170"/>
        <v>16.136515469120582</v>
      </c>
      <c r="CB190" s="46">
        <f t="shared" si="143"/>
        <v>16.136515469120582</v>
      </c>
      <c r="CD190" s="46">
        <f>SUMPRODUCT(BZ191:BZ$605, $I191:$I$605) / $I190</f>
        <v>333.42269238489018</v>
      </c>
      <c r="CE190" s="46">
        <f>SUMPRODUCT(CA191:CA$605, $I191:$I$605) / $I190</f>
        <v>248.06648313435835</v>
      </c>
      <c r="CF190" s="46">
        <f>SUMPRODUCT(CB191:CB$605, $I191:$I$605) / $I190</f>
        <v>248.06648313435835</v>
      </c>
      <c r="CH190" s="46">
        <f t="shared" si="144"/>
        <v>45318.269979531862</v>
      </c>
      <c r="CI190" s="46">
        <f t="shared" si="145"/>
        <v>7624.2699795318613</v>
      </c>
      <c r="CK190" s="46">
        <f>NPV((1+CK$3)^(1/12)-1,$CB$6:$CB190)+$CB$5</f>
        <v>1248.4784215399234</v>
      </c>
      <c r="CL190" s="46">
        <f>NPV((1+CL$3)^(1/12)-1,$CB$6:$CB190)+$CB$5</f>
        <v>942.73287462674352</v>
      </c>
      <c r="CM190" s="46">
        <f>NPV((1+CM$3)^(1/12)-1,$CB$6:$CB190)+$CB$5</f>
        <v>412.49015127917778</v>
      </c>
      <c r="CN190" s="46">
        <f>NPV((1+CN$3)^(1/12)-1,$CB$6:$CB190)+$CB$5</f>
        <v>412.49015127917778</v>
      </c>
    </row>
    <row r="191" spans="1:92" x14ac:dyDescent="0.25">
      <c r="A191" s="61">
        <f t="shared" si="128"/>
        <v>15.500000000000041</v>
      </c>
      <c r="B191" s="32">
        <f t="shared" si="146"/>
        <v>6</v>
      </c>
      <c r="C191" s="62">
        <f t="shared" si="147"/>
        <v>16</v>
      </c>
      <c r="D191" s="64">
        <f t="shared" si="148"/>
        <v>16.000000000000043</v>
      </c>
      <c r="E191" s="28">
        <f t="shared" si="129"/>
        <v>16</v>
      </c>
      <c r="G191" s="68">
        <f>INDEX(Others!$D$11:$E$60, MATCH(C191, Others!$A$11:$A$60, 0), MATCH(G$3, Others!$D$10:$E$10, 0))</f>
        <v>4.0690909090909111E-2</v>
      </c>
      <c r="H191" s="16">
        <f t="shared" si="171"/>
        <v>3.329265421250005E-3</v>
      </c>
      <c r="I191" s="69">
        <f t="shared" si="172"/>
        <v>0.5389056133490786</v>
      </c>
      <c r="K191" s="80">
        <f>INDEX(Mortality!$B$7:$F$32, MATCH( E191,Mortality!$A$7:$A$32, 0), MATCH( K$3,Mortality!$B$6:$F$6,0))</f>
        <v>0.39200000000000002</v>
      </c>
      <c r="L191" s="11">
        <f t="shared" si="130"/>
        <v>0</v>
      </c>
      <c r="M191" s="80">
        <f t="shared" si="149"/>
        <v>0.39200000000000002</v>
      </c>
      <c r="N191" s="76">
        <f>INDEX(Myopia!$H:$H, MATCH(E191, Myopia!$A:$A, 0)) * Trend_Factor^(A191)</f>
        <v>5.4524147493872981</v>
      </c>
      <c r="O191" s="11">
        <f t="shared" si="131"/>
        <v>0</v>
      </c>
      <c r="P191" s="80">
        <f t="shared" si="150"/>
        <v>5.4524147493872981</v>
      </c>
      <c r="Q191" s="76">
        <f>VLOOKUP(C191,Others!$L$10:$M$61,2)</f>
        <v>0</v>
      </c>
      <c r="R191" s="11">
        <f t="shared" si="132"/>
        <v>0</v>
      </c>
      <c r="S191" s="80">
        <f t="shared" si="151"/>
        <v>0</v>
      </c>
      <c r="T191" s="78">
        <f t="shared" si="152"/>
        <v>3.266666666666667E-5</v>
      </c>
      <c r="U191" s="81">
        <f t="shared" si="153"/>
        <v>4.5436789578227481E-4</v>
      </c>
      <c r="V191" s="81">
        <f t="shared" si="154"/>
        <v>0</v>
      </c>
      <c r="W191" s="77">
        <f t="shared" si="133"/>
        <v>0.80756018632802684</v>
      </c>
      <c r="X191" s="82">
        <f t="shared" si="155"/>
        <v>2.6374306239480083E-5</v>
      </c>
      <c r="Y191" s="82">
        <f t="shared" si="156"/>
        <v>3.6692342939883855E-4</v>
      </c>
      <c r="Z191" s="82">
        <f t="shared" si="157"/>
        <v>0</v>
      </c>
      <c r="AA191" s="82">
        <f t="shared" si="158"/>
        <v>0.8071668885923885</v>
      </c>
      <c r="AC191" s="46">
        <f t="shared" si="134"/>
        <v>0</v>
      </c>
      <c r="AD191" s="15">
        <f t="shared" si="135"/>
        <v>0</v>
      </c>
      <c r="AE191" s="46">
        <f t="shared" si="159"/>
        <v>0</v>
      </c>
      <c r="AF191" s="15">
        <f t="shared" si="160"/>
        <v>0</v>
      </c>
      <c r="AG191" s="46">
        <f>SUMPRODUCT(AE192:AE$605, $I191:$I$604) / $I191</f>
        <v>0</v>
      </c>
      <c r="AI191" s="46">
        <f t="shared" si="136"/>
        <v>-47000</v>
      </c>
      <c r="AJ191" s="46">
        <f>IF(E191&gt;Mat_Year,0,  -SUM($AD$5:AD191))</f>
        <v>-9306</v>
      </c>
      <c r="AK191" s="24">
        <f t="shared" si="161"/>
        <v>-0.24543929386460164</v>
      </c>
      <c r="AL191" s="79">
        <f t="shared" si="162"/>
        <v>-17.245401181745411</v>
      </c>
      <c r="AM191" s="24">
        <f t="shared" si="163"/>
        <v>-21.658869235667499</v>
      </c>
      <c r="AN191" s="79">
        <f t="shared" si="164"/>
        <v>-17.490840475610014</v>
      </c>
      <c r="AO191" s="15">
        <f t="shared" si="165"/>
        <v>-1131.323524646426</v>
      </c>
      <c r="AP191" s="46">
        <f>SUMPRODUCT(AN192:AN$605, $I192:$I$605) / $I191</f>
        <v>-913.61183636074782</v>
      </c>
      <c r="AR191" s="46">
        <v>0</v>
      </c>
      <c r="AS191" s="46">
        <v>0</v>
      </c>
      <c r="AT191" s="46">
        <v>0</v>
      </c>
      <c r="AU191" s="95">
        <f t="shared" si="137"/>
        <v>-2.1455921889575769</v>
      </c>
      <c r="AV191" s="47">
        <f t="shared" si="138"/>
        <v>0</v>
      </c>
      <c r="AW191" s="96">
        <f t="shared" si="173"/>
        <v>-2.1455921889575769</v>
      </c>
      <c r="AX191" s="95">
        <f t="shared" si="139"/>
        <v>-24.602790433380214</v>
      </c>
      <c r="AY191" s="11">
        <f t="shared" si="140"/>
        <v>0</v>
      </c>
      <c r="AZ191" s="96">
        <f t="shared" si="174"/>
        <v>-24.602790433380214</v>
      </c>
      <c r="BA191" s="95">
        <f t="shared" si="175"/>
        <v>-1.7326948278985397</v>
      </c>
      <c r="BB191" s="64">
        <f t="shared" si="176"/>
        <v>-9.6762217678325255E-3</v>
      </c>
      <c r="BC191" s="95">
        <f t="shared" si="177"/>
        <v>-2.1455921889575769</v>
      </c>
      <c r="BD191" s="96">
        <f t="shared" si="178"/>
        <v>-1.1982044102285762E-2</v>
      </c>
      <c r="BE191" s="96">
        <f t="shared" si="179"/>
        <v>-1.7326948278985397</v>
      </c>
      <c r="BF191" s="96">
        <f t="shared" si="180"/>
        <v>-9.6762217678325255E-3</v>
      </c>
      <c r="BG191" s="15">
        <f t="shared" si="166"/>
        <v>-117.93067338825304</v>
      </c>
      <c r="BH191" s="46">
        <f>(SUMPRODUCT(BE192:BE$605,$I191:$I$604)+SUMPRODUCT(BF192:BF$605,$I192:$I$605)) / $I191</f>
        <v>-95.236116575207305</v>
      </c>
      <c r="BJ191" s="46">
        <f t="shared" si="181"/>
        <v>-1.7326948278985397</v>
      </c>
      <c r="BK191" s="46">
        <f t="shared" si="182"/>
        <v>-17.500516697377847</v>
      </c>
      <c r="BM191" s="49">
        <f t="shared" si="167"/>
        <v>1249.8629059168627</v>
      </c>
      <c r="BN191" s="46">
        <f t="shared" si="183"/>
        <v>1008.8479529359553</v>
      </c>
      <c r="BP191" s="46">
        <f>Reserve!BX191</f>
        <v>1656.1053119620715</v>
      </c>
      <c r="BQ191" s="46">
        <f t="shared" si="141"/>
        <v>1336.7533718377522</v>
      </c>
      <c r="BR191" s="15">
        <f t="shared" si="168"/>
        <v>21.344836844934207</v>
      </c>
      <c r="BT191" s="49">
        <f t="shared" si="169"/>
        <v>5.5917823591398363</v>
      </c>
      <c r="BU191" s="46">
        <f t="shared" si="142"/>
        <v>4.5157008038527398</v>
      </c>
      <c r="BV191" s="46">
        <f>SUMPRODUCT(BU192:BU$605, $I192:$I$605) / $I191</f>
        <v>126.85859163535162</v>
      </c>
      <c r="BX191" s="46">
        <f>-BZ191*Others!$Q$43</f>
        <v>-1.696595487618703</v>
      </c>
      <c r="BZ191" s="50">
        <f t="shared" si="127"/>
        <v>6.6273261235105583</v>
      </c>
      <c r="CA191" s="46">
        <f t="shared" si="170"/>
        <v>4.9307306358918552</v>
      </c>
      <c r="CB191" s="46">
        <f t="shared" si="143"/>
        <v>4.9307306358918552</v>
      </c>
      <c r="CD191" s="46">
        <f>SUMPRODUCT(BZ192:BZ$605, $I192:$I$605) / $I191</f>
        <v>327.90541890179674</v>
      </c>
      <c r="CE191" s="46">
        <f>SUMPRODUCT(CA192:CA$605, $I192:$I$605) / $I191</f>
        <v>243.96163166293684</v>
      </c>
      <c r="CF191" s="46">
        <f>SUMPRODUCT(CB192:CB$605, $I192:$I$605) / $I191</f>
        <v>243.96163166293684</v>
      </c>
      <c r="CH191" s="46">
        <f t="shared" si="144"/>
        <v>45343.89468803793</v>
      </c>
      <c r="CI191" s="46">
        <f t="shared" si="145"/>
        <v>7649.8946880379281</v>
      </c>
      <c r="CK191" s="46">
        <f>NPV((1+CK$3)^(1/12)-1,$CB$6:$CB191)+$CB$5</f>
        <v>1251.5968392979057</v>
      </c>
      <c r="CL191" s="46">
        <f>NPV((1+CL$3)^(1/12)-1,$CB$6:$CB191)+$CB$5</f>
        <v>945.04748098732466</v>
      </c>
      <c r="CM191" s="46">
        <f>NPV((1+CM$3)^(1/12)-1,$CB$6:$CB191)+$CB$5</f>
        <v>413.61559726857126</v>
      </c>
      <c r="CN191" s="46">
        <f>NPV((1+CN$3)^(1/12)-1,$CB$6:$CB191)+$CB$5</f>
        <v>413.61559726857126</v>
      </c>
    </row>
    <row r="192" spans="1:92" x14ac:dyDescent="0.25">
      <c r="A192" s="61">
        <f t="shared" si="128"/>
        <v>15.583333333333375</v>
      </c>
      <c r="B192" s="32">
        <f t="shared" si="146"/>
        <v>7</v>
      </c>
      <c r="C192" s="62">
        <f t="shared" si="147"/>
        <v>16</v>
      </c>
      <c r="D192" s="64">
        <f t="shared" si="148"/>
        <v>16.083333333333375</v>
      </c>
      <c r="E192" s="28">
        <f t="shared" si="129"/>
        <v>16</v>
      </c>
      <c r="G192" s="68">
        <f>INDEX(Others!$D$11:$E$60, MATCH(C192, Others!$A$11:$A$60, 0), MATCH(G$3, Others!$D$10:$E$10, 0))</f>
        <v>4.0690909090909111E-2</v>
      </c>
      <c r="H192" s="16">
        <f t="shared" si="171"/>
        <v>3.329265421250005E-3</v>
      </c>
      <c r="I192" s="69">
        <f t="shared" si="172"/>
        <v>0.53711740693900512</v>
      </c>
      <c r="K192" s="80">
        <f>INDEX(Mortality!$B$7:$F$32, MATCH( E192,Mortality!$A$7:$A$32, 0), MATCH( K$3,Mortality!$B$6:$F$6,0))</f>
        <v>0.39200000000000002</v>
      </c>
      <c r="L192" s="11">
        <f t="shared" si="130"/>
        <v>0</v>
      </c>
      <c r="M192" s="80">
        <f t="shared" si="149"/>
        <v>0.39200000000000002</v>
      </c>
      <c r="N192" s="76">
        <f>INDEX(Myopia!$H:$H, MATCH(E192, Myopia!$A:$A, 0)) * Trend_Factor^(A192)</f>
        <v>5.4524147493872981</v>
      </c>
      <c r="O192" s="11">
        <f t="shared" si="131"/>
        <v>0</v>
      </c>
      <c r="P192" s="80">
        <f t="shared" si="150"/>
        <v>5.4524147493872981</v>
      </c>
      <c r="Q192" s="76">
        <f>VLOOKUP(C192,Others!$L$10:$M$61,2)</f>
        <v>0</v>
      </c>
      <c r="R192" s="11">
        <f t="shared" si="132"/>
        <v>0</v>
      </c>
      <c r="S192" s="80">
        <f t="shared" si="151"/>
        <v>0</v>
      </c>
      <c r="T192" s="78">
        <f t="shared" si="152"/>
        <v>3.266666666666667E-5</v>
      </c>
      <c r="U192" s="81">
        <f t="shared" si="153"/>
        <v>4.5436789578227481E-4</v>
      </c>
      <c r="V192" s="81">
        <f t="shared" si="154"/>
        <v>0</v>
      </c>
      <c r="W192" s="77">
        <f t="shared" si="133"/>
        <v>0.8071668885923885</v>
      </c>
      <c r="X192" s="82">
        <f t="shared" si="155"/>
        <v>2.6361461432246353E-5</v>
      </c>
      <c r="Y192" s="82">
        <f t="shared" si="156"/>
        <v>3.667447304530777E-4</v>
      </c>
      <c r="Z192" s="82">
        <f t="shared" si="157"/>
        <v>0</v>
      </c>
      <c r="AA192" s="82">
        <f t="shared" si="158"/>
        <v>0.80677378240050313</v>
      </c>
      <c r="AC192" s="46">
        <f t="shared" si="134"/>
        <v>0</v>
      </c>
      <c r="AD192" s="15">
        <f t="shared" si="135"/>
        <v>0</v>
      </c>
      <c r="AE192" s="46">
        <f t="shared" si="159"/>
        <v>0</v>
      </c>
      <c r="AF192" s="15">
        <f t="shared" si="160"/>
        <v>0</v>
      </c>
      <c r="AG192" s="46">
        <f>SUMPRODUCT(AE193:AE$605, $I192:$I$604) / $I192</f>
        <v>0</v>
      </c>
      <c r="AI192" s="46">
        <f t="shared" si="136"/>
        <v>-47000</v>
      </c>
      <c r="AJ192" s="46">
        <f>IF(E192&gt;Mat_Year,0,  -SUM($AD$5:AD192))</f>
        <v>-9306</v>
      </c>
      <c r="AK192" s="24">
        <f t="shared" si="161"/>
        <v>-0.24531976008848455</v>
      </c>
      <c r="AL192" s="79">
        <f t="shared" si="162"/>
        <v>-17.237002331294651</v>
      </c>
      <c r="AM192" s="24">
        <f t="shared" si="163"/>
        <v>-21.658869235667495</v>
      </c>
      <c r="AN192" s="79">
        <f t="shared" si="164"/>
        <v>-17.482322091383136</v>
      </c>
      <c r="AO192" s="15">
        <f t="shared" si="165"/>
        <v>-1113.9842122769212</v>
      </c>
      <c r="AP192" s="46">
        <f>SUMPRODUCT(AN193:AN$605, $I193:$I$605) / $I192</f>
        <v>-899.17117056460529</v>
      </c>
      <c r="AR192" s="46">
        <v>0</v>
      </c>
      <c r="AS192" s="46">
        <v>0</v>
      </c>
      <c r="AT192" s="46">
        <v>0</v>
      </c>
      <c r="AU192" s="95">
        <f t="shared" si="137"/>
        <v>-2.1479911723994927</v>
      </c>
      <c r="AV192" s="47">
        <f t="shared" si="138"/>
        <v>0</v>
      </c>
      <c r="AW192" s="96">
        <f t="shared" si="173"/>
        <v>-2.1479911723994927</v>
      </c>
      <c r="AX192" s="95">
        <f t="shared" si="139"/>
        <v>-24.630298776847514</v>
      </c>
      <c r="AY192" s="11">
        <f t="shared" si="140"/>
        <v>0</v>
      </c>
      <c r="AZ192" s="96">
        <f t="shared" si="174"/>
        <v>-24.630298776847514</v>
      </c>
      <c r="BA192" s="95">
        <f t="shared" si="175"/>
        <v>-1.7337873513496151</v>
      </c>
      <c r="BB192" s="64">
        <f t="shared" si="176"/>
        <v>-9.6823229571642803E-3</v>
      </c>
      <c r="BC192" s="95">
        <f t="shared" si="177"/>
        <v>-2.1479911723994927</v>
      </c>
      <c r="BD192" s="96">
        <f t="shared" si="178"/>
        <v>-1.1995441208012386E-2</v>
      </c>
      <c r="BE192" s="96">
        <f t="shared" si="179"/>
        <v>-1.7337873513496151</v>
      </c>
      <c r="BF192" s="96">
        <f t="shared" si="180"/>
        <v>-9.6823229571642803E-3</v>
      </c>
      <c r="BG192" s="15">
        <f t="shared" si="166"/>
        <v>-116.21381191190306</v>
      </c>
      <c r="BH192" s="46">
        <f>(SUMPRODUCT(BE193:BE$605,$I192:$I$604)+SUMPRODUCT(BF193:BF$605,$I193:$I$605)) / $I192</f>
        <v>-93.803940972391857</v>
      </c>
      <c r="BJ192" s="46">
        <f t="shared" si="181"/>
        <v>-1.7337873513496151</v>
      </c>
      <c r="BK192" s="46">
        <f t="shared" si="182"/>
        <v>-17.4920044143403</v>
      </c>
      <c r="BM192" s="49">
        <f t="shared" si="167"/>
        <v>1230.7974468164596</v>
      </c>
      <c r="BN192" s="46">
        <f t="shared" si="183"/>
        <v>992.97511153699725</v>
      </c>
      <c r="BP192" s="46">
        <f>Reserve!BX192</f>
        <v>1630.3948054824828</v>
      </c>
      <c r="BQ192" s="46">
        <f t="shared" si="141"/>
        <v>1315.3597840252351</v>
      </c>
      <c r="BR192" s="15">
        <f t="shared" si="168"/>
        <v>21.393587812517126</v>
      </c>
      <c r="BT192" s="49">
        <f t="shared" si="169"/>
        <v>5.5064629163283572</v>
      </c>
      <c r="BU192" s="46">
        <f t="shared" si="142"/>
        <v>4.4446345393221298</v>
      </c>
      <c r="BV192" s="46">
        <f>SUMPRODUCT(BU193:BU$605, $I193:$I$605) / $I192</f>
        <v>122.83630301854951</v>
      </c>
      <c r="BX192" s="46">
        <f>-BZ192*Others!$Q$43</f>
        <v>-1.692782230054231</v>
      </c>
      <c r="BZ192" s="50">
        <f t="shared" si="127"/>
        <v>6.6124305861493395</v>
      </c>
      <c r="CA192" s="46">
        <f t="shared" si="170"/>
        <v>4.9196483560951085</v>
      </c>
      <c r="CB192" s="46">
        <f t="shared" si="143"/>
        <v>4.9196483560951085</v>
      </c>
      <c r="CD192" s="46">
        <f>SUMPRODUCT(BZ193:BZ$605, $I193:$I$605) / $I192</f>
        <v>322.38467248823764</v>
      </c>
      <c r="CE192" s="46">
        <f>SUMPRODUCT(CA193:CA$605, $I193:$I$605) / $I192</f>
        <v>239.85419633124883</v>
      </c>
      <c r="CF192" s="46">
        <f>SUMPRODUCT(CB193:CB$605, $I193:$I$605) / $I192</f>
        <v>239.85419633124883</v>
      </c>
      <c r="CH192" s="46">
        <f t="shared" si="144"/>
        <v>45369.60519451752</v>
      </c>
      <c r="CI192" s="46">
        <f t="shared" si="145"/>
        <v>7675.6051945175168</v>
      </c>
      <c r="CK192" s="46">
        <f>NPV((1+CK$3)^(1/12)-1,$CB$6:$CB192)+$CB$5</f>
        <v>1254.7005934243666</v>
      </c>
      <c r="CL192" s="46">
        <f>NPV((1+CL$3)^(1/12)-1,$CB$6:$CB192)+$CB$5</f>
        <v>947.34751443195091</v>
      </c>
      <c r="CM192" s="46">
        <f>NPV((1+CM$3)^(1/12)-1,$CB$6:$CB192)+$CB$5</f>
        <v>414.72963025700119</v>
      </c>
      <c r="CN192" s="46">
        <f>NPV((1+CN$3)^(1/12)-1,$CB$6:$CB192)+$CB$5</f>
        <v>414.72963025700119</v>
      </c>
    </row>
    <row r="193" spans="1:92" x14ac:dyDescent="0.25">
      <c r="A193" s="61">
        <f t="shared" si="128"/>
        <v>15.666666666666709</v>
      </c>
      <c r="B193" s="32">
        <f t="shared" si="146"/>
        <v>8</v>
      </c>
      <c r="C193" s="62">
        <f t="shared" si="147"/>
        <v>16</v>
      </c>
      <c r="D193" s="64">
        <f t="shared" si="148"/>
        <v>16.166666666666707</v>
      </c>
      <c r="E193" s="28">
        <f t="shared" si="129"/>
        <v>16</v>
      </c>
      <c r="G193" s="68">
        <f>INDEX(Others!$D$11:$E$60, MATCH(C193, Others!$A$11:$A$60, 0), MATCH(G$3, Others!$D$10:$E$10, 0))</f>
        <v>4.0690909090909111E-2</v>
      </c>
      <c r="H193" s="16">
        <f t="shared" si="171"/>
        <v>3.329265421250005E-3</v>
      </c>
      <c r="I193" s="69">
        <f t="shared" si="172"/>
        <v>0.53533513418797285</v>
      </c>
      <c r="K193" s="80">
        <f>INDEX(Mortality!$B$7:$F$32, MATCH( E193,Mortality!$A$7:$A$32, 0), MATCH( K$3,Mortality!$B$6:$F$6,0))</f>
        <v>0.39200000000000002</v>
      </c>
      <c r="L193" s="11">
        <f t="shared" si="130"/>
        <v>0</v>
      </c>
      <c r="M193" s="80">
        <f t="shared" si="149"/>
        <v>0.39200000000000002</v>
      </c>
      <c r="N193" s="76">
        <f>INDEX(Myopia!$H:$H, MATCH(E193, Myopia!$A:$A, 0)) * Trend_Factor^(A193)</f>
        <v>5.4524147493872981</v>
      </c>
      <c r="O193" s="11">
        <f t="shared" si="131"/>
        <v>0</v>
      </c>
      <c r="P193" s="80">
        <f t="shared" si="150"/>
        <v>5.4524147493872981</v>
      </c>
      <c r="Q193" s="76">
        <f>VLOOKUP(C193,Others!$L$10:$M$61,2)</f>
        <v>0</v>
      </c>
      <c r="R193" s="11">
        <f t="shared" si="132"/>
        <v>0</v>
      </c>
      <c r="S193" s="80">
        <f t="shared" si="151"/>
        <v>0</v>
      </c>
      <c r="T193" s="78">
        <f t="shared" si="152"/>
        <v>3.266666666666667E-5</v>
      </c>
      <c r="U193" s="81">
        <f t="shared" si="153"/>
        <v>4.5436789578227481E-4</v>
      </c>
      <c r="V193" s="81">
        <f t="shared" si="154"/>
        <v>0</v>
      </c>
      <c r="W193" s="77">
        <f t="shared" si="133"/>
        <v>0.80677378240050313</v>
      </c>
      <c r="X193" s="82">
        <f t="shared" si="155"/>
        <v>2.6348622880687041E-5</v>
      </c>
      <c r="Y193" s="82">
        <f t="shared" si="156"/>
        <v>3.6656611853722742E-4</v>
      </c>
      <c r="Z193" s="82">
        <f t="shared" si="157"/>
        <v>0</v>
      </c>
      <c r="AA193" s="82">
        <f t="shared" si="158"/>
        <v>0.80638086765908523</v>
      </c>
      <c r="AC193" s="46">
        <f t="shared" si="134"/>
        <v>0</v>
      </c>
      <c r="AD193" s="15">
        <f t="shared" si="135"/>
        <v>0</v>
      </c>
      <c r="AE193" s="46">
        <f t="shared" si="159"/>
        <v>0</v>
      </c>
      <c r="AF193" s="15">
        <f t="shared" si="160"/>
        <v>0</v>
      </c>
      <c r="AG193" s="46">
        <f>SUMPRODUCT(AE194:AE$605, $I193:$I$604) / $I193</f>
        <v>0</v>
      </c>
      <c r="AI193" s="46">
        <f t="shared" si="136"/>
        <v>-47000</v>
      </c>
      <c r="AJ193" s="46">
        <f>IF(E193&gt;Mat_Year,0,  -SUM($AD$5:AD193))</f>
        <v>-9306</v>
      </c>
      <c r="AK193" s="24">
        <f t="shared" si="161"/>
        <v>-0.24520028452767359</v>
      </c>
      <c r="AL193" s="79">
        <f t="shared" si="162"/>
        <v>-17.22860757124969</v>
      </c>
      <c r="AM193" s="24">
        <f t="shared" si="163"/>
        <v>-21.658869235667499</v>
      </c>
      <c r="AN193" s="79">
        <f t="shared" si="164"/>
        <v>-17.473807855777363</v>
      </c>
      <c r="AO193" s="15">
        <f t="shared" si="165"/>
        <v>-1096.5786959046104</v>
      </c>
      <c r="AP193" s="46">
        <f>SUMPRODUCT(AN194:AN$605, $I194:$I$605) / $I193</f>
        <v>-884.69094219477358</v>
      </c>
      <c r="AR193" s="46">
        <v>0</v>
      </c>
      <c r="AS193" s="46">
        <v>0</v>
      </c>
      <c r="AT193" s="46">
        <v>0</v>
      </c>
      <c r="AU193" s="95">
        <f t="shared" si="137"/>
        <v>-2.1503928381412343</v>
      </c>
      <c r="AV193" s="47">
        <f t="shared" si="138"/>
        <v>0</v>
      </c>
      <c r="AW193" s="96">
        <f t="shared" si="173"/>
        <v>-2.1503928381412343</v>
      </c>
      <c r="AX193" s="95">
        <f t="shared" si="139"/>
        <v>-24.657837877352819</v>
      </c>
      <c r="AY193" s="11">
        <f t="shared" si="140"/>
        <v>0</v>
      </c>
      <c r="AZ193" s="96">
        <f t="shared" si="174"/>
        <v>-24.657837877352819</v>
      </c>
      <c r="BA193" s="95">
        <f t="shared" si="175"/>
        <v>-1.7348805636741564</v>
      </c>
      <c r="BB193" s="64">
        <f t="shared" si="176"/>
        <v>-9.688427993504941E-3</v>
      </c>
      <c r="BC193" s="95">
        <f t="shared" si="177"/>
        <v>-2.1503928381412343</v>
      </c>
      <c r="BD193" s="96">
        <f t="shared" si="178"/>
        <v>-1.2008853293023047E-2</v>
      </c>
      <c r="BE193" s="96">
        <f t="shared" si="179"/>
        <v>-1.7348805636741564</v>
      </c>
      <c r="BF193" s="96">
        <f t="shared" si="180"/>
        <v>-9.688427993504941E-3</v>
      </c>
      <c r="BG193" s="15">
        <f t="shared" si="166"/>
        <v>-114.48797213647818</v>
      </c>
      <c r="BH193" s="46">
        <f>(SUMPRODUCT(BE194:BE$605,$I193:$I$604)+SUMPRODUCT(BF194:BF$605,$I194:$I$605)) / $I193</f>
        <v>-92.365894319909913</v>
      </c>
      <c r="BJ193" s="46">
        <f t="shared" si="181"/>
        <v>-1.7348805636741564</v>
      </c>
      <c r="BK193" s="46">
        <f t="shared" si="182"/>
        <v>-17.483496283770869</v>
      </c>
      <c r="BM193" s="49">
        <f t="shared" si="167"/>
        <v>1211.6567687810707</v>
      </c>
      <c r="BN193" s="46">
        <f t="shared" si="183"/>
        <v>977.05683651468348</v>
      </c>
      <c r="BP193" s="46">
        <f>Reserve!BX193</f>
        <v>1604.5982213390803</v>
      </c>
      <c r="BQ193" s="46">
        <f t="shared" si="141"/>
        <v>1293.9173059676325</v>
      </c>
      <c r="BR193" s="15">
        <f t="shared" si="168"/>
        <v>21.442478057602557</v>
      </c>
      <c r="BT193" s="49">
        <f t="shared" si="169"/>
        <v>5.4208578203603306</v>
      </c>
      <c r="BU193" s="46">
        <f t="shared" si="142"/>
        <v>4.373405967587451</v>
      </c>
      <c r="BV193" s="46">
        <f>SUMPRODUCT(BU194:BU$605, $I194:$I$605) / $I193</f>
        <v>118.87185170707589</v>
      </c>
      <c r="BX193" s="46">
        <f>-BZ193*Others!$Q$43</f>
        <v>-1.6889618375027156</v>
      </c>
      <c r="BZ193" s="50">
        <f t="shared" si="127"/>
        <v>6.5975071777449825</v>
      </c>
      <c r="CA193" s="46">
        <f t="shared" si="170"/>
        <v>4.9085453402422665</v>
      </c>
      <c r="CB193" s="46">
        <f t="shared" si="143"/>
        <v>4.9085453402422665</v>
      </c>
      <c r="CD193" s="46">
        <f>SUMPRODUCT(BZ194:BZ$605, $I194:$I$605) / $I193</f>
        <v>316.86046945294873</v>
      </c>
      <c r="CE193" s="46">
        <f>SUMPRODUCT(CA194:CA$605, $I194:$I$605) / $I193</f>
        <v>235.74418927299391</v>
      </c>
      <c r="CF193" s="46">
        <f>SUMPRODUCT(CB194:CB$605, $I194:$I$605) / $I193</f>
        <v>235.74418927299391</v>
      </c>
      <c r="CH193" s="46">
        <f t="shared" si="144"/>
        <v>45395.401778660918</v>
      </c>
      <c r="CI193" s="46">
        <f t="shared" si="145"/>
        <v>7701.4017786609202</v>
      </c>
      <c r="CK193" s="46">
        <f>NPV((1+CK$3)^(1/12)-1,$CB$6:$CB193)+$CB$5</f>
        <v>1257.7897241458104</v>
      </c>
      <c r="CL193" s="46">
        <f>NPV((1+CL$3)^(1/12)-1,$CB$6:$CB193)+$CB$5</f>
        <v>949.63304545953997</v>
      </c>
      <c r="CM193" s="46">
        <f>NPV((1+CM$3)^(1/12)-1,$CB$6:$CB193)+$CB$5</f>
        <v>415.83235572798708</v>
      </c>
      <c r="CN193" s="46">
        <f>NPV((1+CN$3)^(1/12)-1,$CB$6:$CB193)+$CB$5</f>
        <v>415.83235572798708</v>
      </c>
    </row>
    <row r="194" spans="1:92" x14ac:dyDescent="0.25">
      <c r="A194" s="61">
        <f t="shared" si="128"/>
        <v>15.750000000000043</v>
      </c>
      <c r="B194" s="32">
        <f t="shared" si="146"/>
        <v>9</v>
      </c>
      <c r="C194" s="62">
        <f t="shared" si="147"/>
        <v>16</v>
      </c>
      <c r="D194" s="64">
        <f t="shared" si="148"/>
        <v>16.250000000000043</v>
      </c>
      <c r="E194" s="28">
        <f t="shared" si="129"/>
        <v>16</v>
      </c>
      <c r="G194" s="68">
        <f>INDEX(Others!$D$11:$E$60, MATCH(C194, Others!$A$11:$A$60, 0), MATCH(G$3, Others!$D$10:$E$10, 0))</f>
        <v>4.0690909090909111E-2</v>
      </c>
      <c r="H194" s="16">
        <f t="shared" si="171"/>
        <v>3.329265421250005E-3</v>
      </c>
      <c r="I194" s="69">
        <f t="shared" si="172"/>
        <v>0.53355877540680652</v>
      </c>
      <c r="K194" s="80">
        <f>INDEX(Mortality!$B$7:$F$32, MATCH( E194,Mortality!$A$7:$A$32, 0), MATCH( K$3,Mortality!$B$6:$F$6,0))</f>
        <v>0.39200000000000002</v>
      </c>
      <c r="L194" s="11">
        <f t="shared" si="130"/>
        <v>0</v>
      </c>
      <c r="M194" s="80">
        <f t="shared" si="149"/>
        <v>0.39200000000000002</v>
      </c>
      <c r="N194" s="76">
        <f>INDEX(Myopia!$H:$H, MATCH(E194, Myopia!$A:$A, 0)) * Trend_Factor^(A194)</f>
        <v>5.4524147493872981</v>
      </c>
      <c r="O194" s="11">
        <f t="shared" si="131"/>
        <v>0</v>
      </c>
      <c r="P194" s="80">
        <f t="shared" si="150"/>
        <v>5.4524147493872981</v>
      </c>
      <c r="Q194" s="76">
        <f>VLOOKUP(C194,Others!$L$10:$M$61,2)</f>
        <v>0</v>
      </c>
      <c r="R194" s="11">
        <f t="shared" si="132"/>
        <v>0</v>
      </c>
      <c r="S194" s="80">
        <f t="shared" si="151"/>
        <v>0</v>
      </c>
      <c r="T194" s="78">
        <f t="shared" si="152"/>
        <v>3.266666666666667E-5</v>
      </c>
      <c r="U194" s="81">
        <f t="shared" si="153"/>
        <v>4.5436789578227481E-4</v>
      </c>
      <c r="V194" s="81">
        <f t="shared" si="154"/>
        <v>0</v>
      </c>
      <c r="W194" s="77">
        <f t="shared" si="133"/>
        <v>0.80638086765908523</v>
      </c>
      <c r="X194" s="82">
        <f t="shared" si="155"/>
        <v>2.6335790581755512E-5</v>
      </c>
      <c r="Y194" s="82">
        <f t="shared" si="156"/>
        <v>3.663875936089023E-4</v>
      </c>
      <c r="Z194" s="82">
        <f t="shared" si="157"/>
        <v>0</v>
      </c>
      <c r="AA194" s="82">
        <f t="shared" si="158"/>
        <v>0.80598814427489462</v>
      </c>
      <c r="AC194" s="46">
        <f t="shared" si="134"/>
        <v>0</v>
      </c>
      <c r="AD194" s="15">
        <f t="shared" si="135"/>
        <v>0</v>
      </c>
      <c r="AE194" s="46">
        <f t="shared" si="159"/>
        <v>0</v>
      </c>
      <c r="AF194" s="15">
        <f t="shared" si="160"/>
        <v>0</v>
      </c>
      <c r="AG194" s="46">
        <f>SUMPRODUCT(AE195:AE$605, $I194:$I$604) / $I194</f>
        <v>0</v>
      </c>
      <c r="AI194" s="46">
        <f t="shared" si="136"/>
        <v>-47000</v>
      </c>
      <c r="AJ194" s="46">
        <f>IF(E194&gt;Mat_Year,0,  -SUM($AD$5:AD194))</f>
        <v>-9306</v>
      </c>
      <c r="AK194" s="24">
        <f t="shared" si="161"/>
        <v>-0.2450808671538168</v>
      </c>
      <c r="AL194" s="79">
        <f t="shared" si="162"/>
        <v>-17.220216899618407</v>
      </c>
      <c r="AM194" s="24">
        <f t="shared" si="163"/>
        <v>-21.658869235667495</v>
      </c>
      <c r="AN194" s="79">
        <f t="shared" si="164"/>
        <v>-17.465297766772224</v>
      </c>
      <c r="AO194" s="15">
        <f t="shared" si="165"/>
        <v>-1079.1067227530341</v>
      </c>
      <c r="AP194" s="46">
        <f>SUMPRODUCT(AN195:AN$605, $I195:$I$605) / $I194</f>
        <v>-870.17101539034354</v>
      </c>
      <c r="AR194" s="46">
        <v>0</v>
      </c>
      <c r="AS194" s="46">
        <v>0</v>
      </c>
      <c r="AT194" s="46">
        <v>0</v>
      </c>
      <c r="AU194" s="95">
        <f t="shared" si="137"/>
        <v>-2.1527971891818769</v>
      </c>
      <c r="AV194" s="47">
        <f t="shared" si="138"/>
        <v>0</v>
      </c>
      <c r="AW194" s="96">
        <f t="shared" si="173"/>
        <v>-2.1527971891818769</v>
      </c>
      <c r="AX194" s="95">
        <f t="shared" si="139"/>
        <v>-24.685407769285518</v>
      </c>
      <c r="AY194" s="11">
        <f t="shared" si="140"/>
        <v>0</v>
      </c>
      <c r="AZ194" s="96">
        <f t="shared" si="174"/>
        <v>-24.685407769285518</v>
      </c>
      <c r="BA194" s="95">
        <f t="shared" si="175"/>
        <v>-1.7359744653065217</v>
      </c>
      <c r="BB194" s="64">
        <f t="shared" si="176"/>
        <v>-9.6945368792801662E-3</v>
      </c>
      <c r="BC194" s="95">
        <f t="shared" si="177"/>
        <v>-2.1527971891818769</v>
      </c>
      <c r="BD194" s="96">
        <f t="shared" si="178"/>
        <v>-1.2022280374066042E-2</v>
      </c>
      <c r="BE194" s="96">
        <f t="shared" si="179"/>
        <v>-1.7359744653065217</v>
      </c>
      <c r="BF194" s="96">
        <f t="shared" si="180"/>
        <v>-9.6945368792801662E-3</v>
      </c>
      <c r="BG194" s="15">
        <f t="shared" si="166"/>
        <v>-112.75311707229874</v>
      </c>
      <c r="BH194" s="46">
        <f>(SUMPRODUCT(BE195:BE$605,$I194:$I$604)+SUMPRODUCT(BF195:BF$605,$I195:$I$605)) / $I194</f>
        <v>-90.921956376026671</v>
      </c>
      <c r="BJ194" s="46">
        <f t="shared" si="181"/>
        <v>-1.7359744653065217</v>
      </c>
      <c r="BK194" s="46">
        <f t="shared" si="182"/>
        <v>-17.474992303651504</v>
      </c>
      <c r="BM194" s="49">
        <f t="shared" si="167"/>
        <v>1192.440581903367</v>
      </c>
      <c r="BN194" s="46">
        <f t="shared" si="183"/>
        <v>961.09297176637028</v>
      </c>
      <c r="BP194" s="46">
        <f>Reserve!BX194</f>
        <v>1578.7152789435895</v>
      </c>
      <c r="BQ194" s="46">
        <f t="shared" si="141"/>
        <v>1272.4257980141663</v>
      </c>
      <c r="BR194" s="15">
        <f t="shared" si="168"/>
        <v>21.491507953466225</v>
      </c>
      <c r="BT194" s="49">
        <f t="shared" si="169"/>
        <v>5.334966140062555</v>
      </c>
      <c r="BU194" s="46">
        <f t="shared" si="142"/>
        <v>4.3020146249554836</v>
      </c>
      <c r="BV194" s="46">
        <f>SUMPRODUCT(BU195:BU$605, $I195:$I$605) / $I194</f>
        <v>114.96559302756872</v>
      </c>
      <c r="BX194" s="46">
        <f>-BZ194*Others!$Q$43</f>
        <v>-1.6851342872227026</v>
      </c>
      <c r="BZ194" s="50">
        <f t="shared" si="127"/>
        <v>6.582555809463682</v>
      </c>
      <c r="CA194" s="46">
        <f t="shared" si="170"/>
        <v>4.8974215222409789</v>
      </c>
      <c r="CB194" s="46">
        <f t="shared" si="143"/>
        <v>4.8974215222409789</v>
      </c>
      <c r="CD194" s="46">
        <f>SUMPRODUCT(BZ195:BZ$605, $I195:$I$605) / $I194</f>
        <v>311.33282624779577</v>
      </c>
      <c r="CE194" s="46">
        <f>SUMPRODUCT(CA195:CA$605, $I195:$I$605) / $I194</f>
        <v>231.6316227283601</v>
      </c>
      <c r="CF194" s="46">
        <f>SUMPRODUCT(CB195:CB$605, $I195:$I$605) / $I194</f>
        <v>231.6316227283601</v>
      </c>
      <c r="CH194" s="46">
        <f t="shared" si="144"/>
        <v>45421.284721056407</v>
      </c>
      <c r="CI194" s="46">
        <f t="shared" si="145"/>
        <v>7727.2847210564105</v>
      </c>
      <c r="CK194" s="46">
        <f>NPV((1+CK$3)^(1/12)-1,$CB$6:$CB194)+$CB$5</f>
        <v>1260.8642715701778</v>
      </c>
      <c r="CL194" s="46">
        <f>NPV((1+CL$3)^(1/12)-1,$CB$6:$CB194)+$CB$5</f>
        <v>951.9041442453547</v>
      </c>
      <c r="CM194" s="46">
        <f>NPV((1+CM$3)^(1/12)-1,$CB$6:$CB194)+$CB$5</f>
        <v>416.92387823247941</v>
      </c>
      <c r="CN194" s="46">
        <f>NPV((1+CN$3)^(1/12)-1,$CB$6:$CB194)+$CB$5</f>
        <v>416.92387823247941</v>
      </c>
    </row>
    <row r="195" spans="1:92" x14ac:dyDescent="0.25">
      <c r="A195" s="61">
        <f t="shared" si="128"/>
        <v>15.833333333333377</v>
      </c>
      <c r="B195" s="32">
        <f t="shared" si="146"/>
        <v>10</v>
      </c>
      <c r="C195" s="62">
        <f t="shared" si="147"/>
        <v>16</v>
      </c>
      <c r="D195" s="64">
        <f t="shared" si="148"/>
        <v>16.333333333333378</v>
      </c>
      <c r="E195" s="28">
        <f t="shared" si="129"/>
        <v>16</v>
      </c>
      <c r="G195" s="68">
        <f>INDEX(Others!$D$11:$E$60, MATCH(C195, Others!$A$11:$A$60, 0), MATCH(G$3, Others!$D$10:$E$10, 0))</f>
        <v>4.0690909090909111E-2</v>
      </c>
      <c r="H195" s="16">
        <f t="shared" si="171"/>
        <v>3.329265421250005E-3</v>
      </c>
      <c r="I195" s="69">
        <f t="shared" si="172"/>
        <v>0.53178831097166357</v>
      </c>
      <c r="K195" s="80">
        <f>INDEX(Mortality!$B$7:$F$32, MATCH( E195,Mortality!$A$7:$A$32, 0), MATCH( K$3,Mortality!$B$6:$F$6,0))</f>
        <v>0.39200000000000002</v>
      </c>
      <c r="L195" s="11">
        <f t="shared" si="130"/>
        <v>0</v>
      </c>
      <c r="M195" s="80">
        <f t="shared" si="149"/>
        <v>0.39200000000000002</v>
      </c>
      <c r="N195" s="76">
        <f>INDEX(Myopia!$H:$H, MATCH(E195, Myopia!$A:$A, 0)) * Trend_Factor^(A195)</f>
        <v>5.4524147493872981</v>
      </c>
      <c r="O195" s="11">
        <f t="shared" si="131"/>
        <v>0</v>
      </c>
      <c r="P195" s="80">
        <f t="shared" si="150"/>
        <v>5.4524147493872981</v>
      </c>
      <c r="Q195" s="76">
        <f>VLOOKUP(C195,Others!$L$10:$M$61,2)</f>
        <v>0</v>
      </c>
      <c r="R195" s="11">
        <f t="shared" si="132"/>
        <v>0</v>
      </c>
      <c r="S195" s="80">
        <f t="shared" si="151"/>
        <v>0</v>
      </c>
      <c r="T195" s="78">
        <f t="shared" si="152"/>
        <v>3.266666666666667E-5</v>
      </c>
      <c r="U195" s="81">
        <f t="shared" si="153"/>
        <v>4.5436789578227481E-4</v>
      </c>
      <c r="V195" s="81">
        <f t="shared" si="154"/>
        <v>0</v>
      </c>
      <c r="W195" s="77">
        <f t="shared" si="133"/>
        <v>0.80598814427489462</v>
      </c>
      <c r="X195" s="82">
        <f t="shared" si="155"/>
        <v>2.6322964532406615E-5</v>
      </c>
      <c r="Y195" s="82">
        <f t="shared" si="156"/>
        <v>3.6620915562573776E-4</v>
      </c>
      <c r="Z195" s="82">
        <f t="shared" si="157"/>
        <v>0</v>
      </c>
      <c r="AA195" s="82">
        <f t="shared" si="158"/>
        <v>0.80559561215473652</v>
      </c>
      <c r="AC195" s="46">
        <f t="shared" si="134"/>
        <v>0</v>
      </c>
      <c r="AD195" s="15">
        <f t="shared" si="135"/>
        <v>0</v>
      </c>
      <c r="AE195" s="46">
        <f t="shared" si="159"/>
        <v>0</v>
      </c>
      <c r="AF195" s="15">
        <f t="shared" si="160"/>
        <v>0</v>
      </c>
      <c r="AG195" s="46">
        <f>SUMPRODUCT(AE196:AE$605, $I195:$I$604) / $I195</f>
        <v>0</v>
      </c>
      <c r="AI195" s="46">
        <f t="shared" si="136"/>
        <v>-47000</v>
      </c>
      <c r="AJ195" s="46">
        <f>IF(E195&gt;Mat_Year,0,  -SUM($AD$5:AD195))</f>
        <v>-9306</v>
      </c>
      <c r="AK195" s="24">
        <f t="shared" si="161"/>
        <v>-0.24496150793857596</v>
      </c>
      <c r="AL195" s="79">
        <f t="shared" si="162"/>
        <v>-17.211830314409674</v>
      </c>
      <c r="AM195" s="24">
        <f t="shared" si="163"/>
        <v>-21.658869235667495</v>
      </c>
      <c r="AN195" s="79">
        <f t="shared" si="164"/>
        <v>-17.456791822348251</v>
      </c>
      <c r="AO195" s="15">
        <f t="shared" si="165"/>
        <v>-1061.568039080596</v>
      </c>
      <c r="AP195" s="46">
        <f>SUMPRODUCT(AN196:AN$605, $I196:$I$605) / $I195</f>
        <v>-855.61125384010836</v>
      </c>
      <c r="AR195" s="46">
        <v>0</v>
      </c>
      <c r="AS195" s="46">
        <v>0</v>
      </c>
      <c r="AT195" s="46">
        <v>0</v>
      </c>
      <c r="AU195" s="95">
        <f t="shared" si="137"/>
        <v>-2.15520422852385</v>
      </c>
      <c r="AV195" s="47">
        <f t="shared" si="138"/>
        <v>0</v>
      </c>
      <c r="AW195" s="96">
        <f t="shared" si="173"/>
        <v>-2.15520422852385</v>
      </c>
      <c r="AX195" s="95">
        <f t="shared" si="139"/>
        <v>-24.713008487073473</v>
      </c>
      <c r="AY195" s="11">
        <f t="shared" si="140"/>
        <v>0</v>
      </c>
      <c r="AZ195" s="96">
        <f t="shared" si="174"/>
        <v>-24.713008487073473</v>
      </c>
      <c r="BA195" s="95">
        <f t="shared" si="175"/>
        <v>-1.7370690566813438</v>
      </c>
      <c r="BB195" s="64">
        <f t="shared" si="176"/>
        <v>-9.7006496169171653E-3</v>
      </c>
      <c r="BC195" s="95">
        <f t="shared" si="177"/>
        <v>-2.15520422852385</v>
      </c>
      <c r="BD195" s="96">
        <f t="shared" si="178"/>
        <v>-1.2035722467908424E-2</v>
      </c>
      <c r="BE195" s="96">
        <f t="shared" si="179"/>
        <v>-1.7370690566813438</v>
      </c>
      <c r="BF195" s="96">
        <f t="shared" si="180"/>
        <v>-9.7006496169171653E-3</v>
      </c>
      <c r="BG195" s="15">
        <f t="shared" si="166"/>
        <v>-111.00920958542409</v>
      </c>
      <c r="BH195" s="46">
        <f>(SUMPRODUCT(BE196:BE$605,$I195:$I$604)+SUMPRODUCT(BF196:BF$605,$I196:$I$605)) / $I195</f>
        <v>-89.472106831178806</v>
      </c>
      <c r="BJ195" s="46">
        <f t="shared" si="181"/>
        <v>-1.7370690566813438</v>
      </c>
      <c r="BK195" s="46">
        <f t="shared" si="182"/>
        <v>-17.466492471965168</v>
      </c>
      <c r="BM195" s="49">
        <f t="shared" si="167"/>
        <v>1173.1485951660798</v>
      </c>
      <c r="BN195" s="46">
        <f t="shared" si="183"/>
        <v>945.08336067128721</v>
      </c>
      <c r="BP195" s="46">
        <f>Reserve!BX195</f>
        <v>1552.7456968068955</v>
      </c>
      <c r="BQ195" s="46">
        <f t="shared" si="141"/>
        <v>1250.8851201397838</v>
      </c>
      <c r="BR195" s="15">
        <f t="shared" si="168"/>
        <v>21.540677874382482</v>
      </c>
      <c r="BT195" s="49">
        <f t="shared" si="169"/>
        <v>5.2487869412721926</v>
      </c>
      <c r="BU195" s="46">
        <f t="shared" si="142"/>
        <v>4.2304600464902746</v>
      </c>
      <c r="BV195" s="46">
        <f>SUMPRODUCT(BU196:BU$605, $I196:$I$605) / $I195</f>
        <v>111.11788395457864</v>
      </c>
      <c r="BX195" s="46">
        <f>-BZ195*Others!$Q$43</f>
        <v>-1.6812995564099189</v>
      </c>
      <c r="BZ195" s="50">
        <f t="shared" si="127"/>
        <v>6.567576392226246</v>
      </c>
      <c r="CA195" s="46">
        <f t="shared" si="170"/>
        <v>4.8862768358163269</v>
      </c>
      <c r="CB195" s="46">
        <f t="shared" si="143"/>
        <v>4.8862768358163269</v>
      </c>
      <c r="CD195" s="46">
        <f>SUMPRODUCT(BZ196:BZ$605, $I196:$I$605) / $I195</f>
        <v>305.80175946849636</v>
      </c>
      <c r="CE195" s="46">
        <f>SUMPRODUCT(CA196:CA$605, $I196:$I$605) / $I195</f>
        <v>227.51650904456133</v>
      </c>
      <c r="CF195" s="46">
        <f>SUMPRODUCT(CB196:CB$605, $I196:$I$605) / $I195</f>
        <v>227.51650904456133</v>
      </c>
      <c r="CH195" s="46">
        <f t="shared" si="144"/>
        <v>45447.254303193105</v>
      </c>
      <c r="CI195" s="46">
        <f t="shared" si="145"/>
        <v>7753.2543031931045</v>
      </c>
      <c r="CK195" s="46">
        <f>NPV((1+CK$3)^(1/12)-1,$CB$6:$CB195)+$CB$5</f>
        <v>1263.9242756871963</v>
      </c>
      <c r="CL195" s="46">
        <f>NPV((1+CL$3)^(1/12)-1,$CB$6:$CB195)+$CB$5</f>
        <v>954.16088064247378</v>
      </c>
      <c r="CM195" s="46">
        <f>NPV((1+CM$3)^(1/12)-1,$CB$6:$CB195)+$CB$5</f>
        <v>418.00430139691503</v>
      </c>
      <c r="CN195" s="46">
        <f>NPV((1+CN$3)^(1/12)-1,$CB$6:$CB195)+$CB$5</f>
        <v>418.00430139691503</v>
      </c>
    </row>
    <row r="196" spans="1:92" x14ac:dyDescent="0.25">
      <c r="A196" s="61">
        <f t="shared" si="128"/>
        <v>15.91666666666671</v>
      </c>
      <c r="B196" s="32">
        <f t="shared" si="146"/>
        <v>11</v>
      </c>
      <c r="C196" s="62">
        <f t="shared" si="147"/>
        <v>16</v>
      </c>
      <c r="D196" s="64">
        <f t="shared" si="148"/>
        <v>16.41666666666671</v>
      </c>
      <c r="E196" s="28">
        <f t="shared" si="129"/>
        <v>16</v>
      </c>
      <c r="G196" s="68">
        <f>INDEX(Others!$D$11:$E$60, MATCH(C196, Others!$A$11:$A$60, 0), MATCH(G$3, Others!$D$10:$E$10, 0))</f>
        <v>4.0690909090909111E-2</v>
      </c>
      <c r="H196" s="16">
        <f t="shared" si="171"/>
        <v>3.329265421250005E-3</v>
      </c>
      <c r="I196" s="69">
        <f t="shared" si="172"/>
        <v>0.53002372132381792</v>
      </c>
      <c r="K196" s="80">
        <f>INDEX(Mortality!$B$7:$F$32, MATCH( E196,Mortality!$A$7:$A$32, 0), MATCH( K$3,Mortality!$B$6:$F$6,0))</f>
        <v>0.39200000000000002</v>
      </c>
      <c r="L196" s="11">
        <f t="shared" si="130"/>
        <v>0</v>
      </c>
      <c r="M196" s="80">
        <f t="shared" si="149"/>
        <v>0.39200000000000002</v>
      </c>
      <c r="N196" s="76">
        <f>INDEX(Myopia!$H:$H, MATCH(E196, Myopia!$A:$A, 0)) * Trend_Factor^(A196)</f>
        <v>5.4524147493872981</v>
      </c>
      <c r="O196" s="11">
        <f t="shared" si="131"/>
        <v>0</v>
      </c>
      <c r="P196" s="80">
        <f t="shared" si="150"/>
        <v>5.4524147493872981</v>
      </c>
      <c r="Q196" s="76">
        <f>VLOOKUP(C196,Others!$L$10:$M$61,2)</f>
        <v>0</v>
      </c>
      <c r="R196" s="11">
        <f t="shared" si="132"/>
        <v>0</v>
      </c>
      <c r="S196" s="80">
        <f t="shared" si="151"/>
        <v>0</v>
      </c>
      <c r="T196" s="78">
        <f t="shared" si="152"/>
        <v>3.266666666666667E-5</v>
      </c>
      <c r="U196" s="81">
        <f t="shared" si="153"/>
        <v>4.5436789578227481E-4</v>
      </c>
      <c r="V196" s="81">
        <f t="shared" si="154"/>
        <v>0</v>
      </c>
      <c r="W196" s="77">
        <f t="shared" si="133"/>
        <v>0.80559561215473652</v>
      </c>
      <c r="X196" s="82">
        <f t="shared" si="155"/>
        <v>2.6310144729596675E-5</v>
      </c>
      <c r="Y196" s="82">
        <f t="shared" si="156"/>
        <v>3.6603080454538983E-4</v>
      </c>
      <c r="Z196" s="82">
        <f t="shared" si="157"/>
        <v>0</v>
      </c>
      <c r="AA196" s="82">
        <f t="shared" si="158"/>
        <v>0.80520327120546153</v>
      </c>
      <c r="AC196" s="46">
        <f t="shared" si="134"/>
        <v>0</v>
      </c>
      <c r="AD196" s="15">
        <f t="shared" si="135"/>
        <v>0</v>
      </c>
      <c r="AE196" s="46">
        <f t="shared" si="159"/>
        <v>0</v>
      </c>
      <c r="AF196" s="15">
        <f t="shared" si="160"/>
        <v>0</v>
      </c>
      <c r="AG196" s="46">
        <f>SUMPRODUCT(AE197:AE$605, $I196:$I$604) / $I196</f>
        <v>0</v>
      </c>
      <c r="AI196" s="46">
        <f t="shared" si="136"/>
        <v>-47000</v>
      </c>
      <c r="AJ196" s="46">
        <f>IF(E196&gt;Mat_Year,0,  -SUM($AD$5:AD196))</f>
        <v>-9306</v>
      </c>
      <c r="AK196" s="24">
        <f t="shared" si="161"/>
        <v>-0.24484220685362665</v>
      </c>
      <c r="AL196" s="79">
        <f t="shared" si="162"/>
        <v>-17.203447813633321</v>
      </c>
      <c r="AM196" s="24">
        <f t="shared" si="163"/>
        <v>-21.658869235667495</v>
      </c>
      <c r="AN196" s="79">
        <f t="shared" si="164"/>
        <v>-17.448290020486947</v>
      </c>
      <c r="AO196" s="15">
        <f t="shared" si="165"/>
        <v>-1043.9623901768778</v>
      </c>
      <c r="AP196" s="46">
        <f>SUMPRODUCT(AN197:AN$605, $I197:$I$605) / $I196</f>
        <v>-841.01152078106372</v>
      </c>
      <c r="AR196" s="46">
        <v>0</v>
      </c>
      <c r="AS196" s="46">
        <v>0</v>
      </c>
      <c r="AT196" s="46">
        <v>0</v>
      </c>
      <c r="AU196" s="95">
        <f t="shared" si="137"/>
        <v>-2.1576139591729384</v>
      </c>
      <c r="AV196" s="47">
        <f t="shared" si="138"/>
        <v>0</v>
      </c>
      <c r="AW196" s="96">
        <f t="shared" si="173"/>
        <v>-2.1576139591729384</v>
      </c>
      <c r="AX196" s="95">
        <f t="shared" si="139"/>
        <v>-24.740640065183023</v>
      </c>
      <c r="AY196" s="11">
        <f t="shared" si="140"/>
        <v>0</v>
      </c>
      <c r="AZ196" s="96">
        <f t="shared" si="174"/>
        <v>-24.740640065183023</v>
      </c>
      <c r="BA196" s="95">
        <f t="shared" si="175"/>
        <v>-1.7381643382335279</v>
      </c>
      <c r="BB196" s="64">
        <f t="shared" si="176"/>
        <v>-9.7067662088446711E-3</v>
      </c>
      <c r="BC196" s="95">
        <f t="shared" si="177"/>
        <v>-2.1576139591729384</v>
      </c>
      <c r="BD196" s="96">
        <f t="shared" si="178"/>
        <v>-1.2049179591335986E-2</v>
      </c>
      <c r="BE196" s="96">
        <f t="shared" si="179"/>
        <v>-1.7381643382335279</v>
      </c>
      <c r="BF196" s="96">
        <f t="shared" si="180"/>
        <v>-9.7067662088446711E-3</v>
      </c>
      <c r="BG196" s="15">
        <f t="shared" si="166"/>
        <v>-109.25621239709808</v>
      </c>
      <c r="BH196" s="46">
        <f>(SUMPRODUCT(BE197:BE$605,$I196:$I$604)+SUMPRODUCT(BF197:BF$605,$I197:$I$605)) / $I196</f>
        <v>-88.016325307748147</v>
      </c>
      <c r="BJ196" s="46">
        <f t="shared" si="181"/>
        <v>-1.7381643382335279</v>
      </c>
      <c r="BK196" s="46">
        <f t="shared" si="182"/>
        <v>-17.457996786695791</v>
      </c>
      <c r="BM196" s="49">
        <f t="shared" si="167"/>
        <v>1153.7805164377608</v>
      </c>
      <c r="BN196" s="46">
        <f t="shared" si="183"/>
        <v>929.02784608881177</v>
      </c>
      <c r="BP196" s="46">
        <f>Reserve!BX196</f>
        <v>1526.6891925361788</v>
      </c>
      <c r="BQ196" s="46">
        <f t="shared" si="141"/>
        <v>1229.2951319441559</v>
      </c>
      <c r="BR196" s="15">
        <f t="shared" si="168"/>
        <v>21.589988195627939</v>
      </c>
      <c r="BT196" s="49">
        <f t="shared" si="169"/>
        <v>5.1623192868272607</v>
      </c>
      <c r="BU196" s="46">
        <f t="shared" si="142"/>
        <v>4.1587417660098103</v>
      </c>
      <c r="BV196" s="46">
        <f>SUMPRODUCT(BU197:BU$605, $I197:$I$605) / $I196</f>
        <v>107.32908311730128</v>
      </c>
      <c r="BX196" s="46">
        <f>-BZ196*Others!$Q$43</f>
        <v>-1.6774576221973583</v>
      </c>
      <c r="BZ196" s="50">
        <f t="shared" si="127"/>
        <v>6.5525688367084305</v>
      </c>
      <c r="CA196" s="46">
        <f t="shared" si="170"/>
        <v>4.8751112145110724</v>
      </c>
      <c r="CB196" s="46">
        <f t="shared" si="143"/>
        <v>4.8751112145110724</v>
      </c>
      <c r="CD196" s="46">
        <f>SUMPRODUCT(BZ197:BZ$605, $I197:$I$605) / $I196</f>
        <v>300.26728585534386</v>
      </c>
      <c r="CE196" s="46">
        <f>SUMPRODUCT(CA197:CA$605, $I197:$I$605) / $I196</f>
        <v>223.3988606763759</v>
      </c>
      <c r="CF196" s="46">
        <f>SUMPRODUCT(CB197:CB$605, $I197:$I$605) / $I196</f>
        <v>223.3988606763759</v>
      </c>
      <c r="CH196" s="46">
        <f t="shared" si="144"/>
        <v>45473.310807463822</v>
      </c>
      <c r="CI196" s="46">
        <f t="shared" si="145"/>
        <v>7779.3108074638212</v>
      </c>
      <c r="CK196" s="46">
        <f>NPV((1+CK$3)^(1/12)-1,$CB$6:$CB196)+$CB$5</f>
        <v>1266.9697763687293</v>
      </c>
      <c r="CL196" s="46">
        <f>NPV((1+CL$3)^(1/12)-1,$CB$6:$CB196)+$CB$5</f>
        <v>956.40332418325761</v>
      </c>
      <c r="CM196" s="46">
        <f>NPV((1+CM$3)^(1/12)-1,$CB$6:$CB196)+$CB$5</f>
        <v>419.07372793120203</v>
      </c>
      <c r="CN196" s="46">
        <f>NPV((1+CN$3)^(1/12)-1,$CB$6:$CB196)+$CB$5</f>
        <v>419.07372793120203</v>
      </c>
    </row>
    <row r="197" spans="1:92" x14ac:dyDescent="0.25">
      <c r="A197" s="61">
        <f t="shared" si="128"/>
        <v>16.000000000000043</v>
      </c>
      <c r="B197" s="32">
        <f t="shared" si="146"/>
        <v>12</v>
      </c>
      <c r="C197" s="62">
        <f t="shared" si="147"/>
        <v>16</v>
      </c>
      <c r="D197" s="64">
        <f t="shared" si="148"/>
        <v>16.500000000000043</v>
      </c>
      <c r="E197" s="28">
        <f t="shared" si="129"/>
        <v>16</v>
      </c>
      <c r="G197" s="68">
        <f>INDEX(Others!$D$11:$E$60, MATCH(C197, Others!$A$11:$A$60, 0), MATCH(G$3, Others!$D$10:$E$10, 0))</f>
        <v>4.0690909090909111E-2</v>
      </c>
      <c r="H197" s="16">
        <f t="shared" si="171"/>
        <v>3.329265421250005E-3</v>
      </c>
      <c r="I197" s="69">
        <f t="shared" si="172"/>
        <v>0.52826498696944346</v>
      </c>
      <c r="K197" s="80">
        <f>INDEX(Mortality!$B$7:$F$32, MATCH( E197,Mortality!$A$7:$A$32, 0), MATCH( K$3,Mortality!$B$6:$F$6,0))</f>
        <v>0.39200000000000002</v>
      </c>
      <c r="L197" s="11">
        <f t="shared" si="130"/>
        <v>0</v>
      </c>
      <c r="M197" s="80">
        <f t="shared" si="149"/>
        <v>0.39200000000000002</v>
      </c>
      <c r="N197" s="76">
        <f>INDEX(Myopia!$H:$H, MATCH(E197, Myopia!$A:$A, 0)) * Trend_Factor^(A197)</f>
        <v>5.4524147493872981</v>
      </c>
      <c r="O197" s="11">
        <f t="shared" si="131"/>
        <v>0</v>
      </c>
      <c r="P197" s="80">
        <f t="shared" si="150"/>
        <v>5.4524147493872981</v>
      </c>
      <c r="Q197" s="76">
        <f>VLOOKUP(C197,Others!$L$10:$M$61,2)</f>
        <v>0</v>
      </c>
      <c r="R197" s="11">
        <f t="shared" si="132"/>
        <v>0</v>
      </c>
      <c r="S197" s="80">
        <f t="shared" si="151"/>
        <v>0</v>
      </c>
      <c r="T197" s="78">
        <f t="shared" si="152"/>
        <v>3.266666666666667E-5</v>
      </c>
      <c r="U197" s="81">
        <f t="shared" si="153"/>
        <v>4.5436789578227481E-4</v>
      </c>
      <c r="V197" s="81">
        <f t="shared" si="154"/>
        <v>0</v>
      </c>
      <c r="W197" s="77">
        <f t="shared" si="133"/>
        <v>0.80520327120546153</v>
      </c>
      <c r="X197" s="82">
        <f t="shared" si="155"/>
        <v>2.629733117028351E-5</v>
      </c>
      <c r="Y197" s="82">
        <f t="shared" si="156"/>
        <v>3.6585254032553503E-4</v>
      </c>
      <c r="Z197" s="82">
        <f t="shared" si="157"/>
        <v>0</v>
      </c>
      <c r="AA197" s="82">
        <f t="shared" si="158"/>
        <v>0.80481112133396571</v>
      </c>
      <c r="AC197" s="46">
        <f t="shared" si="134"/>
        <v>0</v>
      </c>
      <c r="AD197" s="15">
        <f t="shared" si="135"/>
        <v>0</v>
      </c>
      <c r="AE197" s="46">
        <f t="shared" si="159"/>
        <v>0</v>
      </c>
      <c r="AF197" s="15">
        <f t="shared" si="160"/>
        <v>0</v>
      </c>
      <c r="AG197" s="46">
        <f>SUMPRODUCT(AE198:AE$605, $I197:$I$604) / $I197</f>
        <v>0</v>
      </c>
      <c r="AI197" s="46">
        <f t="shared" si="136"/>
        <v>-47000</v>
      </c>
      <c r="AJ197" s="46">
        <f>IF(E197&gt;Mat_Year,0,  -SUM($AD$5:AD197))</f>
        <v>-9306</v>
      </c>
      <c r="AK197" s="24">
        <f t="shared" si="161"/>
        <v>-0.24472296387065834</v>
      </c>
      <c r="AL197" s="79">
        <f t="shared" si="162"/>
        <v>-17.195069395300145</v>
      </c>
      <c r="AM197" s="24">
        <f t="shared" si="163"/>
        <v>-21.658869235667495</v>
      </c>
      <c r="AN197" s="79">
        <f t="shared" si="164"/>
        <v>-17.439792359170802</v>
      </c>
      <c r="AO197" s="15">
        <f t="shared" si="165"/>
        <v>-1026.2895203589394</v>
      </c>
      <c r="AP197" s="46">
        <f>SUMPRODUCT(AN198:AN$605, $I198:$I$605) / $I197</f>
        <v>-826.37167899690212</v>
      </c>
      <c r="AR197" s="46">
        <v>0</v>
      </c>
      <c r="AS197" s="46">
        <v>0</v>
      </c>
      <c r="AT197" s="46">
        <v>0</v>
      </c>
      <c r="AU197" s="95">
        <f t="shared" si="137"/>
        <v>-2.1600263841382885</v>
      </c>
      <c r="AV197" s="47">
        <f t="shared" si="138"/>
        <v>0</v>
      </c>
      <c r="AW197" s="96">
        <f t="shared" si="173"/>
        <v>-2.1600263841382885</v>
      </c>
      <c r="AX197" s="95">
        <f t="shared" si="139"/>
        <v>-24.768302538119041</v>
      </c>
      <c r="AY197" s="11">
        <f t="shared" si="140"/>
        <v>0</v>
      </c>
      <c r="AZ197" s="96">
        <f t="shared" si="174"/>
        <v>-24.768302538119041</v>
      </c>
      <c r="BA197" s="95">
        <f t="shared" si="175"/>
        <v>-1.7392603103982547</v>
      </c>
      <c r="BB197" s="64">
        <f t="shared" si="176"/>
        <v>-9.712886657492939E-3</v>
      </c>
      <c r="BC197" s="95">
        <f t="shared" si="177"/>
        <v>-2.1600263841382885</v>
      </c>
      <c r="BD197" s="96">
        <f t="shared" si="178"/>
        <v>-1.2062651761153275E-2</v>
      </c>
      <c r="BE197" s="96">
        <f t="shared" si="179"/>
        <v>-1.7392603103982547</v>
      </c>
      <c r="BF197" s="96">
        <f t="shared" si="180"/>
        <v>-9.712886657492939E-3</v>
      </c>
      <c r="BG197" s="15">
        <f t="shared" si="166"/>
        <v>-107.49408808319298</v>
      </c>
      <c r="BH197" s="46">
        <f>(SUMPRODUCT(BE198:BE$605,$I197:$I$604)+SUMPRODUCT(BF198:BF$605,$I198:$I$605)) / $I197</f>
        <v>-86.554591359835001</v>
      </c>
      <c r="BJ197" s="46">
        <f t="shared" si="181"/>
        <v>-1.7392603103982547</v>
      </c>
      <c r="BK197" s="46">
        <f t="shared" si="182"/>
        <v>-17.449505245828295</v>
      </c>
      <c r="BM197" s="49">
        <f t="shared" si="167"/>
        <v>1134.336052468524</v>
      </c>
      <c r="BN197" s="46">
        <f t="shared" si="183"/>
        <v>912.92627035673706</v>
      </c>
      <c r="BP197" s="46">
        <f>Reserve!BX197</f>
        <v>1500.5454828320369</v>
      </c>
      <c r="BQ197" s="46">
        <f t="shared" si="141"/>
        <v>1207.6556926506687</v>
      </c>
      <c r="BR197" s="15">
        <f t="shared" si="168"/>
        <v>21.639439293487158</v>
      </c>
      <c r="BT197" s="49">
        <f t="shared" si="169"/>
        <v>5.0755622365570918</v>
      </c>
      <c r="BU197" s="46">
        <f t="shared" si="142"/>
        <v>4.0868593160826787</v>
      </c>
      <c r="BV197" s="46">
        <f>SUMPRODUCT(BU198:BU$605, $I198:$I$605) / $I197</f>
        <v>103.5995508063355</v>
      </c>
      <c r="BX197" s="46">
        <f>-BZ197*Others!$Q$43</f>
        <v>-1.6736084616558815</v>
      </c>
      <c r="BZ197" s="50">
        <f t="shared" ref="BZ197:BZ260" si="184">SUM(BJ197,BK197,BR197,BU197)</f>
        <v>6.5375330533432869</v>
      </c>
      <c r="CA197" s="46">
        <f t="shared" si="170"/>
        <v>4.8639245916874057</v>
      </c>
      <c r="CB197" s="46">
        <f t="shared" si="143"/>
        <v>4.8639245916874057</v>
      </c>
      <c r="CD197" s="46">
        <f>SUMPRODUCT(BZ198:BZ$605, $I198:$I$605) / $I197</f>
        <v>294.72942229393135</v>
      </c>
      <c r="CE197" s="46">
        <f>SUMPRODUCT(CA198:CA$605, $I198:$I$605) / $I197</f>
        <v>219.278690186685</v>
      </c>
      <c r="CF197" s="46">
        <f>SUMPRODUCT(CB198:CB$605, $I198:$I$605) / $I197</f>
        <v>219.278690186685</v>
      </c>
      <c r="CH197" s="46">
        <f t="shared" si="144"/>
        <v>45499.454517167964</v>
      </c>
      <c r="CI197" s="46">
        <f t="shared" si="145"/>
        <v>7805.4545171679629</v>
      </c>
      <c r="CK197" s="46">
        <f>NPV((1+CK$3)^(1/12)-1,$CB$6:$CB197)+$CB$5</f>
        <v>1270.0008133691288</v>
      </c>
      <c r="CL197" s="46">
        <f>NPV((1+CL$3)^(1/12)-1,$CB$6:$CB197)+$CB$5</f>
        <v>958.63154408080686</v>
      </c>
      <c r="CM197" s="46">
        <f>NPV((1+CM$3)^(1/12)-1,$CB$6:$CB197)+$CB$5</f>
        <v>420.13225963663945</v>
      </c>
      <c r="CN197" s="46">
        <f>NPV((1+CN$3)^(1/12)-1,$CB$6:$CB197)+$CB$5</f>
        <v>420.13225963663945</v>
      </c>
    </row>
    <row r="198" spans="1:92" x14ac:dyDescent="0.25">
      <c r="A198" s="61">
        <f t="shared" ref="A198:A261" si="185">A197+1/12</f>
        <v>16.083333333333375</v>
      </c>
      <c r="B198" s="32">
        <f t="shared" si="146"/>
        <v>1</v>
      </c>
      <c r="C198" s="62">
        <f t="shared" si="147"/>
        <v>17</v>
      </c>
      <c r="D198" s="64">
        <f t="shared" si="148"/>
        <v>16.583333333333375</v>
      </c>
      <c r="E198" s="28">
        <f t="shared" ref="E198:E261" si="186">INT(D198+0.001)</f>
        <v>16</v>
      </c>
      <c r="G198" s="68">
        <f>INDEX(Others!$D$11:$E$60, MATCH(C198, Others!$A$11:$A$60, 0), MATCH(G$3, Others!$D$10:$E$10, 0))</f>
        <v>4.0690909090909111E-2</v>
      </c>
      <c r="H198" s="16">
        <f t="shared" si="171"/>
        <v>3.329265421250005E-3</v>
      </c>
      <c r="I198" s="69">
        <f t="shared" si="172"/>
        <v>0.5265120884793989</v>
      </c>
      <c r="K198" s="80">
        <f>INDEX(Mortality!$B$7:$F$32, MATCH( E198,Mortality!$A$7:$A$32, 0), MATCH( K$3,Mortality!$B$6:$F$6,0))</f>
        <v>0.39200000000000002</v>
      </c>
      <c r="L198" s="11">
        <f t="shared" ref="L198:L261" si="187">PAD_Mort</f>
        <v>0</v>
      </c>
      <c r="M198" s="80">
        <f t="shared" si="149"/>
        <v>0.39200000000000002</v>
      </c>
      <c r="N198" s="76">
        <f>INDEX(Myopia!$H:$H, MATCH(E198, Myopia!$A:$A, 0)) * Trend_Factor^(A198)</f>
        <v>5.4524147493872981</v>
      </c>
      <c r="O198" s="11">
        <f t="shared" ref="O198:O261" si="188">PAD_Incid</f>
        <v>0</v>
      </c>
      <c r="P198" s="80">
        <f t="shared" si="150"/>
        <v>5.4524147493872981</v>
      </c>
      <c r="Q198" s="76">
        <f>VLOOKUP(C198,Others!$L$10:$M$61,2)</f>
        <v>0</v>
      </c>
      <c r="R198" s="11">
        <f t="shared" ref="R198:R261" si="189">PAD_Laspe</f>
        <v>0</v>
      </c>
      <c r="S198" s="80">
        <f t="shared" si="151"/>
        <v>0</v>
      </c>
      <c r="T198" s="78">
        <f t="shared" si="152"/>
        <v>3.266666666666667E-5</v>
      </c>
      <c r="U198" s="81">
        <f t="shared" si="153"/>
        <v>4.5436789578227481E-4</v>
      </c>
      <c r="V198" s="81">
        <f t="shared" si="154"/>
        <v>0</v>
      </c>
      <c r="W198" s="77">
        <f t="shared" ref="W198:W261" si="190">IF(E198&gt;Mat_Year, 0, AA197)</f>
        <v>0.80481112133396571</v>
      </c>
      <c r="X198" s="82">
        <f t="shared" si="155"/>
        <v>2.6284523851426404E-5</v>
      </c>
      <c r="Y198" s="82">
        <f t="shared" si="156"/>
        <v>3.6567436292387061E-4</v>
      </c>
      <c r="Z198" s="82">
        <f t="shared" si="157"/>
        <v>0</v>
      </c>
      <c r="AA198" s="82">
        <f t="shared" si="158"/>
        <v>0.80441916244719036</v>
      </c>
      <c r="AC198" s="46">
        <f t="shared" ref="AC198:AC261" si="191">IF(C198&gt;Prem_Term,0,Ann_Prem)</f>
        <v>0</v>
      </c>
      <c r="AD198" s="15">
        <f t="shared" ref="AD198:AD261" si="192">IF(Prem_Mode="Mth",AC198/12,
IF(B198=1, AC198, 0))</f>
        <v>0</v>
      </c>
      <c r="AE198" s="46">
        <f t="shared" si="159"/>
        <v>0</v>
      </c>
      <c r="AF198" s="15">
        <f t="shared" si="160"/>
        <v>0</v>
      </c>
      <c r="AG198" s="46">
        <f>SUMPRODUCT(AE199:AE$605, $I198:$I$604) / $I198</f>
        <v>0</v>
      </c>
      <c r="AI198" s="46">
        <f t="shared" ref="AI198:AI261" si="193">IF(E198&gt;Mat_Year,0, -Sum_Assured)</f>
        <v>-47000</v>
      </c>
      <c r="AJ198" s="46">
        <f>IF(E198&gt;Mat_Year,0,  -SUM($AD$5:AD198))</f>
        <v>-9306</v>
      </c>
      <c r="AK198" s="24">
        <f t="shared" si="161"/>
        <v>-0.24460377896137411</v>
      </c>
      <c r="AL198" s="79">
        <f t="shared" si="162"/>
        <v>-17.186695057421918</v>
      </c>
      <c r="AM198" s="24">
        <f t="shared" si="163"/>
        <v>-21.658869235667499</v>
      </c>
      <c r="AN198" s="79">
        <f t="shared" si="164"/>
        <v>-17.431298836383291</v>
      </c>
      <c r="AO198" s="15">
        <f t="shared" si="165"/>
        <v>-1008.5491729676069</v>
      </c>
      <c r="AP198" s="46">
        <f>SUMPRODUCT(AN199:AN$605, $I199:$I$605) / $I198</f>
        <v>-811.69159081650344</v>
      </c>
      <c r="AR198" s="46">
        <v>0</v>
      </c>
      <c r="AS198" s="46">
        <v>0</v>
      </c>
      <c r="AT198" s="46">
        <v>0</v>
      </c>
      <c r="AU198" s="95">
        <f t="shared" ref="AU198:AU261" si="194">IF(E198&gt;Mat_Year,0,
-Exp_Main/12 * (1+Exp_Main_Infl)^(A197))</f>
        <v>-2.1624415064324123</v>
      </c>
      <c r="AV198" s="47">
        <f t="shared" ref="AV198:AV261" si="195">PAD_Exp_Main</f>
        <v>0</v>
      </c>
      <c r="AW198" s="96">
        <f t="shared" si="173"/>
        <v>-2.1624415064324123</v>
      </c>
      <c r="AX198" s="95">
        <f t="shared" ref="AX198:AX261" si="196">IF(E198&gt;Mat_Year,0,
-Exp_Claim* (1+Exp_Main_Infl)^(A197))</f>
        <v>-24.795995940424991</v>
      </c>
      <c r="AY198" s="11">
        <f t="shared" ref="AY198:AY261" si="197">PAD_Exp_Claim</f>
        <v>0</v>
      </c>
      <c r="AZ198" s="96">
        <f t="shared" si="174"/>
        <v>-24.795995940424991</v>
      </c>
      <c r="BA198" s="95">
        <f t="shared" si="175"/>
        <v>-1.7403569736109799</v>
      </c>
      <c r="BB198" s="64">
        <f t="shared" si="176"/>
        <v>-9.7190109652937635E-3</v>
      </c>
      <c r="BC198" s="95">
        <f t="shared" si="177"/>
        <v>-2.1624415064324123</v>
      </c>
      <c r="BD198" s="96">
        <f t="shared" si="178"/>
        <v>-1.207613899418364E-2</v>
      </c>
      <c r="BE198" s="96">
        <f t="shared" si="179"/>
        <v>-1.7403569736109799</v>
      </c>
      <c r="BF198" s="96">
        <f t="shared" si="180"/>
        <v>-9.7190109652937635E-3</v>
      </c>
      <c r="BG198" s="15">
        <f t="shared" si="166"/>
        <v>-105.72279907365095</v>
      </c>
      <c r="BH198" s="46">
        <f>(SUMPRODUCT(BE199:BE$605,$I198:$I$604)+SUMPRODUCT(BF199:BF$605,$I199:$I$605)) / $I198</f>
        <v>-85.086884473030565</v>
      </c>
      <c r="BJ198" s="46">
        <f t="shared" si="181"/>
        <v>-1.7403569736109799</v>
      </c>
      <c r="BK198" s="46">
        <f t="shared" si="182"/>
        <v>-17.441017847348586</v>
      </c>
      <c r="BM198" s="49">
        <f t="shared" si="167"/>
        <v>1114.8149088857724</v>
      </c>
      <c r="BN198" s="46">
        <f t="shared" si="183"/>
        <v>896.77847528953396</v>
      </c>
      <c r="BP198" s="46">
        <f>Reserve!BX198</f>
        <v>1474.3142834856005</v>
      </c>
      <c r="BQ198" s="46">
        <f t="shared" ref="BQ198:BQ261" si="198">BP198*AA198</f>
        <v>1185.9666611054163</v>
      </c>
      <c r="BR198" s="15">
        <f t="shared" si="168"/>
        <v>21.689031545252419</v>
      </c>
      <c r="BT198" s="49">
        <f t="shared" si="169"/>
        <v>4.9885148472727527</v>
      </c>
      <c r="BU198" s="46">
        <f t="shared" ref="BU198:BU261" si="199">SUM(BJ198,BQ197)*H198</f>
        <v>4.0148122280247209</v>
      </c>
      <c r="BV198" s="46">
        <f>SUMPRODUCT(BU199:BU$605, $I199:$I$605) / $I198</f>
        <v>99.929648980467334</v>
      </c>
      <c r="BX198" s="46">
        <f>-BZ198*Others!$Q$43</f>
        <v>-1.6697520517932993</v>
      </c>
      <c r="BZ198" s="50">
        <f t="shared" si="184"/>
        <v>6.522468952317575</v>
      </c>
      <c r="CA198" s="46">
        <f t="shared" si="170"/>
        <v>4.8527169005242756</v>
      </c>
      <c r="CB198" s="46">
        <f t="shared" ref="CB198:CB261" si="200">CA198</f>
        <v>4.8527169005242756</v>
      </c>
      <c r="CD198" s="46">
        <f>SUMPRODUCT(BZ199:BZ$605, $I199:$I$605) / $I198</f>
        <v>289.18818581588204</v>
      </c>
      <c r="CE198" s="46">
        <f>SUMPRODUCT(CA199:CA$605, $I199:$I$605) / $I198</f>
        <v>215.15601024701624</v>
      </c>
      <c r="CF198" s="46">
        <f>SUMPRODUCT(CB199:CB$605, $I199:$I$605) / $I198</f>
        <v>215.15601024701624</v>
      </c>
      <c r="CH198" s="46">
        <f t="shared" ref="CH198:CH261" si="201">IF(E199&gt;Mat_Year, 0, MAX(0, -AI198-$BP198))</f>
        <v>45525.685716514403</v>
      </c>
      <c r="CI198" s="46">
        <f t="shared" ref="CI198:CI261" si="202">IF(E199&gt;Mat_Year, 0, MAX(0, -AJ198-$BP198))</f>
        <v>7831.6857165143992</v>
      </c>
      <c r="CK198" s="46">
        <f>NPV((1+CK$3)^(1/12)-1,$CB$6:$CB198)+$CB$5</f>
        <v>1273.0174263255808</v>
      </c>
      <c r="CL198" s="46">
        <f>NPV((1+CL$3)^(1/12)-1,$CB$6:$CB198)+$CB$5</f>
        <v>960.84560923041499</v>
      </c>
      <c r="CM198" s="46">
        <f>NPV((1+CM$3)^(1/12)-1,$CB$6:$CB198)+$CB$5</f>
        <v>421.1799974137673</v>
      </c>
      <c r="CN198" s="46">
        <f>NPV((1+CN$3)^(1/12)-1,$CB$6:$CB198)+$CB$5</f>
        <v>421.1799974137673</v>
      </c>
    </row>
    <row r="199" spans="1:92" x14ac:dyDescent="0.25">
      <c r="A199" s="61">
        <f t="shared" si="185"/>
        <v>16.166666666666707</v>
      </c>
      <c r="B199" s="32">
        <f t="shared" ref="B199:B262" si="203">IF(B198=12,1,B198+1)</f>
        <v>2</v>
      </c>
      <c r="C199" s="62">
        <f t="shared" ref="C199:C262" si="204">IF(B198=12,C198+1,C198)</f>
        <v>17</v>
      </c>
      <c r="D199" s="64">
        <f t="shared" ref="D199:D262" si="205">$D$5+A199</f>
        <v>16.666666666666707</v>
      </c>
      <c r="E199" s="28">
        <f t="shared" si="186"/>
        <v>16</v>
      </c>
      <c r="G199" s="68">
        <f>INDEX(Others!$D$11:$E$60, MATCH(C199, Others!$A$11:$A$60, 0), MATCH(G$3, Others!$D$10:$E$10, 0))</f>
        <v>4.0690909090909111E-2</v>
      </c>
      <c r="H199" s="16">
        <f t="shared" si="171"/>
        <v>3.329265421250005E-3</v>
      </c>
      <c r="I199" s="69">
        <f t="shared" si="172"/>
        <v>0.52476500648901303</v>
      </c>
      <c r="K199" s="80">
        <f>INDEX(Mortality!$B$7:$F$32, MATCH( E199,Mortality!$A$7:$A$32, 0), MATCH( K$3,Mortality!$B$6:$F$6,0))</f>
        <v>0.39200000000000002</v>
      </c>
      <c r="L199" s="11">
        <f t="shared" si="187"/>
        <v>0</v>
      </c>
      <c r="M199" s="80">
        <f t="shared" ref="M199:M262" si="206">IFERROR( K199*(1+L199), 0)</f>
        <v>0.39200000000000002</v>
      </c>
      <c r="N199" s="76">
        <f>INDEX(Myopia!$H:$H, MATCH(E199, Myopia!$A:$A, 0)) * Trend_Factor^(A199)</f>
        <v>5.4524147493872981</v>
      </c>
      <c r="O199" s="11">
        <f t="shared" si="188"/>
        <v>0</v>
      </c>
      <c r="P199" s="80">
        <f t="shared" ref="P199:P262" si="207">IFERROR( N199*(1+O199), 0)</f>
        <v>5.4524147493872981</v>
      </c>
      <c r="Q199" s="76">
        <f>VLOOKUP(C199,Others!$L$10:$M$61,2)</f>
        <v>0</v>
      </c>
      <c r="R199" s="11">
        <f t="shared" si="189"/>
        <v>0</v>
      </c>
      <c r="S199" s="80">
        <f t="shared" ref="S199:S262" si="208">IFERROR( Q199*(1+R199), 0)</f>
        <v>0</v>
      </c>
      <c r="T199" s="78">
        <f t="shared" ref="T199:T262" si="209">(M199/1000)/12</f>
        <v>3.266666666666667E-5</v>
      </c>
      <c r="U199" s="81">
        <f t="shared" ref="U199:U262" si="210">(P199/1000)/12</f>
        <v>4.5436789578227481E-4</v>
      </c>
      <c r="V199" s="81">
        <f t="shared" ref="V199:V262" si="211">(S199/1000)/12</f>
        <v>0</v>
      </c>
      <c r="W199" s="77">
        <f t="shared" si="190"/>
        <v>0.80441916244719036</v>
      </c>
      <c r="X199" s="82">
        <f t="shared" ref="X199:X262" si="212">W199 * (T199)*(1-U199/2)</f>
        <v>2.6271722769986144E-5</v>
      </c>
      <c r="Y199" s="82">
        <f t="shared" ref="Y199:Y262" si="213">W199 * (1-T199/2)*(U199)</f>
        <v>3.6549627229811438E-4</v>
      </c>
      <c r="Z199" s="82">
        <f t="shared" ref="Z199:Z262" si="214">W199 * (1-T199)*(1-U199)*(V199)</f>
        <v>0</v>
      </c>
      <c r="AA199" s="82">
        <f t="shared" ref="AA199:AA262" si="215">W199-SUM(X199:Z199)</f>
        <v>0.80402739445212223</v>
      </c>
      <c r="AC199" s="46">
        <f t="shared" si="191"/>
        <v>0</v>
      </c>
      <c r="AD199" s="15">
        <f t="shared" si="192"/>
        <v>0</v>
      </c>
      <c r="AE199" s="46">
        <f t="shared" ref="AE199:AE262" si="216">AD199*$W199</f>
        <v>0</v>
      </c>
      <c r="AF199" s="15">
        <f t="shared" ref="AF199:AF262" si="217">IF($W199 = 0, 0, AG199/$W199)</f>
        <v>0</v>
      </c>
      <c r="AG199" s="46">
        <f>SUMPRODUCT(AE200:AE$605, $I199:$I$604) / $I199</f>
        <v>0</v>
      </c>
      <c r="AI199" s="46">
        <f t="shared" si="193"/>
        <v>-47000</v>
      </c>
      <c r="AJ199" s="46">
        <f>IF(E199&gt;Mat_Year,0,  -SUM($AD$5:AD199))</f>
        <v>-9306</v>
      </c>
      <c r="AK199" s="24">
        <f t="shared" ref="AK199:AK262" si="218">AJ199*X199</f>
        <v>-0.24448465209749107</v>
      </c>
      <c r="AL199" s="79">
        <f t="shared" ref="AL199:AL262" si="219">AI199*Y199</f>
        <v>-17.178324798011374</v>
      </c>
      <c r="AM199" s="24">
        <f t="shared" ref="AM199:AM262" si="220">IF($W199 = 0, 0, AN199/$W199)</f>
        <v>-21.658869235667495</v>
      </c>
      <c r="AN199" s="79">
        <f t="shared" ref="AN199:AN262" si="221">SUM(AK199:AL199)</f>
        <v>-17.422809450108865</v>
      </c>
      <c r="AO199" s="15">
        <f t="shared" ref="AO199:AO262" si="222">IF($W199 = 0, 0, AP199/$W199)</f>
        <v>-990.74109036374421</v>
      </c>
      <c r="AP199" s="46">
        <f>SUMPRODUCT(AN200:AN$605, $I200:$I$605) / $I199</f>
        <v>-796.97111811241928</v>
      </c>
      <c r="AR199" s="46">
        <v>0</v>
      </c>
      <c r="AS199" s="46">
        <v>0</v>
      </c>
      <c r="AT199" s="46">
        <v>0</v>
      </c>
      <c r="AU199" s="95">
        <f t="shared" si="194"/>
        <v>-2.1648593290711884</v>
      </c>
      <c r="AV199" s="47">
        <f t="shared" si="195"/>
        <v>0</v>
      </c>
      <c r="AW199" s="96">
        <f t="shared" si="173"/>
        <v>-2.1648593290711884</v>
      </c>
      <c r="AX199" s="95">
        <f t="shared" si="196"/>
        <v>-24.823720306682954</v>
      </c>
      <c r="AY199" s="11">
        <f t="shared" si="197"/>
        <v>0</v>
      </c>
      <c r="AZ199" s="96">
        <f t="shared" si="174"/>
        <v>-24.823720306682954</v>
      </c>
      <c r="BA199" s="95">
        <f t="shared" si="175"/>
        <v>-1.7414543283074317</v>
      </c>
      <c r="BB199" s="64">
        <f t="shared" si="176"/>
        <v>-9.7251391346804741E-3</v>
      </c>
      <c r="BC199" s="95">
        <f t="shared" si="177"/>
        <v>-2.1648593290711884</v>
      </c>
      <c r="BD199" s="96">
        <f t="shared" si="178"/>
        <v>-1.2089641307269236E-2</v>
      </c>
      <c r="BE199" s="96">
        <f t="shared" si="179"/>
        <v>-1.7414543283074317</v>
      </c>
      <c r="BF199" s="96">
        <f t="shared" si="180"/>
        <v>-9.7251391346804741E-3</v>
      </c>
      <c r="BG199" s="15">
        <f t="shared" ref="BG199:BG262" si="223">IF($W199 = 0, 0, BH199/$W199)</f>
        <v>-103.9423076519235</v>
      </c>
      <c r="BH199" s="46">
        <f>(SUMPRODUCT(BE200:BE$605,$I199:$I$604)+SUMPRODUCT(BF200:BF$605,$I200:$I$605)) / $I199</f>
        <v>-83.613184064188488</v>
      </c>
      <c r="BJ199" s="46">
        <f t="shared" si="181"/>
        <v>-1.7414543283074317</v>
      </c>
      <c r="BK199" s="46">
        <f t="shared" si="182"/>
        <v>-17.432534589243545</v>
      </c>
      <c r="BM199" s="49">
        <f t="shared" ref="BM199:BM262" si="224">IF($W199 = 0, 0, BN199/$AA199)</f>
        <v>1095.2167901899074</v>
      </c>
      <c r="BN199" s="46">
        <f t="shared" si="183"/>
        <v>880.58430217660782</v>
      </c>
      <c r="BP199" s="46">
        <f>Reserve!BX199</f>
        <v>1447.9953093756421</v>
      </c>
      <c r="BQ199" s="46">
        <f t="shared" si="198"/>
        <v>1164.2278957761921</v>
      </c>
      <c r="BR199" s="15">
        <f t="shared" ref="BR199:BR262" si="225">BQ198-BQ199</f>
        <v>21.738765329224179</v>
      </c>
      <c r="BT199" s="49">
        <f t="shared" ref="BT199:BT262" si="226">IF($W199 = 0, 0, BU199/$W199)</f>
        <v>4.9011761727574399</v>
      </c>
      <c r="BU199" s="46">
        <f t="shared" si="199"/>
        <v>3.9426000318956658</v>
      </c>
      <c r="BV199" s="46">
        <f>SUMPRODUCT(BU200:BU$605, $I200:$I$605) / $I199</f>
        <v>96.319741273479977</v>
      </c>
      <c r="BX199" s="46">
        <f>-BZ199*Others!$Q$43</f>
        <v>-1.6658883695536306</v>
      </c>
      <c r="BZ199" s="50">
        <f t="shared" si="184"/>
        <v>6.5073764435688695</v>
      </c>
      <c r="CA199" s="46">
        <f t="shared" ref="CA199:CA262" si="227">BZ199+BX199</f>
        <v>4.8414880740152384</v>
      </c>
      <c r="CB199" s="46">
        <f t="shared" si="200"/>
        <v>4.8414880740152384</v>
      </c>
      <c r="CD199" s="46">
        <f>SUMPRODUCT(BZ200:BZ$605, $I200:$I$605) / $I199</f>
        <v>283.64359359958394</v>
      </c>
      <c r="CE199" s="46">
        <f>SUMPRODUCT(CA200:CA$605, $I200:$I$605) / $I199</f>
        <v>211.03083363809046</v>
      </c>
      <c r="CF199" s="46">
        <f>SUMPRODUCT(CB200:CB$605, $I200:$I$605) / $I199</f>
        <v>211.03083363809046</v>
      </c>
      <c r="CH199" s="46">
        <f t="shared" si="201"/>
        <v>45552.004690624359</v>
      </c>
      <c r="CI199" s="46">
        <f t="shared" si="202"/>
        <v>7858.0046906243579</v>
      </c>
      <c r="CK199" s="46">
        <f>NPV((1+CK$3)^(1/12)-1,$CB$6:$CB199)+$CB$5</f>
        <v>1276.0196547584544</v>
      </c>
      <c r="CL199" s="46">
        <f>NPV((1+CL$3)^(1/12)-1,$CB$6:$CB199)+$CB$5</f>
        <v>963.04558821101136</v>
      </c>
      <c r="CM199" s="46">
        <f>NPV((1+CM$3)^(1/12)-1,$CB$6:$CB199)+$CB$5</f>
        <v>422.21704127015005</v>
      </c>
      <c r="CN199" s="46">
        <f>NPV((1+CN$3)^(1/12)-1,$CB$6:$CB199)+$CB$5</f>
        <v>422.21704127015005</v>
      </c>
    </row>
    <row r="200" spans="1:92" x14ac:dyDescent="0.25">
      <c r="A200" s="61">
        <f t="shared" si="185"/>
        <v>16.250000000000039</v>
      </c>
      <c r="B200" s="32">
        <f t="shared" si="203"/>
        <v>3</v>
      </c>
      <c r="C200" s="62">
        <f t="shared" si="204"/>
        <v>17</v>
      </c>
      <c r="D200" s="64">
        <f t="shared" si="205"/>
        <v>16.750000000000039</v>
      </c>
      <c r="E200" s="28">
        <f t="shared" si="186"/>
        <v>16</v>
      </c>
      <c r="G200" s="68">
        <f>INDEX(Others!$D$11:$E$60, MATCH(C200, Others!$A$11:$A$60, 0), MATCH(G$3, Others!$D$10:$E$10, 0))</f>
        <v>4.0690909090909111E-2</v>
      </c>
      <c r="H200" s="16">
        <f t="shared" si="171"/>
        <v>3.329265421250005E-3</v>
      </c>
      <c r="I200" s="69">
        <f t="shared" si="172"/>
        <v>0.52302372169787081</v>
      </c>
      <c r="K200" s="80">
        <f>INDEX(Mortality!$B$7:$F$32, MATCH( E200,Mortality!$A$7:$A$32, 0), MATCH( K$3,Mortality!$B$6:$F$6,0))</f>
        <v>0.39200000000000002</v>
      </c>
      <c r="L200" s="11">
        <f t="shared" si="187"/>
        <v>0</v>
      </c>
      <c r="M200" s="80">
        <f t="shared" si="206"/>
        <v>0.39200000000000002</v>
      </c>
      <c r="N200" s="76">
        <f>INDEX(Myopia!$H:$H, MATCH(E200, Myopia!$A:$A, 0)) * Trend_Factor^(A200)</f>
        <v>5.4524147493872981</v>
      </c>
      <c r="O200" s="11">
        <f t="shared" si="188"/>
        <v>0</v>
      </c>
      <c r="P200" s="80">
        <f t="shared" si="207"/>
        <v>5.4524147493872981</v>
      </c>
      <c r="Q200" s="76">
        <f>VLOOKUP(C200,Others!$L$10:$M$61,2)</f>
        <v>0</v>
      </c>
      <c r="R200" s="11">
        <f t="shared" si="189"/>
        <v>0</v>
      </c>
      <c r="S200" s="80">
        <f t="shared" si="208"/>
        <v>0</v>
      </c>
      <c r="T200" s="78">
        <f t="shared" si="209"/>
        <v>3.266666666666667E-5</v>
      </c>
      <c r="U200" s="81">
        <f t="shared" si="210"/>
        <v>4.5436789578227481E-4</v>
      </c>
      <c r="V200" s="81">
        <f t="shared" si="211"/>
        <v>0</v>
      </c>
      <c r="W200" s="77">
        <f t="shared" si="190"/>
        <v>0.80402739445212223</v>
      </c>
      <c r="X200" s="82">
        <f t="shared" si="212"/>
        <v>2.6258927922924976E-5</v>
      </c>
      <c r="Y200" s="82">
        <f t="shared" si="213"/>
        <v>3.6531826840600483E-4</v>
      </c>
      <c r="Z200" s="82">
        <f t="shared" si="214"/>
        <v>0</v>
      </c>
      <c r="AA200" s="82">
        <f t="shared" si="215"/>
        <v>0.80363581725579325</v>
      </c>
      <c r="AC200" s="46">
        <f t="shared" si="191"/>
        <v>0</v>
      </c>
      <c r="AD200" s="15">
        <f t="shared" si="192"/>
        <v>0</v>
      </c>
      <c r="AE200" s="46">
        <f t="shared" si="216"/>
        <v>0</v>
      </c>
      <c r="AF200" s="15">
        <f t="shared" si="217"/>
        <v>0</v>
      </c>
      <c r="AG200" s="46">
        <f>SUMPRODUCT(AE201:AE$605, $I200:$I$604) / $I200</f>
        <v>0</v>
      </c>
      <c r="AI200" s="46">
        <f t="shared" si="193"/>
        <v>-47000</v>
      </c>
      <c r="AJ200" s="46">
        <f>IF(E200&gt;Mat_Year,0,  -SUM($AD$5:AD200))</f>
        <v>-9306</v>
      </c>
      <c r="AK200" s="24">
        <f t="shared" si="218"/>
        <v>-0.24436558325073982</v>
      </c>
      <c r="AL200" s="79">
        <f t="shared" si="219"/>
        <v>-17.169958615082226</v>
      </c>
      <c r="AM200" s="24">
        <f t="shared" si="220"/>
        <v>-21.658869235667499</v>
      </c>
      <c r="AN200" s="79">
        <f t="shared" si="221"/>
        <v>-17.414324198332967</v>
      </c>
      <c r="AO200" s="15">
        <f t="shared" si="222"/>
        <v>-972.86501392451191</v>
      </c>
      <c r="AP200" s="46">
        <f>SUMPRODUCT(AN201:AN$605, $I201:$I$605) / $I200</f>
        <v>-782.21012229935297</v>
      </c>
      <c r="AR200" s="46">
        <v>0</v>
      </c>
      <c r="AS200" s="46">
        <v>0</v>
      </c>
      <c r="AT200" s="46">
        <v>0</v>
      </c>
      <c r="AU200" s="95">
        <f t="shared" si="194"/>
        <v>-2.1672798550738683</v>
      </c>
      <c r="AV200" s="47">
        <f t="shared" si="195"/>
        <v>0</v>
      </c>
      <c r="AW200" s="96">
        <f t="shared" si="173"/>
        <v>-2.1672798550738683</v>
      </c>
      <c r="AX200" s="95">
        <f t="shared" si="196"/>
        <v>-24.851475671513686</v>
      </c>
      <c r="AY200" s="11">
        <f t="shared" si="197"/>
        <v>0</v>
      </c>
      <c r="AZ200" s="96">
        <f t="shared" si="174"/>
        <v>-24.851475671513686</v>
      </c>
      <c r="BA200" s="95">
        <f t="shared" si="175"/>
        <v>-1.7425523749236154</v>
      </c>
      <c r="BB200" s="64">
        <f t="shared" si="176"/>
        <v>-9.7312711680879373E-3</v>
      </c>
      <c r="BC200" s="95">
        <f t="shared" si="177"/>
        <v>-2.1672798550738683</v>
      </c>
      <c r="BD200" s="96">
        <f t="shared" si="178"/>
        <v>-1.2103158717271056E-2</v>
      </c>
      <c r="BE200" s="96">
        <f t="shared" si="179"/>
        <v>-1.7425523749236154</v>
      </c>
      <c r="BF200" s="96">
        <f t="shared" si="180"/>
        <v>-9.7312711680879373E-3</v>
      </c>
      <c r="BG200" s="15">
        <f t="shared" si="223"/>
        <v>-102.15257595440875</v>
      </c>
      <c r="BH200" s="46">
        <f>(SUMPRODUCT(BE201:BE$605,$I200:$I$604)+SUMPRODUCT(BF201:BF$605,$I201:$I$605)) / $I200</f>
        <v>-82.133469481195775</v>
      </c>
      <c r="BJ200" s="46">
        <f t="shared" si="181"/>
        <v>-1.7425523749236154</v>
      </c>
      <c r="BK200" s="46">
        <f t="shared" si="182"/>
        <v>-17.424055469501056</v>
      </c>
      <c r="BM200" s="49">
        <f t="shared" si="224"/>
        <v>1075.541399750022</v>
      </c>
      <c r="BN200" s="46">
        <f t="shared" si="183"/>
        <v>864.34359178054876</v>
      </c>
      <c r="BP200" s="46">
        <f>Reserve!BX200</f>
        <v>1421.5882744656697</v>
      </c>
      <c r="BQ200" s="46">
        <f t="shared" si="198"/>
        <v>1142.4392547514713</v>
      </c>
      <c r="BR200" s="15">
        <f t="shared" si="225"/>
        <v>21.788641024720846</v>
      </c>
      <c r="BT200" s="49">
        <f t="shared" si="226"/>
        <v>4.8135452637568585</v>
      </c>
      <c r="BU200" s="46">
        <f t="shared" si="199"/>
        <v>3.8702222564957807</v>
      </c>
      <c r="BV200" s="46">
        <f>SUMPRODUCT(BU201:BU$605, $I201:$I$605) / $I200</f>
        <v>92.770193000989735</v>
      </c>
      <c r="BX200" s="46">
        <f>-BZ200*Others!$Q$43</f>
        <v>-1.6620173918187406</v>
      </c>
      <c r="BZ200" s="50">
        <f t="shared" si="184"/>
        <v>6.4922554367919556</v>
      </c>
      <c r="CA200" s="46">
        <f t="shared" si="227"/>
        <v>4.830238044973215</v>
      </c>
      <c r="CB200" s="46">
        <f t="shared" si="200"/>
        <v>4.830238044973215</v>
      </c>
      <c r="CD200" s="46">
        <f>SUMPRODUCT(BZ201:BZ$605, $I201:$I$605) / $I200</f>
        <v>278.09566297092215</v>
      </c>
      <c r="CE200" s="46">
        <f>SUMPRODUCT(CA201:CA$605, $I201:$I$605) / $I200</f>
        <v>206.90317325036611</v>
      </c>
      <c r="CF200" s="46">
        <f>SUMPRODUCT(CB201:CB$605, $I201:$I$605) / $I200</f>
        <v>206.90317325036611</v>
      </c>
      <c r="CH200" s="46">
        <f t="shared" si="201"/>
        <v>45578.41172553433</v>
      </c>
      <c r="CI200" s="46">
        <f t="shared" si="202"/>
        <v>7884.4117255343299</v>
      </c>
      <c r="CK200" s="46">
        <f>NPV((1+CK$3)^(1/12)-1,$CB$6:$CB200)+$CB$5</f>
        <v>1279.0075380716473</v>
      </c>
      <c r="CL200" s="46">
        <f>NPV((1+CL$3)^(1/12)-1,$CB$6:$CB200)+$CB$5</f>
        <v>965.23154928660233</v>
      </c>
      <c r="CM200" s="46">
        <f>NPV((1+CM$3)^(1/12)-1,$CB$6:$CB200)+$CB$5</f>
        <v>423.24349032809391</v>
      </c>
      <c r="CN200" s="46">
        <f>NPV((1+CN$3)^(1/12)-1,$CB$6:$CB200)+$CB$5</f>
        <v>423.24349032809391</v>
      </c>
    </row>
    <row r="201" spans="1:92" x14ac:dyDescent="0.25">
      <c r="A201" s="61">
        <f t="shared" si="185"/>
        <v>16.333333333333371</v>
      </c>
      <c r="B201" s="32">
        <f t="shared" si="203"/>
        <v>4</v>
      </c>
      <c r="C201" s="62">
        <f t="shared" si="204"/>
        <v>17</v>
      </c>
      <c r="D201" s="64">
        <f t="shared" si="205"/>
        <v>16.833333333333371</v>
      </c>
      <c r="E201" s="28">
        <f t="shared" si="186"/>
        <v>16</v>
      </c>
      <c r="G201" s="68">
        <f>INDEX(Others!$D$11:$E$60, MATCH(C201, Others!$A$11:$A$60, 0), MATCH(G$3, Others!$D$10:$E$10, 0))</f>
        <v>4.0690909090909111E-2</v>
      </c>
      <c r="H201" s="16">
        <f t="shared" si="171"/>
        <v>3.329265421250005E-3</v>
      </c>
      <c r="I201" s="69">
        <f t="shared" si="172"/>
        <v>0.52128821486960031</v>
      </c>
      <c r="K201" s="80">
        <f>INDEX(Mortality!$B$7:$F$32, MATCH( E201,Mortality!$A$7:$A$32, 0), MATCH( K$3,Mortality!$B$6:$F$6,0))</f>
        <v>0.39200000000000002</v>
      </c>
      <c r="L201" s="11">
        <f t="shared" si="187"/>
        <v>0</v>
      </c>
      <c r="M201" s="80">
        <f t="shared" si="206"/>
        <v>0.39200000000000002</v>
      </c>
      <c r="N201" s="76">
        <f>INDEX(Myopia!$H:$H, MATCH(E201, Myopia!$A:$A, 0)) * Trend_Factor^(A201)</f>
        <v>5.4524147493872981</v>
      </c>
      <c r="O201" s="11">
        <f t="shared" si="188"/>
        <v>0</v>
      </c>
      <c r="P201" s="80">
        <f t="shared" si="207"/>
        <v>5.4524147493872981</v>
      </c>
      <c r="Q201" s="76">
        <f>VLOOKUP(C201,Others!$L$10:$M$61,2)</f>
        <v>0</v>
      </c>
      <c r="R201" s="11">
        <f t="shared" si="189"/>
        <v>0</v>
      </c>
      <c r="S201" s="80">
        <f t="shared" si="208"/>
        <v>0</v>
      </c>
      <c r="T201" s="78">
        <f t="shared" si="209"/>
        <v>3.266666666666667E-5</v>
      </c>
      <c r="U201" s="81">
        <f t="shared" si="210"/>
        <v>4.5436789578227481E-4</v>
      </c>
      <c r="V201" s="81">
        <f t="shared" si="211"/>
        <v>0</v>
      </c>
      <c r="W201" s="77">
        <f t="shared" si="190"/>
        <v>0.80363581725579325</v>
      </c>
      <c r="X201" s="82">
        <f t="shared" si="212"/>
        <v>2.6246139307206642E-5</v>
      </c>
      <c r="Y201" s="82">
        <f t="shared" si="213"/>
        <v>3.6514035120530092E-4</v>
      </c>
      <c r="Z201" s="82">
        <f t="shared" si="214"/>
        <v>0</v>
      </c>
      <c r="AA201" s="82">
        <f t="shared" si="215"/>
        <v>0.80324443076528074</v>
      </c>
      <c r="AC201" s="46">
        <f t="shared" si="191"/>
        <v>0</v>
      </c>
      <c r="AD201" s="15">
        <f t="shared" si="192"/>
        <v>0</v>
      </c>
      <c r="AE201" s="46">
        <f t="shared" si="216"/>
        <v>0</v>
      </c>
      <c r="AF201" s="15">
        <f t="shared" si="217"/>
        <v>0</v>
      </c>
      <c r="AG201" s="46">
        <f>SUMPRODUCT(AE202:AE$605, $I201:$I$604) / $I201</f>
        <v>0</v>
      </c>
      <c r="AI201" s="46">
        <f t="shared" si="193"/>
        <v>-47000</v>
      </c>
      <c r="AJ201" s="46">
        <f>IF(E201&gt;Mat_Year,0,  -SUM($AD$5:AD201))</f>
        <v>-9306</v>
      </c>
      <c r="AK201" s="24">
        <f t="shared" si="218"/>
        <v>-0.24424657239286501</v>
      </c>
      <c r="AL201" s="79">
        <f t="shared" si="219"/>
        <v>-17.161596506649143</v>
      </c>
      <c r="AM201" s="24">
        <f t="shared" si="220"/>
        <v>-21.658869235667499</v>
      </c>
      <c r="AN201" s="79">
        <f t="shared" si="221"/>
        <v>-17.405843079042008</v>
      </c>
      <c r="AO201" s="15">
        <f t="shared" si="222"/>
        <v>-954.92068403961105</v>
      </c>
      <c r="AP201" s="46">
        <f>SUMPRODUCT(AN202:AN$605, $I202:$I$605) / $I201</f>
        <v>-767.40846433263391</v>
      </c>
      <c r="AR201" s="46">
        <v>0</v>
      </c>
      <c r="AS201" s="46">
        <v>0</v>
      </c>
      <c r="AT201" s="46">
        <v>0</v>
      </c>
      <c r="AU201" s="95">
        <f t="shared" si="194"/>
        <v>-2.1697030874630792</v>
      </c>
      <c r="AV201" s="47">
        <f t="shared" si="195"/>
        <v>0</v>
      </c>
      <c r="AW201" s="96">
        <f t="shared" si="173"/>
        <v>-2.1697030874630792</v>
      </c>
      <c r="AX201" s="95">
        <f t="shared" si="196"/>
        <v>-24.879262069576637</v>
      </c>
      <c r="AY201" s="11">
        <f t="shared" si="197"/>
        <v>0</v>
      </c>
      <c r="AZ201" s="96">
        <f t="shared" si="174"/>
        <v>-24.879262069576637</v>
      </c>
      <c r="BA201" s="95">
        <f t="shared" si="175"/>
        <v>-1.7436511138958095</v>
      </c>
      <c r="BB201" s="64">
        <f t="shared" si="176"/>
        <v>-9.7374070679525446E-3</v>
      </c>
      <c r="BC201" s="95">
        <f t="shared" si="177"/>
        <v>-2.1697030874630792</v>
      </c>
      <c r="BD201" s="96">
        <f t="shared" si="178"/>
        <v>-1.2116691241068935E-2</v>
      </c>
      <c r="BE201" s="96">
        <f t="shared" si="179"/>
        <v>-1.7436511138958095</v>
      </c>
      <c r="BF201" s="96">
        <f t="shared" si="180"/>
        <v>-9.7374070679525446E-3</v>
      </c>
      <c r="BG201" s="15">
        <f t="shared" si="223"/>
        <v>-100.35356596988642</v>
      </c>
      <c r="BH201" s="46">
        <f>(SUMPRODUCT(BE202:BE$605,$I201:$I$604)+SUMPRODUCT(BF202:BF$605,$I202:$I$605)) / $I201</f>
        <v>-80.64772000274283</v>
      </c>
      <c r="BJ201" s="46">
        <f t="shared" si="181"/>
        <v>-1.7436511138958095</v>
      </c>
      <c r="BK201" s="46">
        <f t="shared" si="182"/>
        <v>-17.41558048610996</v>
      </c>
      <c r="BM201" s="49">
        <f t="shared" si="224"/>
        <v>1055.788439799579</v>
      </c>
      <c r="BN201" s="46">
        <f t="shared" si="183"/>
        <v>848.05618433537677</v>
      </c>
      <c r="BP201" s="46">
        <f>Reserve!BX201</f>
        <v>1395.0928918010161</v>
      </c>
      <c r="BQ201" s="46">
        <f t="shared" si="198"/>
        <v>1120.6005957393966</v>
      </c>
      <c r="BR201" s="15">
        <f t="shared" si="225"/>
        <v>21.838659012074686</v>
      </c>
      <c r="BT201" s="49">
        <f t="shared" si="226"/>
        <v>4.7256211679695452</v>
      </c>
      <c r="BU201" s="46">
        <f t="shared" si="199"/>
        <v>3.7976784293624815</v>
      </c>
      <c r="BV201" s="46">
        <f>SUMPRODUCT(BU202:BU$605, $I202:$I$605) / $I201</f>
        <v>89.281371167308137</v>
      </c>
      <c r="BX201" s="46">
        <f>-BZ201*Others!$Q$43</f>
        <v>-1.6581390954064381</v>
      </c>
      <c r="BZ201" s="50">
        <f t="shared" si="184"/>
        <v>6.4771058414313991</v>
      </c>
      <c r="CA201" s="46">
        <f t="shared" si="227"/>
        <v>4.8189667460249606</v>
      </c>
      <c r="CB201" s="46">
        <f t="shared" si="200"/>
        <v>4.8189667460249606</v>
      </c>
      <c r="CD201" s="46">
        <f>SUMPRODUCT(BZ202:BZ$605, $I202:$I$605) / $I201</f>
        <v>272.54441140401951</v>
      </c>
      <c r="CE201" s="46">
        <f>SUMPRODUCT(CA202:CA$605, $I202:$I$605) / $I201</f>
        <v>202.77304208459049</v>
      </c>
      <c r="CF201" s="46">
        <f>SUMPRODUCT(CB202:CB$605, $I202:$I$605) / $I201</f>
        <v>202.77304208459049</v>
      </c>
      <c r="CH201" s="46">
        <f t="shared" si="201"/>
        <v>45604.907108198982</v>
      </c>
      <c r="CI201" s="46">
        <f t="shared" si="202"/>
        <v>7910.9071081989841</v>
      </c>
      <c r="CK201" s="46">
        <f>NPV((1+CK$3)^(1/12)-1,$CB$6:$CB201)+$CB$5</f>
        <v>1281.9811155529324</v>
      </c>
      <c r="CL201" s="46">
        <f>NPV((1+CL$3)^(1/12)-1,$CB$6:$CB201)+$CB$5</f>
        <v>967.40356040770212</v>
      </c>
      <c r="CM201" s="46">
        <f>NPV((1+CM$3)^(1/12)-1,$CB$6:$CB201)+$CB$5</f>
        <v>424.25944283229865</v>
      </c>
      <c r="CN201" s="46">
        <f>NPV((1+CN$3)^(1/12)-1,$CB$6:$CB201)+$CB$5</f>
        <v>424.25944283229865</v>
      </c>
    </row>
    <row r="202" spans="1:92" x14ac:dyDescent="0.25">
      <c r="A202" s="61">
        <f t="shared" si="185"/>
        <v>16.416666666666703</v>
      </c>
      <c r="B202" s="32">
        <f t="shared" si="203"/>
        <v>5</v>
      </c>
      <c r="C202" s="62">
        <f t="shared" si="204"/>
        <v>17</v>
      </c>
      <c r="D202" s="64">
        <f t="shared" si="205"/>
        <v>16.916666666666703</v>
      </c>
      <c r="E202" s="28">
        <f t="shared" si="186"/>
        <v>16</v>
      </c>
      <c r="G202" s="68">
        <f>INDEX(Others!$D$11:$E$60, MATCH(C202, Others!$A$11:$A$60, 0), MATCH(G$3, Others!$D$10:$E$10, 0))</f>
        <v>4.0690909090909111E-2</v>
      </c>
      <c r="H202" s="16">
        <f t="shared" ref="H202:H265" si="228">(1+G202)^(1/12) - 1</f>
        <v>3.329265421250005E-3</v>
      </c>
      <c r="I202" s="69">
        <f t="shared" ref="I202:I265" si="229">I201/(1+H202)</f>
        <v>0.51955846683165996</v>
      </c>
      <c r="K202" s="80">
        <f>INDEX(Mortality!$B$7:$F$32, MATCH( E202,Mortality!$A$7:$A$32, 0), MATCH( K$3,Mortality!$B$6:$F$6,0))</f>
        <v>0.39200000000000002</v>
      </c>
      <c r="L202" s="11">
        <f t="shared" si="187"/>
        <v>0</v>
      </c>
      <c r="M202" s="80">
        <f t="shared" si="206"/>
        <v>0.39200000000000002</v>
      </c>
      <c r="N202" s="76">
        <f>INDEX(Myopia!$H:$H, MATCH(E202, Myopia!$A:$A, 0)) * Trend_Factor^(A202)</f>
        <v>5.4524147493872981</v>
      </c>
      <c r="O202" s="11">
        <f t="shared" si="188"/>
        <v>0</v>
      </c>
      <c r="P202" s="80">
        <f t="shared" si="207"/>
        <v>5.4524147493872981</v>
      </c>
      <c r="Q202" s="76">
        <f>VLOOKUP(C202,Others!$L$10:$M$61,2)</f>
        <v>0</v>
      </c>
      <c r="R202" s="11">
        <f t="shared" si="189"/>
        <v>0</v>
      </c>
      <c r="S202" s="80">
        <f t="shared" si="208"/>
        <v>0</v>
      </c>
      <c r="T202" s="78">
        <f t="shared" si="209"/>
        <v>3.266666666666667E-5</v>
      </c>
      <c r="U202" s="81">
        <f t="shared" si="210"/>
        <v>4.5436789578227481E-4</v>
      </c>
      <c r="V202" s="81">
        <f t="shared" si="211"/>
        <v>0</v>
      </c>
      <c r="W202" s="77">
        <f t="shared" si="190"/>
        <v>0.80324443076528074</v>
      </c>
      <c r="X202" s="82">
        <f t="shared" si="212"/>
        <v>2.6233356919796349E-5</v>
      </c>
      <c r="Y202" s="82">
        <f t="shared" si="213"/>
        <v>3.6496252065378222E-4</v>
      </c>
      <c r="Z202" s="82">
        <f t="shared" si="214"/>
        <v>0</v>
      </c>
      <c r="AA202" s="82">
        <f t="shared" si="215"/>
        <v>0.80285323488770721</v>
      </c>
      <c r="AC202" s="46">
        <f t="shared" si="191"/>
        <v>0</v>
      </c>
      <c r="AD202" s="15">
        <f t="shared" si="192"/>
        <v>0</v>
      </c>
      <c r="AE202" s="46">
        <f t="shared" si="216"/>
        <v>0</v>
      </c>
      <c r="AF202" s="15">
        <f t="shared" si="217"/>
        <v>0</v>
      </c>
      <c r="AG202" s="46">
        <f>SUMPRODUCT(AE203:AE$605, $I202:$I$604) / $I202</f>
        <v>0</v>
      </c>
      <c r="AI202" s="46">
        <f t="shared" si="193"/>
        <v>-47000</v>
      </c>
      <c r="AJ202" s="46">
        <f>IF(E202&gt;Mat_Year,0,  -SUM($AD$5:AD202))</f>
        <v>-9306</v>
      </c>
      <c r="AK202" s="24">
        <f t="shared" si="218"/>
        <v>-0.24412761949562481</v>
      </c>
      <c r="AL202" s="79">
        <f t="shared" si="219"/>
        <v>-17.153238470727764</v>
      </c>
      <c r="AM202" s="24">
        <f t="shared" si="220"/>
        <v>-21.658869235667495</v>
      </c>
      <c r="AN202" s="79">
        <f t="shared" si="221"/>
        <v>-17.39736609022339</v>
      </c>
      <c r="AO202" s="15">
        <f t="shared" si="222"/>
        <v>-936.90784010751281</v>
      </c>
      <c r="AP202" s="46">
        <f>SUMPRODUCT(AN203:AN$605, $I203:$I$605) / $I202</f>
        <v>-752.56600470668775</v>
      </c>
      <c r="AR202" s="46">
        <v>0</v>
      </c>
      <c r="AS202" s="46">
        <v>0</v>
      </c>
      <c r="AT202" s="46">
        <v>0</v>
      </c>
      <c r="AU202" s="95">
        <f t="shared" si="194"/>
        <v>-2.1721290292648274</v>
      </c>
      <c r="AV202" s="47">
        <f t="shared" si="195"/>
        <v>0</v>
      </c>
      <c r="AW202" s="96">
        <f t="shared" si="173"/>
        <v>-2.1721290292648274</v>
      </c>
      <c r="AX202" s="95">
        <f t="shared" si="196"/>
        <v>-24.90707953557002</v>
      </c>
      <c r="AY202" s="11">
        <f t="shared" si="197"/>
        <v>0</v>
      </c>
      <c r="AZ202" s="96">
        <f t="shared" si="174"/>
        <v>-24.90707953557002</v>
      </c>
      <c r="BA202" s="95">
        <f t="shared" si="175"/>
        <v>-1.7447505456605681</v>
      </c>
      <c r="BB202" s="64">
        <f t="shared" si="176"/>
        <v>-9.7435468367122347E-3</v>
      </c>
      <c r="BC202" s="95">
        <f t="shared" si="177"/>
        <v>-2.1721290292648274</v>
      </c>
      <c r="BD202" s="96">
        <f t="shared" si="178"/>
        <v>-1.2130238895561586E-2</v>
      </c>
      <c r="BE202" s="96">
        <f t="shared" si="179"/>
        <v>-1.7447505456605681</v>
      </c>
      <c r="BF202" s="96">
        <f t="shared" si="180"/>
        <v>-9.7435468367122347E-3</v>
      </c>
      <c r="BG202" s="15">
        <f t="shared" si="223"/>
        <v>-98.545239538951023</v>
      </c>
      <c r="BH202" s="46">
        <f>(SUMPRODUCT(BE203:BE$605,$I202:$I$604)+SUMPRODUCT(BF203:BF$605,$I203:$I$605)) / $I202</f>
        <v>-79.155914838092954</v>
      </c>
      <c r="BJ202" s="46">
        <f t="shared" si="181"/>
        <v>-1.7447505456605681</v>
      </c>
      <c r="BK202" s="46">
        <f t="shared" si="182"/>
        <v>-17.407109637060103</v>
      </c>
      <c r="BM202" s="49">
        <f t="shared" si="224"/>
        <v>1035.9576114320712</v>
      </c>
      <c r="BN202" s="46">
        <f t="shared" si="183"/>
        <v>831.72191954478069</v>
      </c>
      <c r="BP202" s="46">
        <f>Reserve!BX202</f>
        <v>1368.5088735059187</v>
      </c>
      <c r="BQ202" s="46">
        <f t="shared" si="198"/>
        <v>1098.7117760667588</v>
      </c>
      <c r="BR202" s="15">
        <f t="shared" si="225"/>
        <v>21.888819672637737</v>
      </c>
      <c r="BT202" s="49">
        <f t="shared" si="226"/>
        <v>4.6374029300371733</v>
      </c>
      <c r="BU202" s="46">
        <f t="shared" si="199"/>
        <v>3.7249680767669542</v>
      </c>
      <c r="BV202" s="46">
        <f>SUMPRODUCT(BU203:BU$605, $I203:$I$605) / $I202</f>
        <v>85.853644472330302</v>
      </c>
      <c r="BX202" s="46">
        <f>-BZ202*Others!$Q$43</f>
        <v>-1.6542534570711092</v>
      </c>
      <c r="BZ202" s="50">
        <f t="shared" si="184"/>
        <v>6.4619275666840199</v>
      </c>
      <c r="CA202" s="46">
        <f t="shared" si="227"/>
        <v>4.8076741096129112</v>
      </c>
      <c r="CB202" s="46">
        <f t="shared" si="200"/>
        <v>4.8076741096129112</v>
      </c>
      <c r="CD202" s="46">
        <f>SUMPRODUCT(BZ203:BZ$605, $I203:$I$605) / $I202</f>
        <v>266.9898565219778</v>
      </c>
      <c r="CE202" s="46">
        <f>SUMPRODUCT(CA203:CA$605, $I203:$I$605) / $I202</f>
        <v>198.64045325235151</v>
      </c>
      <c r="CF202" s="46">
        <f>SUMPRODUCT(CB203:CB$605, $I203:$I$605) / $I202</f>
        <v>198.64045325235151</v>
      </c>
      <c r="CH202" s="46">
        <f t="shared" si="201"/>
        <v>45631.491126494082</v>
      </c>
      <c r="CI202" s="46">
        <f t="shared" si="202"/>
        <v>7937.4911264940811</v>
      </c>
      <c r="CK202" s="46">
        <f>NPV((1+CK$3)^(1/12)-1,$CB$6:$CB202)+$CB$5</f>
        <v>1284.9404263743004</v>
      </c>
      <c r="CL202" s="46">
        <f>NPV((1+CL$3)^(1/12)-1,$CB$6:$CB202)+$CB$5</f>
        <v>969.56168921275935</v>
      </c>
      <c r="CM202" s="46">
        <f>NPV((1+CM$3)^(1/12)-1,$CB$6:$CB202)+$CB$5</f>
        <v>425.26499615744387</v>
      </c>
      <c r="CN202" s="46">
        <f>NPV((1+CN$3)^(1/12)-1,$CB$6:$CB202)+$CB$5</f>
        <v>425.26499615744387</v>
      </c>
    </row>
    <row r="203" spans="1:92" x14ac:dyDescent="0.25">
      <c r="A203" s="61">
        <f t="shared" si="185"/>
        <v>16.500000000000036</v>
      </c>
      <c r="B203" s="32">
        <f t="shared" si="203"/>
        <v>6</v>
      </c>
      <c r="C203" s="62">
        <f t="shared" si="204"/>
        <v>17</v>
      </c>
      <c r="D203" s="64">
        <f t="shared" si="205"/>
        <v>17.000000000000036</v>
      </c>
      <c r="E203" s="28">
        <f t="shared" si="186"/>
        <v>17</v>
      </c>
      <c r="G203" s="68">
        <f>INDEX(Others!$D$11:$E$60, MATCH(C203, Others!$A$11:$A$60, 0), MATCH(G$3, Others!$D$10:$E$10, 0))</f>
        <v>4.0690909090909111E-2</v>
      </c>
      <c r="H203" s="16">
        <f t="shared" si="228"/>
        <v>3.329265421250005E-3</v>
      </c>
      <c r="I203" s="69">
        <f t="shared" si="229"/>
        <v>0.51783445847512699</v>
      </c>
      <c r="K203" s="80">
        <f>INDEX(Mortality!$B$7:$F$32, MATCH( E203,Mortality!$A$7:$A$32, 0), MATCH( K$3,Mortality!$B$6:$F$6,0))</f>
        <v>0.40099999999999997</v>
      </c>
      <c r="L203" s="11">
        <f t="shared" si="187"/>
        <v>0</v>
      </c>
      <c r="M203" s="80">
        <f t="shared" si="206"/>
        <v>0.40099999999999997</v>
      </c>
      <c r="N203" s="76">
        <f>INDEX(Myopia!$H:$H, MATCH(E203, Myopia!$A:$A, 0)) * Trend_Factor^(A203)</f>
        <v>5.4228471376701828</v>
      </c>
      <c r="O203" s="11">
        <f t="shared" si="188"/>
        <v>0</v>
      </c>
      <c r="P203" s="80">
        <f t="shared" si="207"/>
        <v>5.4228471376701828</v>
      </c>
      <c r="Q203" s="76">
        <f>VLOOKUP(C203,Others!$L$10:$M$61,2)</f>
        <v>0</v>
      </c>
      <c r="R203" s="11">
        <f t="shared" si="189"/>
        <v>0</v>
      </c>
      <c r="S203" s="80">
        <f t="shared" si="208"/>
        <v>0</v>
      </c>
      <c r="T203" s="78">
        <f t="shared" si="209"/>
        <v>3.3416666666666668E-5</v>
      </c>
      <c r="U203" s="81">
        <f t="shared" si="210"/>
        <v>4.5190392813918191E-4</v>
      </c>
      <c r="V203" s="81">
        <f t="shared" si="211"/>
        <v>0</v>
      </c>
      <c r="W203" s="77">
        <f t="shared" si="190"/>
        <v>0.80285323488770721</v>
      </c>
      <c r="X203" s="82">
        <f t="shared" si="212"/>
        <v>2.6822616939799362E-5</v>
      </c>
      <c r="Y203" s="82">
        <f t="shared" si="213"/>
        <v>3.6280646857230598E-4</v>
      </c>
      <c r="Z203" s="82">
        <f t="shared" si="214"/>
        <v>0</v>
      </c>
      <c r="AA203" s="82">
        <f t="shared" si="215"/>
        <v>0.80246360580219511</v>
      </c>
      <c r="AC203" s="46">
        <f t="shared" si="191"/>
        <v>0</v>
      </c>
      <c r="AD203" s="15">
        <f t="shared" si="192"/>
        <v>0</v>
      </c>
      <c r="AE203" s="46">
        <f t="shared" si="216"/>
        <v>0</v>
      </c>
      <c r="AF203" s="15">
        <f t="shared" si="217"/>
        <v>0</v>
      </c>
      <c r="AG203" s="46">
        <f>SUMPRODUCT(AE204:AE$605, $I203:$I$604) / $I203</f>
        <v>0</v>
      </c>
      <c r="AI203" s="46">
        <f t="shared" si="193"/>
        <v>-47000</v>
      </c>
      <c r="AJ203" s="46">
        <f>IF(E203&gt;Mat_Year,0,  -SUM($AD$5:AD203))</f>
        <v>-9306</v>
      </c>
      <c r="AK203" s="24">
        <f t="shared" si="218"/>
        <v>-0.24961127324177287</v>
      </c>
      <c r="AL203" s="79">
        <f t="shared" si="219"/>
        <v>-17.05190402289838</v>
      </c>
      <c r="AM203" s="24">
        <f t="shared" si="220"/>
        <v>-21.550034980627643</v>
      </c>
      <c r="AN203" s="79">
        <f t="shared" si="221"/>
        <v>-17.301515296140153</v>
      </c>
      <c r="AO203" s="15">
        <f t="shared" si="222"/>
        <v>-918.9350547867142</v>
      </c>
      <c r="AP203" s="46">
        <f>SUMPRODUCT(AN204:AN$605, $I204:$I$605) / $I203</f>
        <v>-737.76998138722593</v>
      </c>
      <c r="AR203" s="46">
        <v>0</v>
      </c>
      <c r="AS203" s="46">
        <v>0</v>
      </c>
      <c r="AT203" s="46">
        <v>0</v>
      </c>
      <c r="AU203" s="95">
        <f t="shared" si="194"/>
        <v>-2.1745576835085045</v>
      </c>
      <c r="AV203" s="47">
        <f t="shared" si="195"/>
        <v>0</v>
      </c>
      <c r="AW203" s="96">
        <f t="shared" si="173"/>
        <v>-2.1745576835085045</v>
      </c>
      <c r="AX203" s="95">
        <f t="shared" si="196"/>
        <v>-24.934928104230845</v>
      </c>
      <c r="AY203" s="11">
        <f t="shared" si="197"/>
        <v>0</v>
      </c>
      <c r="AZ203" s="96">
        <f t="shared" si="174"/>
        <v>-24.934928104230845</v>
      </c>
      <c r="BA203" s="95">
        <f t="shared" si="175"/>
        <v>-1.7458506706547219</v>
      </c>
      <c r="BB203" s="64">
        <f t="shared" si="176"/>
        <v>-9.7153732345615588E-3</v>
      </c>
      <c r="BC203" s="95">
        <f t="shared" si="177"/>
        <v>-2.1745576835085045</v>
      </c>
      <c r="BD203" s="96">
        <f t="shared" si="178"/>
        <v>-1.2101057593571782E-2</v>
      </c>
      <c r="BE203" s="96">
        <f t="shared" si="179"/>
        <v>-1.7458506706547219</v>
      </c>
      <c r="BF203" s="96">
        <f t="shared" si="180"/>
        <v>-9.7153732345615588E-3</v>
      </c>
      <c r="BG203" s="15">
        <f t="shared" si="223"/>
        <v>-96.727601097546682</v>
      </c>
      <c r="BH203" s="46">
        <f>(SUMPRODUCT(BE204:BE$605,$I203:$I$604)+SUMPRODUCT(BF204:BF$605,$I204:$I$605)) / $I203</f>
        <v>-77.658067444093092</v>
      </c>
      <c r="BJ203" s="46">
        <f t="shared" si="181"/>
        <v>-1.7458506706547219</v>
      </c>
      <c r="BK203" s="46">
        <f t="shared" si="182"/>
        <v>-17.311230669374716</v>
      </c>
      <c r="BM203" s="49">
        <f t="shared" si="224"/>
        <v>1016.1558018773496</v>
      </c>
      <c r="BN203" s="46">
        <f t="shared" si="183"/>
        <v>815.42804883131896</v>
      </c>
      <c r="BP203" s="46">
        <f>Reserve!BX203</f>
        <v>1341.9754851449923</v>
      </c>
      <c r="BQ203" s="46">
        <f t="shared" si="198"/>
        <v>1076.8864867076006</v>
      </c>
      <c r="BR203" s="15">
        <f t="shared" si="225"/>
        <v>21.825289359158205</v>
      </c>
      <c r="BT203" s="49">
        <f t="shared" si="226"/>
        <v>4.5488895915348326</v>
      </c>
      <c r="BU203" s="46">
        <f t="shared" si="199"/>
        <v>3.6520907237107618</v>
      </c>
      <c r="BV203" s="46">
        <f>SUMPRODUCT(BU204:BU$605, $I204:$I$605) / $I203</f>
        <v>82.487383318449574</v>
      </c>
      <c r="BX203" s="46">
        <f>-BZ203*Others!$Q$43</f>
        <v>-1.6435964781669195</v>
      </c>
      <c r="BZ203" s="50">
        <f t="shared" si="184"/>
        <v>6.4202987428395293</v>
      </c>
      <c r="CA203" s="46">
        <f t="shared" si="227"/>
        <v>4.7767022646726094</v>
      </c>
      <c r="CB203" s="46">
        <f t="shared" si="200"/>
        <v>4.7767022646726094</v>
      </c>
      <c r="CD203" s="46">
        <f>SUMPRODUCT(BZ204:BZ$605, $I204:$I$605) / $I203</f>
        <v>261.45843787628149</v>
      </c>
      <c r="CE203" s="46">
        <f>SUMPRODUCT(CA204:CA$605, $I204:$I$605) / $I203</f>
        <v>194.52507777995339</v>
      </c>
      <c r="CF203" s="46">
        <f>SUMPRODUCT(CB204:CB$605, $I204:$I$605) / $I203</f>
        <v>194.52507777995339</v>
      </c>
      <c r="CH203" s="46">
        <f t="shared" si="201"/>
        <v>45658.024514855009</v>
      </c>
      <c r="CI203" s="46">
        <f t="shared" si="202"/>
        <v>7964.0245148550075</v>
      </c>
      <c r="CK203" s="46">
        <f>NPV((1+CK$3)^(1/12)-1,$CB$6:$CB203)+$CB$5</f>
        <v>1287.8734392168853</v>
      </c>
      <c r="CL203" s="46">
        <f>NPV((1+CL$3)^(1/12)-1,$CB$6:$CB203)+$CB$5</f>
        <v>971.69721459445486</v>
      </c>
      <c r="CM203" s="46">
        <f>NPV((1+CM$3)^(1/12)-1,$CB$6:$CB203)+$CB$5</f>
        <v>426.25616779715824</v>
      </c>
      <c r="CN203" s="46">
        <f>NPV((1+CN$3)^(1/12)-1,$CB$6:$CB203)+$CB$5</f>
        <v>426.25616779715824</v>
      </c>
    </row>
    <row r="204" spans="1:92" x14ac:dyDescent="0.25">
      <c r="A204" s="61">
        <f t="shared" si="185"/>
        <v>16.583333333333368</v>
      </c>
      <c r="B204" s="32">
        <f t="shared" si="203"/>
        <v>7</v>
      </c>
      <c r="C204" s="62">
        <f t="shared" si="204"/>
        <v>17</v>
      </c>
      <c r="D204" s="64">
        <f t="shared" si="205"/>
        <v>17.083333333333368</v>
      </c>
      <c r="E204" s="28">
        <f t="shared" si="186"/>
        <v>17</v>
      </c>
      <c r="G204" s="68">
        <f>INDEX(Others!$D$11:$E$60, MATCH(C204, Others!$A$11:$A$60, 0), MATCH(G$3, Others!$D$10:$E$10, 0))</f>
        <v>4.0690909090909111E-2</v>
      </c>
      <c r="H204" s="16">
        <f t="shared" si="228"/>
        <v>3.329265421250005E-3</v>
      </c>
      <c r="I204" s="69">
        <f t="shared" si="229"/>
        <v>0.51611617075448613</v>
      </c>
      <c r="K204" s="80">
        <f>INDEX(Mortality!$B$7:$F$32, MATCH( E204,Mortality!$A$7:$A$32, 0), MATCH( K$3,Mortality!$B$6:$F$6,0))</f>
        <v>0.40099999999999997</v>
      </c>
      <c r="L204" s="11">
        <f t="shared" si="187"/>
        <v>0</v>
      </c>
      <c r="M204" s="80">
        <f t="shared" si="206"/>
        <v>0.40099999999999997</v>
      </c>
      <c r="N204" s="76">
        <f>INDEX(Myopia!$H:$H, MATCH(E204, Myopia!$A:$A, 0)) * Trend_Factor^(A204)</f>
        <v>5.4228471376701828</v>
      </c>
      <c r="O204" s="11">
        <f t="shared" si="188"/>
        <v>0</v>
      </c>
      <c r="P204" s="80">
        <f t="shared" si="207"/>
        <v>5.4228471376701828</v>
      </c>
      <c r="Q204" s="76">
        <f>VLOOKUP(C204,Others!$L$10:$M$61,2)</f>
        <v>0</v>
      </c>
      <c r="R204" s="11">
        <f t="shared" si="189"/>
        <v>0</v>
      </c>
      <c r="S204" s="80">
        <f t="shared" si="208"/>
        <v>0</v>
      </c>
      <c r="T204" s="78">
        <f t="shared" si="209"/>
        <v>3.3416666666666668E-5</v>
      </c>
      <c r="U204" s="81">
        <f t="shared" si="210"/>
        <v>4.5190392813918191E-4</v>
      </c>
      <c r="V204" s="81">
        <f t="shared" si="211"/>
        <v>0</v>
      </c>
      <c r="W204" s="77">
        <f t="shared" si="190"/>
        <v>0.80246360580219511</v>
      </c>
      <c r="X204" s="82">
        <f t="shared" si="212"/>
        <v>2.6809599776443521E-5</v>
      </c>
      <c r="Y204" s="82">
        <f t="shared" si="213"/>
        <v>3.6263039659996415E-4</v>
      </c>
      <c r="Z204" s="82">
        <f t="shared" si="214"/>
        <v>0</v>
      </c>
      <c r="AA204" s="82">
        <f t="shared" si="215"/>
        <v>0.8020741658058187</v>
      </c>
      <c r="AC204" s="46">
        <f t="shared" si="191"/>
        <v>0</v>
      </c>
      <c r="AD204" s="15">
        <f t="shared" si="192"/>
        <v>0</v>
      </c>
      <c r="AE204" s="46">
        <f t="shared" si="216"/>
        <v>0</v>
      </c>
      <c r="AF204" s="15">
        <f t="shared" si="217"/>
        <v>0</v>
      </c>
      <c r="AG204" s="46">
        <f>SUMPRODUCT(AE205:AE$605, $I204:$I$604) / $I204</f>
        <v>0</v>
      </c>
      <c r="AI204" s="46">
        <f t="shared" si="193"/>
        <v>-47000</v>
      </c>
      <c r="AJ204" s="46">
        <f>IF(E204&gt;Mat_Year,0,  -SUM($AD$5:AD204))</f>
        <v>-9306</v>
      </c>
      <c r="AK204" s="24">
        <f t="shared" si="218"/>
        <v>-0.24949013551958341</v>
      </c>
      <c r="AL204" s="79">
        <f t="shared" si="219"/>
        <v>-17.043628640198314</v>
      </c>
      <c r="AM204" s="24">
        <f t="shared" si="220"/>
        <v>-21.550034980627643</v>
      </c>
      <c r="AN204" s="79">
        <f t="shared" si="221"/>
        <v>-17.293118775717897</v>
      </c>
      <c r="AO204" s="15">
        <f t="shared" si="222"/>
        <v>-900.8920647269548</v>
      </c>
      <c r="AP204" s="46">
        <f>SUMPRODUCT(AN205:AN$605, $I205:$I$605) / $I204</f>
        <v>-722.93309469937674</v>
      </c>
      <c r="AR204" s="46">
        <v>0</v>
      </c>
      <c r="AS204" s="46">
        <v>0</v>
      </c>
      <c r="AT204" s="46">
        <v>0</v>
      </c>
      <c r="AU204" s="95">
        <f t="shared" si="194"/>
        <v>-2.1769890532268859</v>
      </c>
      <c r="AV204" s="47">
        <f t="shared" si="195"/>
        <v>0</v>
      </c>
      <c r="AW204" s="96">
        <f t="shared" ref="AW204:AW267" si="230">AU204*(1+AV204)</f>
        <v>-2.1769890532268859</v>
      </c>
      <c r="AX204" s="95">
        <f t="shared" si="196"/>
        <v>-24.962807810334954</v>
      </c>
      <c r="AY204" s="11">
        <f t="shared" si="197"/>
        <v>0</v>
      </c>
      <c r="AZ204" s="96">
        <f t="shared" ref="AZ204:AZ267" si="231">AX204*(1+AY204)</f>
        <v>-24.962807810334954</v>
      </c>
      <c r="BA204" s="95">
        <f t="shared" ref="BA204:BA267" si="232">AW204*$W204</f>
        <v>-1.7469544854443537</v>
      </c>
      <c r="BB204" s="64">
        <f t="shared" ref="BB204:BB267" si="233">AZ204*SUM(X204:Y204)</f>
        <v>-9.7215157832018055E-3</v>
      </c>
      <c r="BC204" s="95">
        <f t="shared" ref="BC204:BC267" si="234">IF($W204 = 0, 0, BE204/$W204)</f>
        <v>-2.1769890532268859</v>
      </c>
      <c r="BD204" s="96">
        <f t="shared" ref="BD204:BD267" si="235">IF($W204 = 0, 0, BF204/$W204)</f>
        <v>-1.2114587768106371E-2</v>
      </c>
      <c r="BE204" s="96">
        <f t="shared" ref="BE204:BE267" si="236">SUM(AT204,BA204)</f>
        <v>-1.7469544854443537</v>
      </c>
      <c r="BF204" s="96">
        <f t="shared" ref="BF204:BF267" si="237">SUM(BB204)</f>
        <v>-9.7215157832018055E-3</v>
      </c>
      <c r="BG204" s="15">
        <f t="shared" si="223"/>
        <v>-94.900403128187619</v>
      </c>
      <c r="BH204" s="46">
        <f>(SUMPRODUCT(BE205:BE$605,$I204:$I$604)+SUMPRODUCT(BF205:BF$605,$I205:$I$605)) / $I204</f>
        <v>-76.154119686327348</v>
      </c>
      <c r="BJ204" s="46">
        <f t="shared" si="181"/>
        <v>-1.7469544854443537</v>
      </c>
      <c r="BK204" s="46">
        <f t="shared" si="182"/>
        <v>-17.302840291501099</v>
      </c>
      <c r="BM204" s="49">
        <f t="shared" si="224"/>
        <v>996.27596605469307</v>
      </c>
      <c r="BN204" s="46">
        <f t="shared" si="183"/>
        <v>799.0872143857041</v>
      </c>
      <c r="BP204" s="46">
        <f>Reserve!BX204</f>
        <v>1315.3533831248956</v>
      </c>
      <c r="BQ204" s="46">
        <f t="shared" si="198"/>
        <v>1055.0109675097619</v>
      </c>
      <c r="BR204" s="15">
        <f t="shared" si="225"/>
        <v>21.875519197838685</v>
      </c>
      <c r="BT204" s="49">
        <f t="shared" si="226"/>
        <v>4.4605448044810743</v>
      </c>
      <c r="BU204" s="46">
        <f t="shared" si="199"/>
        <v>3.5794248676461304</v>
      </c>
      <c r="BV204" s="46">
        <f>SUMPRODUCT(BU205:BU$605, $I205:$I$605) / $I204</f>
        <v>79.182580843774943</v>
      </c>
      <c r="BX204" s="46">
        <f>-BZ204*Others!$Q$43</f>
        <v>-1.6397182178660765</v>
      </c>
      <c r="BZ204" s="50">
        <f t="shared" si="184"/>
        <v>6.4051492885393611</v>
      </c>
      <c r="CA204" s="46">
        <f t="shared" si="227"/>
        <v>4.7654310706732845</v>
      </c>
      <c r="CB204" s="46">
        <f t="shared" si="200"/>
        <v>4.7654310706732845</v>
      </c>
      <c r="CD204" s="46">
        <f>SUMPRODUCT(BZ205:BZ$605, $I205:$I$605) / $I204</f>
        <v>255.9237531240577</v>
      </c>
      <c r="CE204" s="46">
        <f>SUMPRODUCT(CA205:CA$605, $I205:$I$605) / $I204</f>
        <v>190.40727232429887</v>
      </c>
      <c r="CF204" s="46">
        <f>SUMPRODUCT(CB205:CB$605, $I205:$I$605) / $I204</f>
        <v>190.40727232429887</v>
      </c>
      <c r="CH204" s="46">
        <f t="shared" si="201"/>
        <v>45684.646616875107</v>
      </c>
      <c r="CI204" s="46">
        <f t="shared" si="202"/>
        <v>7990.6466168751049</v>
      </c>
      <c r="CK204" s="46">
        <f>NPV((1+CK$3)^(1/12)-1,$CB$6:$CB204)+$CB$5</f>
        <v>1290.7923324904914</v>
      </c>
      <c r="CL204" s="46">
        <f>NPV((1+CL$3)^(1/12)-1,$CB$6:$CB204)+$CB$5</f>
        <v>973.81905630563369</v>
      </c>
      <c r="CM204" s="46">
        <f>NPV((1+CM$3)^(1/12)-1,$CB$6:$CB204)+$CB$5</f>
        <v>427.23717793752735</v>
      </c>
      <c r="CN204" s="46">
        <f>NPV((1+CN$3)^(1/12)-1,$CB$6:$CB204)+$CB$5</f>
        <v>427.23717793752735</v>
      </c>
    </row>
    <row r="205" spans="1:92" x14ac:dyDescent="0.25">
      <c r="A205" s="61">
        <f t="shared" si="185"/>
        <v>16.6666666666667</v>
      </c>
      <c r="B205" s="32">
        <f t="shared" si="203"/>
        <v>8</v>
      </c>
      <c r="C205" s="62">
        <f t="shared" si="204"/>
        <v>17</v>
      </c>
      <c r="D205" s="64">
        <f t="shared" si="205"/>
        <v>17.1666666666667</v>
      </c>
      <c r="E205" s="28">
        <f t="shared" si="186"/>
        <v>17</v>
      </c>
      <c r="G205" s="68">
        <f>INDEX(Others!$D$11:$E$60, MATCH(C205, Others!$A$11:$A$60, 0), MATCH(G$3, Others!$D$10:$E$10, 0))</f>
        <v>4.0690909090909111E-2</v>
      </c>
      <c r="H205" s="16">
        <f t="shared" si="228"/>
        <v>3.329265421250005E-3</v>
      </c>
      <c r="I205" s="69">
        <f t="shared" si="229"/>
        <v>0.5144035846874192</v>
      </c>
      <c r="K205" s="80">
        <f>INDEX(Mortality!$B$7:$F$32, MATCH( E205,Mortality!$A$7:$A$32, 0), MATCH( K$3,Mortality!$B$6:$F$6,0))</f>
        <v>0.40099999999999997</v>
      </c>
      <c r="L205" s="11">
        <f t="shared" si="187"/>
        <v>0</v>
      </c>
      <c r="M205" s="80">
        <f t="shared" si="206"/>
        <v>0.40099999999999997</v>
      </c>
      <c r="N205" s="76">
        <f>INDEX(Myopia!$H:$H, MATCH(E205, Myopia!$A:$A, 0)) * Trend_Factor^(A205)</f>
        <v>5.4228471376701828</v>
      </c>
      <c r="O205" s="11">
        <f t="shared" si="188"/>
        <v>0</v>
      </c>
      <c r="P205" s="80">
        <f t="shared" si="207"/>
        <v>5.4228471376701828</v>
      </c>
      <c r="Q205" s="76">
        <f>VLOOKUP(C205,Others!$L$10:$M$61,2)</f>
        <v>0</v>
      </c>
      <c r="R205" s="11">
        <f t="shared" si="189"/>
        <v>0</v>
      </c>
      <c r="S205" s="80">
        <f t="shared" si="208"/>
        <v>0</v>
      </c>
      <c r="T205" s="78">
        <f t="shared" si="209"/>
        <v>3.3416666666666668E-5</v>
      </c>
      <c r="U205" s="81">
        <f t="shared" si="210"/>
        <v>4.5190392813918191E-4</v>
      </c>
      <c r="V205" s="81">
        <f t="shared" si="211"/>
        <v>0</v>
      </c>
      <c r="W205" s="77">
        <f t="shared" si="190"/>
        <v>0.8020741658058187</v>
      </c>
      <c r="X205" s="82">
        <f t="shared" si="212"/>
        <v>2.6796588930388573E-5</v>
      </c>
      <c r="Y205" s="82">
        <f t="shared" si="213"/>
        <v>3.6245441007631775E-4</v>
      </c>
      <c r="Z205" s="82">
        <f t="shared" si="214"/>
        <v>0</v>
      </c>
      <c r="AA205" s="82">
        <f t="shared" si="215"/>
        <v>0.80168491480681203</v>
      </c>
      <c r="AC205" s="46">
        <f t="shared" si="191"/>
        <v>0</v>
      </c>
      <c r="AD205" s="15">
        <f t="shared" si="192"/>
        <v>0</v>
      </c>
      <c r="AE205" s="46">
        <f t="shared" si="216"/>
        <v>0</v>
      </c>
      <c r="AF205" s="15">
        <f t="shared" si="217"/>
        <v>0</v>
      </c>
      <c r="AG205" s="46">
        <f>SUMPRODUCT(AE206:AE$605, $I205:$I$604) / $I205</f>
        <v>0</v>
      </c>
      <c r="AI205" s="46">
        <f t="shared" si="193"/>
        <v>-47000</v>
      </c>
      <c r="AJ205" s="46">
        <f>IF(E205&gt;Mat_Year,0,  -SUM($AD$5:AD205))</f>
        <v>-9306</v>
      </c>
      <c r="AK205" s="24">
        <f t="shared" si="218"/>
        <v>-0.24936905658619607</v>
      </c>
      <c r="AL205" s="79">
        <f t="shared" si="219"/>
        <v>-17.035357273586936</v>
      </c>
      <c r="AM205" s="24">
        <f t="shared" si="220"/>
        <v>-21.550034980627647</v>
      </c>
      <c r="AN205" s="79">
        <f t="shared" si="221"/>
        <v>-17.284726330173132</v>
      </c>
      <c r="AO205" s="15">
        <f t="shared" si="222"/>
        <v>-882.78021498411294</v>
      </c>
      <c r="AP205" s="46">
        <f>SUMPRODUCT(AN206:AN$605, $I206:$I$605) / $I205</f>
        <v>-708.05520452326368</v>
      </c>
      <c r="AR205" s="46">
        <v>0</v>
      </c>
      <c r="AS205" s="46">
        <v>0</v>
      </c>
      <c r="AT205" s="46">
        <v>0</v>
      </c>
      <c r="AU205" s="95">
        <f t="shared" si="194"/>
        <v>-2.1794231414561409</v>
      </c>
      <c r="AV205" s="47">
        <f t="shared" si="195"/>
        <v>0</v>
      </c>
      <c r="AW205" s="96">
        <f t="shared" si="230"/>
        <v>-2.1794231414561409</v>
      </c>
      <c r="AX205" s="95">
        <f t="shared" si="196"/>
        <v>-24.990718688697079</v>
      </c>
      <c r="AY205" s="11">
        <f t="shared" si="197"/>
        <v>0</v>
      </c>
      <c r="AZ205" s="96">
        <f t="shared" si="231"/>
        <v>-24.990718688697079</v>
      </c>
      <c r="BA205" s="95">
        <f t="shared" si="232"/>
        <v>-1.748058998121331</v>
      </c>
      <c r="BB205" s="64">
        <f t="shared" si="233"/>
        <v>-9.727662215470903E-3</v>
      </c>
      <c r="BC205" s="95">
        <f t="shared" si="234"/>
        <v>-2.1794231414561409</v>
      </c>
      <c r="BD205" s="96">
        <f t="shared" si="235"/>
        <v>-1.2128133070709025E-2</v>
      </c>
      <c r="BE205" s="96">
        <f t="shared" si="236"/>
        <v>-1.748058998121331</v>
      </c>
      <c r="BF205" s="96">
        <f t="shared" si="237"/>
        <v>-9.727662215470903E-3</v>
      </c>
      <c r="BG205" s="15">
        <f t="shared" si="223"/>
        <v>-93.06377606113108</v>
      </c>
      <c r="BH205" s="46">
        <f>(SUMPRODUCT(BE206:BE$605,$I205:$I$604)+SUMPRODUCT(BF206:BF$605,$I206:$I$605)) / $I205</f>
        <v>-74.64405055097123</v>
      </c>
      <c r="BJ205" s="46">
        <f t="shared" si="181"/>
        <v>-1.748058998121331</v>
      </c>
      <c r="BK205" s="46">
        <f t="shared" si="182"/>
        <v>-17.294453992388604</v>
      </c>
      <c r="BM205" s="49">
        <f t="shared" si="224"/>
        <v>976.31780343883315</v>
      </c>
      <c r="BN205" s="46">
        <f t="shared" si="183"/>
        <v>782.69925507423477</v>
      </c>
      <c r="BP205" s="46">
        <f>Reserve!BX205</f>
        <v>1288.6422785685334</v>
      </c>
      <c r="BQ205" s="46">
        <f t="shared" si="198"/>
        <v>1033.0850753106708</v>
      </c>
      <c r="BR205" s="15">
        <f t="shared" si="225"/>
        <v>21.925892199091095</v>
      </c>
      <c r="BT205" s="49">
        <f t="shared" si="226"/>
        <v>4.3719046570588027</v>
      </c>
      <c r="BU205" s="46">
        <f t="shared" si="199"/>
        <v>3.5065917807930131</v>
      </c>
      <c r="BV205" s="46">
        <f>SUMPRODUCT(BU206:BU$605, $I206:$I$605) / $I205</f>
        <v>75.939608891350446</v>
      </c>
      <c r="BX205" s="46">
        <f>-BZ205*Others!$Q$43</f>
        <v>-1.6358325732797885</v>
      </c>
      <c r="BZ205" s="50">
        <f t="shared" si="184"/>
        <v>6.3899709893741736</v>
      </c>
      <c r="CA205" s="46">
        <f t="shared" si="227"/>
        <v>4.7541384160943849</v>
      </c>
      <c r="CB205" s="46">
        <f t="shared" si="200"/>
        <v>4.7541384160943849</v>
      </c>
      <c r="CD205" s="46">
        <f>SUMPRODUCT(BZ206:BZ$605, $I206:$I$605) / $I205</f>
        <v>250.38582023643599</v>
      </c>
      <c r="CE205" s="46">
        <f>SUMPRODUCT(CA206:CA$605, $I206:$I$605) / $I205</f>
        <v>186.28705025590833</v>
      </c>
      <c r="CF205" s="46">
        <f>SUMPRODUCT(CB206:CB$605, $I206:$I$605) / $I205</f>
        <v>186.28705025590833</v>
      </c>
      <c r="CH205" s="46">
        <f t="shared" si="201"/>
        <v>45711.357721431465</v>
      </c>
      <c r="CI205" s="46">
        <f t="shared" si="202"/>
        <v>8017.3577214314664</v>
      </c>
      <c r="CK205" s="46">
        <f>NPV((1+CK$3)^(1/12)-1,$CB$6:$CB205)+$CB$5</f>
        <v>1293.6971448042036</v>
      </c>
      <c r="CL205" s="46">
        <f>NPV((1+CL$3)^(1/12)-1,$CB$6:$CB205)+$CB$5</f>
        <v>975.92728071570195</v>
      </c>
      <c r="CM205" s="46">
        <f>NPV((1+CM$3)^(1/12)-1,$CB$6:$CB205)+$CB$5</f>
        <v>428.20812093973154</v>
      </c>
      <c r="CN205" s="46">
        <f>NPV((1+CN$3)^(1/12)-1,$CB$6:$CB205)+$CB$5</f>
        <v>428.20812093973154</v>
      </c>
    </row>
    <row r="206" spans="1:92" x14ac:dyDescent="0.25">
      <c r="A206" s="61">
        <f t="shared" si="185"/>
        <v>16.750000000000032</v>
      </c>
      <c r="B206" s="32">
        <f t="shared" si="203"/>
        <v>9</v>
      </c>
      <c r="C206" s="62">
        <f t="shared" si="204"/>
        <v>17</v>
      </c>
      <c r="D206" s="64">
        <f t="shared" si="205"/>
        <v>17.250000000000032</v>
      </c>
      <c r="E206" s="28">
        <f t="shared" si="186"/>
        <v>17</v>
      </c>
      <c r="G206" s="68">
        <f>INDEX(Others!$D$11:$E$60, MATCH(C206, Others!$A$11:$A$60, 0), MATCH(G$3, Others!$D$10:$E$10, 0))</f>
        <v>4.0690909090909111E-2</v>
      </c>
      <c r="H206" s="16">
        <f t="shared" si="228"/>
        <v>3.329265421250005E-3</v>
      </c>
      <c r="I206" s="69">
        <f t="shared" si="229"/>
        <v>0.51269668135459567</v>
      </c>
      <c r="K206" s="80">
        <f>INDEX(Mortality!$B$7:$F$32, MATCH( E206,Mortality!$A$7:$A$32, 0), MATCH( K$3,Mortality!$B$6:$F$6,0))</f>
        <v>0.40099999999999997</v>
      </c>
      <c r="L206" s="11">
        <f t="shared" si="187"/>
        <v>0</v>
      </c>
      <c r="M206" s="80">
        <f t="shared" si="206"/>
        <v>0.40099999999999997</v>
      </c>
      <c r="N206" s="76">
        <f>INDEX(Myopia!$H:$H, MATCH(E206, Myopia!$A:$A, 0)) * Trend_Factor^(A206)</f>
        <v>5.4228471376701828</v>
      </c>
      <c r="O206" s="11">
        <f t="shared" si="188"/>
        <v>0</v>
      </c>
      <c r="P206" s="80">
        <f t="shared" si="207"/>
        <v>5.4228471376701828</v>
      </c>
      <c r="Q206" s="76">
        <f>VLOOKUP(C206,Others!$L$10:$M$61,2)</f>
        <v>0</v>
      </c>
      <c r="R206" s="11">
        <f t="shared" si="189"/>
        <v>0</v>
      </c>
      <c r="S206" s="80">
        <f t="shared" si="208"/>
        <v>0</v>
      </c>
      <c r="T206" s="78">
        <f t="shared" si="209"/>
        <v>3.3416666666666668E-5</v>
      </c>
      <c r="U206" s="81">
        <f t="shared" si="210"/>
        <v>4.5190392813918191E-4</v>
      </c>
      <c r="V206" s="81">
        <f t="shared" si="211"/>
        <v>0</v>
      </c>
      <c r="W206" s="77">
        <f t="shared" si="190"/>
        <v>0.80168491480681203</v>
      </c>
      <c r="X206" s="82">
        <f t="shared" si="212"/>
        <v>2.6783584398568695E-5</v>
      </c>
      <c r="Y206" s="82">
        <f t="shared" si="213"/>
        <v>3.6227850895989816E-4</v>
      </c>
      <c r="Z206" s="82">
        <f t="shared" si="214"/>
        <v>0</v>
      </c>
      <c r="AA206" s="82">
        <f t="shared" si="215"/>
        <v>0.8012958527134536</v>
      </c>
      <c r="AC206" s="46">
        <f t="shared" si="191"/>
        <v>0</v>
      </c>
      <c r="AD206" s="15">
        <f t="shared" si="192"/>
        <v>0</v>
      </c>
      <c r="AE206" s="46">
        <f t="shared" si="216"/>
        <v>0</v>
      </c>
      <c r="AF206" s="15">
        <f t="shared" si="217"/>
        <v>0</v>
      </c>
      <c r="AG206" s="46">
        <f>SUMPRODUCT(AE207:AE$605, $I206:$I$604) / $I206</f>
        <v>0</v>
      </c>
      <c r="AI206" s="46">
        <f t="shared" si="193"/>
        <v>-47000</v>
      </c>
      <c r="AJ206" s="46">
        <f>IF(E206&gt;Mat_Year,0,  -SUM($AD$5:AD206))</f>
        <v>-9306</v>
      </c>
      <c r="AK206" s="24">
        <f t="shared" si="218"/>
        <v>-0.24924803641308027</v>
      </c>
      <c r="AL206" s="79">
        <f t="shared" si="219"/>
        <v>-17.027089921115213</v>
      </c>
      <c r="AM206" s="24">
        <f t="shared" si="220"/>
        <v>-21.550034980627647</v>
      </c>
      <c r="AN206" s="79">
        <f t="shared" si="221"/>
        <v>-17.276337957528295</v>
      </c>
      <c r="AO206" s="15">
        <f t="shared" si="222"/>
        <v>-864.5992427605064</v>
      </c>
      <c r="AP206" s="46">
        <f>SUMPRODUCT(AN207:AN$605, $I207:$I$605) / $I206</f>
        <v>-693.13617027449072</v>
      </c>
      <c r="AR206" s="46">
        <v>0</v>
      </c>
      <c r="AS206" s="46">
        <v>0</v>
      </c>
      <c r="AT206" s="46">
        <v>0</v>
      </c>
      <c r="AU206" s="95">
        <f t="shared" si="194"/>
        <v>-2.1818599512358321</v>
      </c>
      <c r="AV206" s="47">
        <f t="shared" si="195"/>
        <v>0</v>
      </c>
      <c r="AW206" s="96">
        <f t="shared" si="230"/>
        <v>-2.1818599512358321</v>
      </c>
      <c r="AX206" s="95">
        <f t="shared" si="196"/>
        <v>-25.018660774170872</v>
      </c>
      <c r="AY206" s="11">
        <f t="shared" si="197"/>
        <v>0</v>
      </c>
      <c r="AZ206" s="96">
        <f t="shared" si="231"/>
        <v>-25.018660774170872</v>
      </c>
      <c r="BA206" s="95">
        <f t="shared" si="232"/>
        <v>-1.7491642091268931</v>
      </c>
      <c r="BB206" s="64">
        <f t="shared" si="233"/>
        <v>-9.7338125338242813E-3</v>
      </c>
      <c r="BC206" s="95">
        <f t="shared" si="234"/>
        <v>-2.1818599512358321</v>
      </c>
      <c r="BD206" s="96">
        <f t="shared" si="235"/>
        <v>-1.2141693518294416E-2</v>
      </c>
      <c r="BE206" s="96">
        <f t="shared" si="236"/>
        <v>-1.7491642091268931</v>
      </c>
      <c r="BF206" s="96">
        <f t="shared" si="237"/>
        <v>-9.7338125338242813E-3</v>
      </c>
      <c r="BG206" s="15">
        <f t="shared" si="223"/>
        <v>-91.217681165195089</v>
      </c>
      <c r="BH206" s="46">
        <f>(SUMPRODUCT(BE207:BE$605,$I206:$I$604)+SUMPRODUCT(BF207:BF$605,$I207:$I$605)) / $I206</f>
        <v>-73.127838953794367</v>
      </c>
      <c r="BJ206" s="46">
        <f t="shared" si="181"/>
        <v>-1.7491642091268931</v>
      </c>
      <c r="BK206" s="46">
        <f t="shared" si="182"/>
        <v>-17.286071770062119</v>
      </c>
      <c r="BM206" s="49">
        <f t="shared" si="224"/>
        <v>956.28101235450151</v>
      </c>
      <c r="BN206" s="46">
        <f t="shared" si="183"/>
        <v>766.26400922828498</v>
      </c>
      <c r="BP206" s="46">
        <f>Reserve!BX206</f>
        <v>1261.8418816722001</v>
      </c>
      <c r="BQ206" s="46">
        <f t="shared" si="198"/>
        <v>1011.1086665640744</v>
      </c>
      <c r="BR206" s="15">
        <f t="shared" si="225"/>
        <v>21.976408746596462</v>
      </c>
      <c r="BT206" s="49">
        <f t="shared" si="226"/>
        <v>4.2829681875093746</v>
      </c>
      <c r="BU206" s="46">
        <f t="shared" si="199"/>
        <v>3.4335909865237393</v>
      </c>
      <c r="BV206" s="46">
        <f>SUMPRODUCT(BU207:BU$605, $I207:$I$605) / $I206</f>
        <v>72.758841018811935</v>
      </c>
      <c r="BX206" s="46">
        <f>-BZ206*Others!$Q$43</f>
        <v>-1.631939521006385</v>
      </c>
      <c r="BZ206" s="50">
        <f t="shared" si="184"/>
        <v>6.374763753931191</v>
      </c>
      <c r="CA206" s="46">
        <f t="shared" si="227"/>
        <v>4.7428242329248063</v>
      </c>
      <c r="CB206" s="46">
        <f t="shared" si="200"/>
        <v>4.7428242329248063</v>
      </c>
      <c r="CD206" s="46">
        <f>SUMPRODUCT(BZ207:BZ$605, $I207:$I$605) / $I206</f>
        <v>244.84465733578932</v>
      </c>
      <c r="CE206" s="46">
        <f>SUMPRODUCT(CA207:CA$605, $I207:$I$605) / $I206</f>
        <v>182.16442505782723</v>
      </c>
      <c r="CF206" s="46">
        <f>SUMPRODUCT(CB207:CB$605, $I207:$I$605) / $I206</f>
        <v>182.16442505782723</v>
      </c>
      <c r="CH206" s="46">
        <f t="shared" si="201"/>
        <v>45738.158118327803</v>
      </c>
      <c r="CI206" s="46">
        <f t="shared" si="202"/>
        <v>8044.1581183277995</v>
      </c>
      <c r="CK206" s="46">
        <f>NPV((1+CK$3)^(1/12)-1,$CB$6:$CB206)+$CB$5</f>
        <v>1296.5879146534019</v>
      </c>
      <c r="CL206" s="46">
        <f>NPV((1+CL$3)^(1/12)-1,$CB$6:$CB206)+$CB$5</f>
        <v>978.02195388933228</v>
      </c>
      <c r="CM206" s="46">
        <f>NPV((1+CM$3)^(1/12)-1,$CB$6:$CB206)+$CB$5</f>
        <v>429.16909032880494</v>
      </c>
      <c r="CN206" s="46">
        <f>NPV((1+CN$3)^(1/12)-1,$CB$6:$CB206)+$CB$5</f>
        <v>429.16909032880494</v>
      </c>
    </row>
    <row r="207" spans="1:92" x14ac:dyDescent="0.25">
      <c r="A207" s="61">
        <f t="shared" si="185"/>
        <v>16.833333333333364</v>
      </c>
      <c r="B207" s="32">
        <f t="shared" si="203"/>
        <v>10</v>
      </c>
      <c r="C207" s="62">
        <f t="shared" si="204"/>
        <v>17</v>
      </c>
      <c r="D207" s="64">
        <f t="shared" si="205"/>
        <v>17.333333333333364</v>
      </c>
      <c r="E207" s="28">
        <f t="shared" si="186"/>
        <v>17</v>
      </c>
      <c r="G207" s="68">
        <f>INDEX(Others!$D$11:$E$60, MATCH(C207, Others!$A$11:$A$60, 0), MATCH(G$3, Others!$D$10:$E$10, 0))</f>
        <v>4.0690909090909111E-2</v>
      </c>
      <c r="H207" s="16">
        <f t="shared" si="228"/>
        <v>3.329265421250005E-3</v>
      </c>
      <c r="I207" s="69">
        <f t="shared" si="229"/>
        <v>0.51099544189946344</v>
      </c>
      <c r="K207" s="80">
        <f>INDEX(Mortality!$B$7:$F$32, MATCH( E207,Mortality!$A$7:$A$32, 0), MATCH( K$3,Mortality!$B$6:$F$6,0))</f>
        <v>0.40099999999999997</v>
      </c>
      <c r="L207" s="11">
        <f t="shared" si="187"/>
        <v>0</v>
      </c>
      <c r="M207" s="80">
        <f t="shared" si="206"/>
        <v>0.40099999999999997</v>
      </c>
      <c r="N207" s="76">
        <f>INDEX(Myopia!$H:$H, MATCH(E207, Myopia!$A:$A, 0)) * Trend_Factor^(A207)</f>
        <v>5.4228471376701828</v>
      </c>
      <c r="O207" s="11">
        <f t="shared" si="188"/>
        <v>0</v>
      </c>
      <c r="P207" s="80">
        <f t="shared" si="207"/>
        <v>5.4228471376701828</v>
      </c>
      <c r="Q207" s="76">
        <f>VLOOKUP(C207,Others!$L$10:$M$61,2)</f>
        <v>0</v>
      </c>
      <c r="R207" s="11">
        <f t="shared" si="189"/>
        <v>0</v>
      </c>
      <c r="S207" s="80">
        <f t="shared" si="208"/>
        <v>0</v>
      </c>
      <c r="T207" s="78">
        <f t="shared" si="209"/>
        <v>3.3416666666666668E-5</v>
      </c>
      <c r="U207" s="81">
        <f t="shared" si="210"/>
        <v>4.5190392813918191E-4</v>
      </c>
      <c r="V207" s="81">
        <f t="shared" si="211"/>
        <v>0</v>
      </c>
      <c r="W207" s="77">
        <f t="shared" si="190"/>
        <v>0.8012958527134536</v>
      </c>
      <c r="X207" s="82">
        <f t="shared" si="212"/>
        <v>2.6770586177919551E-5</v>
      </c>
      <c r="Y207" s="82">
        <f t="shared" si="213"/>
        <v>3.621026932092567E-4</v>
      </c>
      <c r="Z207" s="82">
        <f t="shared" si="214"/>
        <v>0</v>
      </c>
      <c r="AA207" s="82">
        <f t="shared" si="215"/>
        <v>0.80090697943406641</v>
      </c>
      <c r="AC207" s="46">
        <f t="shared" si="191"/>
        <v>0</v>
      </c>
      <c r="AD207" s="15">
        <f t="shared" si="192"/>
        <v>0</v>
      </c>
      <c r="AE207" s="46">
        <f t="shared" si="216"/>
        <v>0</v>
      </c>
      <c r="AF207" s="15">
        <f t="shared" si="217"/>
        <v>0</v>
      </c>
      <c r="AG207" s="46">
        <f>SUMPRODUCT(AE208:AE$605, $I207:$I$604) / $I207</f>
        <v>0</v>
      </c>
      <c r="AI207" s="46">
        <f t="shared" si="193"/>
        <v>-47000</v>
      </c>
      <c r="AJ207" s="46">
        <f>IF(E207&gt;Mat_Year,0,  -SUM($AD$5:AD207))</f>
        <v>-9306</v>
      </c>
      <c r="AK207" s="24">
        <f t="shared" si="218"/>
        <v>-0.24912707497171935</v>
      </c>
      <c r="AL207" s="79">
        <f t="shared" si="219"/>
        <v>-17.018826580835064</v>
      </c>
      <c r="AM207" s="24">
        <f t="shared" si="220"/>
        <v>-21.550034980627647</v>
      </c>
      <c r="AN207" s="79">
        <f t="shared" si="221"/>
        <v>-17.267953655806785</v>
      </c>
      <c r="AO207" s="15">
        <f t="shared" si="222"/>
        <v>-846.34888425550685</v>
      </c>
      <c r="AP207" s="46">
        <f>SUMPRODUCT(AN208:AN$605, $I208:$I$605) / $I207</f>
        <v>-678.17585090259638</v>
      </c>
      <c r="AR207" s="46">
        <v>0</v>
      </c>
      <c r="AS207" s="46">
        <v>0</v>
      </c>
      <c r="AT207" s="46">
        <v>0</v>
      </c>
      <c r="AU207" s="95">
        <f t="shared" si="194"/>
        <v>-2.1842994856089217</v>
      </c>
      <c r="AV207" s="47">
        <f t="shared" si="195"/>
        <v>0</v>
      </c>
      <c r="AW207" s="96">
        <f t="shared" si="230"/>
        <v>-2.1842994856089217</v>
      </c>
      <c r="AX207" s="95">
        <f t="shared" si="196"/>
        <v>-25.046634101648966</v>
      </c>
      <c r="AY207" s="11">
        <f t="shared" si="197"/>
        <v>0</v>
      </c>
      <c r="AZ207" s="96">
        <f t="shared" si="231"/>
        <v>-25.046634101648966</v>
      </c>
      <c r="BA207" s="95">
        <f t="shared" si="232"/>
        <v>-1.7502701189025591</v>
      </c>
      <c r="BB207" s="64">
        <f t="shared" si="233"/>
        <v>-9.7399667407189142E-3</v>
      </c>
      <c r="BC207" s="95">
        <f t="shared" si="234"/>
        <v>-2.1842994856089217</v>
      </c>
      <c r="BD207" s="96">
        <f t="shared" si="235"/>
        <v>-1.2155269127796126E-2</v>
      </c>
      <c r="BE207" s="96">
        <f t="shared" si="236"/>
        <v>-1.7502701189025591</v>
      </c>
      <c r="BF207" s="96">
        <f t="shared" si="237"/>
        <v>-9.7399667407189142E-3</v>
      </c>
      <c r="BG207" s="15">
        <f t="shared" si="223"/>
        <v>-89.362079558313098</v>
      </c>
      <c r="BH207" s="46">
        <f>(SUMPRODUCT(BE208:BE$605,$I207:$I$604)+SUMPRODUCT(BF208:BF$605,$I208:$I$605)) / $I207</f>
        <v>-71.60546373992598</v>
      </c>
      <c r="BJ207" s="46">
        <f t="shared" si="181"/>
        <v>-1.7502701189025591</v>
      </c>
      <c r="BK207" s="46">
        <f t="shared" si="182"/>
        <v>-17.277693622547503</v>
      </c>
      <c r="BM207" s="49">
        <f t="shared" si="224"/>
        <v>936.16528997203852</v>
      </c>
      <c r="BN207" s="46">
        <f t="shared" si="183"/>
        <v>749.78131464252226</v>
      </c>
      <c r="BP207" s="46">
        <f>Reserve!BX207</f>
        <v>1234.9519017026341</v>
      </c>
      <c r="BQ207" s="46">
        <f t="shared" si="198"/>
        <v>989.08159733901277</v>
      </c>
      <c r="BR207" s="15">
        <f t="shared" si="225"/>
        <v>22.027069225061609</v>
      </c>
      <c r="BT207" s="49">
        <f t="shared" si="226"/>
        <v>4.1937344309892044</v>
      </c>
      <c r="BU207" s="46">
        <f t="shared" si="199"/>
        <v>3.3604220069332644</v>
      </c>
      <c r="BV207" s="46">
        <f>SUMPRODUCT(BU208:BU$605, $I208:$I$605) / $I207</f>
        <v>69.640652505372842</v>
      </c>
      <c r="BX207" s="46">
        <f>-BZ207*Others!$Q$43</f>
        <v>-1.6280390375794718</v>
      </c>
      <c r="BZ207" s="50">
        <f t="shared" si="184"/>
        <v>6.3595274905448118</v>
      </c>
      <c r="CA207" s="46">
        <f t="shared" si="227"/>
        <v>4.7314884529653405</v>
      </c>
      <c r="CB207" s="46">
        <f t="shared" si="200"/>
        <v>4.7314884529653405</v>
      </c>
      <c r="CD207" s="46">
        <f>SUMPRODUCT(BZ208:BZ$605, $I208:$I$605) / $I207</f>
        <v>239.30028269649037</v>
      </c>
      <c r="CE207" s="46">
        <f>SUMPRODUCT(CA208:CA$605, $I208:$I$605) / $I207</f>
        <v>178.03941032618877</v>
      </c>
      <c r="CF207" s="46">
        <f>SUMPRODUCT(CB208:CB$605, $I208:$I$605) / $I207</f>
        <v>178.03941032618877</v>
      </c>
      <c r="CH207" s="46">
        <f t="shared" si="201"/>
        <v>45765.048098297368</v>
      </c>
      <c r="CI207" s="46">
        <f t="shared" si="202"/>
        <v>8071.0480982973659</v>
      </c>
      <c r="CK207" s="46">
        <f>NPV((1+CK$3)^(1/12)-1,$CB$6:$CB207)+$CB$5</f>
        <v>1299.464680420095</v>
      </c>
      <c r="CL207" s="46">
        <f>NPV((1+CL$3)^(1/12)-1,$CB$6:$CB207)+$CB$5</f>
        <v>980.10314158784809</v>
      </c>
      <c r="CM207" s="46">
        <f>NPV((1+CM$3)^(1/12)-1,$CB$6:$CB207)+$CB$5</f>
        <v>430.12017880086864</v>
      </c>
      <c r="CN207" s="46">
        <f>NPV((1+CN$3)^(1/12)-1,$CB$6:$CB207)+$CB$5</f>
        <v>430.12017880086864</v>
      </c>
    </row>
    <row r="208" spans="1:92" x14ac:dyDescent="0.25">
      <c r="A208" s="61">
        <f t="shared" si="185"/>
        <v>16.916666666666696</v>
      </c>
      <c r="B208" s="32">
        <f t="shared" si="203"/>
        <v>11</v>
      </c>
      <c r="C208" s="62">
        <f t="shared" si="204"/>
        <v>17</v>
      </c>
      <c r="D208" s="64">
        <f t="shared" si="205"/>
        <v>17.416666666666696</v>
      </c>
      <c r="E208" s="28">
        <f t="shared" si="186"/>
        <v>17</v>
      </c>
      <c r="G208" s="68">
        <f>INDEX(Others!$D$11:$E$60, MATCH(C208, Others!$A$11:$A$60, 0), MATCH(G$3, Others!$D$10:$E$10, 0))</f>
        <v>4.0690909090909111E-2</v>
      </c>
      <c r="H208" s="16">
        <f t="shared" si="228"/>
        <v>3.329265421250005E-3</v>
      </c>
      <c r="I208" s="69">
        <f t="shared" si="229"/>
        <v>0.50929984752804047</v>
      </c>
      <c r="K208" s="80">
        <f>INDEX(Mortality!$B$7:$F$32, MATCH( E208,Mortality!$A$7:$A$32, 0), MATCH( K$3,Mortality!$B$6:$F$6,0))</f>
        <v>0.40099999999999997</v>
      </c>
      <c r="L208" s="11">
        <f t="shared" si="187"/>
        <v>0</v>
      </c>
      <c r="M208" s="80">
        <f t="shared" si="206"/>
        <v>0.40099999999999997</v>
      </c>
      <c r="N208" s="76">
        <f>INDEX(Myopia!$H:$H, MATCH(E208, Myopia!$A:$A, 0)) * Trend_Factor^(A208)</f>
        <v>5.4228471376701828</v>
      </c>
      <c r="O208" s="11">
        <f t="shared" si="188"/>
        <v>0</v>
      </c>
      <c r="P208" s="80">
        <f t="shared" si="207"/>
        <v>5.4228471376701828</v>
      </c>
      <c r="Q208" s="76">
        <f>VLOOKUP(C208,Others!$L$10:$M$61,2)</f>
        <v>0</v>
      </c>
      <c r="R208" s="11">
        <f t="shared" si="189"/>
        <v>0</v>
      </c>
      <c r="S208" s="80">
        <f t="shared" si="208"/>
        <v>0</v>
      </c>
      <c r="T208" s="78">
        <f t="shared" si="209"/>
        <v>3.3416666666666668E-5</v>
      </c>
      <c r="U208" s="81">
        <f t="shared" si="210"/>
        <v>4.5190392813918191E-4</v>
      </c>
      <c r="V208" s="81">
        <f t="shared" si="211"/>
        <v>0</v>
      </c>
      <c r="W208" s="77">
        <f t="shared" si="190"/>
        <v>0.80090697943406641</v>
      </c>
      <c r="X208" s="82">
        <f t="shared" si="212"/>
        <v>2.6757594265378295E-5</v>
      </c>
      <c r="Y208" s="82">
        <f t="shared" si="213"/>
        <v>3.6192696278296483E-4</v>
      </c>
      <c r="Z208" s="82">
        <f t="shared" si="214"/>
        <v>0</v>
      </c>
      <c r="AA208" s="82">
        <f t="shared" si="215"/>
        <v>0.80051829487701809</v>
      </c>
      <c r="AC208" s="46">
        <f t="shared" si="191"/>
        <v>0</v>
      </c>
      <c r="AD208" s="15">
        <f t="shared" si="192"/>
        <v>0</v>
      </c>
      <c r="AE208" s="46">
        <f t="shared" si="216"/>
        <v>0</v>
      </c>
      <c r="AF208" s="15">
        <f t="shared" si="217"/>
        <v>0</v>
      </c>
      <c r="AG208" s="46">
        <f>SUMPRODUCT(AE209:AE$605, $I208:$I$604) / $I208</f>
        <v>0</v>
      </c>
      <c r="AI208" s="46">
        <f t="shared" si="193"/>
        <v>-47000</v>
      </c>
      <c r="AJ208" s="46">
        <f>IF(E208&gt;Mat_Year,0,  -SUM($AD$5:AD208))</f>
        <v>-9306</v>
      </c>
      <c r="AK208" s="24">
        <f t="shared" si="218"/>
        <v>-0.24900617223361041</v>
      </c>
      <c r="AL208" s="79">
        <f t="shared" si="219"/>
        <v>-17.010567250799348</v>
      </c>
      <c r="AM208" s="24">
        <f t="shared" si="220"/>
        <v>-21.550034980627647</v>
      </c>
      <c r="AN208" s="79">
        <f t="shared" si="221"/>
        <v>-17.259573423032958</v>
      </c>
      <c r="AO208" s="15">
        <f t="shared" si="222"/>
        <v>-828.02887466171114</v>
      </c>
      <c r="AP208" s="46">
        <f>SUMPRODUCT(AN209:AN$605, $I209:$I$605) / $I208</f>
        <v>-663.1741048895002</v>
      </c>
      <c r="AR208" s="46">
        <v>0</v>
      </c>
      <c r="AS208" s="46">
        <v>0</v>
      </c>
      <c r="AT208" s="46">
        <v>0</v>
      </c>
      <c r="AU208" s="95">
        <f t="shared" si="194"/>
        <v>-2.1867417476217725</v>
      </c>
      <c r="AV208" s="47">
        <f t="shared" si="195"/>
        <v>0</v>
      </c>
      <c r="AW208" s="96">
        <f t="shared" si="230"/>
        <v>-2.1867417476217725</v>
      </c>
      <c r="AX208" s="95">
        <f t="shared" si="196"/>
        <v>-25.074638706062988</v>
      </c>
      <c r="AY208" s="11">
        <f t="shared" si="197"/>
        <v>0</v>
      </c>
      <c r="AZ208" s="96">
        <f t="shared" si="231"/>
        <v>-25.074638706062988</v>
      </c>
      <c r="BA208" s="95">
        <f t="shared" si="232"/>
        <v>-1.7513767278901253</v>
      </c>
      <c r="BB208" s="64">
        <f t="shared" si="233"/>
        <v>-9.7461248386133317E-3</v>
      </c>
      <c r="BC208" s="95">
        <f t="shared" si="234"/>
        <v>-2.1867417476217725</v>
      </c>
      <c r="BD208" s="96">
        <f t="shared" si="235"/>
        <v>-1.2168859916166667E-2</v>
      </c>
      <c r="BE208" s="96">
        <f t="shared" si="236"/>
        <v>-1.7513767278901253</v>
      </c>
      <c r="BF208" s="96">
        <f t="shared" si="237"/>
        <v>-9.7461248386133317E-3</v>
      </c>
      <c r="BG208" s="15">
        <f t="shared" si="223"/>
        <v>-87.496932206954725</v>
      </c>
      <c r="BH208" s="46">
        <f>(SUMPRODUCT(BE209:BE$605,$I208:$I$604)+SUMPRODUCT(BF209:BF$605,$I209:$I$605)) / $I208</f>
        <v>-70.076903683619392</v>
      </c>
      <c r="BJ208" s="46">
        <f t="shared" si="181"/>
        <v>-1.7513767278901253</v>
      </c>
      <c r="BK208" s="46">
        <f t="shared" si="182"/>
        <v>-17.269319547871572</v>
      </c>
      <c r="BM208" s="49">
        <f t="shared" si="224"/>
        <v>915.97033230298291</v>
      </c>
      <c r="BN208" s="46">
        <f t="shared" si="183"/>
        <v>733.25100857311952</v>
      </c>
      <c r="BP208" s="46">
        <f>Reserve!BX208</f>
        <v>1207.972046994063</v>
      </c>
      <c r="BQ208" s="46">
        <f t="shared" si="198"/>
        <v>967.0037233187885</v>
      </c>
      <c r="BR208" s="15">
        <f t="shared" si="225"/>
        <v>22.077874020224272</v>
      </c>
      <c r="BT208" s="49">
        <f t="shared" si="226"/>
        <v>4.1042024195599538</v>
      </c>
      <c r="BU208" s="46">
        <f t="shared" si="199"/>
        <v>3.2870843628357496</v>
      </c>
      <c r="BV208" s="46">
        <f>SUMPRODUCT(BU209:BU$605, $I209:$I$605) / $I208</f>
        <v>66.585420358836501</v>
      </c>
      <c r="BX208" s="46">
        <f>-BZ208*Others!$Q$43</f>
        <v>-1.6241310994683709</v>
      </c>
      <c r="BZ208" s="50">
        <f t="shared" si="184"/>
        <v>6.3442621072983236</v>
      </c>
      <c r="CA208" s="46">
        <f t="shared" si="227"/>
        <v>4.720131007829953</v>
      </c>
      <c r="CB208" s="46">
        <f t="shared" si="200"/>
        <v>4.720131007829953</v>
      </c>
      <c r="CD208" s="46">
        <f>SUMPRODUCT(BZ209:BZ$605, $I209:$I$605) / $I208</f>
        <v>233.75271474566881</v>
      </c>
      <c r="CE208" s="46">
        <f>SUMPRODUCT(CA209:CA$605, $I209:$I$605) / $I208</f>
        <v>173.91201977077753</v>
      </c>
      <c r="CF208" s="46">
        <f>SUMPRODUCT(CB209:CB$605, $I209:$I$605) / $I208</f>
        <v>173.91201977077753</v>
      </c>
      <c r="CH208" s="46">
        <f t="shared" si="201"/>
        <v>45792.027953005934</v>
      </c>
      <c r="CI208" s="46">
        <f t="shared" si="202"/>
        <v>8098.027953005937</v>
      </c>
      <c r="CK208" s="46">
        <f>NPV((1+CK$3)^(1/12)-1,$CB$6:$CB208)+$CB$5</f>
        <v>1302.3274803732597</v>
      </c>
      <c r="CL208" s="46">
        <f>NPV((1+CL$3)^(1/12)-1,$CB$6:$CB208)+$CB$5</f>
        <v>982.17090927060281</v>
      </c>
      <c r="CM208" s="46">
        <f>NPV((1+CM$3)^(1/12)-1,$CB$6:$CB208)+$CB$5</f>
        <v>431.06147823029755</v>
      </c>
      <c r="CN208" s="46">
        <f>NPV((1+CN$3)^(1/12)-1,$CB$6:$CB208)+$CB$5</f>
        <v>431.06147823029755</v>
      </c>
    </row>
    <row r="209" spans="1:92" x14ac:dyDescent="0.25">
      <c r="A209" s="61">
        <f t="shared" si="185"/>
        <v>17.000000000000028</v>
      </c>
      <c r="B209" s="32">
        <f t="shared" si="203"/>
        <v>12</v>
      </c>
      <c r="C209" s="62">
        <f t="shared" si="204"/>
        <v>17</v>
      </c>
      <c r="D209" s="64">
        <f t="shared" si="205"/>
        <v>17.500000000000028</v>
      </c>
      <c r="E209" s="28">
        <f t="shared" si="186"/>
        <v>17</v>
      </c>
      <c r="G209" s="68">
        <f>INDEX(Others!$D$11:$E$60, MATCH(C209, Others!$A$11:$A$60, 0), MATCH(G$3, Others!$D$10:$E$10, 0))</f>
        <v>4.0690909090909111E-2</v>
      </c>
      <c r="H209" s="16">
        <f t="shared" si="228"/>
        <v>3.329265421250005E-3</v>
      </c>
      <c r="I209" s="69">
        <f t="shared" si="229"/>
        <v>0.50760987950870728</v>
      </c>
      <c r="K209" s="80">
        <f>INDEX(Mortality!$B$7:$F$32, MATCH( E209,Mortality!$A$7:$A$32, 0), MATCH( K$3,Mortality!$B$6:$F$6,0))</f>
        <v>0.40099999999999997</v>
      </c>
      <c r="L209" s="11">
        <f t="shared" si="187"/>
        <v>0</v>
      </c>
      <c r="M209" s="80">
        <f t="shared" si="206"/>
        <v>0.40099999999999997</v>
      </c>
      <c r="N209" s="76">
        <f>INDEX(Myopia!$H:$H, MATCH(E209, Myopia!$A:$A, 0)) * Trend_Factor^(A209)</f>
        <v>5.4228471376701828</v>
      </c>
      <c r="O209" s="11">
        <f t="shared" si="188"/>
        <v>0</v>
      </c>
      <c r="P209" s="80">
        <f t="shared" si="207"/>
        <v>5.4228471376701828</v>
      </c>
      <c r="Q209" s="76">
        <f>VLOOKUP(C209,Others!$L$10:$M$61,2)</f>
        <v>0</v>
      </c>
      <c r="R209" s="11">
        <f t="shared" si="189"/>
        <v>0</v>
      </c>
      <c r="S209" s="80">
        <f t="shared" si="208"/>
        <v>0</v>
      </c>
      <c r="T209" s="78">
        <f t="shared" si="209"/>
        <v>3.3416666666666668E-5</v>
      </c>
      <c r="U209" s="81">
        <f t="shared" si="210"/>
        <v>4.5190392813918191E-4</v>
      </c>
      <c r="V209" s="81">
        <f t="shared" si="211"/>
        <v>0</v>
      </c>
      <c r="W209" s="77">
        <f t="shared" si="190"/>
        <v>0.80051829487701809</v>
      </c>
      <c r="X209" s="82">
        <f t="shared" si="212"/>
        <v>2.6744608657883568E-5</v>
      </c>
      <c r="Y209" s="82">
        <f t="shared" si="213"/>
        <v>3.6175131763961432E-4</v>
      </c>
      <c r="Z209" s="82">
        <f t="shared" si="214"/>
        <v>0</v>
      </c>
      <c r="AA209" s="82">
        <f t="shared" si="215"/>
        <v>0.80012979895072056</v>
      </c>
      <c r="AC209" s="46">
        <f t="shared" si="191"/>
        <v>0</v>
      </c>
      <c r="AD209" s="15">
        <f t="shared" si="192"/>
        <v>0</v>
      </c>
      <c r="AE209" s="46">
        <f t="shared" si="216"/>
        <v>0</v>
      </c>
      <c r="AF209" s="15">
        <f t="shared" si="217"/>
        <v>0</v>
      </c>
      <c r="AG209" s="46">
        <f>SUMPRODUCT(AE210:AE$605, $I209:$I$604) / $I209</f>
        <v>0</v>
      </c>
      <c r="AI209" s="46">
        <f t="shared" si="193"/>
        <v>-47000</v>
      </c>
      <c r="AJ209" s="46">
        <f>IF(E209&gt;Mat_Year,0,  -SUM($AD$5:AD209))</f>
        <v>-9306</v>
      </c>
      <c r="AK209" s="24">
        <f t="shared" si="218"/>
        <v>-0.24888532817026449</v>
      </c>
      <c r="AL209" s="79">
        <f t="shared" si="219"/>
        <v>-17.002311929061872</v>
      </c>
      <c r="AM209" s="24">
        <f t="shared" si="220"/>
        <v>-21.550034980627643</v>
      </c>
      <c r="AN209" s="79">
        <f t="shared" si="221"/>
        <v>-17.251197257232135</v>
      </c>
      <c r="AO209" s="15">
        <f t="shared" si="222"/>
        <v>-809.63894816109848</v>
      </c>
      <c r="AP209" s="46">
        <f>SUMPRODUCT(AN210:AN$605, $I210:$I$605) / $I209</f>
        <v>-648.13079024794501</v>
      </c>
      <c r="AR209" s="46">
        <v>0</v>
      </c>
      <c r="AS209" s="46">
        <v>0</v>
      </c>
      <c r="AT209" s="46">
        <v>0</v>
      </c>
      <c r="AU209" s="95">
        <f t="shared" si="194"/>
        <v>-2.1891867403241552</v>
      </c>
      <c r="AV209" s="47">
        <f t="shared" si="195"/>
        <v>0</v>
      </c>
      <c r="AW209" s="96">
        <f t="shared" si="230"/>
        <v>-2.1891867403241552</v>
      </c>
      <c r="AX209" s="95">
        <f t="shared" si="196"/>
        <v>-25.102674622383642</v>
      </c>
      <c r="AY209" s="11">
        <f t="shared" si="197"/>
        <v>0</v>
      </c>
      <c r="AZ209" s="96">
        <f t="shared" si="231"/>
        <v>-25.102674622383642</v>
      </c>
      <c r="BA209" s="95">
        <f t="shared" si="232"/>
        <v>-1.7524840365316701</v>
      </c>
      <c r="BB209" s="64">
        <f t="shared" si="233"/>
        <v>-9.7522868299676265E-3</v>
      </c>
      <c r="BC209" s="95">
        <f t="shared" si="234"/>
        <v>-2.1891867403241552</v>
      </c>
      <c r="BD209" s="96">
        <f t="shared" si="235"/>
        <v>-1.2182465900377517E-2</v>
      </c>
      <c r="BE209" s="96">
        <f t="shared" si="236"/>
        <v>-1.7524840365316701</v>
      </c>
      <c r="BF209" s="96">
        <f t="shared" si="237"/>
        <v>-9.7522868299676265E-3</v>
      </c>
      <c r="BG209" s="15">
        <f t="shared" si="223"/>
        <v>-85.622199925544209</v>
      </c>
      <c r="BH209" s="46">
        <f>(SUMPRODUCT(BE210:BE$605,$I209:$I$604)+SUMPRODUCT(BF210:BF$605,$I210:$I$605)) / $I209</f>
        <v>-68.542137488015797</v>
      </c>
      <c r="BJ209" s="46">
        <f t="shared" si="181"/>
        <v>-1.7524840365316701</v>
      </c>
      <c r="BK209" s="46">
        <f t="shared" si="182"/>
        <v>-17.260949544062104</v>
      </c>
      <c r="BM209" s="49">
        <f t="shared" si="224"/>
        <v>895.69583419564674</v>
      </c>
      <c r="BN209" s="46">
        <f t="shared" si="183"/>
        <v>716.6729277359608</v>
      </c>
      <c r="BP209" s="46">
        <f>Reserve!BX209</f>
        <v>1180.9020249452383</v>
      </c>
      <c r="BQ209" s="46">
        <f t="shared" si="198"/>
        <v>944.87489979993234</v>
      </c>
      <c r="BR209" s="15">
        <f t="shared" si="225"/>
        <v>22.128823518856166</v>
      </c>
      <c r="BT209" s="49">
        <f t="shared" si="226"/>
        <v>4.0143711821787003</v>
      </c>
      <c r="BU209" s="46">
        <f t="shared" si="199"/>
        <v>3.2135775737611323</v>
      </c>
      <c r="BV209" s="46">
        <f>SUMPRODUCT(BU210:BU$605, $I210:$I$605) / $I209</f>
        <v>63.593523322635463</v>
      </c>
      <c r="BX209" s="46">
        <f>-BZ209*Others!$Q$43</f>
        <v>-1.6202156830780223</v>
      </c>
      <c r="BZ209" s="50">
        <f t="shared" si="184"/>
        <v>6.3289675120235245</v>
      </c>
      <c r="CA209" s="46">
        <f t="shared" si="227"/>
        <v>4.7087518289455019</v>
      </c>
      <c r="CB209" s="46">
        <f t="shared" si="200"/>
        <v>4.7087518289455019</v>
      </c>
      <c r="CD209" s="46">
        <f>SUMPRODUCT(BZ210:BZ$605, $I210:$I$605) / $I209</f>
        <v>228.20197206397134</v>
      </c>
      <c r="CE209" s="46">
        <f>SUMPRODUCT(CA210:CA$605, $I210:$I$605) / $I209</f>
        <v>169.78226721559463</v>
      </c>
      <c r="CF209" s="46">
        <f>SUMPRODUCT(CB210:CB$605, $I210:$I$605) / $I209</f>
        <v>169.78226721559463</v>
      </c>
      <c r="CH209" s="46">
        <f t="shared" si="201"/>
        <v>45819.097975054763</v>
      </c>
      <c r="CI209" s="46">
        <f t="shared" si="202"/>
        <v>8125.0979750547613</v>
      </c>
      <c r="CK209" s="46">
        <f>NPV((1+CK$3)^(1/12)-1,$CB$6:$CB209)+$CB$5</f>
        <v>1305.1763526691732</v>
      </c>
      <c r="CL209" s="46">
        <f>NPV((1+CL$3)^(1/12)-1,$CB$6:$CB209)+$CB$5</f>
        <v>984.22532209635324</v>
      </c>
      <c r="CM209" s="46">
        <f>NPV((1+CM$3)^(1/12)-1,$CB$6:$CB209)+$CB$5</f>
        <v>431.99307967682807</v>
      </c>
      <c r="CN209" s="46">
        <f>NPV((1+CN$3)^(1/12)-1,$CB$6:$CB209)+$CB$5</f>
        <v>431.99307967682807</v>
      </c>
    </row>
    <row r="210" spans="1:92" x14ac:dyDescent="0.25">
      <c r="A210" s="61">
        <f t="shared" si="185"/>
        <v>17.083333333333361</v>
      </c>
      <c r="B210" s="32">
        <f t="shared" si="203"/>
        <v>1</v>
      </c>
      <c r="C210" s="62">
        <f t="shared" si="204"/>
        <v>18</v>
      </c>
      <c r="D210" s="64">
        <f t="shared" si="205"/>
        <v>17.583333333333361</v>
      </c>
      <c r="E210" s="28">
        <f t="shared" si="186"/>
        <v>17</v>
      </c>
      <c r="G210" s="68">
        <f>INDEX(Others!$D$11:$E$60, MATCH(C210, Others!$A$11:$A$60, 0), MATCH(G$3, Others!$D$10:$E$10, 0))</f>
        <v>4.0690909090909111E-2</v>
      </c>
      <c r="H210" s="16">
        <f t="shared" si="228"/>
        <v>3.329265421250005E-3</v>
      </c>
      <c r="I210" s="69">
        <f t="shared" si="229"/>
        <v>0.50592551917200002</v>
      </c>
      <c r="K210" s="80">
        <f>INDEX(Mortality!$B$7:$F$32, MATCH( E210,Mortality!$A$7:$A$32, 0), MATCH( K$3,Mortality!$B$6:$F$6,0))</f>
        <v>0.40099999999999997</v>
      </c>
      <c r="L210" s="11">
        <f t="shared" si="187"/>
        <v>0</v>
      </c>
      <c r="M210" s="80">
        <f t="shared" si="206"/>
        <v>0.40099999999999997</v>
      </c>
      <c r="N210" s="76">
        <f>INDEX(Myopia!$H:$H, MATCH(E210, Myopia!$A:$A, 0)) * Trend_Factor^(A210)</f>
        <v>5.4228471376701828</v>
      </c>
      <c r="O210" s="11">
        <f t="shared" si="188"/>
        <v>0</v>
      </c>
      <c r="P210" s="80">
        <f t="shared" si="207"/>
        <v>5.4228471376701828</v>
      </c>
      <c r="Q210" s="76">
        <f>VLOOKUP(C210,Others!$L$10:$M$61,2)</f>
        <v>0</v>
      </c>
      <c r="R210" s="11">
        <f t="shared" si="189"/>
        <v>0</v>
      </c>
      <c r="S210" s="80">
        <f t="shared" si="208"/>
        <v>0</v>
      </c>
      <c r="T210" s="78">
        <f t="shared" si="209"/>
        <v>3.3416666666666668E-5</v>
      </c>
      <c r="U210" s="81">
        <f t="shared" si="210"/>
        <v>4.5190392813918191E-4</v>
      </c>
      <c r="V210" s="81">
        <f t="shared" si="211"/>
        <v>0</v>
      </c>
      <c r="W210" s="77">
        <f t="shared" si="190"/>
        <v>0.80012979895072056</v>
      </c>
      <c r="X210" s="82">
        <f t="shared" si="212"/>
        <v>2.6731629352375497E-5</v>
      </c>
      <c r="Y210" s="82">
        <f t="shared" si="213"/>
        <v>3.6157575773781671E-4</v>
      </c>
      <c r="Z210" s="82">
        <f t="shared" si="214"/>
        <v>0</v>
      </c>
      <c r="AA210" s="82">
        <f t="shared" si="215"/>
        <v>0.79974149156363039</v>
      </c>
      <c r="AC210" s="46">
        <f t="shared" si="191"/>
        <v>0</v>
      </c>
      <c r="AD210" s="15">
        <f t="shared" si="192"/>
        <v>0</v>
      </c>
      <c r="AE210" s="46">
        <f t="shared" si="216"/>
        <v>0</v>
      </c>
      <c r="AF210" s="15">
        <f t="shared" si="217"/>
        <v>0</v>
      </c>
      <c r="AG210" s="46">
        <f>SUMPRODUCT(AE211:AE$605, $I210:$I$604) / $I210</f>
        <v>0</v>
      </c>
      <c r="AI210" s="46">
        <f t="shared" si="193"/>
        <v>-47000</v>
      </c>
      <c r="AJ210" s="46">
        <f>IF(E210&gt;Mat_Year,0,  -SUM($AD$5:AD210))</f>
        <v>-9306</v>
      </c>
      <c r="AK210" s="24">
        <f t="shared" si="218"/>
        <v>-0.24876454275320636</v>
      </c>
      <c r="AL210" s="79">
        <f t="shared" si="219"/>
        <v>-16.994060613677384</v>
      </c>
      <c r="AM210" s="24">
        <f t="shared" si="220"/>
        <v>-21.550034980627643</v>
      </c>
      <c r="AN210" s="79">
        <f t="shared" si="221"/>
        <v>-17.242825156430591</v>
      </c>
      <c r="AO210" s="15">
        <f t="shared" si="222"/>
        <v>-791.17883792117505</v>
      </c>
      <c r="AP210" s="46">
        <f>SUMPRODUCT(AN211:AN$605, $I211:$I$605) / $I210</f>
        <v>-633.04576451993455</v>
      </c>
      <c r="AR210" s="46">
        <v>0</v>
      </c>
      <c r="AS210" s="46">
        <v>0</v>
      </c>
      <c r="AT210" s="46">
        <v>0</v>
      </c>
      <c r="AU210" s="95">
        <f t="shared" si="194"/>
        <v>-2.1916344667692496</v>
      </c>
      <c r="AV210" s="47">
        <f t="shared" si="195"/>
        <v>0</v>
      </c>
      <c r="AW210" s="96">
        <f t="shared" si="230"/>
        <v>-2.1916344667692496</v>
      </c>
      <c r="AX210" s="95">
        <f t="shared" si="196"/>
        <v>-25.130741885620726</v>
      </c>
      <c r="AY210" s="11">
        <f t="shared" si="197"/>
        <v>0</v>
      </c>
      <c r="AZ210" s="96">
        <f t="shared" si="231"/>
        <v>-25.130741885620726</v>
      </c>
      <c r="BA210" s="95">
        <f t="shared" si="232"/>
        <v>-1.7535920452695493</v>
      </c>
      <c r="BB210" s="64">
        <f t="shared" si="233"/>
        <v>-9.7584527172434338E-3</v>
      </c>
      <c r="BC210" s="95">
        <f t="shared" si="234"/>
        <v>-2.1916344667692496</v>
      </c>
      <c r="BD210" s="96">
        <f t="shared" si="235"/>
        <v>-1.2196087097419116E-2</v>
      </c>
      <c r="BE210" s="96">
        <f t="shared" si="236"/>
        <v>-1.7535920452695493</v>
      </c>
      <c r="BF210" s="96">
        <f t="shared" si="237"/>
        <v>-9.7584527172434338E-3</v>
      </c>
      <c r="BG210" s="15">
        <f t="shared" si="223"/>
        <v>-83.737843375876636</v>
      </c>
      <c r="BH210" s="46">
        <f>(SUMPRODUCT(BE211:BE$605,$I210:$I$604)+SUMPRODUCT(BF211:BF$605,$I211:$I$605)) / $I210</f>
        <v>-67.0011437849071</v>
      </c>
      <c r="BJ210" s="46">
        <f t="shared" si="181"/>
        <v>-1.7535920452695493</v>
      </c>
      <c r="BK210" s="46">
        <f t="shared" si="182"/>
        <v>-17.252583609147834</v>
      </c>
      <c r="BM210" s="49">
        <f t="shared" si="224"/>
        <v>875.34148933067218</v>
      </c>
      <c r="BN210" s="46">
        <f t="shared" si="183"/>
        <v>700.04690830484139</v>
      </c>
      <c r="BP210" s="46">
        <f>Reserve!BX210</f>
        <v>1153.7415420164623</v>
      </c>
      <c r="BQ210" s="46">
        <f t="shared" si="198"/>
        <v>922.69498169116855</v>
      </c>
      <c r="BR210" s="15">
        <f t="shared" si="225"/>
        <v>22.179918108763786</v>
      </c>
      <c r="BT210" s="49">
        <f t="shared" si="226"/>
        <v>3.9242397446880579</v>
      </c>
      <c r="BU210" s="46">
        <f t="shared" si="199"/>
        <v>3.1399011579516829</v>
      </c>
      <c r="BV210" s="46">
        <f>SUMPRODUCT(BU211:BU$605, $I211:$I$605) / $I210</f>
        <v>60.665341882897287</v>
      </c>
      <c r="BX210" s="46">
        <f>-BZ210*Others!$Q$43</f>
        <v>-1.6162927647483101</v>
      </c>
      <c r="BZ210" s="50">
        <f t="shared" si="184"/>
        <v>6.3136436122980859</v>
      </c>
      <c r="CA210" s="46">
        <f t="shared" si="227"/>
        <v>4.6973508475497763</v>
      </c>
      <c r="CB210" s="46">
        <f t="shared" si="200"/>
        <v>4.6973508475497763</v>
      </c>
      <c r="CD210" s="46">
        <f>SUMPRODUCT(BZ211:BZ$605, $I211:$I$605) / $I210</f>
        <v>222.6480733863269</v>
      </c>
      <c r="CE210" s="46">
        <f>SUMPRODUCT(CA211:CA$605, $I211:$I$605) / $I210</f>
        <v>165.65016659942714</v>
      </c>
      <c r="CF210" s="46">
        <f>SUMPRODUCT(CB211:CB$605, $I211:$I$605) / $I210</f>
        <v>165.65016659942714</v>
      </c>
      <c r="CH210" s="46">
        <f t="shared" si="201"/>
        <v>45846.258457983538</v>
      </c>
      <c r="CI210" s="46">
        <f t="shared" si="202"/>
        <v>8152.2584579835375</v>
      </c>
      <c r="CK210" s="46">
        <f>NPV((1+CK$3)^(1/12)-1,$CB$6:$CB210)+$CB$5</f>
        <v>1308.0113353517486</v>
      </c>
      <c r="CL210" s="46">
        <f>NPV((1+CL$3)^(1/12)-1,$CB$6:$CB210)+$CB$5</f>
        <v>986.26644492462538</v>
      </c>
      <c r="CM210" s="46">
        <f>NPV((1+CM$3)^(1/12)-1,$CB$6:$CB210)+$CB$5</f>
        <v>432.91507339260511</v>
      </c>
      <c r="CN210" s="46">
        <f>NPV((1+CN$3)^(1/12)-1,$CB$6:$CB210)+$CB$5</f>
        <v>432.91507339260511</v>
      </c>
    </row>
    <row r="211" spans="1:92" x14ac:dyDescent="0.25">
      <c r="A211" s="61">
        <f t="shared" si="185"/>
        <v>17.166666666666693</v>
      </c>
      <c r="B211" s="32">
        <f t="shared" si="203"/>
        <v>2</v>
      </c>
      <c r="C211" s="62">
        <f t="shared" si="204"/>
        <v>18</v>
      </c>
      <c r="D211" s="64">
        <f t="shared" si="205"/>
        <v>17.666666666666693</v>
      </c>
      <c r="E211" s="28">
        <f t="shared" si="186"/>
        <v>17</v>
      </c>
      <c r="G211" s="68">
        <f>INDEX(Others!$D$11:$E$60, MATCH(C211, Others!$A$11:$A$60, 0), MATCH(G$3, Others!$D$10:$E$10, 0))</f>
        <v>4.0690909090909111E-2</v>
      </c>
      <c r="H211" s="16">
        <f t="shared" si="228"/>
        <v>3.329265421250005E-3</v>
      </c>
      <c r="I211" s="69">
        <f t="shared" si="229"/>
        <v>0.50424674791040414</v>
      </c>
      <c r="K211" s="80">
        <f>INDEX(Mortality!$B$7:$F$32, MATCH( E211,Mortality!$A$7:$A$32, 0), MATCH( K$3,Mortality!$B$6:$F$6,0))</f>
        <v>0.40099999999999997</v>
      </c>
      <c r="L211" s="11">
        <f t="shared" si="187"/>
        <v>0</v>
      </c>
      <c r="M211" s="80">
        <f t="shared" si="206"/>
        <v>0.40099999999999997</v>
      </c>
      <c r="N211" s="76">
        <f>INDEX(Myopia!$H:$H, MATCH(E211, Myopia!$A:$A, 0)) * Trend_Factor^(A211)</f>
        <v>5.4228471376701828</v>
      </c>
      <c r="O211" s="11">
        <f t="shared" si="188"/>
        <v>0</v>
      </c>
      <c r="P211" s="80">
        <f t="shared" si="207"/>
        <v>5.4228471376701828</v>
      </c>
      <c r="Q211" s="76">
        <f>VLOOKUP(C211,Others!$L$10:$M$61,2)</f>
        <v>0</v>
      </c>
      <c r="R211" s="11">
        <f t="shared" si="189"/>
        <v>0</v>
      </c>
      <c r="S211" s="80">
        <f t="shared" si="208"/>
        <v>0</v>
      </c>
      <c r="T211" s="78">
        <f t="shared" si="209"/>
        <v>3.3416666666666668E-5</v>
      </c>
      <c r="U211" s="81">
        <f t="shared" si="210"/>
        <v>4.5190392813918191E-4</v>
      </c>
      <c r="V211" s="81">
        <f t="shared" si="211"/>
        <v>0</v>
      </c>
      <c r="W211" s="77">
        <f t="shared" si="190"/>
        <v>0.79974149156363039</v>
      </c>
      <c r="X211" s="82">
        <f t="shared" si="212"/>
        <v>2.6718656345795693E-5</v>
      </c>
      <c r="Y211" s="82">
        <f t="shared" si="213"/>
        <v>3.6140028303620401E-4</v>
      </c>
      <c r="Z211" s="82">
        <f t="shared" si="214"/>
        <v>0</v>
      </c>
      <c r="AA211" s="82">
        <f t="shared" si="215"/>
        <v>0.79935337262424844</v>
      </c>
      <c r="AC211" s="46">
        <f t="shared" si="191"/>
        <v>0</v>
      </c>
      <c r="AD211" s="15">
        <f t="shared" si="192"/>
        <v>0</v>
      </c>
      <c r="AE211" s="46">
        <f t="shared" si="216"/>
        <v>0</v>
      </c>
      <c r="AF211" s="15">
        <f t="shared" si="217"/>
        <v>0</v>
      </c>
      <c r="AG211" s="46">
        <f>SUMPRODUCT(AE212:AE$605, $I211:$I$604) / $I211</f>
        <v>0</v>
      </c>
      <c r="AI211" s="46">
        <f t="shared" si="193"/>
        <v>-47000</v>
      </c>
      <c r="AJ211" s="46">
        <f>IF(E211&gt;Mat_Year,0,  -SUM($AD$5:AD211))</f>
        <v>-9306</v>
      </c>
      <c r="AK211" s="24">
        <f t="shared" si="218"/>
        <v>-0.24864381595397472</v>
      </c>
      <c r="AL211" s="79">
        <f t="shared" si="219"/>
        <v>-16.98581330270159</v>
      </c>
      <c r="AM211" s="24">
        <f t="shared" si="220"/>
        <v>-21.550034980627647</v>
      </c>
      <c r="AN211" s="79">
        <f t="shared" si="221"/>
        <v>-17.234457118655566</v>
      </c>
      <c r="AO211" s="15">
        <f t="shared" si="222"/>
        <v>-772.64827609109977</v>
      </c>
      <c r="AP211" s="46">
        <f>SUMPRODUCT(AN212:AN$605, $I212:$I$605) / $I211</f>
        <v>-617.91888477516386</v>
      </c>
      <c r="AR211" s="46">
        <v>0</v>
      </c>
      <c r="AS211" s="46">
        <v>0</v>
      </c>
      <c r="AT211" s="46">
        <v>0</v>
      </c>
      <c r="AU211" s="95">
        <f t="shared" si="194"/>
        <v>-2.1940849300136493</v>
      </c>
      <c r="AV211" s="47">
        <f t="shared" si="195"/>
        <v>0</v>
      </c>
      <c r="AW211" s="96">
        <f t="shared" si="230"/>
        <v>-2.1940849300136493</v>
      </c>
      <c r="AX211" s="95">
        <f t="shared" si="196"/>
        <v>-25.158840530823174</v>
      </c>
      <c r="AY211" s="11">
        <f t="shared" si="197"/>
        <v>0</v>
      </c>
      <c r="AZ211" s="96">
        <f t="shared" si="231"/>
        <v>-25.158840530823174</v>
      </c>
      <c r="BA211" s="95">
        <f t="shared" si="232"/>
        <v>-1.7547007545463995</v>
      </c>
      <c r="BB211" s="64">
        <f t="shared" si="233"/>
        <v>-9.7646225029039569E-3</v>
      </c>
      <c r="BC211" s="95">
        <f t="shared" si="234"/>
        <v>-2.1940849300136493</v>
      </c>
      <c r="BD211" s="96">
        <f t="shared" si="235"/>
        <v>-1.2209723524300912E-2</v>
      </c>
      <c r="BE211" s="96">
        <f t="shared" si="236"/>
        <v>-1.7547007545463995</v>
      </c>
      <c r="BF211" s="96">
        <f t="shared" si="237"/>
        <v>-9.7646225029039569E-3</v>
      </c>
      <c r="BG211" s="15">
        <f t="shared" si="223"/>
        <v>-81.843823066532238</v>
      </c>
      <c r="BH211" s="46">
        <f>(SUMPRODUCT(BE212:BE$605,$I211:$I$604)+SUMPRODUCT(BF212:BF$605,$I212:$I$605)) / $I211</f>
        <v>-65.453901134498352</v>
      </c>
      <c r="BJ211" s="46">
        <f t="shared" si="181"/>
        <v>-1.7547007545463995</v>
      </c>
      <c r="BK211" s="46">
        <f t="shared" si="182"/>
        <v>-17.244221741158469</v>
      </c>
      <c r="BM211" s="49">
        <f t="shared" si="224"/>
        <v>854.9069902165719</v>
      </c>
      <c r="BN211" s="46">
        <f t="shared" si="183"/>
        <v>683.37278590966207</v>
      </c>
      <c r="BP211" s="46">
        <f>Reserve!BX211</f>
        <v>1126.4903037266038</v>
      </c>
      <c r="BQ211" s="46">
        <f t="shared" si="198"/>
        <v>900.46382351237469</v>
      </c>
      <c r="BR211" s="15">
        <f t="shared" si="225"/>
        <v>22.231158178793862</v>
      </c>
      <c r="BT211" s="49">
        <f t="shared" si="226"/>
        <v>3.8338071298062877</v>
      </c>
      <c r="BU211" s="46">
        <f t="shared" si="199"/>
        <v>3.0660546323585613</v>
      </c>
      <c r="BV211" s="46">
        <f>SUMPRODUCT(BU212:BU$605, $I212:$I$605) / $I211</f>
        <v>57.801258275537769</v>
      </c>
      <c r="BX211" s="46">
        <f>-BZ211*Others!$Q$43</f>
        <v>-1.6123623207545743</v>
      </c>
      <c r="BZ211" s="50">
        <f t="shared" si="184"/>
        <v>6.2982903154475558</v>
      </c>
      <c r="CA211" s="46">
        <f t="shared" si="227"/>
        <v>4.6859279946929817</v>
      </c>
      <c r="CB211" s="46">
        <f t="shared" si="200"/>
        <v>4.6859279946929817</v>
      </c>
      <c r="CD211" s="46">
        <f>SUMPRODUCT(BZ212:BZ$605, $I212:$I$605) / $I211</f>
        <v>217.09103760271236</v>
      </c>
      <c r="CE211" s="46">
        <f>SUMPRODUCT(CA212:CA$605, $I212:$I$605) / $I211</f>
        <v>161.51573197641795</v>
      </c>
      <c r="CF211" s="46">
        <f>SUMPRODUCT(CB212:CB$605, $I212:$I$605) / $I211</f>
        <v>161.51573197641795</v>
      </c>
      <c r="CH211" s="46">
        <f t="shared" si="201"/>
        <v>45873.509696273395</v>
      </c>
      <c r="CI211" s="46">
        <f t="shared" si="202"/>
        <v>8179.509696273396</v>
      </c>
      <c r="CK211" s="46">
        <f>NPV((1+CK$3)^(1/12)-1,$CB$6:$CB211)+$CB$5</f>
        <v>1310.8324663528672</v>
      </c>
      <c r="CL211" s="46">
        <f>NPV((1+CL$3)^(1/12)-1,$CB$6:$CB211)+$CB$5</f>
        <v>988.29434231707455</v>
      </c>
      <c r="CM211" s="46">
        <f>NPV((1+CM$3)^(1/12)-1,$CB$6:$CB211)+$CB$5</f>
        <v>433.82754882916834</v>
      </c>
      <c r="CN211" s="46">
        <f>NPV((1+CN$3)^(1/12)-1,$CB$6:$CB211)+$CB$5</f>
        <v>433.82754882916834</v>
      </c>
    </row>
    <row r="212" spans="1:92" x14ac:dyDescent="0.25">
      <c r="A212" s="61">
        <f t="shared" si="185"/>
        <v>17.250000000000025</v>
      </c>
      <c r="B212" s="32">
        <f t="shared" si="203"/>
        <v>3</v>
      </c>
      <c r="C212" s="62">
        <f t="shared" si="204"/>
        <v>18</v>
      </c>
      <c r="D212" s="64">
        <f t="shared" si="205"/>
        <v>17.750000000000025</v>
      </c>
      <c r="E212" s="28">
        <f t="shared" si="186"/>
        <v>17</v>
      </c>
      <c r="G212" s="68">
        <f>INDEX(Others!$D$11:$E$60, MATCH(C212, Others!$A$11:$A$60, 0), MATCH(G$3, Others!$D$10:$E$10, 0))</f>
        <v>4.0690909090909111E-2</v>
      </c>
      <c r="H212" s="16">
        <f t="shared" si="228"/>
        <v>3.329265421250005E-3</v>
      </c>
      <c r="I212" s="69">
        <f t="shared" si="229"/>
        <v>0.50257354717814895</v>
      </c>
      <c r="K212" s="80">
        <f>INDEX(Mortality!$B$7:$F$32, MATCH( E212,Mortality!$A$7:$A$32, 0), MATCH( K$3,Mortality!$B$6:$F$6,0))</f>
        <v>0.40099999999999997</v>
      </c>
      <c r="L212" s="11">
        <f t="shared" si="187"/>
        <v>0</v>
      </c>
      <c r="M212" s="80">
        <f t="shared" si="206"/>
        <v>0.40099999999999997</v>
      </c>
      <c r="N212" s="76">
        <f>INDEX(Myopia!$H:$H, MATCH(E212, Myopia!$A:$A, 0)) * Trend_Factor^(A212)</f>
        <v>5.4228471376701828</v>
      </c>
      <c r="O212" s="11">
        <f t="shared" si="188"/>
        <v>0</v>
      </c>
      <c r="P212" s="80">
        <f t="shared" si="207"/>
        <v>5.4228471376701828</v>
      </c>
      <c r="Q212" s="76">
        <f>VLOOKUP(C212,Others!$L$10:$M$61,2)</f>
        <v>0</v>
      </c>
      <c r="R212" s="11">
        <f t="shared" si="189"/>
        <v>0</v>
      </c>
      <c r="S212" s="80">
        <f t="shared" si="208"/>
        <v>0</v>
      </c>
      <c r="T212" s="78">
        <f t="shared" si="209"/>
        <v>3.3416666666666668E-5</v>
      </c>
      <c r="U212" s="81">
        <f t="shared" si="210"/>
        <v>4.5190392813918191E-4</v>
      </c>
      <c r="V212" s="81">
        <f t="shared" si="211"/>
        <v>0</v>
      </c>
      <c r="W212" s="77">
        <f t="shared" si="190"/>
        <v>0.79935337262424844</v>
      </c>
      <c r="X212" s="82">
        <f t="shared" si="212"/>
        <v>2.6705689635087256E-5</v>
      </c>
      <c r="Y212" s="82">
        <f t="shared" si="213"/>
        <v>3.61224893493428E-4</v>
      </c>
      <c r="Z212" s="82">
        <f t="shared" si="214"/>
        <v>0</v>
      </c>
      <c r="AA212" s="82">
        <f t="shared" si="215"/>
        <v>0.79896544204111997</v>
      </c>
      <c r="AC212" s="46">
        <f t="shared" si="191"/>
        <v>0</v>
      </c>
      <c r="AD212" s="15">
        <f t="shared" si="192"/>
        <v>0</v>
      </c>
      <c r="AE212" s="46">
        <f t="shared" si="216"/>
        <v>0</v>
      </c>
      <c r="AF212" s="15">
        <f t="shared" si="217"/>
        <v>0</v>
      </c>
      <c r="AG212" s="46">
        <f>SUMPRODUCT(AE213:AE$605, $I212:$I$604) / $I212</f>
        <v>0</v>
      </c>
      <c r="AI212" s="46">
        <f t="shared" si="193"/>
        <v>-47000</v>
      </c>
      <c r="AJ212" s="46">
        <f>IF(E212&gt;Mat_Year,0,  -SUM($AD$5:AD212))</f>
        <v>-9306</v>
      </c>
      <c r="AK212" s="24">
        <f t="shared" si="218"/>
        <v>-0.24852314774412201</v>
      </c>
      <c r="AL212" s="79">
        <f t="shared" si="219"/>
        <v>-16.977569994191118</v>
      </c>
      <c r="AM212" s="24">
        <f t="shared" si="220"/>
        <v>-21.550034980627647</v>
      </c>
      <c r="AN212" s="79">
        <f t="shared" si="221"/>
        <v>-17.226093141935241</v>
      </c>
      <c r="AO212" s="15">
        <f t="shared" si="222"/>
        <v>-754.04699379780106</v>
      </c>
      <c r="AP212" s="46">
        <f>SUMPRODUCT(AN213:AN$605, $I213:$I$605) / $I212</f>
        <v>-602.75000760944806</v>
      </c>
      <c r="AR212" s="46">
        <v>0</v>
      </c>
      <c r="AS212" s="46">
        <v>0</v>
      </c>
      <c r="AT212" s="46">
        <v>0</v>
      </c>
      <c r="AU212" s="95">
        <f t="shared" si="194"/>
        <v>-2.196538133117365</v>
      </c>
      <c r="AV212" s="47">
        <f t="shared" si="195"/>
        <v>0</v>
      </c>
      <c r="AW212" s="96">
        <f t="shared" si="230"/>
        <v>-2.196538133117365</v>
      </c>
      <c r="AX212" s="95">
        <f t="shared" si="196"/>
        <v>-25.186970593079117</v>
      </c>
      <c r="AY212" s="11">
        <f t="shared" si="197"/>
        <v>0</v>
      </c>
      <c r="AZ212" s="96">
        <f t="shared" si="231"/>
        <v>-25.186970593079117</v>
      </c>
      <c r="BA212" s="95">
        <f t="shared" si="232"/>
        <v>-1.7558101648051361</v>
      </c>
      <c r="BB212" s="64">
        <f t="shared" si="233"/>
        <v>-9.7707961894139463E-3</v>
      </c>
      <c r="BC212" s="95">
        <f t="shared" si="234"/>
        <v>-2.196538133117365</v>
      </c>
      <c r="BD212" s="96">
        <f t="shared" si="235"/>
        <v>-1.2223375198051362E-2</v>
      </c>
      <c r="BE212" s="96">
        <f t="shared" si="236"/>
        <v>-1.7558101648051361</v>
      </c>
      <c r="BF212" s="96">
        <f t="shared" si="237"/>
        <v>-9.7707961894139463E-3</v>
      </c>
      <c r="BG212" s="15">
        <f t="shared" si="223"/>
        <v>-79.940099352287902</v>
      </c>
      <c r="BH212" s="46">
        <f>(SUMPRODUCT(BE213:BE$605,$I212:$I$604)+SUMPRODUCT(BF213:BF$605,$I213:$I$605)) / $I212</f>
        <v>-63.900388025168837</v>
      </c>
      <c r="BJ212" s="46">
        <f t="shared" si="181"/>
        <v>-1.7558101648051361</v>
      </c>
      <c r="BK212" s="46">
        <f t="shared" si="182"/>
        <v>-17.235863938124655</v>
      </c>
      <c r="BM212" s="49">
        <f t="shared" si="224"/>
        <v>834.39202818525223</v>
      </c>
      <c r="BN212" s="46">
        <f t="shared" si="183"/>
        <v>666.65039563461664</v>
      </c>
      <c r="BP212" s="46">
        <f>Reserve!BX212</f>
        <v>1099.1480146501058</v>
      </c>
      <c r="BQ212" s="46">
        <f t="shared" si="198"/>
        <v>878.18127939354122</v>
      </c>
      <c r="BR212" s="15">
        <f t="shared" si="225"/>
        <v>22.282544118833471</v>
      </c>
      <c r="BT212" s="49">
        <f t="shared" si="226"/>
        <v>3.7430723571173532</v>
      </c>
      <c r="BU212" s="46">
        <f t="shared" si="199"/>
        <v>2.9920375126383516</v>
      </c>
      <c r="BV212" s="46">
        <f>SUMPRODUCT(BU213:BU$605, $I213:$I$605) / $I212</f>
        <v>55.001656493380906</v>
      </c>
      <c r="BX212" s="46">
        <f>-BZ212*Others!$Q$43</f>
        <v>-1.6084243273067595</v>
      </c>
      <c r="BZ212" s="50">
        <f t="shared" si="184"/>
        <v>6.2829075285420295</v>
      </c>
      <c r="CA212" s="46">
        <f t="shared" si="227"/>
        <v>4.6744832012352697</v>
      </c>
      <c r="CB212" s="46">
        <f t="shared" si="200"/>
        <v>4.6744832012352697</v>
      </c>
      <c r="CD212" s="46">
        <f>SUMPRODUCT(BZ213:BZ$605, $I213:$I$605) / $I212</f>
        <v>211.53088375892435</v>
      </c>
      <c r="CE212" s="46">
        <f>SUMPRODUCT(CA213:CA$605, $I213:$I$605) / $I212</f>
        <v>157.37897751663965</v>
      </c>
      <c r="CF212" s="46">
        <f>SUMPRODUCT(CB213:CB$605, $I213:$I$605) / $I212</f>
        <v>157.37897751663965</v>
      </c>
      <c r="CH212" s="46">
        <f t="shared" si="201"/>
        <v>45900.851985349895</v>
      </c>
      <c r="CI212" s="46">
        <f t="shared" si="202"/>
        <v>8206.8519853498947</v>
      </c>
      <c r="CK212" s="46">
        <f>NPV((1+CK$3)^(1/12)-1,$CB$6:$CB212)+$CB$5</f>
        <v>1313.6397834927104</v>
      </c>
      <c r="CL212" s="46">
        <f>NPV((1+CL$3)^(1/12)-1,$CB$6:$CB212)+$CB$5</f>
        <v>990.30907853883991</v>
      </c>
      <c r="CM212" s="46">
        <f>NPV((1+CM$3)^(1/12)-1,$CB$6:$CB212)+$CB$5</f>
        <v>434.73059464437915</v>
      </c>
      <c r="CN212" s="46">
        <f>NPV((1+CN$3)^(1/12)-1,$CB$6:$CB212)+$CB$5</f>
        <v>434.73059464437915</v>
      </c>
    </row>
    <row r="213" spans="1:92" x14ac:dyDescent="0.25">
      <c r="A213" s="61">
        <f t="shared" si="185"/>
        <v>17.333333333333357</v>
      </c>
      <c r="B213" s="32">
        <f t="shared" si="203"/>
        <v>4</v>
      </c>
      <c r="C213" s="62">
        <f t="shared" si="204"/>
        <v>18</v>
      </c>
      <c r="D213" s="64">
        <f t="shared" si="205"/>
        <v>17.833333333333357</v>
      </c>
      <c r="E213" s="28">
        <f t="shared" si="186"/>
        <v>17</v>
      </c>
      <c r="G213" s="68">
        <f>INDEX(Others!$D$11:$E$60, MATCH(C213, Others!$A$11:$A$60, 0), MATCH(G$3, Others!$D$10:$E$10, 0))</f>
        <v>4.0690909090909111E-2</v>
      </c>
      <c r="H213" s="16">
        <f t="shared" si="228"/>
        <v>3.329265421250005E-3</v>
      </c>
      <c r="I213" s="69">
        <f t="shared" si="229"/>
        <v>0.50090589849100264</v>
      </c>
      <c r="K213" s="80">
        <f>INDEX(Mortality!$B$7:$F$32, MATCH( E213,Mortality!$A$7:$A$32, 0), MATCH( K$3,Mortality!$B$6:$F$6,0))</f>
        <v>0.40099999999999997</v>
      </c>
      <c r="L213" s="11">
        <f t="shared" si="187"/>
        <v>0</v>
      </c>
      <c r="M213" s="80">
        <f t="shared" si="206"/>
        <v>0.40099999999999997</v>
      </c>
      <c r="N213" s="76">
        <f>INDEX(Myopia!$H:$H, MATCH(E213, Myopia!$A:$A, 0)) * Trend_Factor^(A213)</f>
        <v>5.4228471376701828</v>
      </c>
      <c r="O213" s="11">
        <f t="shared" si="188"/>
        <v>0</v>
      </c>
      <c r="P213" s="80">
        <f t="shared" si="207"/>
        <v>5.4228471376701828</v>
      </c>
      <c r="Q213" s="76">
        <f>VLOOKUP(C213,Others!$L$10:$M$61,2)</f>
        <v>0</v>
      </c>
      <c r="R213" s="11">
        <f t="shared" si="189"/>
        <v>0</v>
      </c>
      <c r="S213" s="80">
        <f t="shared" si="208"/>
        <v>0</v>
      </c>
      <c r="T213" s="78">
        <f t="shared" si="209"/>
        <v>3.3416666666666668E-5</v>
      </c>
      <c r="U213" s="81">
        <f t="shared" si="210"/>
        <v>4.5190392813918191E-4</v>
      </c>
      <c r="V213" s="81">
        <f t="shared" si="211"/>
        <v>0</v>
      </c>
      <c r="W213" s="77">
        <f t="shared" si="190"/>
        <v>0.79896544204111997</v>
      </c>
      <c r="X213" s="82">
        <f t="shared" si="212"/>
        <v>2.6692729217194757E-5</v>
      </c>
      <c r="Y213" s="82">
        <f t="shared" si="213"/>
        <v>3.6104958906816063E-4</v>
      </c>
      <c r="Z213" s="82">
        <f t="shared" si="214"/>
        <v>0</v>
      </c>
      <c r="AA213" s="82">
        <f t="shared" si="215"/>
        <v>0.79857769972283466</v>
      </c>
      <c r="AC213" s="46">
        <f t="shared" si="191"/>
        <v>0</v>
      </c>
      <c r="AD213" s="15">
        <f t="shared" si="192"/>
        <v>0</v>
      </c>
      <c r="AE213" s="46">
        <f t="shared" si="216"/>
        <v>0</v>
      </c>
      <c r="AF213" s="15">
        <f t="shared" si="217"/>
        <v>0</v>
      </c>
      <c r="AG213" s="46">
        <f>SUMPRODUCT(AE214:AE$605, $I213:$I$604) / $I213</f>
        <v>0</v>
      </c>
      <c r="AI213" s="46">
        <f t="shared" si="193"/>
        <v>-47000</v>
      </c>
      <c r="AJ213" s="46">
        <f>IF(E213&gt;Mat_Year,0,  -SUM($AD$5:AD213))</f>
        <v>-9306</v>
      </c>
      <c r="AK213" s="24">
        <f t="shared" si="218"/>
        <v>-0.2484025380952144</v>
      </c>
      <c r="AL213" s="79">
        <f t="shared" si="219"/>
        <v>-16.969330686203548</v>
      </c>
      <c r="AM213" s="24">
        <f t="shared" si="220"/>
        <v>-21.550034980627643</v>
      </c>
      <c r="AN213" s="79">
        <f t="shared" si="221"/>
        <v>-17.217733224298762</v>
      </c>
      <c r="AO213" s="15">
        <f t="shared" si="222"/>
        <v>-735.37472114207299</v>
      </c>
      <c r="AP213" s="46">
        <f>SUMPRODUCT(AN214:AN$605, $I214:$I$605) / $I213</f>
        <v>-587.53898914314163</v>
      </c>
      <c r="AR213" s="46">
        <v>0</v>
      </c>
      <c r="AS213" s="46">
        <v>0</v>
      </c>
      <c r="AT213" s="46">
        <v>0</v>
      </c>
      <c r="AU213" s="95">
        <f t="shared" si="194"/>
        <v>-2.19899407914383</v>
      </c>
      <c r="AV213" s="47">
        <f t="shared" si="195"/>
        <v>0</v>
      </c>
      <c r="AW213" s="96">
        <f t="shared" si="230"/>
        <v>-2.19899407914383</v>
      </c>
      <c r="AX213" s="95">
        <f t="shared" si="196"/>
        <v>-25.215132107515917</v>
      </c>
      <c r="AY213" s="11">
        <f t="shared" si="197"/>
        <v>0</v>
      </c>
      <c r="AZ213" s="96">
        <f t="shared" si="231"/>
        <v>-25.215132107515917</v>
      </c>
      <c r="BA213" s="95">
        <f t="shared" si="232"/>
        <v>-1.7569202764889558</v>
      </c>
      <c r="BB213" s="64">
        <f t="shared" si="233"/>
        <v>-9.7769737792397209E-3</v>
      </c>
      <c r="BC213" s="95">
        <f t="shared" si="234"/>
        <v>-2.19899407914383</v>
      </c>
      <c r="BD213" s="96">
        <f t="shared" si="235"/>
        <v>-1.2237042135717973E-2</v>
      </c>
      <c r="BE213" s="96">
        <f t="shared" si="236"/>
        <v>-1.7569202764889558</v>
      </c>
      <c r="BF213" s="96">
        <f t="shared" si="237"/>
        <v>-9.7769737792397209E-3</v>
      </c>
      <c r="BG213" s="15">
        <f t="shared" si="223"/>
        <v>-78.026632433527013</v>
      </c>
      <c r="BH213" s="46">
        <f>(SUMPRODUCT(BE214:BE$605,$I213:$I$604)+SUMPRODUCT(BF214:BF$605,$I214:$I$605)) / $I213</f>
        <v>-62.340582873232897</v>
      </c>
      <c r="BJ213" s="46">
        <f t="shared" si="181"/>
        <v>-1.7569202764889558</v>
      </c>
      <c r="BK213" s="46">
        <f t="shared" si="182"/>
        <v>-17.227510198078001</v>
      </c>
      <c r="BM213" s="49">
        <f t="shared" si="224"/>
        <v>813.79629338751931</v>
      </c>
      <c r="BN213" s="46">
        <f t="shared" si="183"/>
        <v>649.87957201637425</v>
      </c>
      <c r="BP213" s="46">
        <f>Reserve!BX213</f>
        <v>1071.7143784139823</v>
      </c>
      <c r="BQ213" s="46">
        <f t="shared" si="198"/>
        <v>855.84720307372561</v>
      </c>
      <c r="BR213" s="15">
        <f t="shared" si="225"/>
        <v>22.334076319815608</v>
      </c>
      <c r="BT213" s="49">
        <f t="shared" si="226"/>
        <v>3.6520344430609644</v>
      </c>
      <c r="BU213" s="46">
        <f t="shared" si="199"/>
        <v>2.9178493131495986</v>
      </c>
      <c r="BV213" s="46">
        <f>SUMPRODUCT(BU214:BU$605, $I214:$I$605) / $I213</f>
        <v>52.266922293306195</v>
      </c>
      <c r="BX213" s="46">
        <f>-BZ213*Others!$Q$43</f>
        <v>-1.6044787605499524</v>
      </c>
      <c r="BZ213" s="50">
        <f t="shared" si="184"/>
        <v>6.2674951583982512</v>
      </c>
      <c r="CA213" s="46">
        <f t="shared" si="227"/>
        <v>4.663016397848299</v>
      </c>
      <c r="CB213" s="46">
        <f t="shared" si="200"/>
        <v>4.663016397848299</v>
      </c>
      <c r="CD213" s="46">
        <f>SUMPRODUCT(BZ214:BZ$605, $I214:$I$605) / $I213</f>
        <v>205.96763105735116</v>
      </c>
      <c r="CE213" s="46">
        <f>SUMPRODUCT(CA214:CA$605, $I214:$I$605) / $I213</f>
        <v>153.2399175066692</v>
      </c>
      <c r="CF213" s="46">
        <f>SUMPRODUCT(CB214:CB$605, $I214:$I$605) / $I213</f>
        <v>153.2399175066692</v>
      </c>
      <c r="CH213" s="46">
        <f t="shared" si="201"/>
        <v>45928.285621586016</v>
      </c>
      <c r="CI213" s="46">
        <f t="shared" si="202"/>
        <v>8234.2856215860174</v>
      </c>
      <c r="CK213" s="46">
        <f>NPV((1+CK$3)^(1/12)-1,$CB$6:$CB213)+$CB$5</f>
        <v>1316.4333244800919</v>
      </c>
      <c r="CL213" s="46">
        <f>NPV((1+CL$3)^(1/12)-1,$CB$6:$CB213)+$CB$5</f>
        <v>992.31071755989251</v>
      </c>
      <c r="CM213" s="46">
        <f>NPV((1+CM$3)^(1/12)-1,$CB$6:$CB213)+$CB$5</f>
        <v>435.62429870928827</v>
      </c>
      <c r="CN213" s="46">
        <f>NPV((1+CN$3)^(1/12)-1,$CB$6:$CB213)+$CB$5</f>
        <v>435.62429870928827</v>
      </c>
    </row>
    <row r="214" spans="1:92" x14ac:dyDescent="0.25">
      <c r="A214" s="61">
        <f t="shared" si="185"/>
        <v>17.416666666666689</v>
      </c>
      <c r="B214" s="32">
        <f t="shared" si="203"/>
        <v>5</v>
      </c>
      <c r="C214" s="62">
        <f t="shared" si="204"/>
        <v>18</v>
      </c>
      <c r="D214" s="64">
        <f t="shared" si="205"/>
        <v>17.916666666666689</v>
      </c>
      <c r="E214" s="28">
        <f t="shared" si="186"/>
        <v>17</v>
      </c>
      <c r="G214" s="68">
        <f>INDEX(Others!$D$11:$E$60, MATCH(C214, Others!$A$11:$A$60, 0), MATCH(G$3, Others!$D$10:$E$10, 0))</f>
        <v>4.0690909090909111E-2</v>
      </c>
      <c r="H214" s="16">
        <f t="shared" si="228"/>
        <v>3.329265421250005E-3</v>
      </c>
      <c r="I214" s="69">
        <f t="shared" si="229"/>
        <v>0.49924378342606823</v>
      </c>
      <c r="K214" s="80">
        <f>INDEX(Mortality!$B$7:$F$32, MATCH( E214,Mortality!$A$7:$A$32, 0), MATCH( K$3,Mortality!$B$6:$F$6,0))</f>
        <v>0.40099999999999997</v>
      </c>
      <c r="L214" s="11">
        <f t="shared" si="187"/>
        <v>0</v>
      </c>
      <c r="M214" s="80">
        <f t="shared" si="206"/>
        <v>0.40099999999999997</v>
      </c>
      <c r="N214" s="76">
        <f>INDEX(Myopia!$H:$H, MATCH(E214, Myopia!$A:$A, 0)) * Trend_Factor^(A214)</f>
        <v>5.4228471376701828</v>
      </c>
      <c r="O214" s="11">
        <f t="shared" si="188"/>
        <v>0</v>
      </c>
      <c r="P214" s="80">
        <f t="shared" si="207"/>
        <v>5.4228471376701828</v>
      </c>
      <c r="Q214" s="76">
        <f>VLOOKUP(C214,Others!$L$10:$M$61,2)</f>
        <v>0</v>
      </c>
      <c r="R214" s="11">
        <f t="shared" si="189"/>
        <v>0</v>
      </c>
      <c r="S214" s="80">
        <f t="shared" si="208"/>
        <v>0</v>
      </c>
      <c r="T214" s="78">
        <f t="shared" si="209"/>
        <v>3.3416666666666668E-5</v>
      </c>
      <c r="U214" s="81">
        <f t="shared" si="210"/>
        <v>4.5190392813918191E-4</v>
      </c>
      <c r="V214" s="81">
        <f t="shared" si="211"/>
        <v>0</v>
      </c>
      <c r="W214" s="77">
        <f t="shared" si="190"/>
        <v>0.79857769972283466</v>
      </c>
      <c r="X214" s="82">
        <f t="shared" si="212"/>
        <v>2.6679775089064264E-5</v>
      </c>
      <c r="Y214" s="82">
        <f t="shared" si="213"/>
        <v>3.6087436971909395E-4</v>
      </c>
      <c r="Z214" s="82">
        <f t="shared" si="214"/>
        <v>0</v>
      </c>
      <c r="AA214" s="82">
        <f t="shared" si="215"/>
        <v>0.79819014557802648</v>
      </c>
      <c r="AC214" s="46">
        <f t="shared" si="191"/>
        <v>0</v>
      </c>
      <c r="AD214" s="15">
        <f t="shared" si="192"/>
        <v>0</v>
      </c>
      <c r="AE214" s="46">
        <f t="shared" si="216"/>
        <v>0</v>
      </c>
      <c r="AF214" s="15">
        <f t="shared" si="217"/>
        <v>0</v>
      </c>
      <c r="AG214" s="46">
        <f>SUMPRODUCT(AE215:AE$605, $I214:$I$604) / $I214</f>
        <v>0</v>
      </c>
      <c r="AI214" s="46">
        <f t="shared" si="193"/>
        <v>-47000</v>
      </c>
      <c r="AJ214" s="46">
        <f>IF(E214&gt;Mat_Year,0,  -SUM($AD$5:AD214))</f>
        <v>-9306</v>
      </c>
      <c r="AK214" s="24">
        <f t="shared" si="218"/>
        <v>-0.24828198697883205</v>
      </c>
      <c r="AL214" s="79">
        <f t="shared" si="219"/>
        <v>-16.961095376797417</v>
      </c>
      <c r="AM214" s="24">
        <f t="shared" si="220"/>
        <v>-21.550034980627647</v>
      </c>
      <c r="AN214" s="79">
        <f t="shared" si="221"/>
        <v>-17.209377363776248</v>
      </c>
      <c r="AO214" s="15">
        <f t="shared" si="222"/>
        <v>-716.63118719466013</v>
      </c>
      <c r="AP214" s="46">
        <f>SUMPRODUCT(AN215:AN$605, $I215:$I$605) / $I214</f>
        <v>-572.28568501955579</v>
      </c>
      <c r="AR214" s="46">
        <v>0</v>
      </c>
      <c r="AS214" s="46">
        <v>0</v>
      </c>
      <c r="AT214" s="46">
        <v>0</v>
      </c>
      <c r="AU214" s="95">
        <f t="shared" si="194"/>
        <v>-2.2014527711599028</v>
      </c>
      <c r="AV214" s="47">
        <f t="shared" si="195"/>
        <v>0</v>
      </c>
      <c r="AW214" s="96">
        <f t="shared" si="230"/>
        <v>-2.2014527711599028</v>
      </c>
      <c r="AX214" s="95">
        <f t="shared" si="196"/>
        <v>-25.243325109300216</v>
      </c>
      <c r="AY214" s="11">
        <f t="shared" si="197"/>
        <v>0</v>
      </c>
      <c r="AZ214" s="96">
        <f t="shared" si="231"/>
        <v>-25.243325109300216</v>
      </c>
      <c r="BA214" s="95">
        <f t="shared" si="232"/>
        <v>-1.7580310900413352</v>
      </c>
      <c r="BB214" s="64">
        <f t="shared" si="233"/>
        <v>-9.7831552748491521E-3</v>
      </c>
      <c r="BC214" s="95">
        <f t="shared" si="234"/>
        <v>-2.2014527711599028</v>
      </c>
      <c r="BD214" s="96">
        <f t="shared" si="235"/>
        <v>-1.2250724354367306E-2</v>
      </c>
      <c r="BE214" s="96">
        <f t="shared" si="236"/>
        <v>-1.7580310900413352</v>
      </c>
      <c r="BF214" s="96">
        <f t="shared" si="237"/>
        <v>-9.7831552748491521E-3</v>
      </c>
      <c r="BG214" s="15">
        <f t="shared" si="223"/>
        <v>-76.103382355646545</v>
      </c>
      <c r="BH214" s="46">
        <f>(SUMPRODUCT(BE215:BE$605,$I214:$I$604)+SUMPRODUCT(BF215:BF$605,$I215:$I$605)) / $I214</f>
        <v>-60.774464022699583</v>
      </c>
      <c r="BJ214" s="46">
        <f t="shared" si="181"/>
        <v>-1.7580310900413352</v>
      </c>
      <c r="BK214" s="46">
        <f t="shared" si="182"/>
        <v>-17.219160519051098</v>
      </c>
      <c r="BM214" s="49">
        <f t="shared" si="224"/>
        <v>793.11947478856814</v>
      </c>
      <c r="BN214" s="46">
        <f t="shared" si="183"/>
        <v>633.06014904225515</v>
      </c>
      <c r="BP214" s="46">
        <f>Reserve!BX214</f>
        <v>1044.1890976948087</v>
      </c>
      <c r="BQ214" s="46">
        <f t="shared" si="198"/>
        <v>833.46144790000744</v>
      </c>
      <c r="BR214" s="15">
        <f t="shared" si="225"/>
        <v>22.385755173718167</v>
      </c>
      <c r="BT214" s="49">
        <f t="shared" si="226"/>
        <v>3.5606924009225769</v>
      </c>
      <c r="BU214" s="46">
        <f t="shared" si="199"/>
        <v>2.8434895469493289</v>
      </c>
      <c r="BV214" s="46">
        <f>SUMPRODUCT(BU215:BU$605, $I215:$I$605) / $I214</f>
        <v>49.597443203423133</v>
      </c>
      <c r="BX214" s="46">
        <f>-BZ214*Others!$Q$43</f>
        <v>-1.6005255965632159</v>
      </c>
      <c r="BZ214" s="50">
        <f t="shared" si="184"/>
        <v>6.2520531115750622</v>
      </c>
      <c r="CA214" s="46">
        <f t="shared" si="227"/>
        <v>4.6515275150118462</v>
      </c>
      <c r="CB214" s="46">
        <f t="shared" si="200"/>
        <v>4.6515275150118462</v>
      </c>
      <c r="CD214" s="46">
        <f>SUMPRODUCT(BZ215:BZ$605, $I215:$I$605) / $I214</f>
        <v>200.40129885775207</v>
      </c>
      <c r="CE214" s="46">
        <f>SUMPRODUCT(CA215:CA$605, $I215:$I$605) / $I214</f>
        <v>149.09856635016752</v>
      </c>
      <c r="CF214" s="46">
        <f>SUMPRODUCT(CB215:CB$605, $I215:$I$605) / $I214</f>
        <v>149.09856635016752</v>
      </c>
      <c r="CH214" s="46">
        <f t="shared" si="201"/>
        <v>45955.810902305195</v>
      </c>
      <c r="CI214" s="46">
        <f t="shared" si="202"/>
        <v>8261.8109023051911</v>
      </c>
      <c r="CK214" s="46">
        <f>NPV((1+CK$3)^(1/12)-1,$CB$6:$CB214)+$CB$5</f>
        <v>1319.2131269127854</v>
      </c>
      <c r="CL214" s="46">
        <f>NPV((1+CL$3)^(1/12)-1,$CB$6:$CB214)+$CB$5</f>
        <v>994.29932305637635</v>
      </c>
      <c r="CM214" s="46">
        <f>NPV((1+CM$3)^(1/12)-1,$CB$6:$CB214)+$CB$5</f>
        <v>436.50874811494532</v>
      </c>
      <c r="CN214" s="46">
        <f>NPV((1+CN$3)^(1/12)-1,$CB$6:$CB214)+$CB$5</f>
        <v>436.50874811494532</v>
      </c>
    </row>
    <row r="215" spans="1:92" x14ac:dyDescent="0.25">
      <c r="A215" s="61">
        <f t="shared" si="185"/>
        <v>17.500000000000021</v>
      </c>
      <c r="B215" s="32">
        <f t="shared" si="203"/>
        <v>6</v>
      </c>
      <c r="C215" s="62">
        <f t="shared" si="204"/>
        <v>18</v>
      </c>
      <c r="D215" s="64">
        <f t="shared" si="205"/>
        <v>18.000000000000021</v>
      </c>
      <c r="E215" s="28">
        <f t="shared" si="186"/>
        <v>18</v>
      </c>
      <c r="G215" s="68">
        <f>INDEX(Others!$D$11:$E$60, MATCH(C215, Others!$A$11:$A$60, 0), MATCH(G$3, Others!$D$10:$E$10, 0))</f>
        <v>4.0690909090909111E-2</v>
      </c>
      <c r="H215" s="16">
        <f t="shared" si="228"/>
        <v>3.329265421250005E-3</v>
      </c>
      <c r="I215" s="69">
        <f t="shared" si="229"/>
        <v>0.49758718362157972</v>
      </c>
      <c r="K215" s="80">
        <f>INDEX(Mortality!$B$7:$F$32, MATCH( E215,Mortality!$A$7:$A$32, 0), MATCH( K$3,Mortality!$B$6:$F$6,0))</f>
        <v>0.41100000000000003</v>
      </c>
      <c r="L215" s="11">
        <f t="shared" si="187"/>
        <v>0</v>
      </c>
      <c r="M215" s="80">
        <f t="shared" si="206"/>
        <v>0.41100000000000003</v>
      </c>
      <c r="N215" s="76">
        <f>INDEX(Myopia!$H:$H, MATCH(E215, Myopia!$A:$A, 0)) * Trend_Factor^(A215)</f>
        <v>5.393598477604141</v>
      </c>
      <c r="O215" s="11">
        <f t="shared" si="188"/>
        <v>0</v>
      </c>
      <c r="P215" s="80">
        <f t="shared" si="207"/>
        <v>5.393598477604141</v>
      </c>
      <c r="Q215" s="76">
        <f>VLOOKUP(C215,Others!$L$10:$M$61,2)</f>
        <v>0</v>
      </c>
      <c r="R215" s="11">
        <f t="shared" si="189"/>
        <v>0</v>
      </c>
      <c r="S215" s="80">
        <f t="shared" si="208"/>
        <v>0</v>
      </c>
      <c r="T215" s="78">
        <f t="shared" si="209"/>
        <v>3.4249999999999999E-5</v>
      </c>
      <c r="U215" s="81">
        <f t="shared" si="210"/>
        <v>4.4946653980034514E-4</v>
      </c>
      <c r="V215" s="81">
        <f t="shared" si="211"/>
        <v>0</v>
      </c>
      <c r="W215" s="77">
        <f t="shared" si="190"/>
        <v>0.79819014557802648</v>
      </c>
      <c r="X215" s="82">
        <f t="shared" si="212"/>
        <v>2.7331868725108844E-5</v>
      </c>
      <c r="Y215" s="82">
        <f t="shared" si="213"/>
        <v>3.5875361907475079E-4</v>
      </c>
      <c r="Z215" s="82">
        <f t="shared" si="214"/>
        <v>0</v>
      </c>
      <c r="AA215" s="82">
        <f t="shared" si="215"/>
        <v>0.79780406009022664</v>
      </c>
      <c r="AC215" s="46">
        <f t="shared" si="191"/>
        <v>0</v>
      </c>
      <c r="AD215" s="15">
        <f t="shared" si="192"/>
        <v>0</v>
      </c>
      <c r="AE215" s="46">
        <f t="shared" si="216"/>
        <v>0</v>
      </c>
      <c r="AF215" s="15">
        <f t="shared" si="217"/>
        <v>0</v>
      </c>
      <c r="AG215" s="46">
        <f>SUMPRODUCT(AE216:AE$605, $I215:$I$604) / $I215</f>
        <v>0</v>
      </c>
      <c r="AI215" s="46">
        <f t="shared" si="193"/>
        <v>-47000</v>
      </c>
      <c r="AJ215" s="46">
        <f>IF(E215&gt;Mat_Year,0,  -SUM($AD$5:AD215))</f>
        <v>-9306</v>
      </c>
      <c r="AK215" s="24">
        <f t="shared" si="218"/>
        <v>-0.25435037035586289</v>
      </c>
      <c r="AL215" s="79">
        <f t="shared" si="219"/>
        <v>-16.861420096513285</v>
      </c>
      <c r="AM215" s="24">
        <f t="shared" si="220"/>
        <v>-21.443224476887515</v>
      </c>
      <c r="AN215" s="79">
        <f t="shared" si="221"/>
        <v>-17.115770466869147</v>
      </c>
      <c r="AO215" s="15">
        <f t="shared" si="222"/>
        <v>-697.92293049606712</v>
      </c>
      <c r="AP215" s="46">
        <f>SUMPRODUCT(AN216:AN$605, $I216:$I$605) / $I215</f>
        <v>-557.07520549489868</v>
      </c>
      <c r="AR215" s="46">
        <v>0</v>
      </c>
      <c r="AS215" s="46">
        <v>0</v>
      </c>
      <c r="AT215" s="46">
        <v>0</v>
      </c>
      <c r="AU215" s="95">
        <f t="shared" si="194"/>
        <v>-2.203914212235869</v>
      </c>
      <c r="AV215" s="47">
        <f t="shared" si="195"/>
        <v>0</v>
      </c>
      <c r="AW215" s="96">
        <f t="shared" si="230"/>
        <v>-2.203914212235869</v>
      </c>
      <c r="AX215" s="95">
        <f t="shared" si="196"/>
        <v>-25.27154963363796</v>
      </c>
      <c r="AY215" s="11">
        <f t="shared" si="197"/>
        <v>0</v>
      </c>
      <c r="AZ215" s="96">
        <f t="shared" si="231"/>
        <v>-25.27154963363796</v>
      </c>
      <c r="BA215" s="95">
        <f t="shared" si="232"/>
        <v>-1.7591426059060298</v>
      </c>
      <c r="BB215" s="64">
        <f t="shared" si="233"/>
        <v>-9.7569785677614762E-3</v>
      </c>
      <c r="BC215" s="95">
        <f t="shared" si="234"/>
        <v>-2.203914212235869</v>
      </c>
      <c r="BD215" s="96">
        <f t="shared" si="235"/>
        <v>-1.2223877508154089E-2</v>
      </c>
      <c r="BE215" s="96">
        <f t="shared" si="236"/>
        <v>-1.7591426059060298</v>
      </c>
      <c r="BF215" s="96">
        <f t="shared" si="237"/>
        <v>-9.7569785677614762E-3</v>
      </c>
      <c r="BG215" s="15">
        <f t="shared" si="223"/>
        <v>-74.170349552825215</v>
      </c>
      <c r="BH215" s="46">
        <f>(SUMPRODUCT(BE216:BE$605,$I215:$I$604)+SUMPRODUCT(BF216:BF$605,$I216:$I$605)) / $I215</f>
        <v>-59.202042107142674</v>
      </c>
      <c r="BJ215" s="46">
        <f t="shared" si="181"/>
        <v>-1.7591426059060298</v>
      </c>
      <c r="BK215" s="46">
        <f t="shared" si="182"/>
        <v>-17.125527445436909</v>
      </c>
      <c r="BM215" s="49">
        <f t="shared" si="224"/>
        <v>772.46692318455246</v>
      </c>
      <c r="BN215" s="46">
        <f t="shared" si="183"/>
        <v>616.27724760204114</v>
      </c>
      <c r="BP215" s="46">
        <f>Reserve!BX215</f>
        <v>1016.7098043233223</v>
      </c>
      <c r="BQ215" s="46">
        <f t="shared" si="198"/>
        <v>811.13520982268631</v>
      </c>
      <c r="BR215" s="15">
        <f t="shared" si="225"/>
        <v>22.326238077321136</v>
      </c>
      <c r="BT215" s="49">
        <f t="shared" si="226"/>
        <v>3.469045240823371</v>
      </c>
      <c r="BU215" s="46">
        <f t="shared" si="199"/>
        <v>2.7689577257895666</v>
      </c>
      <c r="BV215" s="46">
        <f>SUMPRODUCT(BU216:BU$605, $I216:$I$605) / $I215</f>
        <v>46.993608530273121</v>
      </c>
      <c r="BX215" s="46">
        <f>-BZ215*Others!$Q$43</f>
        <v>-1.589894592452548</v>
      </c>
      <c r="BZ215" s="50">
        <f t="shared" si="184"/>
        <v>6.2105257517677659</v>
      </c>
      <c r="CA215" s="46">
        <f t="shared" si="227"/>
        <v>4.6206311593152183</v>
      </c>
      <c r="CB215" s="46">
        <f t="shared" si="200"/>
        <v>4.6206311593152183</v>
      </c>
      <c r="CD215" s="46">
        <f>SUMPRODUCT(BZ216:BZ$605, $I216:$I$605) / $I215</f>
        <v>194.85796222064499</v>
      </c>
      <c r="CE215" s="46">
        <f>SUMPRODUCT(CA216:CA$605, $I216:$I$605) / $I215</f>
        <v>144.97432389215987</v>
      </c>
      <c r="CF215" s="46">
        <f>SUMPRODUCT(CB216:CB$605, $I216:$I$605) / $I215</f>
        <v>144.97432389215987</v>
      </c>
      <c r="CH215" s="46">
        <f t="shared" si="201"/>
        <v>45983.29019567668</v>
      </c>
      <c r="CI215" s="46">
        <f t="shared" si="202"/>
        <v>8289.2901956766782</v>
      </c>
      <c r="CK215" s="46">
        <f>NPV((1+CK$3)^(1/12)-1,$CB$6:$CB215)+$CB$5</f>
        <v>1321.9676719028846</v>
      </c>
      <c r="CL215" s="46">
        <f>NPV((1+CL$3)^(1/12)-1,$CB$6:$CB215)+$CB$5</f>
        <v>996.26670449064454</v>
      </c>
      <c r="CM215" s="46">
        <f>NPV((1+CM$3)^(1/12)-1,$CB$6:$CB215)+$CB$5</f>
        <v>437.38037238033871</v>
      </c>
      <c r="CN215" s="46">
        <f>NPV((1+CN$3)^(1/12)-1,$CB$6:$CB215)+$CB$5</f>
        <v>437.38037238033871</v>
      </c>
    </row>
    <row r="216" spans="1:92" x14ac:dyDescent="0.25">
      <c r="A216" s="61">
        <f t="shared" si="185"/>
        <v>17.583333333333353</v>
      </c>
      <c r="B216" s="32">
        <f t="shared" si="203"/>
        <v>7</v>
      </c>
      <c r="C216" s="62">
        <f t="shared" si="204"/>
        <v>18</v>
      </c>
      <c r="D216" s="64">
        <f t="shared" si="205"/>
        <v>18.083333333333353</v>
      </c>
      <c r="E216" s="28">
        <f t="shared" si="186"/>
        <v>18</v>
      </c>
      <c r="G216" s="68">
        <f>INDEX(Others!$D$11:$E$60, MATCH(C216, Others!$A$11:$A$60, 0), MATCH(G$3, Others!$D$10:$E$10, 0))</f>
        <v>4.0690909090909111E-2</v>
      </c>
      <c r="H216" s="16">
        <f t="shared" si="228"/>
        <v>3.329265421250005E-3</v>
      </c>
      <c r="I216" s="69">
        <f t="shared" si="229"/>
        <v>0.49593608077669959</v>
      </c>
      <c r="K216" s="80">
        <f>INDEX(Mortality!$B$7:$F$32, MATCH( E216,Mortality!$A$7:$A$32, 0), MATCH( K$3,Mortality!$B$6:$F$6,0))</f>
        <v>0.41100000000000003</v>
      </c>
      <c r="L216" s="11">
        <f t="shared" si="187"/>
        <v>0</v>
      </c>
      <c r="M216" s="80">
        <f t="shared" si="206"/>
        <v>0.41100000000000003</v>
      </c>
      <c r="N216" s="76">
        <f>INDEX(Myopia!$H:$H, MATCH(E216, Myopia!$A:$A, 0)) * Trend_Factor^(A216)</f>
        <v>5.393598477604141</v>
      </c>
      <c r="O216" s="11">
        <f t="shared" si="188"/>
        <v>0</v>
      </c>
      <c r="P216" s="80">
        <f t="shared" si="207"/>
        <v>5.393598477604141</v>
      </c>
      <c r="Q216" s="76">
        <f>VLOOKUP(C216,Others!$L$10:$M$61,2)</f>
        <v>0</v>
      </c>
      <c r="R216" s="11">
        <f t="shared" si="189"/>
        <v>0</v>
      </c>
      <c r="S216" s="80">
        <f t="shared" si="208"/>
        <v>0</v>
      </c>
      <c r="T216" s="78">
        <f t="shared" si="209"/>
        <v>3.4249999999999999E-5</v>
      </c>
      <c r="U216" s="81">
        <f t="shared" si="210"/>
        <v>4.4946653980034514E-4</v>
      </c>
      <c r="V216" s="81">
        <f t="shared" si="211"/>
        <v>0</v>
      </c>
      <c r="W216" s="77">
        <f t="shared" si="190"/>
        <v>0.79780406009022664</v>
      </c>
      <c r="X216" s="82">
        <f t="shared" si="212"/>
        <v>2.7318648268895906E-5</v>
      </c>
      <c r="Y216" s="82">
        <f t="shared" si="213"/>
        <v>3.5858008953822644E-4</v>
      </c>
      <c r="Z216" s="82">
        <f t="shared" si="214"/>
        <v>0</v>
      </c>
      <c r="AA216" s="82">
        <f t="shared" si="215"/>
        <v>0.7974181613524195</v>
      </c>
      <c r="AC216" s="46">
        <f t="shared" si="191"/>
        <v>0</v>
      </c>
      <c r="AD216" s="15">
        <f t="shared" si="192"/>
        <v>0</v>
      </c>
      <c r="AE216" s="46">
        <f t="shared" si="216"/>
        <v>0</v>
      </c>
      <c r="AF216" s="15">
        <f t="shared" si="217"/>
        <v>0</v>
      </c>
      <c r="AG216" s="46">
        <f>SUMPRODUCT(AE217:AE$605, $I216:$I$604) / $I216</f>
        <v>0</v>
      </c>
      <c r="AI216" s="46">
        <f t="shared" si="193"/>
        <v>-47000</v>
      </c>
      <c r="AJ216" s="46">
        <f>IF(E216&gt;Mat_Year,0,  -SUM($AD$5:AD216))</f>
        <v>-9306</v>
      </c>
      <c r="AK216" s="24">
        <f t="shared" si="218"/>
        <v>-0.25422734079034531</v>
      </c>
      <c r="AL216" s="79">
        <f t="shared" si="219"/>
        <v>-16.853264208296643</v>
      </c>
      <c r="AM216" s="24">
        <f t="shared" si="220"/>
        <v>-21.443224476887515</v>
      </c>
      <c r="AN216" s="79">
        <f t="shared" si="221"/>
        <v>-17.107491549086987</v>
      </c>
      <c r="AO216" s="15">
        <f t="shared" si="222"/>
        <v>-679.14215064689552</v>
      </c>
      <c r="AP216" s="46">
        <f>SUMPRODUCT(AN217:AN$605, $I217:$I$605) / $I216</f>
        <v>-541.82236516450155</v>
      </c>
      <c r="AR216" s="46">
        <v>0</v>
      </c>
      <c r="AS216" s="46">
        <v>0</v>
      </c>
      <c r="AT216" s="46">
        <v>0</v>
      </c>
      <c r="AU216" s="95">
        <f t="shared" si="194"/>
        <v>-2.2063784054454483</v>
      </c>
      <c r="AV216" s="47">
        <f t="shared" si="195"/>
        <v>0</v>
      </c>
      <c r="AW216" s="96">
        <f t="shared" si="230"/>
        <v>-2.2063784054454483</v>
      </c>
      <c r="AX216" s="95">
        <f t="shared" si="196"/>
        <v>-25.299805715774472</v>
      </c>
      <c r="AY216" s="11">
        <f t="shared" si="197"/>
        <v>0</v>
      </c>
      <c r="AZ216" s="96">
        <f t="shared" si="231"/>
        <v>-25.299805715774472</v>
      </c>
      <c r="BA216" s="95">
        <f t="shared" si="232"/>
        <v>-1.7602576499597788</v>
      </c>
      <c r="BB216" s="64">
        <f t="shared" si="233"/>
        <v>-9.7631630924827871E-3</v>
      </c>
      <c r="BC216" s="95">
        <f t="shared" si="234"/>
        <v>-2.2063784054454483</v>
      </c>
      <c r="BD216" s="96">
        <f t="shared" si="235"/>
        <v>-1.2237545007452876E-2</v>
      </c>
      <c r="BE216" s="96">
        <f t="shared" si="236"/>
        <v>-1.7602576499597788</v>
      </c>
      <c r="BF216" s="96">
        <f t="shared" si="237"/>
        <v>-9.7631630924827871E-3</v>
      </c>
      <c r="BG216" s="15">
        <f t="shared" si="223"/>
        <v>-72.227333907403008</v>
      </c>
      <c r="BH216" s="46">
        <f>(SUMPRODUCT(BE217:BE$605,$I216:$I$604)+SUMPRODUCT(BF217:BF$605,$I217:$I$605)) / $I216</f>
        <v>-57.62326024081861</v>
      </c>
      <c r="BJ216" s="46">
        <f t="shared" si="181"/>
        <v>-1.7602576499597788</v>
      </c>
      <c r="BK216" s="46">
        <f t="shared" si="182"/>
        <v>-17.11725471217947</v>
      </c>
      <c r="BM216" s="49">
        <f t="shared" si="224"/>
        <v>751.7330987153108</v>
      </c>
      <c r="BN216" s="46">
        <f t="shared" si="183"/>
        <v>599.44562540532002</v>
      </c>
      <c r="BP216" s="46">
        <f>Reserve!BX216</f>
        <v>989.13876265666829</v>
      </c>
      <c r="BQ216" s="46">
        <f t="shared" si="198"/>
        <v>788.75721344008764</v>
      </c>
      <c r="BR216" s="15">
        <f t="shared" si="225"/>
        <v>22.377996382598667</v>
      </c>
      <c r="BT216" s="49">
        <f t="shared" si="226"/>
        <v>3.377551175648053</v>
      </c>
      <c r="BU216" s="46">
        <f t="shared" si="199"/>
        <v>2.694624041094535</v>
      </c>
      <c r="BV216" s="46">
        <f>SUMPRODUCT(BU217:BU$605, $I217:$I$605) / $I216</f>
        <v>44.455438685078185</v>
      </c>
      <c r="BX216" s="46">
        <f>-BZ216*Others!$Q$43</f>
        <v>-1.5859476637578118</v>
      </c>
      <c r="BZ216" s="50">
        <f t="shared" si="184"/>
        <v>6.1951080615539524</v>
      </c>
      <c r="CA216" s="46">
        <f t="shared" si="227"/>
        <v>4.6091603977961402</v>
      </c>
      <c r="CB216" s="46">
        <f t="shared" si="200"/>
        <v>4.6091603977961402</v>
      </c>
      <c r="CD216" s="46">
        <f>SUMPRODUCT(BZ217:BZ$605, $I217:$I$605) / $I216</f>
        <v>189.31158803476745</v>
      </c>
      <c r="CE216" s="46">
        <f>SUMPRODUCT(CA217:CA$605, $I217:$I$605) / $I216</f>
        <v>140.84782149786696</v>
      </c>
      <c r="CF216" s="46">
        <f>SUMPRODUCT(CB217:CB$605, $I217:$I$605) / $I216</f>
        <v>140.84782149786696</v>
      </c>
      <c r="CH216" s="46">
        <f t="shared" si="201"/>
        <v>46010.861237343335</v>
      </c>
      <c r="CI216" s="46">
        <f t="shared" si="202"/>
        <v>8316.8612373433316</v>
      </c>
      <c r="CK216" s="46">
        <f>NPV((1+CK$3)^(1/12)-1,$CB$6:$CB216)+$CB$5</f>
        <v>1324.7086187939535</v>
      </c>
      <c r="CL216" s="46">
        <f>NPV((1+CL$3)^(1/12)-1,$CB$6:$CB216)+$CB$5</f>
        <v>998.22123886649729</v>
      </c>
      <c r="CM216" s="46">
        <f>NPV((1+CM$3)^(1/12)-1,$CB$6:$CB216)+$CB$5</f>
        <v>438.24295447927921</v>
      </c>
      <c r="CN216" s="46">
        <f>NPV((1+CN$3)^(1/12)-1,$CB$6:$CB216)+$CB$5</f>
        <v>438.24295447927921</v>
      </c>
    </row>
    <row r="217" spans="1:92" x14ac:dyDescent="0.25">
      <c r="A217" s="61">
        <f t="shared" si="185"/>
        <v>17.666666666666686</v>
      </c>
      <c r="B217" s="32">
        <f t="shared" si="203"/>
        <v>8</v>
      </c>
      <c r="C217" s="62">
        <f t="shared" si="204"/>
        <v>18</v>
      </c>
      <c r="D217" s="64">
        <f t="shared" si="205"/>
        <v>18.166666666666686</v>
      </c>
      <c r="E217" s="28">
        <f t="shared" si="186"/>
        <v>18</v>
      </c>
      <c r="G217" s="68">
        <f>INDEX(Others!$D$11:$E$60, MATCH(C217, Others!$A$11:$A$60, 0), MATCH(G$3, Others!$D$10:$E$10, 0))</f>
        <v>4.0690909090909111E-2</v>
      </c>
      <c r="H217" s="16">
        <f t="shared" si="228"/>
        <v>3.329265421250005E-3</v>
      </c>
      <c r="I217" s="69">
        <f t="shared" si="229"/>
        <v>0.49429045665131649</v>
      </c>
      <c r="K217" s="80">
        <f>INDEX(Mortality!$B$7:$F$32, MATCH( E217,Mortality!$A$7:$A$32, 0), MATCH( K$3,Mortality!$B$6:$F$6,0))</f>
        <v>0.41100000000000003</v>
      </c>
      <c r="L217" s="11">
        <f t="shared" si="187"/>
        <v>0</v>
      </c>
      <c r="M217" s="80">
        <f t="shared" si="206"/>
        <v>0.41100000000000003</v>
      </c>
      <c r="N217" s="76">
        <f>INDEX(Myopia!$H:$H, MATCH(E217, Myopia!$A:$A, 0)) * Trend_Factor^(A217)</f>
        <v>5.393598477604141</v>
      </c>
      <c r="O217" s="11">
        <f t="shared" si="188"/>
        <v>0</v>
      </c>
      <c r="P217" s="80">
        <f t="shared" si="207"/>
        <v>5.393598477604141</v>
      </c>
      <c r="Q217" s="76">
        <f>VLOOKUP(C217,Others!$L$10:$M$61,2)</f>
        <v>0</v>
      </c>
      <c r="R217" s="11">
        <f t="shared" si="189"/>
        <v>0</v>
      </c>
      <c r="S217" s="80">
        <f t="shared" si="208"/>
        <v>0</v>
      </c>
      <c r="T217" s="78">
        <f t="shared" si="209"/>
        <v>3.4249999999999999E-5</v>
      </c>
      <c r="U217" s="81">
        <f t="shared" si="210"/>
        <v>4.4946653980034514E-4</v>
      </c>
      <c r="V217" s="81">
        <f t="shared" si="211"/>
        <v>0</v>
      </c>
      <c r="W217" s="77">
        <f t="shared" si="190"/>
        <v>0.7974181613524195</v>
      </c>
      <c r="X217" s="82">
        <f t="shared" si="212"/>
        <v>2.7305434207432779E-5</v>
      </c>
      <c r="Y217" s="82">
        <f t="shared" si="213"/>
        <v>3.5840664393813775E-4</v>
      </c>
      <c r="Z217" s="82">
        <f t="shared" si="214"/>
        <v>0</v>
      </c>
      <c r="AA217" s="82">
        <f t="shared" si="215"/>
        <v>0.79703244927427397</v>
      </c>
      <c r="AC217" s="46">
        <f t="shared" si="191"/>
        <v>0</v>
      </c>
      <c r="AD217" s="15">
        <f t="shared" si="192"/>
        <v>0</v>
      </c>
      <c r="AE217" s="46">
        <f t="shared" si="216"/>
        <v>0</v>
      </c>
      <c r="AF217" s="15">
        <f t="shared" si="217"/>
        <v>0</v>
      </c>
      <c r="AG217" s="46">
        <f>SUMPRODUCT(AE218:AE$605, $I217:$I$604) / $I217</f>
        <v>0</v>
      </c>
      <c r="AI217" s="46">
        <f t="shared" si="193"/>
        <v>-47000</v>
      </c>
      <c r="AJ217" s="46">
        <f>IF(E217&gt;Mat_Year,0,  -SUM($AD$5:AD217))</f>
        <v>-9306</v>
      </c>
      <c r="AK217" s="24">
        <f t="shared" si="218"/>
        <v>-0.25410437073436942</v>
      </c>
      <c r="AL217" s="79">
        <f t="shared" si="219"/>
        <v>-16.845112265092475</v>
      </c>
      <c r="AM217" s="24">
        <f t="shared" si="220"/>
        <v>-21.443224476887522</v>
      </c>
      <c r="AN217" s="79">
        <f t="shared" si="221"/>
        <v>-17.099216635826846</v>
      </c>
      <c r="AO217" s="15">
        <f t="shared" si="222"/>
        <v>-660.28972565722381</v>
      </c>
      <c r="AP217" s="46">
        <f>SUMPRODUCT(AN218:AN$605, $I218:$I$605) / $I217</f>
        <v>-526.52701899347687</v>
      </c>
      <c r="AR217" s="46">
        <v>0</v>
      </c>
      <c r="AS217" s="46">
        <v>0</v>
      </c>
      <c r="AT217" s="46">
        <v>0</v>
      </c>
      <c r="AU217" s="95">
        <f t="shared" si="194"/>
        <v>-2.2088453538657982</v>
      </c>
      <c r="AV217" s="47">
        <f t="shared" si="195"/>
        <v>0</v>
      </c>
      <c r="AW217" s="96">
        <f t="shared" si="230"/>
        <v>-2.2088453538657982</v>
      </c>
      <c r="AX217" s="95">
        <f t="shared" si="196"/>
        <v>-25.328093390994486</v>
      </c>
      <c r="AY217" s="11">
        <f t="shared" si="197"/>
        <v>0</v>
      </c>
      <c r="AZ217" s="96">
        <f t="shared" si="231"/>
        <v>-25.328093390994486</v>
      </c>
      <c r="BA217" s="95">
        <f t="shared" si="232"/>
        <v>-1.7613734007914992</v>
      </c>
      <c r="BB217" s="64">
        <f t="shared" si="233"/>
        <v>-9.7693515373055741E-3</v>
      </c>
      <c r="BC217" s="95">
        <f t="shared" si="234"/>
        <v>-2.2088453538657982</v>
      </c>
      <c r="BD217" s="96">
        <f t="shared" si="235"/>
        <v>-1.2251227788362351E-2</v>
      </c>
      <c r="BE217" s="96">
        <f t="shared" si="236"/>
        <v>-1.7613734007914992</v>
      </c>
      <c r="BF217" s="96">
        <f t="shared" si="237"/>
        <v>-9.7693515373055741E-3</v>
      </c>
      <c r="BG217" s="15">
        <f t="shared" si="223"/>
        <v>-70.274417178650154</v>
      </c>
      <c r="BH217" s="46">
        <f>(SUMPRODUCT(BE218:BE$605,$I217:$I$604)+SUMPRODUCT(BF218:BF$605,$I218:$I$605)) / $I217</f>
        <v>-56.038096536712089</v>
      </c>
      <c r="BJ217" s="46">
        <f t="shared" si="181"/>
        <v>-1.7613734007914992</v>
      </c>
      <c r="BK217" s="46">
        <f t="shared" si="182"/>
        <v>-17.10898598736415</v>
      </c>
      <c r="BM217" s="49">
        <f t="shared" si="224"/>
        <v>730.91768855914802</v>
      </c>
      <c r="BN217" s="46">
        <f t="shared" si="183"/>
        <v>582.56511553018868</v>
      </c>
      <c r="BP217" s="46">
        <f>Reserve!BX217</f>
        <v>961.47567425412637</v>
      </c>
      <c r="BQ217" s="46">
        <f t="shared" si="198"/>
        <v>766.32731156840032</v>
      </c>
      <c r="BR217" s="15">
        <f t="shared" si="225"/>
        <v>22.429901871687321</v>
      </c>
      <c r="BT217" s="49">
        <f t="shared" si="226"/>
        <v>3.2857516468733468</v>
      </c>
      <c r="BU217" s="46">
        <f t="shared" si="199"/>
        <v>2.6201180369104287</v>
      </c>
      <c r="BV217" s="46">
        <f>SUMPRODUCT(BU218:BU$605, $I218:$I$605) / $I217</f>
        <v>41.983324602968494</v>
      </c>
      <c r="BX217" s="46">
        <f>-BZ217*Others!$Q$43</f>
        <v>-1.5819930932331776</v>
      </c>
      <c r="BZ217" s="50">
        <f t="shared" si="184"/>
        <v>6.1796605204421002</v>
      </c>
      <c r="CA217" s="46">
        <f t="shared" si="227"/>
        <v>4.5976674272089229</v>
      </c>
      <c r="CB217" s="46">
        <f t="shared" si="200"/>
        <v>4.5976674272089229</v>
      </c>
      <c r="CD217" s="46">
        <f>SUMPRODUCT(BZ218:BZ$605, $I218:$I$605) / $I217</f>
        <v>183.76219603821141</v>
      </c>
      <c r="CE217" s="46">
        <f>SUMPRODUCT(CA218:CA$605, $I218:$I$605) / $I217</f>
        <v>136.71907385242932</v>
      </c>
      <c r="CF217" s="46">
        <f>SUMPRODUCT(CB218:CB$605, $I218:$I$605) / $I217</f>
        <v>136.71907385242932</v>
      </c>
      <c r="CH217" s="46">
        <f t="shared" si="201"/>
        <v>46038.524325745871</v>
      </c>
      <c r="CI217" s="46">
        <f t="shared" si="202"/>
        <v>8344.5243257458733</v>
      </c>
      <c r="CK217" s="46">
        <f>NPV((1+CK$3)^(1/12)-1,$CB$6:$CB217)+$CB$5</f>
        <v>1327.4360046473362</v>
      </c>
      <c r="CL217" s="46">
        <f>NPV((1+CL$3)^(1/12)-1,$CB$6:$CB217)+$CB$5</f>
        <v>1000.1629886694745</v>
      </c>
      <c r="CM217" s="46">
        <f>NPV((1+CM$3)^(1/12)-1,$CB$6:$CB217)+$CB$5</f>
        <v>439.09657880406394</v>
      </c>
      <c r="CN217" s="46">
        <f>NPV((1+CN$3)^(1/12)-1,$CB$6:$CB217)+$CB$5</f>
        <v>439.09657880406394</v>
      </c>
    </row>
    <row r="218" spans="1:92" x14ac:dyDescent="0.25">
      <c r="A218" s="61">
        <f t="shared" si="185"/>
        <v>17.750000000000018</v>
      </c>
      <c r="B218" s="32">
        <f t="shared" si="203"/>
        <v>9</v>
      </c>
      <c r="C218" s="62">
        <f t="shared" si="204"/>
        <v>18</v>
      </c>
      <c r="D218" s="64">
        <f t="shared" si="205"/>
        <v>18.250000000000018</v>
      </c>
      <c r="E218" s="28">
        <f t="shared" si="186"/>
        <v>18</v>
      </c>
      <c r="G218" s="68">
        <f>INDEX(Others!$D$11:$E$60, MATCH(C218, Others!$A$11:$A$60, 0), MATCH(G$3, Others!$D$10:$E$10, 0))</f>
        <v>4.0690909090909111E-2</v>
      </c>
      <c r="H218" s="16">
        <f t="shared" si="228"/>
        <v>3.329265421250005E-3</v>
      </c>
      <c r="I218" s="69">
        <f t="shared" si="229"/>
        <v>0.49265029306584368</v>
      </c>
      <c r="K218" s="80">
        <f>INDEX(Mortality!$B$7:$F$32, MATCH( E218,Mortality!$A$7:$A$32, 0), MATCH( K$3,Mortality!$B$6:$F$6,0))</f>
        <v>0.41100000000000003</v>
      </c>
      <c r="L218" s="11">
        <f t="shared" si="187"/>
        <v>0</v>
      </c>
      <c r="M218" s="80">
        <f t="shared" si="206"/>
        <v>0.41100000000000003</v>
      </c>
      <c r="N218" s="76">
        <f>INDEX(Myopia!$H:$H, MATCH(E218, Myopia!$A:$A, 0)) * Trend_Factor^(A218)</f>
        <v>5.393598477604141</v>
      </c>
      <c r="O218" s="11">
        <f t="shared" si="188"/>
        <v>0</v>
      </c>
      <c r="P218" s="80">
        <f t="shared" si="207"/>
        <v>5.393598477604141</v>
      </c>
      <c r="Q218" s="76">
        <f>VLOOKUP(C218,Others!$L$10:$M$61,2)</f>
        <v>0</v>
      </c>
      <c r="R218" s="11">
        <f t="shared" si="189"/>
        <v>0</v>
      </c>
      <c r="S218" s="80">
        <f t="shared" si="208"/>
        <v>0</v>
      </c>
      <c r="T218" s="78">
        <f t="shared" si="209"/>
        <v>3.4249999999999999E-5</v>
      </c>
      <c r="U218" s="81">
        <f t="shared" si="210"/>
        <v>4.4946653980034514E-4</v>
      </c>
      <c r="V218" s="81">
        <f t="shared" si="211"/>
        <v>0</v>
      </c>
      <c r="W218" s="77">
        <f t="shared" si="190"/>
        <v>0.79703244927427397</v>
      </c>
      <c r="X218" s="82">
        <f t="shared" si="212"/>
        <v>2.729222653762632E-5</v>
      </c>
      <c r="Y218" s="82">
        <f t="shared" si="213"/>
        <v>3.5823328223388449E-4</v>
      </c>
      <c r="Z218" s="82">
        <f t="shared" si="214"/>
        <v>0</v>
      </c>
      <c r="AA218" s="82">
        <f t="shared" si="215"/>
        <v>0.7966469237655025</v>
      </c>
      <c r="AC218" s="46">
        <f t="shared" si="191"/>
        <v>0</v>
      </c>
      <c r="AD218" s="15">
        <f t="shared" si="192"/>
        <v>0</v>
      </c>
      <c r="AE218" s="46">
        <f t="shared" si="216"/>
        <v>0</v>
      </c>
      <c r="AF218" s="15">
        <f t="shared" si="217"/>
        <v>0</v>
      </c>
      <c r="AG218" s="46">
        <f>SUMPRODUCT(AE219:AE$605, $I218:$I$604) / $I218</f>
        <v>0</v>
      </c>
      <c r="AI218" s="46">
        <f t="shared" si="193"/>
        <v>-47000</v>
      </c>
      <c r="AJ218" s="46">
        <f>IF(E218&gt;Mat_Year,0,  -SUM($AD$5:AD218))</f>
        <v>-9306</v>
      </c>
      <c r="AK218" s="24">
        <f t="shared" si="218"/>
        <v>-0.25398146015915052</v>
      </c>
      <c r="AL218" s="79">
        <f t="shared" si="219"/>
        <v>-16.83696426499257</v>
      </c>
      <c r="AM218" s="24">
        <f t="shared" si="220"/>
        <v>-21.443224476887515</v>
      </c>
      <c r="AN218" s="79">
        <f t="shared" si="221"/>
        <v>-17.09094572515172</v>
      </c>
      <c r="AO218" s="15">
        <f t="shared" si="222"/>
        <v>-641.36538221432443</v>
      </c>
      <c r="AP218" s="46">
        <f>SUMPRODUCT(AN219:AN$605, $I219:$I$605) / $I218</f>
        <v>-511.18902146601391</v>
      </c>
      <c r="AR218" s="46">
        <v>0</v>
      </c>
      <c r="AS218" s="46">
        <v>0</v>
      </c>
      <c r="AT218" s="46">
        <v>0</v>
      </c>
      <c r="AU218" s="95">
        <f t="shared" si="194"/>
        <v>-2.2113150605775158</v>
      </c>
      <c r="AV218" s="47">
        <f t="shared" si="195"/>
        <v>0</v>
      </c>
      <c r="AW218" s="96">
        <f t="shared" si="230"/>
        <v>-2.2113150605775158</v>
      </c>
      <c r="AX218" s="95">
        <f t="shared" si="196"/>
        <v>-25.356412694622179</v>
      </c>
      <c r="AY218" s="11">
        <f t="shared" si="197"/>
        <v>0</v>
      </c>
      <c r="AZ218" s="96">
        <f t="shared" si="231"/>
        <v>-25.356412694622179</v>
      </c>
      <c r="BA218" s="95">
        <f t="shared" si="232"/>
        <v>-1.7624898588491869</v>
      </c>
      <c r="BB218" s="64">
        <f t="shared" si="233"/>
        <v>-9.7755439047146116E-3</v>
      </c>
      <c r="BC218" s="95">
        <f t="shared" si="234"/>
        <v>-2.2113150605775158</v>
      </c>
      <c r="BD218" s="96">
        <f t="shared" si="235"/>
        <v>-1.2264925867968849E-2</v>
      </c>
      <c r="BE218" s="96">
        <f t="shared" si="236"/>
        <v>-1.7624898588491869</v>
      </c>
      <c r="BF218" s="96">
        <f t="shared" si="237"/>
        <v>-9.7755439047146116E-3</v>
      </c>
      <c r="BG218" s="15">
        <f t="shared" si="223"/>
        <v>-68.311558813024035</v>
      </c>
      <c r="BH218" s="46">
        <f>(SUMPRODUCT(BE219:BE$605,$I218:$I$604)+SUMPRODUCT(BF219:BF$605,$I219:$I$605)) / $I218</f>
        <v>-54.446529034488165</v>
      </c>
      <c r="BJ218" s="46">
        <f t="shared" si="181"/>
        <v>-1.7624898588491869</v>
      </c>
      <c r="BK218" s="46">
        <f t="shared" si="182"/>
        <v>-17.100721269056436</v>
      </c>
      <c r="BM218" s="49">
        <f t="shared" si="224"/>
        <v>710.02037869790354</v>
      </c>
      <c r="BN218" s="46">
        <f t="shared" si="183"/>
        <v>565.63555050050195</v>
      </c>
      <c r="BP218" s="46">
        <f>Reserve!BX218</f>
        <v>933.72023971855174</v>
      </c>
      <c r="BQ218" s="46">
        <f t="shared" si="198"/>
        <v>743.84535662937185</v>
      </c>
      <c r="BR218" s="15">
        <f t="shared" si="225"/>
        <v>22.481954939028469</v>
      </c>
      <c r="BT218" s="49">
        <f t="shared" si="226"/>
        <v>3.1936456609006263</v>
      </c>
      <c r="BU218" s="46">
        <f t="shared" si="199"/>
        <v>2.5454392232217837</v>
      </c>
      <c r="BV218" s="46">
        <f>SUMPRODUCT(BU219:BU$605, $I219:$I$605) / $I218</f>
        <v>39.577659010616486</v>
      </c>
      <c r="BX218" s="46">
        <f>-BZ218*Others!$Q$43</f>
        <v>-1.5780308567922257</v>
      </c>
      <c r="BZ218" s="50">
        <f t="shared" si="184"/>
        <v>6.1641830343446316</v>
      </c>
      <c r="CA218" s="46">
        <f t="shared" si="227"/>
        <v>4.5861521775524059</v>
      </c>
      <c r="CB218" s="46">
        <f t="shared" si="200"/>
        <v>4.5861521775524059</v>
      </c>
      <c r="CD218" s="46">
        <f>SUMPRODUCT(BZ219:BZ$605, $I219:$I$605) / $I218</f>
        <v>178.20980612886979</v>
      </c>
      <c r="CE218" s="46">
        <f>SUMPRODUCT(CA219:CA$605, $I219:$I$605) / $I218</f>
        <v>132.58809575987905</v>
      </c>
      <c r="CF218" s="46">
        <f>SUMPRODUCT(CB219:CB$605, $I219:$I$605) / $I218</f>
        <v>132.58809575987905</v>
      </c>
      <c r="CH218" s="46">
        <f t="shared" si="201"/>
        <v>46066.279760281446</v>
      </c>
      <c r="CI218" s="46">
        <f t="shared" si="202"/>
        <v>8372.279760281448</v>
      </c>
      <c r="CK218" s="46">
        <f>NPV((1+CK$3)^(1/12)-1,$CB$6:$CB218)+$CB$5</f>
        <v>1330.1498664153119</v>
      </c>
      <c r="CL218" s="46">
        <f>NPV((1+CL$3)^(1/12)-1,$CB$6:$CB218)+$CB$5</f>
        <v>1002.0920160981643</v>
      </c>
      <c r="CM218" s="46">
        <f>NPV((1+CM$3)^(1/12)-1,$CB$6:$CB218)+$CB$5</f>
        <v>439.94132899735519</v>
      </c>
      <c r="CN218" s="46">
        <f>NPV((1+CN$3)^(1/12)-1,$CB$6:$CB218)+$CB$5</f>
        <v>439.94132899735519</v>
      </c>
    </row>
    <row r="219" spans="1:92" x14ac:dyDescent="0.25">
      <c r="A219" s="61">
        <f t="shared" si="185"/>
        <v>17.83333333333335</v>
      </c>
      <c r="B219" s="32">
        <f t="shared" si="203"/>
        <v>10</v>
      </c>
      <c r="C219" s="62">
        <f t="shared" si="204"/>
        <v>18</v>
      </c>
      <c r="D219" s="64">
        <f t="shared" si="205"/>
        <v>18.33333333333335</v>
      </c>
      <c r="E219" s="28">
        <f t="shared" si="186"/>
        <v>18</v>
      </c>
      <c r="G219" s="68">
        <f>INDEX(Others!$D$11:$E$60, MATCH(C219, Others!$A$11:$A$60, 0), MATCH(G$3, Others!$D$10:$E$10, 0))</f>
        <v>4.0690909090909111E-2</v>
      </c>
      <c r="H219" s="16">
        <f t="shared" si="228"/>
        <v>3.329265421250005E-3</v>
      </c>
      <c r="I219" s="69">
        <f t="shared" si="229"/>
        <v>0.4910155719010183</v>
      </c>
      <c r="K219" s="80">
        <f>INDEX(Mortality!$B$7:$F$32, MATCH( E219,Mortality!$A$7:$A$32, 0), MATCH( K$3,Mortality!$B$6:$F$6,0))</f>
        <v>0.41100000000000003</v>
      </c>
      <c r="L219" s="11">
        <f t="shared" si="187"/>
        <v>0</v>
      </c>
      <c r="M219" s="80">
        <f t="shared" si="206"/>
        <v>0.41100000000000003</v>
      </c>
      <c r="N219" s="76">
        <f>INDEX(Myopia!$H:$H, MATCH(E219, Myopia!$A:$A, 0)) * Trend_Factor^(A219)</f>
        <v>5.393598477604141</v>
      </c>
      <c r="O219" s="11">
        <f t="shared" si="188"/>
        <v>0</v>
      </c>
      <c r="P219" s="80">
        <f t="shared" si="207"/>
        <v>5.393598477604141</v>
      </c>
      <c r="Q219" s="76">
        <f>VLOOKUP(C219,Others!$L$10:$M$61,2)</f>
        <v>0</v>
      </c>
      <c r="R219" s="11">
        <f t="shared" si="189"/>
        <v>0</v>
      </c>
      <c r="S219" s="80">
        <f t="shared" si="208"/>
        <v>0</v>
      </c>
      <c r="T219" s="78">
        <f t="shared" si="209"/>
        <v>3.4249999999999999E-5</v>
      </c>
      <c r="U219" s="81">
        <f t="shared" si="210"/>
        <v>4.4946653980034514E-4</v>
      </c>
      <c r="V219" s="81">
        <f t="shared" si="211"/>
        <v>0</v>
      </c>
      <c r="W219" s="77">
        <f t="shared" si="190"/>
        <v>0.7966469237655025</v>
      </c>
      <c r="X219" s="82">
        <f t="shared" si="212"/>
        <v>2.7279025256384882E-5</v>
      </c>
      <c r="Y219" s="82">
        <f t="shared" si="213"/>
        <v>3.5806000438488622E-4</v>
      </c>
      <c r="Z219" s="82">
        <f t="shared" si="214"/>
        <v>0</v>
      </c>
      <c r="AA219" s="82">
        <f t="shared" si="215"/>
        <v>0.79626158473586128</v>
      </c>
      <c r="AC219" s="46">
        <f t="shared" si="191"/>
        <v>0</v>
      </c>
      <c r="AD219" s="15">
        <f t="shared" si="192"/>
        <v>0</v>
      </c>
      <c r="AE219" s="46">
        <f t="shared" si="216"/>
        <v>0</v>
      </c>
      <c r="AF219" s="15">
        <f t="shared" si="217"/>
        <v>0</v>
      </c>
      <c r="AG219" s="46">
        <f>SUMPRODUCT(AE220:AE$605, $I219:$I$604) / $I219</f>
        <v>0</v>
      </c>
      <c r="AI219" s="46">
        <f t="shared" si="193"/>
        <v>-47000</v>
      </c>
      <c r="AJ219" s="46">
        <f>IF(E219&gt;Mat_Year,0,  -SUM($AD$5:AD219))</f>
        <v>-9306</v>
      </c>
      <c r="AK219" s="24">
        <f t="shared" si="218"/>
        <v>-0.25385860903591773</v>
      </c>
      <c r="AL219" s="79">
        <f t="shared" si="219"/>
        <v>-16.828820206089652</v>
      </c>
      <c r="AM219" s="24">
        <f t="shared" si="220"/>
        <v>-21.443224476887519</v>
      </c>
      <c r="AN219" s="79">
        <f t="shared" si="221"/>
        <v>-17.082678815125568</v>
      </c>
      <c r="AO219" s="15">
        <f t="shared" si="222"/>
        <v>-622.36884596283426</v>
      </c>
      <c r="AP219" s="46">
        <f>SUMPRODUCT(AN220:AN$605, $I220:$I$605) / $I219</f>
        <v>-495.80822658377781</v>
      </c>
      <c r="AR219" s="46">
        <v>0</v>
      </c>
      <c r="AS219" s="46">
        <v>0</v>
      </c>
      <c r="AT219" s="46">
        <v>0</v>
      </c>
      <c r="AU219" s="95">
        <f t="shared" si="194"/>
        <v>-2.2137875286646418</v>
      </c>
      <c r="AV219" s="47">
        <f t="shared" si="195"/>
        <v>0</v>
      </c>
      <c r="AW219" s="96">
        <f t="shared" si="230"/>
        <v>-2.2137875286646418</v>
      </c>
      <c r="AX219" s="95">
        <f t="shared" si="196"/>
        <v>-25.384763662021221</v>
      </c>
      <c r="AY219" s="11">
        <f t="shared" si="197"/>
        <v>0</v>
      </c>
      <c r="AZ219" s="96">
        <f t="shared" si="231"/>
        <v>-25.384763662021221</v>
      </c>
      <c r="BA219" s="95">
        <f t="shared" si="232"/>
        <v>-1.7636070245811211</v>
      </c>
      <c r="BB219" s="64">
        <f t="shared" si="233"/>
        <v>-9.7817401971962564E-3</v>
      </c>
      <c r="BC219" s="95">
        <f t="shared" si="234"/>
        <v>-2.2137875286646418</v>
      </c>
      <c r="BD219" s="96">
        <f t="shared" si="235"/>
        <v>-1.227863926337782E-2</v>
      </c>
      <c r="BE219" s="96">
        <f t="shared" si="236"/>
        <v>-1.7636070245811211</v>
      </c>
      <c r="BF219" s="96">
        <f t="shared" si="237"/>
        <v>-9.7817401971962564E-3</v>
      </c>
      <c r="BG219" s="15">
        <f t="shared" si="223"/>
        <v>-66.338718099166499</v>
      </c>
      <c r="BH219" s="46">
        <f>(SUMPRODUCT(BE220:BE$605,$I219:$I$604)+SUMPRODUCT(BF220:BF$605,$I220:$I$605)) / $I219</f>
        <v>-52.848535700247851</v>
      </c>
      <c r="BJ219" s="46">
        <f t="shared" ref="BJ219:BJ282" si="238">SUM(AE219,BE219)</f>
        <v>-1.7636070245811211</v>
      </c>
      <c r="BK219" s="46">
        <f t="shared" ref="BK219:BK282" si="239">SUM(AN219,BF219)</f>
        <v>-17.092460555322766</v>
      </c>
      <c r="BM219" s="49">
        <f t="shared" si="224"/>
        <v>689.04085391238345</v>
      </c>
      <c r="BN219" s="46">
        <f t="shared" ref="BN219:BN282" si="240">MAX(BN220/(1+H220) - (BJ220 + BK220/(1+H220)),0)</f>
        <v>548.65676228402549</v>
      </c>
      <c r="BP219" s="46">
        <f>Reserve!BX219</f>
        <v>905.87215869333602</v>
      </c>
      <c r="BQ219" s="46">
        <f t="shared" si="198"/>
        <v>721.3112006492513</v>
      </c>
      <c r="BR219" s="15">
        <f t="shared" si="225"/>
        <v>22.534155980120545</v>
      </c>
      <c r="BT219" s="49">
        <f t="shared" si="226"/>
        <v>3.1012322209470624</v>
      </c>
      <c r="BU219" s="46">
        <f t="shared" si="199"/>
        <v>2.4705871086999345</v>
      </c>
      <c r="BV219" s="46">
        <f>SUMPRODUCT(BU220:BU$605, $I220:$I$605) / $I219</f>
        <v>37.238836433514614</v>
      </c>
      <c r="BX219" s="46">
        <f>-BZ219*Others!$Q$43</f>
        <v>-1.5740609302826478</v>
      </c>
      <c r="BZ219" s="50">
        <f t="shared" si="184"/>
        <v>6.1486755089165932</v>
      </c>
      <c r="CA219" s="46">
        <f t="shared" si="227"/>
        <v>4.5746145786339456</v>
      </c>
      <c r="CB219" s="46">
        <f t="shared" si="200"/>
        <v>4.5746145786339456</v>
      </c>
      <c r="CD219" s="46">
        <f>SUMPRODUCT(BZ220:BZ$605, $I220:$I$605) / $I219</f>
        <v>172.65443836522573</v>
      </c>
      <c r="CE219" s="46">
        <f>SUMPRODUCT(CA220:CA$605, $I220:$I$605) / $I219</f>
        <v>128.45490214372788</v>
      </c>
      <c r="CF219" s="46">
        <f>SUMPRODUCT(CB220:CB$605, $I220:$I$605) / $I219</f>
        <v>128.45490214372788</v>
      </c>
      <c r="CH219" s="46">
        <f t="shared" si="201"/>
        <v>46094.127841306661</v>
      </c>
      <c r="CI219" s="46">
        <f t="shared" si="202"/>
        <v>8400.1278413066648</v>
      </c>
      <c r="CK219" s="46">
        <f>NPV((1+CK$3)^(1/12)-1,$CB$6:$CB219)+$CB$5</f>
        <v>1332.8502409414198</v>
      </c>
      <c r="CL219" s="46">
        <f>NPV((1+CL$3)^(1/12)-1,$CB$6:$CB219)+$CB$5</f>
        <v>1004.0083830655062</v>
      </c>
      <c r="CM219" s="46">
        <f>NPV((1+CM$3)^(1/12)-1,$CB$6:$CB219)+$CB$5</f>
        <v>440.7772879586696</v>
      </c>
      <c r="CN219" s="46">
        <f>NPV((1+CN$3)^(1/12)-1,$CB$6:$CB219)+$CB$5</f>
        <v>440.7772879586696</v>
      </c>
    </row>
    <row r="220" spans="1:92" x14ac:dyDescent="0.25">
      <c r="A220" s="61">
        <f t="shared" si="185"/>
        <v>17.916666666666682</v>
      </c>
      <c r="B220" s="32">
        <f t="shared" si="203"/>
        <v>11</v>
      </c>
      <c r="C220" s="62">
        <f t="shared" si="204"/>
        <v>18</v>
      </c>
      <c r="D220" s="64">
        <f t="shared" si="205"/>
        <v>18.416666666666682</v>
      </c>
      <c r="E220" s="28">
        <f t="shared" si="186"/>
        <v>18</v>
      </c>
      <c r="G220" s="68">
        <f>INDEX(Others!$D$11:$E$60, MATCH(C220, Others!$A$11:$A$60, 0), MATCH(G$3, Others!$D$10:$E$10, 0))</f>
        <v>4.0690909090909111E-2</v>
      </c>
      <c r="H220" s="16">
        <f t="shared" si="228"/>
        <v>3.329265421250005E-3</v>
      </c>
      <c r="I220" s="69">
        <f t="shared" si="229"/>
        <v>0.48938627509770116</v>
      </c>
      <c r="K220" s="80">
        <f>INDEX(Mortality!$B$7:$F$32, MATCH( E220,Mortality!$A$7:$A$32, 0), MATCH( K$3,Mortality!$B$6:$F$6,0))</f>
        <v>0.41100000000000003</v>
      </c>
      <c r="L220" s="11">
        <f t="shared" si="187"/>
        <v>0</v>
      </c>
      <c r="M220" s="80">
        <f t="shared" si="206"/>
        <v>0.41100000000000003</v>
      </c>
      <c r="N220" s="76">
        <f>INDEX(Myopia!$H:$H, MATCH(E220, Myopia!$A:$A, 0)) * Trend_Factor^(A220)</f>
        <v>5.393598477604141</v>
      </c>
      <c r="O220" s="11">
        <f t="shared" si="188"/>
        <v>0</v>
      </c>
      <c r="P220" s="80">
        <f t="shared" si="207"/>
        <v>5.393598477604141</v>
      </c>
      <c r="Q220" s="76">
        <f>VLOOKUP(C220,Others!$L$10:$M$61,2)</f>
        <v>0</v>
      </c>
      <c r="R220" s="11">
        <f t="shared" si="189"/>
        <v>0</v>
      </c>
      <c r="S220" s="80">
        <f t="shared" si="208"/>
        <v>0</v>
      </c>
      <c r="T220" s="78">
        <f t="shared" si="209"/>
        <v>3.4249999999999999E-5</v>
      </c>
      <c r="U220" s="81">
        <f t="shared" si="210"/>
        <v>4.4946653980034514E-4</v>
      </c>
      <c r="V220" s="81">
        <f t="shared" si="211"/>
        <v>0</v>
      </c>
      <c r="W220" s="77">
        <f t="shared" si="190"/>
        <v>0.79626158473586128</v>
      </c>
      <c r="X220" s="82">
        <f t="shared" si="212"/>
        <v>2.7265830360618298E-5</v>
      </c>
      <c r="Y220" s="82">
        <f t="shared" si="213"/>
        <v>3.5788681035058196E-4</v>
      </c>
      <c r="Z220" s="82">
        <f t="shared" si="214"/>
        <v>0</v>
      </c>
      <c r="AA220" s="82">
        <f t="shared" si="215"/>
        <v>0.79587643209515013</v>
      </c>
      <c r="AC220" s="46">
        <f t="shared" si="191"/>
        <v>0</v>
      </c>
      <c r="AD220" s="15">
        <f t="shared" si="192"/>
        <v>0</v>
      </c>
      <c r="AE220" s="46">
        <f t="shared" si="216"/>
        <v>0</v>
      </c>
      <c r="AF220" s="15">
        <f t="shared" si="217"/>
        <v>0</v>
      </c>
      <c r="AG220" s="46">
        <f>SUMPRODUCT(AE221:AE$605, $I220:$I$604) / $I220</f>
        <v>0</v>
      </c>
      <c r="AI220" s="46">
        <f t="shared" si="193"/>
        <v>-47000</v>
      </c>
      <c r="AJ220" s="46">
        <f>IF(E220&gt;Mat_Year,0,  -SUM($AD$5:AD220))</f>
        <v>-9306</v>
      </c>
      <c r="AK220" s="24">
        <f t="shared" si="218"/>
        <v>-0.25373581733591388</v>
      </c>
      <c r="AL220" s="79">
        <f t="shared" si="219"/>
        <v>-16.820680086477353</v>
      </c>
      <c r="AM220" s="24">
        <f t="shared" si="220"/>
        <v>-21.443224476887522</v>
      </c>
      <c r="AN220" s="79">
        <f t="shared" si="221"/>
        <v>-17.074415903813268</v>
      </c>
      <c r="AO220" s="15">
        <f t="shared" si="222"/>
        <v>-603.2998415007753</v>
      </c>
      <c r="AP220" s="46">
        <f>SUMPRODUCT(AN221:AN$605, $I221:$I$605) / $I220</f>
        <v>-480.38448786430126</v>
      </c>
      <c r="AR220" s="46">
        <v>0</v>
      </c>
      <c r="AS220" s="46">
        <v>0</v>
      </c>
      <c r="AT220" s="46">
        <v>0</v>
      </c>
      <c r="AU220" s="95">
        <f t="shared" si="194"/>
        <v>-2.2162627612146659</v>
      </c>
      <c r="AV220" s="47">
        <f t="shared" si="195"/>
        <v>0</v>
      </c>
      <c r="AW220" s="96">
        <f t="shared" si="230"/>
        <v>-2.2162627612146659</v>
      </c>
      <c r="AX220" s="95">
        <f t="shared" si="196"/>
        <v>-25.413146328594834</v>
      </c>
      <c r="AY220" s="11">
        <f t="shared" si="197"/>
        <v>0</v>
      </c>
      <c r="AZ220" s="96">
        <f t="shared" si="231"/>
        <v>-25.413146328594834</v>
      </c>
      <c r="BA220" s="95">
        <f t="shared" si="232"/>
        <v>-1.7647248984358657</v>
      </c>
      <c r="BB220" s="64">
        <f t="shared" si="233"/>
        <v>-9.7879404172384454E-3</v>
      </c>
      <c r="BC220" s="95">
        <f t="shared" si="234"/>
        <v>-2.2162627612146659</v>
      </c>
      <c r="BD220" s="96">
        <f t="shared" si="235"/>
        <v>-1.2292367991713848E-2</v>
      </c>
      <c r="BE220" s="96">
        <f t="shared" si="236"/>
        <v>-1.7647248984358657</v>
      </c>
      <c r="BF220" s="96">
        <f t="shared" si="237"/>
        <v>-9.7879404172384454E-3</v>
      </c>
      <c r="BG220" s="15">
        <f t="shared" si="223"/>
        <v>-64.355854167298261</v>
      </c>
      <c r="BH220" s="46">
        <f>(SUMPRODUCT(BE221:BE$605,$I220:$I$604)+SUMPRODUCT(BF221:BF$605,$I221:$I$605)) / $I220</f>
        <v>-51.244094426282892</v>
      </c>
      <c r="BJ220" s="46">
        <f t="shared" si="238"/>
        <v>-1.7647248984358657</v>
      </c>
      <c r="BK220" s="46">
        <f t="shared" si="239"/>
        <v>-17.084203844230505</v>
      </c>
      <c r="BM220" s="49">
        <f t="shared" si="224"/>
        <v>667.97879777777575</v>
      </c>
      <c r="BN220" s="46">
        <f t="shared" si="240"/>
        <v>531.62858229058395</v>
      </c>
      <c r="BP220" s="46">
        <f>Reserve!BX220</f>
        <v>877.93112985935954</v>
      </c>
      <c r="BQ220" s="46">
        <f t="shared" si="198"/>
        <v>698.72469525773101</v>
      </c>
      <c r="BR220" s="15">
        <f t="shared" si="225"/>
        <v>22.586505391520291</v>
      </c>
      <c r="BT220" s="49">
        <f t="shared" si="226"/>
        <v>3.0085103270355043</v>
      </c>
      <c r="BU220" s="46">
        <f t="shared" si="199"/>
        <v>2.3955612006994951</v>
      </c>
      <c r="BV220" s="46">
        <f>SUMPRODUCT(BU221:BU$605, $I221:$I$605) / $I220</f>
        <v>34.967253203280812</v>
      </c>
      <c r="BX220" s="46">
        <f>-BZ220*Others!$Q$43</f>
        <v>-1.5700832894856744</v>
      </c>
      <c r="BZ220" s="50">
        <f t="shared" si="184"/>
        <v>6.1331378495534157</v>
      </c>
      <c r="CA220" s="46">
        <f t="shared" si="227"/>
        <v>4.5630545600677408</v>
      </c>
      <c r="CB220" s="46">
        <f t="shared" si="200"/>
        <v>4.5630545600677408</v>
      </c>
      <c r="CD220" s="46">
        <f>SUMPRODUCT(BZ221:BZ$605, $I221:$I$605) / $I220</f>
        <v>167.09611296714701</v>
      </c>
      <c r="CE220" s="46">
        <f>SUMPRODUCT(CA221:CA$605, $I221:$I$605) / $I220</f>
        <v>124.31950804755732</v>
      </c>
      <c r="CF220" s="46">
        <f>SUMPRODUCT(CB221:CB$605, $I221:$I$605) / $I220</f>
        <v>124.31950804755732</v>
      </c>
      <c r="CH220" s="46">
        <f t="shared" si="201"/>
        <v>46122.06887014064</v>
      </c>
      <c r="CI220" s="46">
        <f t="shared" si="202"/>
        <v>8428.0688701406398</v>
      </c>
      <c r="CK220" s="46">
        <f>NPV((1+CK$3)^(1/12)-1,$CB$6:$CB220)+$CB$5</f>
        <v>1335.53716496078</v>
      </c>
      <c r="CL220" s="46">
        <f>NPV((1+CL$3)^(1/12)-1,$CB$6:$CB220)+$CB$5</f>
        <v>1005.91215120009</v>
      </c>
      <c r="CM220" s="46">
        <f>NPV((1+CM$3)^(1/12)-1,$CB$6:$CB220)+$CB$5</f>
        <v>441.60453785081359</v>
      </c>
      <c r="CN220" s="46">
        <f>NPV((1+CN$3)^(1/12)-1,$CB$6:$CB220)+$CB$5</f>
        <v>441.60453785081359</v>
      </c>
    </row>
    <row r="221" spans="1:92" x14ac:dyDescent="0.25">
      <c r="A221" s="61">
        <f t="shared" si="185"/>
        <v>18.000000000000014</v>
      </c>
      <c r="B221" s="32">
        <f t="shared" si="203"/>
        <v>12</v>
      </c>
      <c r="C221" s="62">
        <f t="shared" si="204"/>
        <v>18</v>
      </c>
      <c r="D221" s="64">
        <f t="shared" si="205"/>
        <v>18.500000000000014</v>
      </c>
      <c r="E221" s="28">
        <f t="shared" si="186"/>
        <v>18</v>
      </c>
      <c r="G221" s="68">
        <f>INDEX(Others!$D$11:$E$60, MATCH(C221, Others!$A$11:$A$60, 0), MATCH(G$3, Others!$D$10:$E$10, 0))</f>
        <v>4.0690909090909111E-2</v>
      </c>
      <c r="H221" s="16">
        <f t="shared" si="228"/>
        <v>3.329265421250005E-3</v>
      </c>
      <c r="I221" s="69">
        <f t="shared" si="229"/>
        <v>0.48776238465667726</v>
      </c>
      <c r="K221" s="80">
        <f>INDEX(Mortality!$B$7:$F$32, MATCH( E221,Mortality!$A$7:$A$32, 0), MATCH( K$3,Mortality!$B$6:$F$6,0))</f>
        <v>0.41100000000000003</v>
      </c>
      <c r="L221" s="11">
        <f t="shared" si="187"/>
        <v>0</v>
      </c>
      <c r="M221" s="80">
        <f t="shared" si="206"/>
        <v>0.41100000000000003</v>
      </c>
      <c r="N221" s="76">
        <f>INDEX(Myopia!$H:$H, MATCH(E221, Myopia!$A:$A, 0)) * Trend_Factor^(A221)</f>
        <v>5.393598477604141</v>
      </c>
      <c r="O221" s="11">
        <f t="shared" si="188"/>
        <v>0</v>
      </c>
      <c r="P221" s="80">
        <f t="shared" si="207"/>
        <v>5.393598477604141</v>
      </c>
      <c r="Q221" s="76">
        <f>VLOOKUP(C221,Others!$L$10:$M$61,2)</f>
        <v>0</v>
      </c>
      <c r="R221" s="11">
        <f t="shared" si="189"/>
        <v>0</v>
      </c>
      <c r="S221" s="80">
        <f t="shared" si="208"/>
        <v>0</v>
      </c>
      <c r="T221" s="78">
        <f t="shared" si="209"/>
        <v>3.4249999999999999E-5</v>
      </c>
      <c r="U221" s="81">
        <f t="shared" si="210"/>
        <v>4.4946653980034514E-4</v>
      </c>
      <c r="V221" s="81">
        <f t="shared" si="211"/>
        <v>0</v>
      </c>
      <c r="W221" s="77">
        <f t="shared" si="190"/>
        <v>0.79587643209515013</v>
      </c>
      <c r="X221" s="82">
        <f t="shared" si="212"/>
        <v>2.7252641847237915E-5</v>
      </c>
      <c r="Y221" s="82">
        <f t="shared" si="213"/>
        <v>3.5771370009043051E-4</v>
      </c>
      <c r="Z221" s="82">
        <f t="shared" si="214"/>
        <v>0</v>
      </c>
      <c r="AA221" s="82">
        <f t="shared" si="215"/>
        <v>0.7954914657532125</v>
      </c>
      <c r="AC221" s="46">
        <f t="shared" si="191"/>
        <v>0</v>
      </c>
      <c r="AD221" s="15">
        <f t="shared" si="192"/>
        <v>0</v>
      </c>
      <c r="AE221" s="46">
        <f t="shared" si="216"/>
        <v>0</v>
      </c>
      <c r="AF221" s="15">
        <f t="shared" si="217"/>
        <v>0</v>
      </c>
      <c r="AG221" s="46">
        <f>SUMPRODUCT(AE222:AE$605, $I221:$I$604) / $I221</f>
        <v>0</v>
      </c>
      <c r="AI221" s="46">
        <f t="shared" si="193"/>
        <v>-47000</v>
      </c>
      <c r="AJ221" s="46">
        <f>IF(E221&gt;Mat_Year,0,  -SUM($AD$5:AD221))</f>
        <v>-9306</v>
      </c>
      <c r="AK221" s="24">
        <f t="shared" si="218"/>
        <v>-0.25361308503039603</v>
      </c>
      <c r="AL221" s="79">
        <f t="shared" si="219"/>
        <v>-16.812543904250234</v>
      </c>
      <c r="AM221" s="24">
        <f t="shared" si="220"/>
        <v>-21.443224476887515</v>
      </c>
      <c r="AN221" s="79">
        <f t="shared" si="221"/>
        <v>-17.066156989280628</v>
      </c>
      <c r="AO221" s="15">
        <f t="shared" si="222"/>
        <v>-584.15809237556289</v>
      </c>
      <c r="AP221" s="46">
        <f>SUMPRODUCT(AN222:AN$605, $I222:$I$605) / $I221</f>
        <v>-464.91765833937211</v>
      </c>
      <c r="AR221" s="46">
        <v>0</v>
      </c>
      <c r="AS221" s="46">
        <v>0</v>
      </c>
      <c r="AT221" s="46">
        <v>0</v>
      </c>
      <c r="AU221" s="95">
        <f t="shared" si="194"/>
        <v>-2.2187407613185308</v>
      </c>
      <c r="AV221" s="47">
        <f t="shared" si="195"/>
        <v>0</v>
      </c>
      <c r="AW221" s="96">
        <f t="shared" si="230"/>
        <v>-2.2187407613185308</v>
      </c>
      <c r="AX221" s="95">
        <f t="shared" si="196"/>
        <v>-25.44156072978582</v>
      </c>
      <c r="AY221" s="11">
        <f t="shared" si="197"/>
        <v>0</v>
      </c>
      <c r="AZ221" s="96">
        <f t="shared" si="231"/>
        <v>-25.44156072978582</v>
      </c>
      <c r="BA221" s="95">
        <f t="shared" si="232"/>
        <v>-1.7658434808622694</v>
      </c>
      <c r="BB221" s="64">
        <f t="shared" si="233"/>
        <v>-9.7941445673306853E-3</v>
      </c>
      <c r="BC221" s="95">
        <f t="shared" si="234"/>
        <v>-2.2187407613185308</v>
      </c>
      <c r="BD221" s="96">
        <f t="shared" si="235"/>
        <v>-1.230611207012065E-2</v>
      </c>
      <c r="BE221" s="96">
        <f t="shared" si="236"/>
        <v>-1.7658434808622694</v>
      </c>
      <c r="BF221" s="96">
        <f t="shared" si="237"/>
        <v>-9.7941445673306853E-3</v>
      </c>
      <c r="BG221" s="15">
        <f t="shared" si="223"/>
        <v>-62.362925988611224</v>
      </c>
      <c r="BH221" s="46">
        <f>(SUMPRODUCT(BE222:BE$605,$I221:$I$604)+SUMPRODUCT(BF222:BF$605,$I222:$I$605)) / $I221</f>
        <v>-49.633183030829812</v>
      </c>
      <c r="BJ221" s="46">
        <f t="shared" si="238"/>
        <v>-1.7658434808622694</v>
      </c>
      <c r="BK221" s="46">
        <f t="shared" si="239"/>
        <v>-17.075951133847958</v>
      </c>
      <c r="BM221" s="49">
        <f t="shared" si="224"/>
        <v>646.83389265904736</v>
      </c>
      <c r="BN221" s="46">
        <f t="shared" si="240"/>
        <v>514.55084137020174</v>
      </c>
      <c r="BP221" s="46">
        <f>Reserve!BX221</f>
        <v>849.89685093193395</v>
      </c>
      <c r="BQ221" s="46">
        <f t="shared" si="198"/>
        <v>676.08569168688371</v>
      </c>
      <c r="BR221" s="15">
        <f t="shared" si="225"/>
        <v>22.639003570847308</v>
      </c>
      <c r="BT221" s="49">
        <f t="shared" si="226"/>
        <v>2.915478975984338</v>
      </c>
      <c r="BU221" s="46">
        <f t="shared" si="199"/>
        <v>2.3203610052548367</v>
      </c>
      <c r="BV221" s="46">
        <f>SUMPRODUCT(BU222:BU$605, $I222:$I$605) / $I221</f>
        <v>32.76330746499174</v>
      </c>
      <c r="BX221" s="46">
        <f>-BZ221*Others!$Q$43</f>
        <v>-1.5660979101163308</v>
      </c>
      <c r="BZ221" s="50">
        <f t="shared" si="184"/>
        <v>6.1175699613919168</v>
      </c>
      <c r="CA221" s="46">
        <f t="shared" si="227"/>
        <v>4.551472051275586</v>
      </c>
      <c r="CB221" s="46">
        <f t="shared" si="200"/>
        <v>4.551472051275586</v>
      </c>
      <c r="CD221" s="46">
        <f>SUMPRODUCT(BZ222:BZ$605, $I222:$I$605) / $I221</f>
        <v>161.53485031668185</v>
      </c>
      <c r="CE221" s="46">
        <f>SUMPRODUCT(CA222:CA$605, $I222:$I$605) / $I221</f>
        <v>120.18192863561129</v>
      </c>
      <c r="CF221" s="46">
        <f>SUMPRODUCT(CB222:CB$605, $I222:$I$605) / $I221</f>
        <v>120.18192863561129</v>
      </c>
      <c r="CH221" s="46">
        <f t="shared" si="201"/>
        <v>46150.103149068069</v>
      </c>
      <c r="CI221" s="46">
        <f t="shared" si="202"/>
        <v>8456.1031490680652</v>
      </c>
      <c r="CK221" s="46">
        <f>NPV((1+CK$3)^(1/12)-1,$CB$6:$CB221)+$CB$5</f>
        <v>1338.2106751004158</v>
      </c>
      <c r="CL221" s="46">
        <f>NPV((1+CL$3)^(1/12)-1,$CB$6:$CB221)+$CB$5</f>
        <v>1007.8033818474471</v>
      </c>
      <c r="CM221" s="46">
        <f>NPV((1+CM$3)^(1/12)-1,$CB$6:$CB221)+$CB$5</f>
        <v>442.42316010626155</v>
      </c>
      <c r="CN221" s="46">
        <f>NPV((1+CN$3)^(1/12)-1,$CB$6:$CB221)+$CB$5</f>
        <v>442.42316010626155</v>
      </c>
    </row>
    <row r="222" spans="1:92" x14ac:dyDescent="0.25">
      <c r="A222" s="61">
        <f t="shared" si="185"/>
        <v>18.083333333333346</v>
      </c>
      <c r="B222" s="32">
        <f t="shared" si="203"/>
        <v>1</v>
      </c>
      <c r="C222" s="62">
        <f t="shared" si="204"/>
        <v>19</v>
      </c>
      <c r="D222" s="64">
        <f t="shared" si="205"/>
        <v>18.583333333333346</v>
      </c>
      <c r="E222" s="28">
        <f t="shared" si="186"/>
        <v>18</v>
      </c>
      <c r="G222" s="68">
        <f>INDEX(Others!$D$11:$E$60, MATCH(C222, Others!$A$11:$A$60, 0), MATCH(G$3, Others!$D$10:$E$10, 0))</f>
        <v>4.0690909090909111E-2</v>
      </c>
      <c r="H222" s="16">
        <f t="shared" si="228"/>
        <v>3.329265421250005E-3</v>
      </c>
      <c r="I222" s="69">
        <f t="shared" si="229"/>
        <v>0.48614388263845681</v>
      </c>
      <c r="K222" s="80">
        <f>INDEX(Mortality!$B$7:$F$32, MATCH( E222,Mortality!$A$7:$A$32, 0), MATCH( K$3,Mortality!$B$6:$F$6,0))</f>
        <v>0.41100000000000003</v>
      </c>
      <c r="L222" s="11">
        <f t="shared" si="187"/>
        <v>0</v>
      </c>
      <c r="M222" s="80">
        <f t="shared" si="206"/>
        <v>0.41100000000000003</v>
      </c>
      <c r="N222" s="76">
        <f>INDEX(Myopia!$H:$H, MATCH(E222, Myopia!$A:$A, 0)) * Trend_Factor^(A222)</f>
        <v>5.393598477604141</v>
      </c>
      <c r="O222" s="11">
        <f t="shared" si="188"/>
        <v>0</v>
      </c>
      <c r="P222" s="80">
        <f t="shared" si="207"/>
        <v>5.393598477604141</v>
      </c>
      <c r="Q222" s="76">
        <f>VLOOKUP(C222,Others!$L$10:$M$61,2)</f>
        <v>0</v>
      </c>
      <c r="R222" s="11">
        <f t="shared" si="189"/>
        <v>0</v>
      </c>
      <c r="S222" s="80">
        <f t="shared" si="208"/>
        <v>0</v>
      </c>
      <c r="T222" s="78">
        <f t="shared" si="209"/>
        <v>3.4249999999999999E-5</v>
      </c>
      <c r="U222" s="81">
        <f t="shared" si="210"/>
        <v>4.4946653980034514E-4</v>
      </c>
      <c r="V222" s="81">
        <f t="shared" si="211"/>
        <v>0</v>
      </c>
      <c r="W222" s="77">
        <f t="shared" si="190"/>
        <v>0.7954914657532125</v>
      </c>
      <c r="X222" s="82">
        <f t="shared" si="212"/>
        <v>2.7239459713156561E-5</v>
      </c>
      <c r="Y222" s="82">
        <f t="shared" si="213"/>
        <v>3.5754067356391021E-4</v>
      </c>
      <c r="Z222" s="82">
        <f t="shared" si="214"/>
        <v>0</v>
      </c>
      <c r="AA222" s="82">
        <f t="shared" si="215"/>
        <v>0.79510668561993547</v>
      </c>
      <c r="AC222" s="46">
        <f t="shared" si="191"/>
        <v>0</v>
      </c>
      <c r="AD222" s="15">
        <f t="shared" si="192"/>
        <v>0</v>
      </c>
      <c r="AE222" s="46">
        <f t="shared" si="216"/>
        <v>0</v>
      </c>
      <c r="AF222" s="15">
        <f t="shared" si="217"/>
        <v>0</v>
      </c>
      <c r="AG222" s="46">
        <f>SUMPRODUCT(AE223:AE$605, $I222:$I$604) / $I222</f>
        <v>0</v>
      </c>
      <c r="AI222" s="46">
        <f t="shared" si="193"/>
        <v>-47000</v>
      </c>
      <c r="AJ222" s="46">
        <f>IF(E222&gt;Mat_Year,0,  -SUM($AD$5:AD222))</f>
        <v>-9306</v>
      </c>
      <c r="AK222" s="24">
        <f t="shared" si="218"/>
        <v>-0.25349041209063494</v>
      </c>
      <c r="AL222" s="79">
        <f t="shared" si="219"/>
        <v>-16.804411657503781</v>
      </c>
      <c r="AM222" s="24">
        <f t="shared" si="220"/>
        <v>-21.443224476887519</v>
      </c>
      <c r="AN222" s="79">
        <f t="shared" si="221"/>
        <v>-17.057902069594416</v>
      </c>
      <c r="AO222" s="15">
        <f t="shared" si="222"/>
        <v>-564.94332107999821</v>
      </c>
      <c r="AP222" s="46">
        <f>SUMPRODUCT(AN223:AN$605, $I223:$I$605) / $I222</f>
        <v>-449.40759055341556</v>
      </c>
      <c r="AR222" s="46">
        <v>0</v>
      </c>
      <c r="AS222" s="46">
        <v>0</v>
      </c>
      <c r="AT222" s="46">
        <v>0</v>
      </c>
      <c r="AU222" s="95">
        <f t="shared" si="194"/>
        <v>-2.2212215320706341</v>
      </c>
      <c r="AV222" s="47">
        <f t="shared" si="195"/>
        <v>0</v>
      </c>
      <c r="AW222" s="96">
        <f t="shared" si="230"/>
        <v>-2.2212215320706341</v>
      </c>
      <c r="AX222" s="95">
        <f t="shared" si="196"/>
        <v>-25.470006901076601</v>
      </c>
      <c r="AY222" s="11">
        <f t="shared" si="197"/>
        <v>0</v>
      </c>
      <c r="AZ222" s="96">
        <f t="shared" si="231"/>
        <v>-25.470006901076601</v>
      </c>
      <c r="BA222" s="95">
        <f t="shared" si="232"/>
        <v>-1.766962772309465</v>
      </c>
      <c r="BB222" s="64">
        <f t="shared" si="233"/>
        <v>-9.8003526499640652E-3</v>
      </c>
      <c r="BC222" s="95">
        <f t="shared" si="234"/>
        <v>-2.2212215320706341</v>
      </c>
      <c r="BD222" s="96">
        <f t="shared" si="235"/>
        <v>-1.2319871515761121E-2</v>
      </c>
      <c r="BE222" s="96">
        <f t="shared" si="236"/>
        <v>-1.766962772309465</v>
      </c>
      <c r="BF222" s="96">
        <f t="shared" si="237"/>
        <v>-9.8003526499640652E-3</v>
      </c>
      <c r="BG222" s="15">
        <f t="shared" si="223"/>
        <v>-60.359892374658202</v>
      </c>
      <c r="BH222" s="46">
        <f>(SUMPRODUCT(BE223:BE$605,$I222:$I$604)+SUMPRODUCT(BF223:BF$605,$I223:$I$605)) / $I222</f>
        <v>-48.015779257823006</v>
      </c>
      <c r="BJ222" s="46">
        <f t="shared" si="238"/>
        <v>-1.766962772309465</v>
      </c>
      <c r="BK222" s="46">
        <f t="shared" si="239"/>
        <v>-17.067702422244381</v>
      </c>
      <c r="BM222" s="49">
        <f t="shared" si="224"/>
        <v>625.60581970632416</v>
      </c>
      <c r="BN222" s="46">
        <f t="shared" si="240"/>
        <v>497.42336981123833</v>
      </c>
      <c r="BP222" s="46">
        <f>Reserve!BX222</f>
        <v>821.76901865773459</v>
      </c>
      <c r="BQ222" s="46">
        <f t="shared" si="198"/>
        <v>653.39404077009829</v>
      </c>
      <c r="BR222" s="15">
        <f t="shared" si="225"/>
        <v>22.69165091678542</v>
      </c>
      <c r="BT222" s="49">
        <f t="shared" si="226"/>
        <v>2.8221371613972988</v>
      </c>
      <c r="BU222" s="46">
        <f t="shared" si="199"/>
        <v>2.2449860270765476</v>
      </c>
      <c r="BV222" s="46">
        <f>SUMPRODUCT(BU223:BU$605, $I223:$I$605) / $I222</f>
        <v>30.627399184544174</v>
      </c>
      <c r="BX222" s="46">
        <f>-BZ222*Others!$Q$43</f>
        <v>-1.5621047678228792</v>
      </c>
      <c r="BZ222" s="50">
        <f t="shared" si="184"/>
        <v>6.101971749308122</v>
      </c>
      <c r="CA222" s="46">
        <f t="shared" si="227"/>
        <v>4.5398669814852433</v>
      </c>
      <c r="CB222" s="46">
        <f t="shared" si="200"/>
        <v>4.5398669814852433</v>
      </c>
      <c r="CD222" s="46">
        <f>SUMPRODUCT(BZ223:BZ$605, $I223:$I$605) / $I222</f>
        <v>155.97067095885984</v>
      </c>
      <c r="CE222" s="46">
        <f>SUMPRODUCT(CA223:CA$605, $I223:$I$605) / $I222</f>
        <v>116.04217919339172</v>
      </c>
      <c r="CF222" s="46">
        <f>SUMPRODUCT(CB223:CB$605, $I223:$I$605) / $I222</f>
        <v>116.04217919339172</v>
      </c>
      <c r="CH222" s="46">
        <f t="shared" si="201"/>
        <v>46178.230981342269</v>
      </c>
      <c r="CI222" s="46">
        <f t="shared" si="202"/>
        <v>8484.2309813422653</v>
      </c>
      <c r="CK222" s="46">
        <f>NPV((1+CK$3)^(1/12)-1,$CB$6:$CB222)+$CB$5</f>
        <v>1340.8708078795717</v>
      </c>
      <c r="CL222" s="46">
        <f>NPV((1+CL$3)^(1/12)-1,$CB$6:$CB222)+$CB$5</f>
        <v>1009.6821360713379</v>
      </c>
      <c r="CM222" s="46">
        <f>NPV((1+CM$3)^(1/12)-1,$CB$6:$CB222)+$CB$5</f>
        <v>443.23323543348306</v>
      </c>
      <c r="CN222" s="46">
        <f>NPV((1+CN$3)^(1/12)-1,$CB$6:$CB222)+$CB$5</f>
        <v>443.23323543348306</v>
      </c>
    </row>
    <row r="223" spans="1:92" x14ac:dyDescent="0.25">
      <c r="A223" s="61">
        <f t="shared" si="185"/>
        <v>18.166666666666679</v>
      </c>
      <c r="B223" s="32">
        <f t="shared" si="203"/>
        <v>2</v>
      </c>
      <c r="C223" s="62">
        <f t="shared" si="204"/>
        <v>19</v>
      </c>
      <c r="D223" s="64">
        <f t="shared" si="205"/>
        <v>18.666666666666679</v>
      </c>
      <c r="E223" s="28">
        <f t="shared" si="186"/>
        <v>18</v>
      </c>
      <c r="G223" s="68">
        <f>INDEX(Others!$D$11:$E$60, MATCH(C223, Others!$A$11:$A$60, 0), MATCH(G$3, Others!$D$10:$E$10, 0))</f>
        <v>4.0690909090909111E-2</v>
      </c>
      <c r="H223" s="16">
        <f t="shared" si="228"/>
        <v>3.329265421250005E-3</v>
      </c>
      <c r="I223" s="69">
        <f t="shared" si="229"/>
        <v>0.48453075116307731</v>
      </c>
      <c r="K223" s="80">
        <f>INDEX(Mortality!$B$7:$F$32, MATCH( E223,Mortality!$A$7:$A$32, 0), MATCH( K$3,Mortality!$B$6:$F$6,0))</f>
        <v>0.41100000000000003</v>
      </c>
      <c r="L223" s="11">
        <f t="shared" si="187"/>
        <v>0</v>
      </c>
      <c r="M223" s="80">
        <f t="shared" si="206"/>
        <v>0.41100000000000003</v>
      </c>
      <c r="N223" s="76">
        <f>INDEX(Myopia!$H:$H, MATCH(E223, Myopia!$A:$A, 0)) * Trend_Factor^(A223)</f>
        <v>5.393598477604141</v>
      </c>
      <c r="O223" s="11">
        <f t="shared" si="188"/>
        <v>0</v>
      </c>
      <c r="P223" s="80">
        <f t="shared" si="207"/>
        <v>5.393598477604141</v>
      </c>
      <c r="Q223" s="76">
        <f>VLOOKUP(C223,Others!$L$10:$M$61,2)</f>
        <v>0</v>
      </c>
      <c r="R223" s="11">
        <f t="shared" si="189"/>
        <v>0</v>
      </c>
      <c r="S223" s="80">
        <f t="shared" si="208"/>
        <v>0</v>
      </c>
      <c r="T223" s="78">
        <f t="shared" si="209"/>
        <v>3.4249999999999999E-5</v>
      </c>
      <c r="U223" s="81">
        <f t="shared" si="210"/>
        <v>4.4946653980034514E-4</v>
      </c>
      <c r="V223" s="81">
        <f t="shared" si="211"/>
        <v>0</v>
      </c>
      <c r="W223" s="77">
        <f t="shared" si="190"/>
        <v>0.79510668561993547</v>
      </c>
      <c r="X223" s="82">
        <f t="shared" si="212"/>
        <v>2.7226283955288566E-5</v>
      </c>
      <c r="Y223" s="82">
        <f t="shared" si="213"/>
        <v>3.5736773073051899E-4</v>
      </c>
      <c r="Z223" s="82">
        <f t="shared" si="214"/>
        <v>0</v>
      </c>
      <c r="AA223" s="82">
        <f t="shared" si="215"/>
        <v>0.79472209160524965</v>
      </c>
      <c r="AC223" s="46">
        <f t="shared" si="191"/>
        <v>0</v>
      </c>
      <c r="AD223" s="15">
        <f t="shared" si="192"/>
        <v>0</v>
      </c>
      <c r="AE223" s="46">
        <f t="shared" si="216"/>
        <v>0</v>
      </c>
      <c r="AF223" s="15">
        <f t="shared" si="217"/>
        <v>0</v>
      </c>
      <c r="AG223" s="46">
        <f>SUMPRODUCT(AE224:AE$605, $I223:$I$604) / $I223</f>
        <v>0</v>
      </c>
      <c r="AI223" s="46">
        <f t="shared" si="193"/>
        <v>-47000</v>
      </c>
      <c r="AJ223" s="46">
        <f>IF(E223&gt;Mat_Year,0,  -SUM($AD$5:AD223))</f>
        <v>-9306</v>
      </c>
      <c r="AK223" s="24">
        <f t="shared" si="218"/>
        <v>-0.25336779848791541</v>
      </c>
      <c r="AL223" s="79">
        <f t="shared" si="219"/>
        <v>-16.796283344334391</v>
      </c>
      <c r="AM223" s="24">
        <f t="shared" si="220"/>
        <v>-21.443224476887515</v>
      </c>
      <c r="AN223" s="79">
        <f t="shared" si="221"/>
        <v>-17.049651142822306</v>
      </c>
      <c r="AO223" s="15">
        <f t="shared" si="222"/>
        <v>-545.65524904824429</v>
      </c>
      <c r="AP223" s="46">
        <f>SUMPRODUCT(AN224:AN$605, $I224:$I$605) / $I223</f>
        <v>-433.85413656186995</v>
      </c>
      <c r="AR223" s="46">
        <v>0</v>
      </c>
      <c r="AS223" s="46">
        <v>0</v>
      </c>
      <c r="AT223" s="46">
        <v>0</v>
      </c>
      <c r="AU223" s="95">
        <f t="shared" si="194"/>
        <v>-2.2237050765688329</v>
      </c>
      <c r="AV223" s="47">
        <f t="shared" si="195"/>
        <v>0</v>
      </c>
      <c r="AW223" s="96">
        <f t="shared" si="230"/>
        <v>-2.2237050765688329</v>
      </c>
      <c r="AX223" s="95">
        <f t="shared" si="196"/>
        <v>-25.498484877989281</v>
      </c>
      <c r="AY223" s="11">
        <f t="shared" si="197"/>
        <v>0</v>
      </c>
      <c r="AZ223" s="96">
        <f t="shared" si="231"/>
        <v>-25.498484877989281</v>
      </c>
      <c r="BA223" s="95">
        <f t="shared" si="232"/>
        <v>-1.7680827732268696</v>
      </c>
      <c r="BB223" s="64">
        <f t="shared" si="233"/>
        <v>-9.8065646676312509E-3</v>
      </c>
      <c r="BC223" s="95">
        <f t="shared" si="234"/>
        <v>-2.2237050765688329</v>
      </c>
      <c r="BD223" s="96">
        <f t="shared" si="235"/>
        <v>-1.2333646345817337E-2</v>
      </c>
      <c r="BE223" s="96">
        <f t="shared" si="236"/>
        <v>-1.7680827732268696</v>
      </c>
      <c r="BF223" s="96">
        <f t="shared" si="237"/>
        <v>-9.8065646676312509E-3</v>
      </c>
      <c r="BG223" s="15">
        <f t="shared" si="223"/>
        <v>-58.346711976740501</v>
      </c>
      <c r="BH223" s="46">
        <f>(SUMPRODUCT(BE224:BE$605,$I223:$I$604)+SUMPRODUCT(BF224:BF$605,$I224:$I$605)) / $I223</f>
        <v>-46.391860776647135</v>
      </c>
      <c r="BJ223" s="46">
        <f t="shared" si="238"/>
        <v>-1.7680827732268696</v>
      </c>
      <c r="BK223" s="46">
        <f t="shared" si="239"/>
        <v>-17.059457707489937</v>
      </c>
      <c r="BM223" s="49">
        <f t="shared" si="224"/>
        <v>604.29425885025262</v>
      </c>
      <c r="BN223" s="46">
        <f t="shared" si="240"/>
        <v>480.24599733851693</v>
      </c>
      <c r="BP223" s="46">
        <f>Reserve!BX223</f>
        <v>793.54732881172401</v>
      </c>
      <c r="BQ223" s="46">
        <f t="shared" si="198"/>
        <v>630.64959294101209</v>
      </c>
      <c r="BR223" s="15">
        <f t="shared" si="225"/>
        <v>22.744447829086198</v>
      </c>
      <c r="BT223" s="49">
        <f t="shared" si="226"/>
        <v>2.7284838736532673</v>
      </c>
      <c r="BU223" s="46">
        <f t="shared" si="199"/>
        <v>2.1694357695478921</v>
      </c>
      <c r="BV223" s="46">
        <f>SUMPRODUCT(BU224:BU$605, $I224:$I$605) / $I223</f>
        <v>28.559930156044203</v>
      </c>
      <c r="BX223" s="46">
        <f>-BZ223*Others!$Q$43</f>
        <v>-1.5581038381868249</v>
      </c>
      <c r="BZ223" s="50">
        <f t="shared" si="184"/>
        <v>6.0863431179172842</v>
      </c>
      <c r="CA223" s="46">
        <f t="shared" si="227"/>
        <v>4.5282392797304594</v>
      </c>
      <c r="CB223" s="46">
        <f t="shared" si="200"/>
        <v>4.5282392797304594</v>
      </c>
      <c r="CD223" s="46">
        <f>SUMPRODUCT(BZ224:BZ$605, $I224:$I$605) / $I223</f>
        <v>150.40359560249505</v>
      </c>
      <c r="CE223" s="46">
        <f>SUMPRODUCT(CA224:CA$605, $I224:$I$605) / $I223</f>
        <v>111.90027512825633</v>
      </c>
      <c r="CF223" s="46">
        <f>SUMPRODUCT(CB224:CB$605, $I224:$I$605) / $I223</f>
        <v>111.90027512825633</v>
      </c>
      <c r="CH223" s="46">
        <f t="shared" si="201"/>
        <v>46206.452671188279</v>
      </c>
      <c r="CI223" s="46">
        <f t="shared" si="202"/>
        <v>8512.4526711882754</v>
      </c>
      <c r="CK223" s="46">
        <f>NPV((1+CK$3)^(1/12)-1,$CB$6:$CB223)+$CB$5</f>
        <v>1343.5175997100359</v>
      </c>
      <c r="CL223" s="46">
        <f>NPV((1+CL$3)^(1/12)-1,$CB$6:$CB223)+$CB$5</f>
        <v>1011.5484746550317</v>
      </c>
      <c r="CM223" s="46">
        <f>NPV((1+CM$3)^(1/12)-1,$CB$6:$CB223)+$CB$5</f>
        <v>444.03484382321244</v>
      </c>
      <c r="CN223" s="46">
        <f>NPV((1+CN$3)^(1/12)-1,$CB$6:$CB223)+$CB$5</f>
        <v>444.03484382321244</v>
      </c>
    </row>
    <row r="224" spans="1:92" x14ac:dyDescent="0.25">
      <c r="A224" s="61">
        <f t="shared" si="185"/>
        <v>18.250000000000011</v>
      </c>
      <c r="B224" s="32">
        <f t="shared" si="203"/>
        <v>3</v>
      </c>
      <c r="C224" s="62">
        <f t="shared" si="204"/>
        <v>19</v>
      </c>
      <c r="D224" s="64">
        <f t="shared" si="205"/>
        <v>18.750000000000011</v>
      </c>
      <c r="E224" s="28">
        <f t="shared" si="186"/>
        <v>18</v>
      </c>
      <c r="G224" s="68">
        <f>INDEX(Others!$D$11:$E$60, MATCH(C224, Others!$A$11:$A$60, 0), MATCH(G$3, Others!$D$10:$E$10, 0))</f>
        <v>4.0690909090909111E-2</v>
      </c>
      <c r="H224" s="16">
        <f t="shared" si="228"/>
        <v>3.329265421250005E-3</v>
      </c>
      <c r="I224" s="69">
        <f t="shared" si="229"/>
        <v>0.48292297240990573</v>
      </c>
      <c r="K224" s="80">
        <f>INDEX(Mortality!$B$7:$F$32, MATCH( E224,Mortality!$A$7:$A$32, 0), MATCH( K$3,Mortality!$B$6:$F$6,0))</f>
        <v>0.41100000000000003</v>
      </c>
      <c r="L224" s="11">
        <f t="shared" si="187"/>
        <v>0</v>
      </c>
      <c r="M224" s="80">
        <f t="shared" si="206"/>
        <v>0.41100000000000003</v>
      </c>
      <c r="N224" s="76">
        <f>INDEX(Myopia!$H:$H, MATCH(E224, Myopia!$A:$A, 0)) * Trend_Factor^(A224)</f>
        <v>5.393598477604141</v>
      </c>
      <c r="O224" s="11">
        <f t="shared" si="188"/>
        <v>0</v>
      </c>
      <c r="P224" s="80">
        <f t="shared" si="207"/>
        <v>5.393598477604141</v>
      </c>
      <c r="Q224" s="76">
        <f>VLOOKUP(C224,Others!$L$10:$M$61,2)</f>
        <v>0</v>
      </c>
      <c r="R224" s="11">
        <f t="shared" si="189"/>
        <v>0</v>
      </c>
      <c r="S224" s="80">
        <f t="shared" si="208"/>
        <v>0</v>
      </c>
      <c r="T224" s="78">
        <f t="shared" si="209"/>
        <v>3.4249999999999999E-5</v>
      </c>
      <c r="U224" s="81">
        <f t="shared" si="210"/>
        <v>4.4946653980034514E-4</v>
      </c>
      <c r="V224" s="81">
        <f t="shared" si="211"/>
        <v>0</v>
      </c>
      <c r="W224" s="77">
        <f t="shared" si="190"/>
        <v>0.79472209160524965</v>
      </c>
      <c r="X224" s="82">
        <f t="shared" si="212"/>
        <v>2.7213114570549738E-5</v>
      </c>
      <c r="Y224" s="82">
        <f t="shared" si="213"/>
        <v>3.5719487154977443E-4</v>
      </c>
      <c r="Z224" s="82">
        <f t="shared" si="214"/>
        <v>0</v>
      </c>
      <c r="AA224" s="82">
        <f t="shared" si="215"/>
        <v>0.79433768361912938</v>
      </c>
      <c r="AC224" s="46">
        <f t="shared" si="191"/>
        <v>0</v>
      </c>
      <c r="AD224" s="15">
        <f t="shared" si="192"/>
        <v>0</v>
      </c>
      <c r="AE224" s="46">
        <f t="shared" si="216"/>
        <v>0</v>
      </c>
      <c r="AF224" s="15">
        <f t="shared" si="217"/>
        <v>0</v>
      </c>
      <c r="AG224" s="46">
        <f>SUMPRODUCT(AE225:AE$605, $I224:$I$604) / $I224</f>
        <v>0</v>
      </c>
      <c r="AI224" s="46">
        <f t="shared" si="193"/>
        <v>-47000</v>
      </c>
      <c r="AJ224" s="46">
        <f>IF(E224&gt;Mat_Year,0,  -SUM($AD$5:AD224))</f>
        <v>-9306</v>
      </c>
      <c r="AK224" s="24">
        <f t="shared" si="218"/>
        <v>-0.25324524419353589</v>
      </c>
      <c r="AL224" s="79">
        <f t="shared" si="219"/>
        <v>-16.788158962839397</v>
      </c>
      <c r="AM224" s="24">
        <f t="shared" si="220"/>
        <v>-21.443224476887519</v>
      </c>
      <c r="AN224" s="79">
        <f t="shared" si="221"/>
        <v>-17.041404207032933</v>
      </c>
      <c r="AO224" s="15">
        <f t="shared" si="222"/>
        <v>-526.29359665178811</v>
      </c>
      <c r="AP224" s="46">
        <f>SUMPRODUCT(AN225:AN$605, $I225:$I$605) / $I224</f>
        <v>-418.2571479295587</v>
      </c>
      <c r="AR224" s="46">
        <v>0</v>
      </c>
      <c r="AS224" s="46">
        <v>0</v>
      </c>
      <c r="AT224" s="46">
        <v>0</v>
      </c>
      <c r="AU224" s="95">
        <f t="shared" si="194"/>
        <v>-2.2261913979144494</v>
      </c>
      <c r="AV224" s="47">
        <f t="shared" si="195"/>
        <v>0</v>
      </c>
      <c r="AW224" s="96">
        <f t="shared" si="230"/>
        <v>-2.2261913979144494</v>
      </c>
      <c r="AX224" s="95">
        <f t="shared" si="196"/>
        <v>-25.526994696085684</v>
      </c>
      <c r="AY224" s="11">
        <f t="shared" si="197"/>
        <v>0</v>
      </c>
      <c r="AZ224" s="96">
        <f t="shared" si="231"/>
        <v>-25.526994696085684</v>
      </c>
      <c r="BA224" s="95">
        <f t="shared" si="232"/>
        <v>-1.7692034840641859</v>
      </c>
      <c r="BB224" s="64">
        <f t="shared" si="233"/>
        <v>-9.8127806228264936E-3</v>
      </c>
      <c r="BC224" s="95">
        <f t="shared" si="234"/>
        <v>-2.2261913979144494</v>
      </c>
      <c r="BD224" s="96">
        <f t="shared" si="235"/>
        <v>-1.2347436577490599E-2</v>
      </c>
      <c r="BE224" s="96">
        <f t="shared" si="236"/>
        <v>-1.7692034840641859</v>
      </c>
      <c r="BF224" s="96">
        <f t="shared" si="237"/>
        <v>-9.8127806228264936E-3</v>
      </c>
      <c r="BG224" s="15">
        <f t="shared" si="223"/>
        <v>-56.323343285293078</v>
      </c>
      <c r="BH224" s="46">
        <f>(SUMPRODUCT(BE225:BE$605,$I224:$I$604)+SUMPRODUCT(BF225:BF$605,$I225:$I$605)) / $I224</f>
        <v>-44.761405181888605</v>
      </c>
      <c r="BJ224" s="46">
        <f t="shared" si="238"/>
        <v>-1.7692034840641859</v>
      </c>
      <c r="BK224" s="46">
        <f t="shared" si="239"/>
        <v>-17.05121698765576</v>
      </c>
      <c r="BM224" s="49">
        <f t="shared" si="224"/>
        <v>582.89888879734463</v>
      </c>
      <c r="BN224" s="46">
        <f t="shared" si="240"/>
        <v>463.0185531114472</v>
      </c>
      <c r="BP224" s="46">
        <f>Reserve!BX224</f>
        <v>765.23147619406518</v>
      </c>
      <c r="BQ224" s="46">
        <f t="shared" si="198"/>
        <v>607.85219823244063</v>
      </c>
      <c r="BR224" s="15">
        <f t="shared" si="225"/>
        <v>22.79739470857146</v>
      </c>
      <c r="BT224" s="49">
        <f t="shared" si="226"/>
        <v>2.6345180998960198</v>
      </c>
      <c r="BU224" s="46">
        <f t="shared" si="199"/>
        <v>2.0937097347212528</v>
      </c>
      <c r="BV224" s="46">
        <f>SUMPRODUCT(BU225:BU$605, $I225:$I$605) / $I224</f>
        <v>26.561304009224784</v>
      </c>
      <c r="BX224" s="46">
        <f>-BZ224*Others!$Q$43</f>
        <v>-1.5540950967226286</v>
      </c>
      <c r="BZ224" s="50">
        <f t="shared" si="184"/>
        <v>6.0706839715727678</v>
      </c>
      <c r="CA224" s="46">
        <f t="shared" si="227"/>
        <v>4.5165888748501395</v>
      </c>
      <c r="CB224" s="46">
        <f t="shared" si="200"/>
        <v>4.5165888748501395</v>
      </c>
      <c r="CD224" s="46">
        <f>SUMPRODUCT(BZ225:BZ$605, $I225:$I$605) / $I224</f>
        <v>144.83364512099334</v>
      </c>
      <c r="CE224" s="46">
        <f>SUMPRODUCT(CA225:CA$605, $I225:$I$605) / $I224</f>
        <v>107.75623197001904</v>
      </c>
      <c r="CF224" s="46">
        <f>SUMPRODUCT(CB225:CB$605, $I225:$I$605) / $I224</f>
        <v>107.75623197001904</v>
      </c>
      <c r="CH224" s="46">
        <f t="shared" si="201"/>
        <v>46234.768523805935</v>
      </c>
      <c r="CI224" s="46">
        <f t="shared" si="202"/>
        <v>8540.7685238059348</v>
      </c>
      <c r="CK224" s="46">
        <f>NPV((1+CK$3)^(1/12)-1,$CB$6:$CB224)+$CB$5</f>
        <v>1346.1510868964547</v>
      </c>
      <c r="CL224" s="46">
        <f>NPV((1+CL$3)^(1/12)-1,$CB$6:$CB224)+$CB$5</f>
        <v>1013.4024581025806</v>
      </c>
      <c r="CM224" s="46">
        <f>NPV((1+CM$3)^(1/12)-1,$CB$6:$CB224)+$CB$5</f>
        <v>444.82806455466675</v>
      </c>
      <c r="CN224" s="46">
        <f>NPV((1+CN$3)^(1/12)-1,$CB$6:$CB224)+$CB$5</f>
        <v>444.82806455466675</v>
      </c>
    </row>
    <row r="225" spans="1:92" x14ac:dyDescent="0.25">
      <c r="A225" s="61">
        <f t="shared" si="185"/>
        <v>18.333333333333343</v>
      </c>
      <c r="B225" s="32">
        <f t="shared" si="203"/>
        <v>4</v>
      </c>
      <c r="C225" s="62">
        <f t="shared" si="204"/>
        <v>19</v>
      </c>
      <c r="D225" s="64">
        <f t="shared" si="205"/>
        <v>18.833333333333343</v>
      </c>
      <c r="E225" s="28">
        <f t="shared" si="186"/>
        <v>18</v>
      </c>
      <c r="G225" s="68">
        <f>INDEX(Others!$D$11:$E$60, MATCH(C225, Others!$A$11:$A$60, 0), MATCH(G$3, Others!$D$10:$E$10, 0))</f>
        <v>4.0690909090909111E-2</v>
      </c>
      <c r="H225" s="16">
        <f t="shared" si="228"/>
        <v>3.329265421250005E-3</v>
      </c>
      <c r="I225" s="69">
        <f t="shared" si="229"/>
        <v>0.4813205286174419</v>
      </c>
      <c r="K225" s="80">
        <f>INDEX(Mortality!$B$7:$F$32, MATCH( E225,Mortality!$A$7:$A$32, 0), MATCH( K$3,Mortality!$B$6:$F$6,0))</f>
        <v>0.41100000000000003</v>
      </c>
      <c r="L225" s="11">
        <f t="shared" si="187"/>
        <v>0</v>
      </c>
      <c r="M225" s="80">
        <f t="shared" si="206"/>
        <v>0.41100000000000003</v>
      </c>
      <c r="N225" s="76">
        <f>INDEX(Myopia!$H:$H, MATCH(E225, Myopia!$A:$A, 0)) * Trend_Factor^(A225)</f>
        <v>5.393598477604141</v>
      </c>
      <c r="O225" s="11">
        <f t="shared" si="188"/>
        <v>0</v>
      </c>
      <c r="P225" s="80">
        <f t="shared" si="207"/>
        <v>5.393598477604141</v>
      </c>
      <c r="Q225" s="76">
        <f>VLOOKUP(C225,Others!$L$10:$M$61,2)</f>
        <v>0</v>
      </c>
      <c r="R225" s="11">
        <f t="shared" si="189"/>
        <v>0</v>
      </c>
      <c r="S225" s="80">
        <f t="shared" si="208"/>
        <v>0</v>
      </c>
      <c r="T225" s="78">
        <f t="shared" si="209"/>
        <v>3.4249999999999999E-5</v>
      </c>
      <c r="U225" s="81">
        <f t="shared" si="210"/>
        <v>4.4946653980034514E-4</v>
      </c>
      <c r="V225" s="81">
        <f t="shared" si="211"/>
        <v>0</v>
      </c>
      <c r="W225" s="77">
        <f t="shared" si="190"/>
        <v>0.79433768361912938</v>
      </c>
      <c r="X225" s="82">
        <f t="shared" si="212"/>
        <v>2.7199951555857402E-5</v>
      </c>
      <c r="Y225" s="82">
        <f t="shared" si="213"/>
        <v>3.5702209598121362E-4</v>
      </c>
      <c r="Z225" s="82">
        <f t="shared" si="214"/>
        <v>0</v>
      </c>
      <c r="AA225" s="82">
        <f t="shared" si="215"/>
        <v>0.7939534615715923</v>
      </c>
      <c r="AC225" s="46">
        <f t="shared" si="191"/>
        <v>0</v>
      </c>
      <c r="AD225" s="15">
        <f t="shared" si="192"/>
        <v>0</v>
      </c>
      <c r="AE225" s="46">
        <f t="shared" si="216"/>
        <v>0</v>
      </c>
      <c r="AF225" s="15">
        <f t="shared" si="217"/>
        <v>0</v>
      </c>
      <c r="AG225" s="46">
        <f>SUMPRODUCT(AE226:AE$605, $I225:$I$604) / $I225</f>
        <v>0</v>
      </c>
      <c r="AI225" s="46">
        <f t="shared" si="193"/>
        <v>-47000</v>
      </c>
      <c r="AJ225" s="46">
        <f>IF(E225&gt;Mat_Year,0,  -SUM($AD$5:AD225))</f>
        <v>-9306</v>
      </c>
      <c r="AK225" s="24">
        <f t="shared" si="218"/>
        <v>-0.253122749178809</v>
      </c>
      <c r="AL225" s="79">
        <f t="shared" si="219"/>
        <v>-16.780038511117041</v>
      </c>
      <c r="AM225" s="24">
        <f t="shared" si="220"/>
        <v>-21.443224476887519</v>
      </c>
      <c r="AN225" s="79">
        <f t="shared" si="221"/>
        <v>-17.033161260295849</v>
      </c>
      <c r="AO225" s="15">
        <f t="shared" si="222"/>
        <v>-506.85808319538671</v>
      </c>
      <c r="AP225" s="46">
        <f>SUMPRODUCT(AN226:AN$605, $I226:$I$605) / $I225</f>
        <v>-402.61647572905542</v>
      </c>
      <c r="AR225" s="46">
        <v>0</v>
      </c>
      <c r="AS225" s="46">
        <v>0</v>
      </c>
      <c r="AT225" s="46">
        <v>0</v>
      </c>
      <c r="AU225" s="95">
        <f t="shared" si="194"/>
        <v>-2.2286804992122717</v>
      </c>
      <c r="AV225" s="47">
        <f t="shared" si="195"/>
        <v>0</v>
      </c>
      <c r="AW225" s="96">
        <f t="shared" si="230"/>
        <v>-2.2286804992122717</v>
      </c>
      <c r="AX225" s="95">
        <f t="shared" si="196"/>
        <v>-25.555536390967379</v>
      </c>
      <c r="AY225" s="11">
        <f t="shared" si="197"/>
        <v>0</v>
      </c>
      <c r="AZ225" s="96">
        <f t="shared" si="231"/>
        <v>-25.555536390967379</v>
      </c>
      <c r="BA225" s="95">
        <f t="shared" si="232"/>
        <v>-1.7703249052714007</v>
      </c>
      <c r="BB225" s="64">
        <f t="shared" si="233"/>
        <v>-9.8190005180456164E-3</v>
      </c>
      <c r="BC225" s="95">
        <f t="shared" si="234"/>
        <v>-2.2286804992122717</v>
      </c>
      <c r="BD225" s="96">
        <f t="shared" si="235"/>
        <v>-1.2361242228001423E-2</v>
      </c>
      <c r="BE225" s="96">
        <f t="shared" si="236"/>
        <v>-1.7703249052714007</v>
      </c>
      <c r="BF225" s="96">
        <f t="shared" si="237"/>
        <v>-9.8190005180456164E-3</v>
      </c>
      <c r="BG225" s="15">
        <f t="shared" si="223"/>
        <v>-54.289744629267354</v>
      </c>
      <c r="BH225" s="46">
        <f>(SUMPRODUCT(BE226:BE$605,$I225:$I$604)+SUMPRODUCT(BF226:BF$605,$I226:$I$605)) / $I225</f>
        <v>-43.124389993086297</v>
      </c>
      <c r="BJ225" s="46">
        <f t="shared" si="238"/>
        <v>-1.7703249052714007</v>
      </c>
      <c r="BK225" s="46">
        <f t="shared" si="239"/>
        <v>-17.042980260813895</v>
      </c>
      <c r="BM225" s="49">
        <f t="shared" si="224"/>
        <v>561.41938702530399</v>
      </c>
      <c r="BN225" s="46">
        <f t="shared" si="240"/>
        <v>445.74086572214156</v>
      </c>
      <c r="BP225" s="46">
        <f>Reserve!BX225</f>
        <v>736.82115462702563</v>
      </c>
      <c r="BQ225" s="46">
        <f t="shared" si="198"/>
        <v>585.00170627530451</v>
      </c>
      <c r="BR225" s="15">
        <f t="shared" si="225"/>
        <v>22.850491957136114</v>
      </c>
      <c r="BT225" s="49">
        <f t="shared" si="226"/>
        <v>2.5402388240239553</v>
      </c>
      <c r="BU225" s="46">
        <f t="shared" si="199"/>
        <v>2.01780742331457</v>
      </c>
      <c r="BV225" s="46">
        <f>SUMPRODUCT(BU226:BU$605, $I226:$I$605) / $I225</f>
        <v>24.631926216891433</v>
      </c>
      <c r="BX225" s="46">
        <f>-BZ225*Others!$Q$43</f>
        <v>-1.5500785188775394</v>
      </c>
      <c r="BZ225" s="50">
        <f t="shared" si="184"/>
        <v>6.0549942143653883</v>
      </c>
      <c r="CA225" s="46">
        <f t="shared" si="227"/>
        <v>4.5049156954878491</v>
      </c>
      <c r="CB225" s="46">
        <f t="shared" si="200"/>
        <v>4.5049156954878491</v>
      </c>
      <c r="CD225" s="46">
        <f>SUMPRODUCT(BZ226:BZ$605, $I226:$I$605) / $I225</f>
        <v>139.26084055316284</v>
      </c>
      <c r="CE225" s="46">
        <f>SUMPRODUCT(CA226:CA$605, $I226:$I$605) / $I225</f>
        <v>103.61006537155316</v>
      </c>
      <c r="CF225" s="46">
        <f>SUMPRODUCT(CB226:CB$605, $I226:$I$605) / $I225</f>
        <v>103.61006537155316</v>
      </c>
      <c r="CH225" s="46">
        <f t="shared" si="201"/>
        <v>46263.178845372975</v>
      </c>
      <c r="CI225" s="46">
        <f t="shared" si="202"/>
        <v>8569.178845372975</v>
      </c>
      <c r="CK225" s="46">
        <f>NPV((1+CK$3)^(1/12)-1,$CB$6:$CB225)+$CB$5</f>
        <v>1348.7713056366538</v>
      </c>
      <c r="CL225" s="46">
        <f>NPV((1+CL$3)^(1/12)-1,$CB$6:$CB225)+$CB$5</f>
        <v>1015.2441466400896</v>
      </c>
      <c r="CM225" s="46">
        <f>NPV((1+CM$3)^(1/12)-1,$CB$6:$CB225)+$CB$5</f>
        <v>445.61297620171058</v>
      </c>
      <c r="CN225" s="46">
        <f>NPV((1+CN$3)^(1/12)-1,$CB$6:$CB225)+$CB$5</f>
        <v>445.61297620171058</v>
      </c>
    </row>
    <row r="226" spans="1:92" x14ac:dyDescent="0.25">
      <c r="A226" s="61">
        <f t="shared" si="185"/>
        <v>18.416666666666675</v>
      </c>
      <c r="B226" s="32">
        <f t="shared" si="203"/>
        <v>5</v>
      </c>
      <c r="C226" s="62">
        <f t="shared" si="204"/>
        <v>19</v>
      </c>
      <c r="D226" s="64">
        <f t="shared" si="205"/>
        <v>18.916666666666675</v>
      </c>
      <c r="E226" s="28">
        <f t="shared" si="186"/>
        <v>18</v>
      </c>
      <c r="G226" s="68">
        <f>INDEX(Others!$D$11:$E$60, MATCH(C226, Others!$A$11:$A$60, 0), MATCH(G$3, Others!$D$10:$E$10, 0))</f>
        <v>4.0690909090909111E-2</v>
      </c>
      <c r="H226" s="16">
        <f t="shared" si="228"/>
        <v>3.329265421250005E-3</v>
      </c>
      <c r="I226" s="69">
        <f t="shared" si="229"/>
        <v>0.47972340208312214</v>
      </c>
      <c r="K226" s="80">
        <f>INDEX(Mortality!$B$7:$F$32, MATCH( E226,Mortality!$A$7:$A$32, 0), MATCH( K$3,Mortality!$B$6:$F$6,0))</f>
        <v>0.41100000000000003</v>
      </c>
      <c r="L226" s="11">
        <f t="shared" si="187"/>
        <v>0</v>
      </c>
      <c r="M226" s="80">
        <f t="shared" si="206"/>
        <v>0.41100000000000003</v>
      </c>
      <c r="N226" s="76">
        <f>INDEX(Myopia!$H:$H, MATCH(E226, Myopia!$A:$A, 0)) * Trend_Factor^(A226)</f>
        <v>5.393598477604141</v>
      </c>
      <c r="O226" s="11">
        <f t="shared" si="188"/>
        <v>0</v>
      </c>
      <c r="P226" s="80">
        <f t="shared" si="207"/>
        <v>5.393598477604141</v>
      </c>
      <c r="Q226" s="76">
        <f>VLOOKUP(C226,Others!$L$10:$M$61,2)</f>
        <v>0</v>
      </c>
      <c r="R226" s="11">
        <f t="shared" si="189"/>
        <v>0</v>
      </c>
      <c r="S226" s="80">
        <f t="shared" si="208"/>
        <v>0</v>
      </c>
      <c r="T226" s="78">
        <f t="shared" si="209"/>
        <v>3.4249999999999999E-5</v>
      </c>
      <c r="U226" s="81">
        <f t="shared" si="210"/>
        <v>4.4946653980034514E-4</v>
      </c>
      <c r="V226" s="81">
        <f t="shared" si="211"/>
        <v>0</v>
      </c>
      <c r="W226" s="77">
        <f t="shared" si="190"/>
        <v>0.7939534615715923</v>
      </c>
      <c r="X226" s="82">
        <f t="shared" si="212"/>
        <v>2.7186794908130347E-5</v>
      </c>
      <c r="Y226" s="82">
        <f t="shared" si="213"/>
        <v>3.568494039843932E-4</v>
      </c>
      <c r="Z226" s="82">
        <f t="shared" si="214"/>
        <v>0</v>
      </c>
      <c r="AA226" s="82">
        <f t="shared" si="215"/>
        <v>0.79356942537269981</v>
      </c>
      <c r="AC226" s="46">
        <f t="shared" si="191"/>
        <v>0</v>
      </c>
      <c r="AD226" s="15">
        <f t="shared" si="192"/>
        <v>0</v>
      </c>
      <c r="AE226" s="46">
        <f t="shared" si="216"/>
        <v>0</v>
      </c>
      <c r="AF226" s="15">
        <f t="shared" si="217"/>
        <v>0</v>
      </c>
      <c r="AG226" s="46">
        <f>SUMPRODUCT(AE227:AE$605, $I226:$I$604) / $I226</f>
        <v>0</v>
      </c>
      <c r="AI226" s="46">
        <f t="shared" si="193"/>
        <v>-47000</v>
      </c>
      <c r="AJ226" s="46">
        <f>IF(E226&gt;Mat_Year,0,  -SUM($AD$5:AD226))</f>
        <v>-9306</v>
      </c>
      <c r="AK226" s="24">
        <f t="shared" si="218"/>
        <v>-0.25300031341506102</v>
      </c>
      <c r="AL226" s="79">
        <f t="shared" si="219"/>
        <v>-16.771921987266481</v>
      </c>
      <c r="AM226" s="24">
        <f t="shared" si="220"/>
        <v>-21.443224476887519</v>
      </c>
      <c r="AN226" s="79">
        <f t="shared" si="221"/>
        <v>-17.024922300681542</v>
      </c>
      <c r="AO226" s="15">
        <f t="shared" si="222"/>
        <v>-487.34842691299707</v>
      </c>
      <c r="AP226" s="46">
        <f>SUMPRODUCT(AN227:AN$605, $I227:$I$605) / $I226</f>
        <v>-386.93197053904419</v>
      </c>
      <c r="AR226" s="46">
        <v>0</v>
      </c>
      <c r="AS226" s="46">
        <v>0</v>
      </c>
      <c r="AT226" s="46">
        <v>0</v>
      </c>
      <c r="AU226" s="95">
        <f t="shared" si="194"/>
        <v>-2.231172383570561</v>
      </c>
      <c r="AV226" s="47">
        <f t="shared" si="195"/>
        <v>0</v>
      </c>
      <c r="AW226" s="96">
        <f t="shared" si="230"/>
        <v>-2.231172383570561</v>
      </c>
      <c r="AX226" s="95">
        <f t="shared" si="196"/>
        <v>-25.58410999827576</v>
      </c>
      <c r="AY226" s="11">
        <f t="shared" si="197"/>
        <v>0</v>
      </c>
      <c r="AZ226" s="96">
        <f t="shared" si="231"/>
        <v>-25.58410999827576</v>
      </c>
      <c r="BA226" s="95">
        <f t="shared" si="232"/>
        <v>-1.7714470372987874</v>
      </c>
      <c r="BB226" s="64">
        <f t="shared" si="233"/>
        <v>-9.8252243557860313E-3</v>
      </c>
      <c r="BC226" s="95">
        <f t="shared" si="234"/>
        <v>-2.231172383570561</v>
      </c>
      <c r="BD226" s="96">
        <f t="shared" si="235"/>
        <v>-1.2375063314589594E-2</v>
      </c>
      <c r="BE226" s="96">
        <f t="shared" si="236"/>
        <v>-1.7714470372987874</v>
      </c>
      <c r="BF226" s="96">
        <f t="shared" si="237"/>
        <v>-9.8252243557860313E-3</v>
      </c>
      <c r="BG226" s="15">
        <f t="shared" si="223"/>
        <v>-52.245874175511673</v>
      </c>
      <c r="BH226" s="46">
        <f>(SUMPRODUCT(BE227:BE$605,$I226:$I$604)+SUMPRODUCT(BF227:BF$605,$I227:$I$605)) / $I226</f>
        <v>-41.480792654481355</v>
      </c>
      <c r="BJ226" s="46">
        <f t="shared" si="238"/>
        <v>-1.7714470372987874</v>
      </c>
      <c r="BK226" s="46">
        <f t="shared" si="239"/>
        <v>-17.034747525037329</v>
      </c>
      <c r="BM226" s="49">
        <f t="shared" si="224"/>
        <v>539.85542977833529</v>
      </c>
      <c r="BN226" s="46">
        <f t="shared" si="240"/>
        <v>428.41276319352539</v>
      </c>
      <c r="BP226" s="46">
        <f>Reserve!BX226</f>
        <v>708.31605695187</v>
      </c>
      <c r="BQ226" s="46">
        <f t="shared" si="198"/>
        <v>562.09796629755203</v>
      </c>
      <c r="BR226" s="15">
        <f t="shared" si="225"/>
        <v>22.90373997775248</v>
      </c>
      <c r="BT226" s="49">
        <f t="shared" si="226"/>
        <v>2.4456450266797902</v>
      </c>
      <c r="BU226" s="46">
        <f t="shared" si="199"/>
        <v>1.9417283347077687</v>
      </c>
      <c r="BV226" s="46">
        <f>SUMPRODUCT(BU227:BU$605, $I227:$I$605) / $I226</f>
        <v>22.772204102396344</v>
      </c>
      <c r="BX226" s="46">
        <f>-BZ226*Others!$Q$43</f>
        <v>-1.5460540800317777</v>
      </c>
      <c r="BZ226" s="50">
        <f t="shared" si="184"/>
        <v>6.0392737501241314</v>
      </c>
      <c r="CA226" s="46">
        <f t="shared" si="227"/>
        <v>4.4932196700923539</v>
      </c>
      <c r="CB226" s="46">
        <f t="shared" si="200"/>
        <v>4.4932196700923539</v>
      </c>
      <c r="CD226" s="46">
        <f>SUMPRODUCT(BZ227:BZ$605, $I227:$I$605) / $I226</f>
        <v>133.68520310402661</v>
      </c>
      <c r="CE226" s="46">
        <f>SUMPRODUCT(CA227:CA$605, $I227:$I$605) / $I226</f>
        <v>99.461791109395776</v>
      </c>
      <c r="CF226" s="46">
        <f>SUMPRODUCT(CB227:CB$605, $I227:$I$605) / $I226</f>
        <v>99.461791109395776</v>
      </c>
      <c r="CH226" s="46">
        <f t="shared" si="201"/>
        <v>46291.683943048127</v>
      </c>
      <c r="CI226" s="46">
        <f t="shared" si="202"/>
        <v>8597.6839430481305</v>
      </c>
      <c r="CK226" s="46">
        <f>NPV((1+CK$3)^(1/12)-1,$CB$6:$CB226)+$CB$5</f>
        <v>1351.3782920219519</v>
      </c>
      <c r="CL226" s="46">
        <f>NPV((1+CL$3)^(1/12)-1,$CB$6:$CB226)+$CB$5</f>
        <v>1017.0736002169792</v>
      </c>
      <c r="CM226" s="46">
        <f>NPV((1+CM$3)^(1/12)-1,$CB$6:$CB226)+$CB$5</f>
        <v>446.38965663896784</v>
      </c>
      <c r="CN226" s="46">
        <f>NPV((1+CN$3)^(1/12)-1,$CB$6:$CB226)+$CB$5</f>
        <v>446.38965663896784</v>
      </c>
    </row>
    <row r="227" spans="1:92" x14ac:dyDescent="0.25">
      <c r="A227" s="61">
        <f t="shared" si="185"/>
        <v>18.500000000000007</v>
      </c>
      <c r="B227" s="32">
        <f t="shared" si="203"/>
        <v>6</v>
      </c>
      <c r="C227" s="62">
        <f t="shared" si="204"/>
        <v>19</v>
      </c>
      <c r="D227" s="64">
        <f t="shared" si="205"/>
        <v>19.000000000000007</v>
      </c>
      <c r="E227" s="28">
        <f t="shared" si="186"/>
        <v>19</v>
      </c>
      <c r="G227" s="68">
        <f>INDEX(Others!$D$11:$E$60, MATCH(C227, Others!$A$11:$A$60, 0), MATCH(G$3, Others!$D$10:$E$10, 0))</f>
        <v>4.0690909090909111E-2</v>
      </c>
      <c r="H227" s="16">
        <f t="shared" si="228"/>
        <v>3.329265421250005E-3</v>
      </c>
      <c r="I227" s="69">
        <f t="shared" si="229"/>
        <v>0.47813157516312377</v>
      </c>
      <c r="K227" s="80">
        <f>INDEX(Mortality!$B$7:$F$32, MATCH( E227,Mortality!$A$7:$A$32, 0), MATCH( K$3,Mortality!$B$6:$F$6,0))</f>
        <v>0.42199999999999999</v>
      </c>
      <c r="L227" s="11">
        <f t="shared" si="187"/>
        <v>0</v>
      </c>
      <c r="M227" s="80">
        <f t="shared" si="206"/>
        <v>0.42199999999999999</v>
      </c>
      <c r="N227" s="76">
        <f>INDEX(Myopia!$H:$H, MATCH(E227, Myopia!$A:$A, 0)) * Trend_Factor^(A227)</f>
        <v>5.3646636359842574</v>
      </c>
      <c r="O227" s="11">
        <f t="shared" si="188"/>
        <v>0</v>
      </c>
      <c r="P227" s="80">
        <f t="shared" si="207"/>
        <v>5.3646636359842574</v>
      </c>
      <c r="Q227" s="76">
        <f>VLOOKUP(C227,Others!$L$10:$M$61,2)</f>
        <v>0</v>
      </c>
      <c r="R227" s="11">
        <f t="shared" si="189"/>
        <v>0</v>
      </c>
      <c r="S227" s="80">
        <f t="shared" si="208"/>
        <v>0</v>
      </c>
      <c r="T227" s="78">
        <f t="shared" si="209"/>
        <v>3.516666666666667E-5</v>
      </c>
      <c r="U227" s="81">
        <f t="shared" si="210"/>
        <v>4.4705530299868817E-4</v>
      </c>
      <c r="V227" s="81">
        <f t="shared" si="211"/>
        <v>0</v>
      </c>
      <c r="W227" s="77">
        <f t="shared" si="190"/>
        <v>0.79356942537269981</v>
      </c>
      <c r="X227" s="82">
        <f t="shared" si="212"/>
        <v>2.7900953429973186E-5</v>
      </c>
      <c r="Y227" s="82">
        <f t="shared" si="213"/>
        <v>3.5476318188152039E-4</v>
      </c>
      <c r="Z227" s="82">
        <f t="shared" si="214"/>
        <v>0</v>
      </c>
      <c r="AA227" s="82">
        <f t="shared" si="215"/>
        <v>0.79318676123738829</v>
      </c>
      <c r="AC227" s="46">
        <f t="shared" si="191"/>
        <v>0</v>
      </c>
      <c r="AD227" s="15">
        <f t="shared" si="192"/>
        <v>0</v>
      </c>
      <c r="AE227" s="46">
        <f t="shared" si="216"/>
        <v>0</v>
      </c>
      <c r="AF227" s="15">
        <f t="shared" si="217"/>
        <v>0</v>
      </c>
      <c r="AG227" s="46">
        <f>SUMPRODUCT(AE228:AE$605, $I227:$I$604) / $I227</f>
        <v>0</v>
      </c>
      <c r="AI227" s="46">
        <f t="shared" si="193"/>
        <v>-47000</v>
      </c>
      <c r="AJ227" s="46">
        <f>IF(E227&gt;Mat_Year,0,  -SUM($AD$5:AD227))</f>
        <v>-9306</v>
      </c>
      <c r="AK227" s="24">
        <f t="shared" si="218"/>
        <v>-0.25964627261933049</v>
      </c>
      <c r="AL227" s="79">
        <f t="shared" si="219"/>
        <v>-16.673869548431458</v>
      </c>
      <c r="AM227" s="24">
        <f t="shared" si="220"/>
        <v>-21.338417635102267</v>
      </c>
      <c r="AN227" s="79">
        <f t="shared" si="221"/>
        <v>-16.93351582105079</v>
      </c>
      <c r="AO227" s="15">
        <f t="shared" si="222"/>
        <v>-467.86915180547737</v>
      </c>
      <c r="AP227" s="46">
        <f>SUMPRODUCT(AN228:AN$605, $I228:$I$605) / $I227</f>
        <v>-371.28665394788516</v>
      </c>
      <c r="AR227" s="46">
        <v>0</v>
      </c>
      <c r="AS227" s="46">
        <v>0</v>
      </c>
      <c r="AT227" s="46">
        <v>0</v>
      </c>
      <c r="AU227" s="95">
        <f t="shared" si="194"/>
        <v>-2.2336670541010526</v>
      </c>
      <c r="AV227" s="47">
        <f t="shared" si="195"/>
        <v>0</v>
      </c>
      <c r="AW227" s="96">
        <f t="shared" si="230"/>
        <v>-2.2336670541010526</v>
      </c>
      <c r="AX227" s="95">
        <f t="shared" si="196"/>
        <v>-25.612715553692066</v>
      </c>
      <c r="AY227" s="11">
        <f t="shared" si="197"/>
        <v>0</v>
      </c>
      <c r="AZ227" s="96">
        <f t="shared" si="231"/>
        <v>-25.612715553692066</v>
      </c>
      <c r="BA227" s="95">
        <f t="shared" si="232"/>
        <v>-1.7725698805969035</v>
      </c>
      <c r="BB227" s="64">
        <f t="shared" si="233"/>
        <v>-9.8010676503328172E-3</v>
      </c>
      <c r="BC227" s="95">
        <f t="shared" si="234"/>
        <v>-2.2336670541010526</v>
      </c>
      <c r="BD227" s="96">
        <f t="shared" si="235"/>
        <v>-1.2350611473885536E-2</v>
      </c>
      <c r="BE227" s="96">
        <f t="shared" si="236"/>
        <v>-1.7725698805969035</v>
      </c>
      <c r="BF227" s="96">
        <f t="shared" si="237"/>
        <v>-9.8010676503328172E-3</v>
      </c>
      <c r="BG227" s="15">
        <f t="shared" si="223"/>
        <v>-50.19172821653008</v>
      </c>
      <c r="BH227" s="46">
        <f>(SUMPRODUCT(BE228:BE$605,$I227:$I$604)+SUMPRODUCT(BF228:BF$605,$I228:$I$605)) / $I227</f>
        <v>-39.8306209192545</v>
      </c>
      <c r="BJ227" s="46">
        <f t="shared" si="238"/>
        <v>-1.7725698805969035</v>
      </c>
      <c r="BK227" s="46">
        <f t="shared" si="239"/>
        <v>-16.943316888701123</v>
      </c>
      <c r="BM227" s="49">
        <f t="shared" si="224"/>
        <v>518.31081273442805</v>
      </c>
      <c r="BN227" s="46">
        <f t="shared" si="240"/>
        <v>411.11727486713949</v>
      </c>
      <c r="BP227" s="46">
        <f>Reserve!BX227</f>
        <v>679.85214580295542</v>
      </c>
      <c r="BQ227" s="46">
        <f t="shared" si="198"/>
        <v>539.24972164973485</v>
      </c>
      <c r="BR227" s="15">
        <f t="shared" si="225"/>
        <v>22.848244647817182</v>
      </c>
      <c r="BT227" s="49">
        <f t="shared" si="226"/>
        <v>2.3507356852402066</v>
      </c>
      <c r="BU227" s="46">
        <f t="shared" si="199"/>
        <v>1.8654719669391704</v>
      </c>
      <c r="BV227" s="46">
        <f>SUMPRODUCT(BU228:BU$605, $I228:$I$605) / $I227</f>
        <v>20.982546847140927</v>
      </c>
      <c r="BX227" s="46">
        <f>-BZ227*Others!$Q$43</f>
        <v>-1.5354444404373313</v>
      </c>
      <c r="BZ227" s="50">
        <f t="shared" si="184"/>
        <v>5.997829845458325</v>
      </c>
      <c r="CA227" s="46">
        <f t="shared" si="227"/>
        <v>4.4623854050209939</v>
      </c>
      <c r="CB227" s="46">
        <f t="shared" si="200"/>
        <v>4.4623854050209939</v>
      </c>
      <c r="CD227" s="46">
        <f>SUMPRODUCT(BZ228:BZ$605, $I228:$I$605) / $I227</f>
        <v>128.13244678259528</v>
      </c>
      <c r="CE227" s="46">
        <f>SUMPRODUCT(CA228:CA$605, $I228:$I$605) / $I227</f>
        <v>95.330540406250904</v>
      </c>
      <c r="CF227" s="46">
        <f>SUMPRODUCT(CB228:CB$605, $I228:$I$605) / $I227</f>
        <v>95.330540406250904</v>
      </c>
      <c r="CH227" s="46">
        <f t="shared" si="201"/>
        <v>46320.147854197043</v>
      </c>
      <c r="CI227" s="46">
        <f t="shared" si="202"/>
        <v>8626.1478541970446</v>
      </c>
      <c r="CK227" s="46">
        <f>NPV((1+CK$3)^(1/12)-1,$CB$6:$CB227)+$CB$5</f>
        <v>1353.9610185268157</v>
      </c>
      <c r="CL227" s="46">
        <f>NPV((1+CL$3)^(1/12)-1,$CB$6:$CB227)+$CB$5</f>
        <v>1018.8831271173378</v>
      </c>
      <c r="CM227" s="46">
        <f>NPV((1+CM$3)^(1/12)-1,$CB$6:$CB227)+$CB$5</f>
        <v>447.15490498756435</v>
      </c>
      <c r="CN227" s="46">
        <f>NPV((1+CN$3)^(1/12)-1,$CB$6:$CB227)+$CB$5</f>
        <v>447.15490498756435</v>
      </c>
    </row>
    <row r="228" spans="1:92" x14ac:dyDescent="0.25">
      <c r="A228" s="61">
        <f t="shared" si="185"/>
        <v>18.583333333333339</v>
      </c>
      <c r="B228" s="32">
        <f t="shared" si="203"/>
        <v>7</v>
      </c>
      <c r="C228" s="62">
        <f t="shared" si="204"/>
        <v>19</v>
      </c>
      <c r="D228" s="64">
        <f t="shared" si="205"/>
        <v>19.083333333333339</v>
      </c>
      <c r="E228" s="28">
        <f t="shared" si="186"/>
        <v>19</v>
      </c>
      <c r="G228" s="68">
        <f>INDEX(Others!$D$11:$E$60, MATCH(C228, Others!$A$11:$A$60, 0), MATCH(G$3, Others!$D$10:$E$10, 0))</f>
        <v>4.0690909090909111E-2</v>
      </c>
      <c r="H228" s="16">
        <f t="shared" si="228"/>
        <v>3.329265421250005E-3</v>
      </c>
      <c r="I228" s="69">
        <f t="shared" si="229"/>
        <v>0.4765450302721701</v>
      </c>
      <c r="K228" s="80">
        <f>INDEX(Mortality!$B$7:$F$32, MATCH( E228,Mortality!$A$7:$A$32, 0), MATCH( K$3,Mortality!$B$6:$F$6,0))</f>
        <v>0.42199999999999999</v>
      </c>
      <c r="L228" s="11">
        <f t="shared" si="187"/>
        <v>0</v>
      </c>
      <c r="M228" s="80">
        <f t="shared" si="206"/>
        <v>0.42199999999999999</v>
      </c>
      <c r="N228" s="76">
        <f>INDEX(Myopia!$H:$H, MATCH(E228, Myopia!$A:$A, 0)) * Trend_Factor^(A228)</f>
        <v>5.3646636359842574</v>
      </c>
      <c r="O228" s="11">
        <f t="shared" si="188"/>
        <v>0</v>
      </c>
      <c r="P228" s="80">
        <f t="shared" si="207"/>
        <v>5.3646636359842574</v>
      </c>
      <c r="Q228" s="76">
        <f>VLOOKUP(C228,Others!$L$10:$M$61,2)</f>
        <v>0</v>
      </c>
      <c r="R228" s="11">
        <f t="shared" si="189"/>
        <v>0</v>
      </c>
      <c r="S228" s="80">
        <f t="shared" si="208"/>
        <v>0</v>
      </c>
      <c r="T228" s="78">
        <f t="shared" si="209"/>
        <v>3.516666666666667E-5</v>
      </c>
      <c r="U228" s="81">
        <f t="shared" si="210"/>
        <v>4.4705530299868817E-4</v>
      </c>
      <c r="V228" s="81">
        <f t="shared" si="211"/>
        <v>0</v>
      </c>
      <c r="W228" s="77">
        <f t="shared" si="190"/>
        <v>0.79318676123738829</v>
      </c>
      <c r="X228" s="82">
        <f t="shared" si="212"/>
        <v>2.7887499415897945E-5</v>
      </c>
      <c r="Y228" s="82">
        <f t="shared" si="213"/>
        <v>3.5459211285857853E-4</v>
      </c>
      <c r="Z228" s="82">
        <f t="shared" si="214"/>
        <v>0</v>
      </c>
      <c r="AA228" s="82">
        <f t="shared" si="215"/>
        <v>0.79280428162511385</v>
      </c>
      <c r="AC228" s="46">
        <f t="shared" si="191"/>
        <v>0</v>
      </c>
      <c r="AD228" s="15">
        <f t="shared" si="192"/>
        <v>0</v>
      </c>
      <c r="AE228" s="46">
        <f t="shared" si="216"/>
        <v>0</v>
      </c>
      <c r="AF228" s="15">
        <f t="shared" si="217"/>
        <v>0</v>
      </c>
      <c r="AG228" s="46">
        <f>SUMPRODUCT(AE229:AE$605, $I228:$I$604) / $I228</f>
        <v>0</v>
      </c>
      <c r="AI228" s="46">
        <f t="shared" si="193"/>
        <v>-47000</v>
      </c>
      <c r="AJ228" s="46">
        <f>IF(E228&gt;Mat_Year,0,  -SUM($AD$5:AD228))</f>
        <v>-9306</v>
      </c>
      <c r="AK228" s="24">
        <f t="shared" si="218"/>
        <v>-0.25952106956434629</v>
      </c>
      <c r="AL228" s="79">
        <f t="shared" si="219"/>
        <v>-16.665829304353192</v>
      </c>
      <c r="AM228" s="24">
        <f t="shared" si="220"/>
        <v>-21.338417635102267</v>
      </c>
      <c r="AN228" s="79">
        <f t="shared" si="221"/>
        <v>-16.925350373917539</v>
      </c>
      <c r="AO228" s="15">
        <f t="shared" si="222"/>
        <v>-448.31486450629649</v>
      </c>
      <c r="AP228" s="46">
        <f>SUMPRODUCT(AN229:AN$605, $I229:$I$605) / $I228</f>
        <v>-355.59741539232789</v>
      </c>
      <c r="AR228" s="46">
        <v>0</v>
      </c>
      <c r="AS228" s="46">
        <v>0</v>
      </c>
      <c r="AT228" s="46">
        <v>0</v>
      </c>
      <c r="AU228" s="95">
        <f t="shared" si="194"/>
        <v>-2.2361645139189616</v>
      </c>
      <c r="AV228" s="47">
        <f t="shared" si="195"/>
        <v>0</v>
      </c>
      <c r="AW228" s="96">
        <f t="shared" si="230"/>
        <v>-2.2361645139189616</v>
      </c>
      <c r="AX228" s="95">
        <f t="shared" si="196"/>
        <v>-25.641353092937425</v>
      </c>
      <c r="AY228" s="11">
        <f t="shared" si="197"/>
        <v>0</v>
      </c>
      <c r="AZ228" s="96">
        <f t="shared" si="231"/>
        <v>-25.641353092937425</v>
      </c>
      <c r="BA228" s="95">
        <f t="shared" si="232"/>
        <v>-1.77369608838936</v>
      </c>
      <c r="BB228" s="64">
        <f t="shared" si="233"/>
        <v>-9.807294789179655E-3</v>
      </c>
      <c r="BC228" s="95">
        <f t="shared" si="234"/>
        <v>-2.2361645139189616</v>
      </c>
      <c r="BD228" s="96">
        <f t="shared" si="235"/>
        <v>-1.236442067424331E-2</v>
      </c>
      <c r="BE228" s="96">
        <f t="shared" si="236"/>
        <v>-1.77369608838936</v>
      </c>
      <c r="BF228" s="96">
        <f t="shared" si="237"/>
        <v>-9.807294789179655E-3</v>
      </c>
      <c r="BG228" s="15">
        <f t="shared" si="223"/>
        <v>-48.127151139540572</v>
      </c>
      <c r="BH228" s="46">
        <f>(SUMPRODUCT(BE229:BE$605,$I228:$I$604)+SUMPRODUCT(BF229:BF$605,$I229:$I$605)) / $I228</f>
        <v>-38.173819139954468</v>
      </c>
      <c r="BJ228" s="46">
        <f t="shared" si="238"/>
        <v>-1.77369608838936</v>
      </c>
      <c r="BK228" s="46">
        <f t="shared" si="239"/>
        <v>-16.935157668706719</v>
      </c>
      <c r="BM228" s="49">
        <f t="shared" si="224"/>
        <v>496.68151857747063</v>
      </c>
      <c r="BN228" s="46">
        <f t="shared" si="240"/>
        <v>393.77123453228222</v>
      </c>
      <c r="BP228" s="46">
        <f>Reserve!BX228</f>
        <v>651.29332793594131</v>
      </c>
      <c r="BQ228" s="46">
        <f t="shared" si="198"/>
        <v>516.34813898148366</v>
      </c>
      <c r="BR228" s="15">
        <f t="shared" si="225"/>
        <v>22.901582668251194</v>
      </c>
      <c r="BT228" s="49">
        <f t="shared" si="226"/>
        <v>2.2559634553919792</v>
      </c>
      <c r="BU228" s="46">
        <f t="shared" si="199"/>
        <v>1.7894003466522714</v>
      </c>
      <c r="BV228" s="46">
        <f>SUMPRODUCT(BU229:BU$605, $I229:$I$605) / $I228</f>
        <v>19.263002968156599</v>
      </c>
      <c r="BX228" s="46">
        <f>-BZ228*Others!$Q$43</f>
        <v>-1.531425089998691</v>
      </c>
      <c r="BZ228" s="50">
        <f t="shared" si="184"/>
        <v>5.9821292578073866</v>
      </c>
      <c r="CA228" s="46">
        <f t="shared" si="227"/>
        <v>4.4507041678086958</v>
      </c>
      <c r="CB228" s="46">
        <f t="shared" si="200"/>
        <v>4.4507041678086958</v>
      </c>
      <c r="CD228" s="46">
        <f>SUMPRODUCT(BZ229:BZ$605, $I229:$I$605) / $I228</f>
        <v>122.57690444920134</v>
      </c>
      <c r="CE228" s="46">
        <f>SUMPRODUCT(CA229:CA$605, $I229:$I$605) / $I228</f>
        <v>91.19721691020581</v>
      </c>
      <c r="CF228" s="46">
        <f>SUMPRODUCT(CB229:CB$605, $I229:$I$605) / $I228</f>
        <v>91.19721691020581</v>
      </c>
      <c r="CH228" s="46">
        <f t="shared" si="201"/>
        <v>46348.706672064058</v>
      </c>
      <c r="CI228" s="46">
        <f t="shared" si="202"/>
        <v>8654.7066720640578</v>
      </c>
      <c r="CK228" s="46">
        <f>NPV((1+CK$3)^(1/12)-1,$CB$6:$CB228)+$CB$5</f>
        <v>1356.5306468024837</v>
      </c>
      <c r="CL228" s="46">
        <f>NPV((1+CL$3)^(1/12)-1,$CB$6:$CB228)+$CB$5</f>
        <v>1020.6805940955076</v>
      </c>
      <c r="CM228" s="46">
        <f>NPV((1+CM$3)^(1/12)-1,$CB$6:$CB228)+$CB$5</f>
        <v>447.91211206128378</v>
      </c>
      <c r="CN228" s="46">
        <f>NPV((1+CN$3)^(1/12)-1,$CB$6:$CB228)+$CB$5</f>
        <v>447.91211206128378</v>
      </c>
    </row>
    <row r="229" spans="1:92" x14ac:dyDescent="0.25">
      <c r="A229" s="61">
        <f t="shared" si="185"/>
        <v>18.666666666666671</v>
      </c>
      <c r="B229" s="32">
        <f t="shared" si="203"/>
        <v>8</v>
      </c>
      <c r="C229" s="62">
        <f t="shared" si="204"/>
        <v>19</v>
      </c>
      <c r="D229" s="64">
        <f t="shared" si="205"/>
        <v>19.166666666666671</v>
      </c>
      <c r="E229" s="28">
        <f t="shared" si="186"/>
        <v>19</v>
      </c>
      <c r="G229" s="68">
        <f>INDEX(Others!$D$11:$E$60, MATCH(C229, Others!$A$11:$A$60, 0), MATCH(G$3, Others!$D$10:$E$10, 0))</f>
        <v>4.0690909090909111E-2</v>
      </c>
      <c r="H229" s="16">
        <f t="shared" si="228"/>
        <v>3.329265421250005E-3</v>
      </c>
      <c r="I229" s="69">
        <f t="shared" si="229"/>
        <v>0.47496374988333628</v>
      </c>
      <c r="K229" s="80">
        <f>INDEX(Mortality!$B$7:$F$32, MATCH( E229,Mortality!$A$7:$A$32, 0), MATCH( K$3,Mortality!$B$6:$F$6,0))</f>
        <v>0.42199999999999999</v>
      </c>
      <c r="L229" s="11">
        <f t="shared" si="187"/>
        <v>0</v>
      </c>
      <c r="M229" s="80">
        <f t="shared" si="206"/>
        <v>0.42199999999999999</v>
      </c>
      <c r="N229" s="76">
        <f>INDEX(Myopia!$H:$H, MATCH(E229, Myopia!$A:$A, 0)) * Trend_Factor^(A229)</f>
        <v>5.3646636359842574</v>
      </c>
      <c r="O229" s="11">
        <f t="shared" si="188"/>
        <v>0</v>
      </c>
      <c r="P229" s="80">
        <f t="shared" si="207"/>
        <v>5.3646636359842574</v>
      </c>
      <c r="Q229" s="76">
        <f>VLOOKUP(C229,Others!$L$10:$M$61,2)</f>
        <v>0</v>
      </c>
      <c r="R229" s="11">
        <f t="shared" si="189"/>
        <v>0</v>
      </c>
      <c r="S229" s="80">
        <f t="shared" si="208"/>
        <v>0</v>
      </c>
      <c r="T229" s="78">
        <f t="shared" si="209"/>
        <v>3.516666666666667E-5</v>
      </c>
      <c r="U229" s="81">
        <f t="shared" si="210"/>
        <v>4.4705530299868817E-4</v>
      </c>
      <c r="V229" s="81">
        <f t="shared" si="211"/>
        <v>0</v>
      </c>
      <c r="W229" s="77">
        <f t="shared" si="190"/>
        <v>0.79280428162511385</v>
      </c>
      <c r="X229" s="82">
        <f t="shared" si="212"/>
        <v>2.7874051889432351E-5</v>
      </c>
      <c r="Y229" s="82">
        <f t="shared" si="213"/>
        <v>3.5442112632618844E-4</v>
      </c>
      <c r="Z229" s="82">
        <f t="shared" si="214"/>
        <v>0</v>
      </c>
      <c r="AA229" s="82">
        <f t="shared" si="215"/>
        <v>0.79242198644689821</v>
      </c>
      <c r="AC229" s="46">
        <f t="shared" si="191"/>
        <v>0</v>
      </c>
      <c r="AD229" s="15">
        <f t="shared" si="192"/>
        <v>0</v>
      </c>
      <c r="AE229" s="46">
        <f t="shared" si="216"/>
        <v>0</v>
      </c>
      <c r="AF229" s="15">
        <f t="shared" si="217"/>
        <v>0</v>
      </c>
      <c r="AG229" s="46">
        <f>SUMPRODUCT(AE230:AE$605, $I229:$I$604) / $I229</f>
        <v>0</v>
      </c>
      <c r="AI229" s="46">
        <f t="shared" si="193"/>
        <v>-47000</v>
      </c>
      <c r="AJ229" s="46">
        <f>IF(E229&gt;Mat_Year,0,  -SUM($AD$5:AD229))</f>
        <v>-9306</v>
      </c>
      <c r="AK229" s="24">
        <f t="shared" si="218"/>
        <v>-0.25939592688305746</v>
      </c>
      <c r="AL229" s="79">
        <f t="shared" si="219"/>
        <v>-16.657792937330857</v>
      </c>
      <c r="AM229" s="24">
        <f t="shared" si="220"/>
        <v>-21.338417635102271</v>
      </c>
      <c r="AN229" s="79">
        <f t="shared" si="221"/>
        <v>-16.917188864213916</v>
      </c>
      <c r="AO229" s="15">
        <f t="shared" si="222"/>
        <v>-428.68601063859285</v>
      </c>
      <c r="AP229" s="46">
        <f>SUMPRODUCT(AN230:AN$605, $I230:$I$605) / $I229</f>
        <v>-339.86410470706551</v>
      </c>
      <c r="AR229" s="46">
        <v>0</v>
      </c>
      <c r="AS229" s="46">
        <v>0</v>
      </c>
      <c r="AT229" s="46">
        <v>0</v>
      </c>
      <c r="AU229" s="95">
        <f t="shared" si="194"/>
        <v>-2.2386647661429864</v>
      </c>
      <c r="AV229" s="47">
        <f t="shared" si="195"/>
        <v>0</v>
      </c>
      <c r="AW229" s="96">
        <f t="shared" si="230"/>
        <v>-2.2386647661429864</v>
      </c>
      <c r="AX229" s="95">
        <f t="shared" si="196"/>
        <v>-25.670022651772907</v>
      </c>
      <c r="AY229" s="11">
        <f t="shared" si="197"/>
        <v>0</v>
      </c>
      <c r="AZ229" s="96">
        <f t="shared" si="231"/>
        <v>-25.670022651772907</v>
      </c>
      <c r="BA229" s="95">
        <f t="shared" si="232"/>
        <v>-1.7748230117214439</v>
      </c>
      <c r="BB229" s="64">
        <f t="shared" si="233"/>
        <v>-9.8135258844585464E-3</v>
      </c>
      <c r="BC229" s="95">
        <f t="shared" si="234"/>
        <v>-2.2386647661429864</v>
      </c>
      <c r="BD229" s="96">
        <f t="shared" si="235"/>
        <v>-1.2378245314647505E-2</v>
      </c>
      <c r="BE229" s="96">
        <f t="shared" si="236"/>
        <v>-1.7748230117214439</v>
      </c>
      <c r="BF229" s="96">
        <f t="shared" si="237"/>
        <v>-9.8135258844585464E-3</v>
      </c>
      <c r="BG229" s="15">
        <f t="shared" si="223"/>
        <v>-46.052178788296231</v>
      </c>
      <c r="BH229" s="46">
        <f>(SUMPRODUCT(BE230:BE$605,$I229:$I$604)+SUMPRODUCT(BF230:BF$605,$I230:$I$605)) / $I229</f>
        <v>-36.510364521526498</v>
      </c>
      <c r="BJ229" s="46">
        <f t="shared" si="238"/>
        <v>-1.7748230117214439</v>
      </c>
      <c r="BK229" s="46">
        <f t="shared" si="239"/>
        <v>-16.927002390098373</v>
      </c>
      <c r="BM229" s="49">
        <f t="shared" si="224"/>
        <v>474.96722158883904</v>
      </c>
      <c r="BN229" s="46">
        <f t="shared" si="240"/>
        <v>376.37446922859192</v>
      </c>
      <c r="BP229" s="46">
        <f>Reserve!BX229</f>
        <v>622.63929495403397</v>
      </c>
      <c r="BQ229" s="46">
        <f t="shared" si="198"/>
        <v>493.39306694737178</v>
      </c>
      <c r="BR229" s="15">
        <f t="shared" si="225"/>
        <v>22.955072034111879</v>
      </c>
      <c r="BT229" s="49">
        <f t="shared" si="226"/>
        <v>2.1608752465922789</v>
      </c>
      <c r="BU229" s="46">
        <f t="shared" si="199"/>
        <v>1.7131511475560823</v>
      </c>
      <c r="BV229" s="46">
        <f>SUMPRODUCT(BU230:BU$605, $I230:$I$605) / $I229</f>
        <v>17.613983470291839</v>
      </c>
      <c r="BX229" s="46">
        <f>-BZ229*Others!$Q$43</f>
        <v>-1.527397831641125</v>
      </c>
      <c r="BZ229" s="50">
        <f t="shared" si="184"/>
        <v>5.966397779848144</v>
      </c>
      <c r="CA229" s="46">
        <f t="shared" si="227"/>
        <v>4.4389999482070195</v>
      </c>
      <c r="CB229" s="46">
        <f t="shared" si="200"/>
        <v>4.4389999482070195</v>
      </c>
      <c r="CD229" s="46">
        <f>SUMPRODUCT(BZ230:BZ$605, $I230:$I$605) / $I229</f>
        <v>117.01859771877979</v>
      </c>
      <c r="CE229" s="46">
        <f>SUMPRODUCT(CA230:CA$605, $I230:$I$605) / $I229</f>
        <v>87.061836702772155</v>
      </c>
      <c r="CF229" s="46">
        <f>SUMPRODUCT(CB230:CB$605, $I230:$I$605) / $I229</f>
        <v>87.061836702772155</v>
      </c>
      <c r="CH229" s="46">
        <f t="shared" si="201"/>
        <v>46377.360705045969</v>
      </c>
      <c r="CI229" s="46">
        <f t="shared" si="202"/>
        <v>8683.3607050459668</v>
      </c>
      <c r="CK229" s="46">
        <f>NPV((1+CK$3)^(1/12)-1,$CB$6:$CB229)+$CB$5</f>
        <v>1359.0872124290322</v>
      </c>
      <c r="CL229" s="46">
        <f>NPV((1+CL$3)^(1/12)-1,$CB$6:$CB229)+$CB$5</f>
        <v>1022.4660599838007</v>
      </c>
      <c r="CM229" s="46">
        <f>NPV((1+CM$3)^(1/12)-1,$CB$6:$CB229)+$CB$5</f>
        <v>448.66135331805344</v>
      </c>
      <c r="CN229" s="46">
        <f>NPV((1+CN$3)^(1/12)-1,$CB$6:$CB229)+$CB$5</f>
        <v>448.66135331805344</v>
      </c>
    </row>
    <row r="230" spans="1:92" x14ac:dyDescent="0.25">
      <c r="A230" s="61">
        <f t="shared" si="185"/>
        <v>18.750000000000004</v>
      </c>
      <c r="B230" s="32">
        <f t="shared" si="203"/>
        <v>9</v>
      </c>
      <c r="C230" s="62">
        <f t="shared" si="204"/>
        <v>19</v>
      </c>
      <c r="D230" s="64">
        <f t="shared" si="205"/>
        <v>19.250000000000004</v>
      </c>
      <c r="E230" s="28">
        <f t="shared" si="186"/>
        <v>19</v>
      </c>
      <c r="G230" s="68">
        <f>INDEX(Others!$D$11:$E$60, MATCH(C230, Others!$A$11:$A$60, 0), MATCH(G$3, Others!$D$10:$E$10, 0))</f>
        <v>4.0690909090909111E-2</v>
      </c>
      <c r="H230" s="16">
        <f t="shared" si="228"/>
        <v>3.329265421250005E-3</v>
      </c>
      <c r="I230" s="69">
        <f t="shared" si="229"/>
        <v>0.47338771652785561</v>
      </c>
      <c r="K230" s="80">
        <f>INDEX(Mortality!$B$7:$F$32, MATCH( E230,Mortality!$A$7:$A$32, 0), MATCH( K$3,Mortality!$B$6:$F$6,0))</f>
        <v>0.42199999999999999</v>
      </c>
      <c r="L230" s="11">
        <f t="shared" si="187"/>
        <v>0</v>
      </c>
      <c r="M230" s="80">
        <f t="shared" si="206"/>
        <v>0.42199999999999999</v>
      </c>
      <c r="N230" s="76">
        <f>INDEX(Myopia!$H:$H, MATCH(E230, Myopia!$A:$A, 0)) * Trend_Factor^(A230)</f>
        <v>5.3646636359842574</v>
      </c>
      <c r="O230" s="11">
        <f t="shared" si="188"/>
        <v>0</v>
      </c>
      <c r="P230" s="80">
        <f t="shared" si="207"/>
        <v>5.3646636359842574</v>
      </c>
      <c r="Q230" s="76">
        <f>VLOOKUP(C230,Others!$L$10:$M$61,2)</f>
        <v>0</v>
      </c>
      <c r="R230" s="11">
        <f t="shared" si="189"/>
        <v>0</v>
      </c>
      <c r="S230" s="80">
        <f t="shared" si="208"/>
        <v>0</v>
      </c>
      <c r="T230" s="78">
        <f t="shared" si="209"/>
        <v>3.516666666666667E-5</v>
      </c>
      <c r="U230" s="81">
        <f t="shared" si="210"/>
        <v>4.4705530299868817E-4</v>
      </c>
      <c r="V230" s="81">
        <f t="shared" si="211"/>
        <v>0</v>
      </c>
      <c r="W230" s="77">
        <f t="shared" si="190"/>
        <v>0.79242198644689821</v>
      </c>
      <c r="X230" s="82">
        <f t="shared" si="212"/>
        <v>2.786061084744804E-5</v>
      </c>
      <c r="Y230" s="82">
        <f t="shared" si="213"/>
        <v>3.5425022224457254E-4</v>
      </c>
      <c r="Z230" s="82">
        <f t="shared" si="214"/>
        <v>0</v>
      </c>
      <c r="AA230" s="82">
        <f t="shared" si="215"/>
        <v>0.79203987561380618</v>
      </c>
      <c r="AC230" s="46">
        <f t="shared" si="191"/>
        <v>0</v>
      </c>
      <c r="AD230" s="15">
        <f t="shared" si="192"/>
        <v>0</v>
      </c>
      <c r="AE230" s="46">
        <f t="shared" si="216"/>
        <v>0</v>
      </c>
      <c r="AF230" s="15">
        <f t="shared" si="217"/>
        <v>0</v>
      </c>
      <c r="AG230" s="46">
        <f>SUMPRODUCT(AE231:AE$605, $I230:$I$604) / $I230</f>
        <v>0</v>
      </c>
      <c r="AI230" s="46">
        <f t="shared" si="193"/>
        <v>-47000</v>
      </c>
      <c r="AJ230" s="46">
        <f>IF(E230&gt;Mat_Year,0,  -SUM($AD$5:AD230))</f>
        <v>-9306</v>
      </c>
      <c r="AK230" s="24">
        <f t="shared" si="218"/>
        <v>-0.25927084454635146</v>
      </c>
      <c r="AL230" s="79">
        <f t="shared" si="219"/>
        <v>-16.649760445494909</v>
      </c>
      <c r="AM230" s="24">
        <f t="shared" si="220"/>
        <v>-21.338417635102264</v>
      </c>
      <c r="AN230" s="79">
        <f t="shared" si="221"/>
        <v>-16.909031290041259</v>
      </c>
      <c r="AO230" s="15">
        <f t="shared" si="222"/>
        <v>-408.98230585688992</v>
      </c>
      <c r="AP230" s="46">
        <f>SUMPRODUCT(AN231:AN$605, $I231:$I$605) / $I230</f>
        <v>-324.08657122874962</v>
      </c>
      <c r="AR230" s="46">
        <v>0</v>
      </c>
      <c r="AS230" s="46">
        <v>0</v>
      </c>
      <c r="AT230" s="46">
        <v>0</v>
      </c>
      <c r="AU230" s="95">
        <f t="shared" si="194"/>
        <v>-2.2411678138953119</v>
      </c>
      <c r="AV230" s="47">
        <f t="shared" si="195"/>
        <v>0</v>
      </c>
      <c r="AW230" s="96">
        <f t="shared" si="230"/>
        <v>-2.2411678138953119</v>
      </c>
      <c r="AX230" s="95">
        <f t="shared" si="196"/>
        <v>-25.698724265999573</v>
      </c>
      <c r="AY230" s="11">
        <f t="shared" si="197"/>
        <v>0</v>
      </c>
      <c r="AZ230" s="96">
        <f t="shared" si="231"/>
        <v>-25.698724265999573</v>
      </c>
      <c r="BA230" s="95">
        <f t="shared" si="232"/>
        <v>-1.7759506510477754</v>
      </c>
      <c r="BB230" s="64">
        <f t="shared" si="233"/>
        <v>-9.8197609386832217E-3</v>
      </c>
      <c r="BC230" s="95">
        <f t="shared" si="234"/>
        <v>-2.2411678138953119</v>
      </c>
      <c r="BD230" s="96">
        <f t="shared" si="235"/>
        <v>-1.2392085412361616E-2</v>
      </c>
      <c r="BE230" s="96">
        <f t="shared" si="236"/>
        <v>-1.7759506510477754</v>
      </c>
      <c r="BF230" s="96">
        <f t="shared" si="237"/>
        <v>-9.8197609386832217E-3</v>
      </c>
      <c r="BG230" s="15">
        <f t="shared" si="223"/>
        <v>-43.966768702096239</v>
      </c>
      <c r="BH230" s="46">
        <f>(SUMPRODUCT(BE231:BE$605,$I230:$I$604)+SUMPRODUCT(BF231:BF$605,$I231:$I$605)) / $I230</f>
        <v>-34.840234192566413</v>
      </c>
      <c r="BJ230" s="46">
        <f t="shared" si="238"/>
        <v>-1.7759506510477754</v>
      </c>
      <c r="BK230" s="46">
        <f t="shared" si="239"/>
        <v>-16.918851050979942</v>
      </c>
      <c r="BM230" s="49">
        <f t="shared" si="224"/>
        <v>453.16759480469187</v>
      </c>
      <c r="BN230" s="46">
        <f t="shared" si="240"/>
        <v>358.92680542131586</v>
      </c>
      <c r="BP230" s="46">
        <f>Reserve!BX230</f>
        <v>593.88973747296177</v>
      </c>
      <c r="BQ230" s="46">
        <f t="shared" si="198"/>
        <v>470.38435379640066</v>
      </c>
      <c r="BR230" s="15">
        <f t="shared" si="225"/>
        <v>23.008713150971118</v>
      </c>
      <c r="BT230" s="49">
        <f t="shared" si="226"/>
        <v>2.0654700320959281</v>
      </c>
      <c r="BU230" s="46">
        <f t="shared" si="199"/>
        <v>1.6367238657799938</v>
      </c>
      <c r="BV230" s="46">
        <f>SUMPRODUCT(BU231:BU$605, $I231:$I$605) / $I230</f>
        <v>16.035901230609955</v>
      </c>
      <c r="BX230" s="46">
        <f>-BZ230*Others!$Q$43</f>
        <v>-1.5233626405691889</v>
      </c>
      <c r="BZ230" s="50">
        <f t="shared" si="184"/>
        <v>5.9506353147233941</v>
      </c>
      <c r="CA230" s="46">
        <f t="shared" si="227"/>
        <v>4.4272726741542048</v>
      </c>
      <c r="CB230" s="46">
        <f t="shared" si="200"/>
        <v>4.4272726741542048</v>
      </c>
      <c r="CD230" s="46">
        <f>SUMPRODUCT(BZ231:BZ$605, $I231:$I$605) / $I230</f>
        <v>111.45754837508467</v>
      </c>
      <c r="CE230" s="46">
        <f>SUMPRODUCT(CA231:CA$605, $I231:$I$605) / $I230</f>
        <v>82.924415991063015</v>
      </c>
      <c r="CF230" s="46">
        <f>SUMPRODUCT(CB231:CB$605, $I231:$I$605) / $I230</f>
        <v>82.924415991063015</v>
      </c>
      <c r="CH230" s="46">
        <f t="shared" si="201"/>
        <v>46406.110262527036</v>
      </c>
      <c r="CI230" s="46">
        <f t="shared" si="202"/>
        <v>8712.1102625270378</v>
      </c>
      <c r="CK230" s="46">
        <f>NPV((1+CK$3)^(1/12)-1,$CB$6:$CB230)+$CB$5</f>
        <v>1361.6307508819118</v>
      </c>
      <c r="CL230" s="46">
        <f>NPV((1+CL$3)^(1/12)-1,$CB$6:$CB230)+$CB$5</f>
        <v>1024.2395833442904</v>
      </c>
      <c r="CM230" s="46">
        <f>NPV((1+CM$3)^(1/12)-1,$CB$6:$CB230)+$CB$5</f>
        <v>449.40270354377913</v>
      </c>
      <c r="CN230" s="46">
        <f>NPV((1+CN$3)^(1/12)-1,$CB$6:$CB230)+$CB$5</f>
        <v>449.40270354377913</v>
      </c>
    </row>
    <row r="231" spans="1:92" x14ac:dyDescent="0.25">
      <c r="A231" s="61">
        <f t="shared" si="185"/>
        <v>18.833333333333336</v>
      </c>
      <c r="B231" s="32">
        <f t="shared" si="203"/>
        <v>10</v>
      </c>
      <c r="C231" s="62">
        <f t="shared" si="204"/>
        <v>19</v>
      </c>
      <c r="D231" s="64">
        <f t="shared" si="205"/>
        <v>19.333333333333336</v>
      </c>
      <c r="E231" s="28">
        <f t="shared" si="186"/>
        <v>19</v>
      </c>
      <c r="G231" s="68">
        <f>INDEX(Others!$D$11:$E$60, MATCH(C231, Others!$A$11:$A$60, 0), MATCH(G$3, Others!$D$10:$E$10, 0))</f>
        <v>4.0690909090909111E-2</v>
      </c>
      <c r="H231" s="16">
        <f t="shared" si="228"/>
        <v>3.329265421250005E-3</v>
      </c>
      <c r="I231" s="69">
        <f t="shared" si="229"/>
        <v>0.47181691279492655</v>
      </c>
      <c r="K231" s="80">
        <f>INDEX(Mortality!$B$7:$F$32, MATCH( E231,Mortality!$A$7:$A$32, 0), MATCH( K$3,Mortality!$B$6:$F$6,0))</f>
        <v>0.42199999999999999</v>
      </c>
      <c r="L231" s="11">
        <f t="shared" si="187"/>
        <v>0</v>
      </c>
      <c r="M231" s="80">
        <f t="shared" si="206"/>
        <v>0.42199999999999999</v>
      </c>
      <c r="N231" s="76">
        <f>INDEX(Myopia!$H:$H, MATCH(E231, Myopia!$A:$A, 0)) * Trend_Factor^(A231)</f>
        <v>5.3646636359842574</v>
      </c>
      <c r="O231" s="11">
        <f t="shared" si="188"/>
        <v>0</v>
      </c>
      <c r="P231" s="80">
        <f t="shared" si="207"/>
        <v>5.3646636359842574</v>
      </c>
      <c r="Q231" s="76">
        <f>VLOOKUP(C231,Others!$L$10:$M$61,2)</f>
        <v>0</v>
      </c>
      <c r="R231" s="11">
        <f t="shared" si="189"/>
        <v>0</v>
      </c>
      <c r="S231" s="80">
        <f t="shared" si="208"/>
        <v>0</v>
      </c>
      <c r="T231" s="78">
        <f t="shared" si="209"/>
        <v>3.516666666666667E-5</v>
      </c>
      <c r="U231" s="81">
        <f t="shared" si="210"/>
        <v>4.4705530299868817E-4</v>
      </c>
      <c r="V231" s="81">
        <f t="shared" si="211"/>
        <v>0</v>
      </c>
      <c r="W231" s="77">
        <f t="shared" si="190"/>
        <v>0.79203987561380618</v>
      </c>
      <c r="X231" s="82">
        <f t="shared" si="212"/>
        <v>2.7847176286818161E-5</v>
      </c>
      <c r="Y231" s="82">
        <f t="shared" si="213"/>
        <v>3.5407940057397274E-4</v>
      </c>
      <c r="Z231" s="82">
        <f t="shared" si="214"/>
        <v>0</v>
      </c>
      <c r="AA231" s="82">
        <f t="shared" si="215"/>
        <v>0.79165794903694542</v>
      </c>
      <c r="AC231" s="46">
        <f t="shared" si="191"/>
        <v>0</v>
      </c>
      <c r="AD231" s="15">
        <f t="shared" si="192"/>
        <v>0</v>
      </c>
      <c r="AE231" s="46">
        <f t="shared" si="216"/>
        <v>0</v>
      </c>
      <c r="AF231" s="15">
        <f t="shared" si="217"/>
        <v>0</v>
      </c>
      <c r="AG231" s="46">
        <f>SUMPRODUCT(AE232:AE$605, $I231:$I$604) / $I231</f>
        <v>0</v>
      </c>
      <c r="AI231" s="46">
        <f t="shared" si="193"/>
        <v>-47000</v>
      </c>
      <c r="AJ231" s="46">
        <f>IF(E231&gt;Mat_Year,0,  -SUM($AD$5:AD231))</f>
        <v>-9306</v>
      </c>
      <c r="AK231" s="24">
        <f t="shared" si="218"/>
        <v>-0.2591458225251298</v>
      </c>
      <c r="AL231" s="79">
        <f t="shared" si="219"/>
        <v>-16.64173182697672</v>
      </c>
      <c r="AM231" s="24">
        <f t="shared" si="220"/>
        <v>-21.338417635102271</v>
      </c>
      <c r="AN231" s="79">
        <f t="shared" si="221"/>
        <v>-16.900877649501851</v>
      </c>
      <c r="AO231" s="15">
        <f t="shared" si="222"/>
        <v>-389.20346473141331</v>
      </c>
      <c r="AP231" s="46">
        <f>SUMPRODUCT(AN232:AN$605, $I232:$I$605) / $I231</f>
        <v>-308.264663794331</v>
      </c>
      <c r="AR231" s="46">
        <v>0</v>
      </c>
      <c r="AS231" s="46">
        <v>0</v>
      </c>
      <c r="AT231" s="46">
        <v>0</v>
      </c>
      <c r="AU231" s="95">
        <f t="shared" si="194"/>
        <v>-2.2436736603016141</v>
      </c>
      <c r="AV231" s="47">
        <f t="shared" si="195"/>
        <v>0</v>
      </c>
      <c r="AW231" s="96">
        <f t="shared" si="230"/>
        <v>-2.2436736603016141</v>
      </c>
      <c r="AX231" s="95">
        <f t="shared" si="196"/>
        <v>-25.727457971458502</v>
      </c>
      <c r="AY231" s="11">
        <f t="shared" si="197"/>
        <v>0</v>
      </c>
      <c r="AZ231" s="96">
        <f t="shared" si="231"/>
        <v>-25.727457971458502</v>
      </c>
      <c r="BA231" s="95">
        <f t="shared" si="232"/>
        <v>-1.7770790068232636</v>
      </c>
      <c r="BB231" s="64">
        <f t="shared" si="233"/>
        <v>-9.8259999543690128E-3</v>
      </c>
      <c r="BC231" s="95">
        <f t="shared" si="234"/>
        <v>-2.2436736603016141</v>
      </c>
      <c r="BD231" s="96">
        <f t="shared" si="235"/>
        <v>-1.2405940984668441E-2</v>
      </c>
      <c r="BE231" s="96">
        <f t="shared" si="236"/>
        <v>-1.7770790068232636</v>
      </c>
      <c r="BF231" s="96">
        <f t="shared" si="237"/>
        <v>-9.8259999543690128E-3</v>
      </c>
      <c r="BG231" s="15">
        <f t="shared" si="223"/>
        <v>-41.870878255170531</v>
      </c>
      <c r="BH231" s="46">
        <f>(SUMPRODUCT(BE232:BE$605,$I231:$I$604)+SUMPRODUCT(BF232:BF$605,$I232:$I$605)) / $I231</f>
        <v>-33.163405205066091</v>
      </c>
      <c r="BJ231" s="46">
        <f t="shared" si="238"/>
        <v>-1.7770790068232636</v>
      </c>
      <c r="BK231" s="46">
        <f t="shared" si="239"/>
        <v>-16.91070364945622</v>
      </c>
      <c r="BM231" s="49">
        <f t="shared" si="224"/>
        <v>431.28231001121816</v>
      </c>
      <c r="BN231" s="46">
        <f t="shared" si="240"/>
        <v>341.42806899939706</v>
      </c>
      <c r="BP231" s="46">
        <f>Reserve!BX231</f>
        <v>565.04434511783938</v>
      </c>
      <c r="BQ231" s="46">
        <f t="shared" si="198"/>
        <v>447.32184737091268</v>
      </c>
      <c r="BR231" s="15">
        <f t="shared" si="225"/>
        <v>23.062506425487982</v>
      </c>
      <c r="BT231" s="49">
        <f t="shared" si="226"/>
        <v>1.9697467818701635</v>
      </c>
      <c r="BU231" s="46">
        <f t="shared" si="199"/>
        <v>1.5601179961031393</v>
      </c>
      <c r="BV231" s="46">
        <f>SUMPRODUCT(BU232:BU$605, $I232:$I$605) / $I231</f>
        <v>14.529171005972467</v>
      </c>
      <c r="BX231" s="46">
        <f>-BZ231*Others!$Q$43</f>
        <v>-1.519319491919779</v>
      </c>
      <c r="BZ231" s="50">
        <f t="shared" si="184"/>
        <v>5.9348417653116368</v>
      </c>
      <c r="CA231" s="46">
        <f t="shared" si="227"/>
        <v>4.4155222733918578</v>
      </c>
      <c r="CB231" s="46">
        <f t="shared" si="200"/>
        <v>4.4155222733918578</v>
      </c>
      <c r="CD231" s="46">
        <f>SUMPRODUCT(BZ232:BZ$605, $I232:$I$605) / $I231</f>
        <v>105.89377837151552</v>
      </c>
      <c r="CE231" s="46">
        <f>SUMPRODUCT(CA232:CA$605, $I232:$I$605) / $I231</f>
        <v>78.784971108407547</v>
      </c>
      <c r="CF231" s="46">
        <f>SUMPRODUCT(CB232:CB$605, $I232:$I$605) / $I231</f>
        <v>78.784971108407547</v>
      </c>
      <c r="CH231" s="46">
        <f t="shared" si="201"/>
        <v>46434.955654882164</v>
      </c>
      <c r="CI231" s="46">
        <f t="shared" si="202"/>
        <v>8740.9556548821602</v>
      </c>
      <c r="CK231" s="46">
        <f>NPV((1+CK$3)^(1/12)-1,$CB$6:$CB231)+$CB$5</f>
        <v>1364.1612975322546</v>
      </c>
      <c r="CL231" s="46">
        <f>NPV((1+CL$3)^(1/12)-1,$CB$6:$CB231)+$CB$5</f>
        <v>1026.0012224700392</v>
      </c>
      <c r="CM231" s="46">
        <f>NPV((1+CM$3)^(1/12)-1,$CB$6:$CB231)+$CB$5</f>
        <v>450.13623685817106</v>
      </c>
      <c r="CN231" s="46">
        <f>NPV((1+CN$3)^(1/12)-1,$CB$6:$CB231)+$CB$5</f>
        <v>450.13623685817106</v>
      </c>
    </row>
    <row r="232" spans="1:92" x14ac:dyDescent="0.25">
      <c r="A232" s="61">
        <f t="shared" si="185"/>
        <v>18.916666666666668</v>
      </c>
      <c r="B232" s="32">
        <f t="shared" si="203"/>
        <v>11</v>
      </c>
      <c r="C232" s="62">
        <f t="shared" si="204"/>
        <v>19</v>
      </c>
      <c r="D232" s="64">
        <f t="shared" si="205"/>
        <v>19.416666666666668</v>
      </c>
      <c r="E232" s="28">
        <f t="shared" si="186"/>
        <v>19</v>
      </c>
      <c r="G232" s="68">
        <f>INDEX(Others!$D$11:$E$60, MATCH(C232, Others!$A$11:$A$60, 0), MATCH(G$3, Others!$D$10:$E$10, 0))</f>
        <v>4.0690909090909111E-2</v>
      </c>
      <c r="H232" s="16">
        <f t="shared" si="228"/>
        <v>3.329265421250005E-3</v>
      </c>
      <c r="I232" s="69">
        <f t="shared" si="229"/>
        <v>0.47025132133152037</v>
      </c>
      <c r="K232" s="80">
        <f>INDEX(Mortality!$B$7:$F$32, MATCH( E232,Mortality!$A$7:$A$32, 0), MATCH( K$3,Mortality!$B$6:$F$6,0))</f>
        <v>0.42199999999999999</v>
      </c>
      <c r="L232" s="11">
        <f t="shared" si="187"/>
        <v>0</v>
      </c>
      <c r="M232" s="80">
        <f t="shared" si="206"/>
        <v>0.42199999999999999</v>
      </c>
      <c r="N232" s="76">
        <f>INDEX(Myopia!$H:$H, MATCH(E232, Myopia!$A:$A, 0)) * Trend_Factor^(A232)</f>
        <v>5.3646636359842574</v>
      </c>
      <c r="O232" s="11">
        <f t="shared" si="188"/>
        <v>0</v>
      </c>
      <c r="P232" s="80">
        <f t="shared" si="207"/>
        <v>5.3646636359842574</v>
      </c>
      <c r="Q232" s="76">
        <f>VLOOKUP(C232,Others!$L$10:$M$61,2)</f>
        <v>0</v>
      </c>
      <c r="R232" s="11">
        <f t="shared" si="189"/>
        <v>0</v>
      </c>
      <c r="S232" s="80">
        <f t="shared" si="208"/>
        <v>0</v>
      </c>
      <c r="T232" s="78">
        <f t="shared" si="209"/>
        <v>3.516666666666667E-5</v>
      </c>
      <c r="U232" s="81">
        <f t="shared" si="210"/>
        <v>4.4705530299868817E-4</v>
      </c>
      <c r="V232" s="81">
        <f t="shared" si="211"/>
        <v>0</v>
      </c>
      <c r="W232" s="77">
        <f t="shared" si="190"/>
        <v>0.79165794903694542</v>
      </c>
      <c r="X232" s="82">
        <f t="shared" si="212"/>
        <v>2.783374820441736E-5</v>
      </c>
      <c r="Y232" s="82">
        <f t="shared" si="213"/>
        <v>3.5390866127464978E-4</v>
      </c>
      <c r="Z232" s="82">
        <f t="shared" si="214"/>
        <v>0</v>
      </c>
      <c r="AA232" s="82">
        <f t="shared" si="215"/>
        <v>0.79127620662746634</v>
      </c>
      <c r="AC232" s="46">
        <f t="shared" si="191"/>
        <v>0</v>
      </c>
      <c r="AD232" s="15">
        <f t="shared" si="192"/>
        <v>0</v>
      </c>
      <c r="AE232" s="46">
        <f t="shared" si="216"/>
        <v>0</v>
      </c>
      <c r="AF232" s="15">
        <f t="shared" si="217"/>
        <v>0</v>
      </c>
      <c r="AG232" s="46">
        <f>SUMPRODUCT(AE233:AE$605, $I232:$I$604) / $I232</f>
        <v>0</v>
      </c>
      <c r="AI232" s="46">
        <f t="shared" si="193"/>
        <v>-47000</v>
      </c>
      <c r="AJ232" s="46">
        <f>IF(E232&gt;Mat_Year,0,  -SUM($AD$5:AD232))</f>
        <v>-9306</v>
      </c>
      <c r="AK232" s="24">
        <f t="shared" si="218"/>
        <v>-0.25902086079030795</v>
      </c>
      <c r="AL232" s="79">
        <f t="shared" si="219"/>
        <v>-16.63370707990854</v>
      </c>
      <c r="AM232" s="24">
        <f t="shared" si="220"/>
        <v>-21.338417635102267</v>
      </c>
      <c r="AN232" s="79">
        <f t="shared" si="221"/>
        <v>-16.892727940698848</v>
      </c>
      <c r="AO232" s="15">
        <f t="shared" si="222"/>
        <v>-369.34920074395683</v>
      </c>
      <c r="AP232" s="46">
        <f>SUMPRODUCT(AN233:AN$605, $I233:$I$605) / $I232</f>
        <v>-292.3982307393959</v>
      </c>
      <c r="AR232" s="46">
        <v>0</v>
      </c>
      <c r="AS232" s="46">
        <v>0</v>
      </c>
      <c r="AT232" s="46">
        <v>0</v>
      </c>
      <c r="AU232" s="95">
        <f t="shared" si="194"/>
        <v>-2.2461823084910639</v>
      </c>
      <c r="AV232" s="47">
        <f t="shared" si="195"/>
        <v>0</v>
      </c>
      <c r="AW232" s="96">
        <f t="shared" si="230"/>
        <v>-2.2461823084910639</v>
      </c>
      <c r="AX232" s="95">
        <f t="shared" si="196"/>
        <v>-25.756223804030867</v>
      </c>
      <c r="AY232" s="11">
        <f t="shared" si="197"/>
        <v>0</v>
      </c>
      <c r="AZ232" s="96">
        <f t="shared" si="231"/>
        <v>-25.756223804030867</v>
      </c>
      <c r="BA232" s="95">
        <f t="shared" si="232"/>
        <v>-1.778208079503107</v>
      </c>
      <c r="BB232" s="64">
        <f t="shared" si="233"/>
        <v>-9.8322429340328473E-3</v>
      </c>
      <c r="BC232" s="95">
        <f t="shared" si="234"/>
        <v>-2.2461823084910639</v>
      </c>
      <c r="BD232" s="96">
        <f t="shared" si="235"/>
        <v>-1.2419812048870101E-2</v>
      </c>
      <c r="BE232" s="96">
        <f t="shared" si="236"/>
        <v>-1.778208079503107</v>
      </c>
      <c r="BF232" s="96">
        <f t="shared" si="237"/>
        <v>-9.8322429340328473E-3</v>
      </c>
      <c r="BG232" s="15">
        <f t="shared" si="223"/>
        <v>-39.764464656046918</v>
      </c>
      <c r="BH232" s="46">
        <f>(SUMPRODUCT(BE233:BE$605,$I232:$I$604)+SUMPRODUCT(BF233:BF$605,$I233:$I$605)) / $I232</f>
        <v>-31.479854534158211</v>
      </c>
      <c r="BJ232" s="46">
        <f t="shared" si="238"/>
        <v>-1.778208079503107</v>
      </c>
      <c r="BK232" s="46">
        <f t="shared" si="239"/>
        <v>-16.902560183632879</v>
      </c>
      <c r="BM232" s="49">
        <f t="shared" si="224"/>
        <v>409.31103773986752</v>
      </c>
      <c r="BN232" s="46">
        <f t="shared" si="240"/>
        <v>323.87808527355406</v>
      </c>
      <c r="BP232" s="46">
        <f>Reserve!BX232</f>
        <v>536.10280652002461</v>
      </c>
      <c r="BQ232" s="46">
        <f t="shared" si="198"/>
        <v>424.20539510550361</v>
      </c>
      <c r="BR232" s="15">
        <f t="shared" si="225"/>
        <v>23.116452265409066</v>
      </c>
      <c r="BT232" s="49">
        <f t="shared" si="226"/>
        <v>1.8737044625841939</v>
      </c>
      <c r="BU232" s="46">
        <f t="shared" si="199"/>
        <v>1.4833330319507749</v>
      </c>
      <c r="BV232" s="46">
        <f>SUMPRODUCT(BU233:BU$605, $I233:$I$605) / $I232</f>
        <v>13.094209440651305</v>
      </c>
      <c r="BX232" s="46">
        <f>-BZ232*Others!$Q$43</f>
        <v>-1.5152683607613071</v>
      </c>
      <c r="BZ232" s="50">
        <f t="shared" si="184"/>
        <v>5.9190170342238559</v>
      </c>
      <c r="CA232" s="46">
        <f t="shared" si="227"/>
        <v>4.4037486734625491</v>
      </c>
      <c r="CB232" s="46">
        <f t="shared" si="200"/>
        <v>4.4037486734625491</v>
      </c>
      <c r="CD232" s="46">
        <f>SUMPRODUCT(BZ233:BZ$605, $I233:$I$605) / $I232</f>
        <v>100.32730983194946</v>
      </c>
      <c r="CE232" s="46">
        <f>SUMPRODUCT(CA233:CA$605, $I233:$I$605) / $I232</f>
        <v>74.643518514970395</v>
      </c>
      <c r="CF232" s="46">
        <f>SUMPRODUCT(CB233:CB$605, $I233:$I$605) / $I232</f>
        <v>74.643518514970395</v>
      </c>
      <c r="CH232" s="46">
        <f t="shared" si="201"/>
        <v>46463.897193479977</v>
      </c>
      <c r="CI232" s="46">
        <f t="shared" si="202"/>
        <v>8769.8971934799756</v>
      </c>
      <c r="CK232" s="46">
        <f>NPV((1+CK$3)^(1/12)-1,$CB$6:$CB232)+$CB$5</f>
        <v>1366.6788876471865</v>
      </c>
      <c r="CL232" s="46">
        <f>NPV((1+CL$3)^(1/12)-1,$CB$6:$CB232)+$CB$5</f>
        <v>1027.7510353863215</v>
      </c>
      <c r="CM232" s="46">
        <f>NPV((1+CM$3)^(1/12)-1,$CB$6:$CB232)+$CB$5</f>
        <v>450.86202672052082</v>
      </c>
      <c r="CN232" s="46">
        <f>NPV((1+CN$3)^(1/12)-1,$CB$6:$CB232)+$CB$5</f>
        <v>450.86202672052082</v>
      </c>
    </row>
    <row r="233" spans="1:92" x14ac:dyDescent="0.25">
      <c r="A233" s="61">
        <f t="shared" si="185"/>
        <v>19</v>
      </c>
      <c r="B233" s="32">
        <f t="shared" si="203"/>
        <v>12</v>
      </c>
      <c r="C233" s="62">
        <f t="shared" si="204"/>
        <v>19</v>
      </c>
      <c r="D233" s="64">
        <f t="shared" si="205"/>
        <v>19.5</v>
      </c>
      <c r="E233" s="28">
        <f t="shared" si="186"/>
        <v>19</v>
      </c>
      <c r="G233" s="68">
        <f>INDEX(Others!$D$11:$E$60, MATCH(C233, Others!$A$11:$A$60, 0), MATCH(G$3, Others!$D$10:$E$10, 0))</f>
        <v>4.0690909090909111E-2</v>
      </c>
      <c r="H233" s="16">
        <f t="shared" si="228"/>
        <v>3.329265421250005E-3</v>
      </c>
      <c r="I233" s="69">
        <f t="shared" si="229"/>
        <v>0.4686909248421896</v>
      </c>
      <c r="K233" s="80">
        <f>INDEX(Mortality!$B$7:$F$32, MATCH( E233,Mortality!$A$7:$A$32, 0), MATCH( K$3,Mortality!$B$6:$F$6,0))</f>
        <v>0.42199999999999999</v>
      </c>
      <c r="L233" s="11">
        <f t="shared" si="187"/>
        <v>0</v>
      </c>
      <c r="M233" s="80">
        <f t="shared" si="206"/>
        <v>0.42199999999999999</v>
      </c>
      <c r="N233" s="76">
        <f>INDEX(Myopia!$H:$H, MATCH(E233, Myopia!$A:$A, 0)) * Trend_Factor^(A233)</f>
        <v>5.3646636359842574</v>
      </c>
      <c r="O233" s="11">
        <f t="shared" si="188"/>
        <v>0</v>
      </c>
      <c r="P233" s="80">
        <f t="shared" si="207"/>
        <v>5.3646636359842574</v>
      </c>
      <c r="Q233" s="76">
        <f>VLOOKUP(C233,Others!$L$10:$M$61,2)</f>
        <v>0</v>
      </c>
      <c r="R233" s="11">
        <f t="shared" si="189"/>
        <v>0</v>
      </c>
      <c r="S233" s="80">
        <f t="shared" si="208"/>
        <v>0</v>
      </c>
      <c r="T233" s="78">
        <f t="shared" si="209"/>
        <v>3.516666666666667E-5</v>
      </c>
      <c r="U233" s="81">
        <f t="shared" si="210"/>
        <v>4.4705530299868817E-4</v>
      </c>
      <c r="V233" s="81">
        <f t="shared" si="211"/>
        <v>0</v>
      </c>
      <c r="W233" s="77">
        <f t="shared" si="190"/>
        <v>0.79127620662746634</v>
      </c>
      <c r="X233" s="82">
        <f t="shared" si="212"/>
        <v>2.7820326597121792E-5</v>
      </c>
      <c r="Y233" s="82">
        <f t="shared" si="213"/>
        <v>3.5373800430688377E-4</v>
      </c>
      <c r="Z233" s="82">
        <f t="shared" si="214"/>
        <v>0</v>
      </c>
      <c r="AA233" s="82">
        <f t="shared" si="215"/>
        <v>0.79089464829656231</v>
      </c>
      <c r="AC233" s="46">
        <f t="shared" si="191"/>
        <v>0</v>
      </c>
      <c r="AD233" s="15">
        <f t="shared" si="192"/>
        <v>0</v>
      </c>
      <c r="AE233" s="46">
        <f t="shared" si="216"/>
        <v>0</v>
      </c>
      <c r="AF233" s="15">
        <f t="shared" si="217"/>
        <v>0</v>
      </c>
      <c r="AG233" s="46">
        <f>SUMPRODUCT(AE234:AE$605, $I233:$I$604) / $I233</f>
        <v>0</v>
      </c>
      <c r="AI233" s="46">
        <f t="shared" si="193"/>
        <v>-47000</v>
      </c>
      <c r="AJ233" s="46">
        <f>IF(E233&gt;Mat_Year,0,  -SUM($AD$5:AD233))</f>
        <v>-9306</v>
      </c>
      <c r="AK233" s="24">
        <f t="shared" si="218"/>
        <v>-0.25889595931281539</v>
      </c>
      <c r="AL233" s="79">
        <f t="shared" si="219"/>
        <v>-16.625686202423537</v>
      </c>
      <c r="AM233" s="24">
        <f t="shared" si="220"/>
        <v>-21.338417635102267</v>
      </c>
      <c r="AN233" s="79">
        <f t="shared" si="221"/>
        <v>-16.884582161736354</v>
      </c>
      <c r="AO233" s="15">
        <f t="shared" si="222"/>
        <v>-349.41922628373101</v>
      </c>
      <c r="AP233" s="46">
        <f>SUMPRODUCT(AN234:AN$605, $I234:$I$605) / $I233</f>
        <v>-276.48711989649496</v>
      </c>
      <c r="AR233" s="46">
        <v>0</v>
      </c>
      <c r="AS233" s="46">
        <v>0</v>
      </c>
      <c r="AT233" s="46">
        <v>0</v>
      </c>
      <c r="AU233" s="95">
        <f t="shared" si="194"/>
        <v>-2.2486937615963307</v>
      </c>
      <c r="AV233" s="47">
        <f t="shared" si="195"/>
        <v>0</v>
      </c>
      <c r="AW233" s="96">
        <f t="shared" si="230"/>
        <v>-2.2486937615963307</v>
      </c>
      <c r="AX233" s="95">
        <f t="shared" si="196"/>
        <v>-25.785021799637924</v>
      </c>
      <c r="AY233" s="11">
        <f t="shared" si="197"/>
        <v>0</v>
      </c>
      <c r="AZ233" s="96">
        <f t="shared" si="231"/>
        <v>-25.785021799637924</v>
      </c>
      <c r="BA233" s="95">
        <f t="shared" si="232"/>
        <v>-1.7793378695427928</v>
      </c>
      <c r="BB233" s="64">
        <f t="shared" si="233"/>
        <v>-9.8384898801932453E-3</v>
      </c>
      <c r="BC233" s="95">
        <f t="shared" si="234"/>
        <v>-2.2486937615963307</v>
      </c>
      <c r="BD233" s="96">
        <f t="shared" si="235"/>
        <v>-1.2433698622288053E-2</v>
      </c>
      <c r="BE233" s="96">
        <f t="shared" si="236"/>
        <v>-1.7793378695427928</v>
      </c>
      <c r="BF233" s="96">
        <f t="shared" si="237"/>
        <v>-9.8384898801932453E-3</v>
      </c>
      <c r="BG233" s="15">
        <f t="shared" si="223"/>
        <v>-37.647484946915561</v>
      </c>
      <c r="BH233" s="46">
        <f>(SUMPRODUCT(BE234:BE$605,$I233:$I$604)+SUMPRODUCT(BF234:BF$605,$I234:$I$605)) / $I233</f>
        <v>-29.789559077859987</v>
      </c>
      <c r="BJ233" s="46">
        <f t="shared" si="238"/>
        <v>-1.7793378695427928</v>
      </c>
      <c r="BK233" s="46">
        <f t="shared" si="239"/>
        <v>-16.894420651616546</v>
      </c>
      <c r="BM233" s="49">
        <f t="shared" si="224"/>
        <v>387.25344726256145</v>
      </c>
      <c r="BN233" s="46">
        <f t="shared" si="240"/>
        <v>306.27667897435487</v>
      </c>
      <c r="BP233" s="46">
        <f>Reserve!BX233</f>
        <v>507.06480931396254</v>
      </c>
      <c r="BQ233" s="46">
        <f t="shared" si="198"/>
        <v>401.03484402592983</v>
      </c>
      <c r="BR233" s="15">
        <f t="shared" si="225"/>
        <v>23.170551079573784</v>
      </c>
      <c r="BT233" s="49">
        <f t="shared" si="226"/>
        <v>1.7773420375987365</v>
      </c>
      <c r="BU233" s="46">
        <f t="shared" si="199"/>
        <v>1.4063684653906598</v>
      </c>
      <c r="BV233" s="46">
        <f>SUMPRODUCT(BU234:BU$605, $I234:$I$605) / $I233</f>
        <v>11.73143507397001</v>
      </c>
      <c r="BX233" s="46">
        <f>-BZ233*Others!$Q$43</f>
        <v>-1.5112092220941067</v>
      </c>
      <c r="BZ233" s="50">
        <f t="shared" si="184"/>
        <v>5.9031610238051044</v>
      </c>
      <c r="CA233" s="46">
        <f t="shared" si="227"/>
        <v>4.3919518017109977</v>
      </c>
      <c r="CB233" s="46">
        <f t="shared" si="200"/>
        <v>4.3919518017109977</v>
      </c>
      <c r="CD233" s="46">
        <f>SUMPRODUCT(BZ234:BZ$605, $I234:$I$605) / $I233</f>
        <v>94.758165051574892</v>
      </c>
      <c r="CE233" s="46">
        <f>SUMPRODUCT(CA234:CA$605, $I234:$I$605) / $I233</f>
        <v>70.500074798371728</v>
      </c>
      <c r="CF233" s="46">
        <f>SUMPRODUCT(CB234:CB$605, $I234:$I$605) / $I233</f>
        <v>70.500074798371728</v>
      </c>
      <c r="CH233" s="46">
        <f t="shared" si="201"/>
        <v>46492.935190686039</v>
      </c>
      <c r="CI233" s="46">
        <f t="shared" si="202"/>
        <v>8798.9351906860375</v>
      </c>
      <c r="CK233" s="46">
        <f>NPV((1+CK$3)^(1/12)-1,$CB$6:$CB233)+$CB$5</f>
        <v>1369.1835563901336</v>
      </c>
      <c r="CL233" s="46">
        <f>NPV((1+CL$3)^(1/12)-1,$CB$6:$CB233)+$CB$5</f>
        <v>1029.4890798518391</v>
      </c>
      <c r="CM233" s="46">
        <f>NPV((1+CM$3)^(1/12)-1,$CB$6:$CB233)+$CB$5</f>
        <v>451.58014593542566</v>
      </c>
      <c r="CN233" s="46">
        <f>NPV((1+CN$3)^(1/12)-1,$CB$6:$CB233)+$CB$5</f>
        <v>451.58014593542566</v>
      </c>
    </row>
    <row r="234" spans="1:92" x14ac:dyDescent="0.25">
      <c r="A234" s="61">
        <f t="shared" si="185"/>
        <v>19.083333333333332</v>
      </c>
      <c r="B234" s="32">
        <f t="shared" si="203"/>
        <v>1</v>
      </c>
      <c r="C234" s="62">
        <f t="shared" si="204"/>
        <v>20</v>
      </c>
      <c r="D234" s="64">
        <f t="shared" si="205"/>
        <v>19.583333333333332</v>
      </c>
      <c r="E234" s="28">
        <f t="shared" si="186"/>
        <v>19</v>
      </c>
      <c r="G234" s="68">
        <f>INDEX(Others!$D$11:$E$60, MATCH(C234, Others!$A$11:$A$60, 0), MATCH(G$3, Others!$D$10:$E$10, 0))</f>
        <v>4.0690909090909333E-2</v>
      </c>
      <c r="H234" s="16">
        <f t="shared" si="228"/>
        <v>3.329265421250005E-3</v>
      </c>
      <c r="I234" s="69">
        <f t="shared" si="229"/>
        <v>0.46713570608887672</v>
      </c>
      <c r="K234" s="80">
        <f>INDEX(Mortality!$B$7:$F$32, MATCH( E234,Mortality!$A$7:$A$32, 0), MATCH( K$3,Mortality!$B$6:$F$6,0))</f>
        <v>0.42199999999999999</v>
      </c>
      <c r="L234" s="11">
        <f t="shared" si="187"/>
        <v>0</v>
      </c>
      <c r="M234" s="80">
        <f t="shared" si="206"/>
        <v>0.42199999999999999</v>
      </c>
      <c r="N234" s="76">
        <f>INDEX(Myopia!$H:$H, MATCH(E234, Myopia!$A:$A, 0)) * Trend_Factor^(A234)</f>
        <v>5.3646636359842574</v>
      </c>
      <c r="O234" s="11">
        <f t="shared" si="188"/>
        <v>0</v>
      </c>
      <c r="P234" s="80">
        <f t="shared" si="207"/>
        <v>5.3646636359842574</v>
      </c>
      <c r="Q234" s="76">
        <f>VLOOKUP(C234,Others!$L$10:$M$61,2)</f>
        <v>0</v>
      </c>
      <c r="R234" s="11">
        <f t="shared" si="189"/>
        <v>0</v>
      </c>
      <c r="S234" s="80">
        <f t="shared" si="208"/>
        <v>0</v>
      </c>
      <c r="T234" s="78">
        <f t="shared" si="209"/>
        <v>3.516666666666667E-5</v>
      </c>
      <c r="U234" s="81">
        <f t="shared" si="210"/>
        <v>4.4705530299868817E-4</v>
      </c>
      <c r="V234" s="81">
        <f t="shared" si="211"/>
        <v>0</v>
      </c>
      <c r="W234" s="77">
        <f t="shared" si="190"/>
        <v>0.79089464829656231</v>
      </c>
      <c r="X234" s="82">
        <f t="shared" si="212"/>
        <v>2.7806911461809122E-5</v>
      </c>
      <c r="Y234" s="82">
        <f t="shared" si="213"/>
        <v>3.5356742963097392E-4</v>
      </c>
      <c r="Z234" s="82">
        <f t="shared" si="214"/>
        <v>0</v>
      </c>
      <c r="AA234" s="82">
        <f t="shared" si="215"/>
        <v>0.79051327395546955</v>
      </c>
      <c r="AC234" s="46">
        <f t="shared" si="191"/>
        <v>0</v>
      </c>
      <c r="AD234" s="15">
        <f t="shared" si="192"/>
        <v>0</v>
      </c>
      <c r="AE234" s="46">
        <f t="shared" si="216"/>
        <v>0</v>
      </c>
      <c r="AF234" s="15">
        <f t="shared" si="217"/>
        <v>0</v>
      </c>
      <c r="AG234" s="46">
        <f>SUMPRODUCT(AE235:AE$605, $I234:$I$604) / $I234</f>
        <v>0</v>
      </c>
      <c r="AI234" s="46">
        <f t="shared" si="193"/>
        <v>-47000</v>
      </c>
      <c r="AJ234" s="46">
        <f>IF(E234&gt;Mat_Year,0,  -SUM($AD$5:AD234))</f>
        <v>-9306</v>
      </c>
      <c r="AK234" s="24">
        <f t="shared" si="218"/>
        <v>-0.25877111806359571</v>
      </c>
      <c r="AL234" s="79">
        <f t="shared" si="219"/>
        <v>-16.617669192655775</v>
      </c>
      <c r="AM234" s="24">
        <f t="shared" si="220"/>
        <v>-21.338417635102267</v>
      </c>
      <c r="AN234" s="79">
        <f t="shared" si="221"/>
        <v>-16.876440310719371</v>
      </c>
      <c r="AO234" s="15">
        <f t="shared" si="222"/>
        <v>-329.41325264319715</v>
      </c>
      <c r="AP234" s="46">
        <f>SUMPRODUCT(AN235:AN$605, $I235:$I$605) / $I234</f>
        <v>-260.53117859346804</v>
      </c>
      <c r="AR234" s="46">
        <v>0</v>
      </c>
      <c r="AS234" s="46">
        <v>0</v>
      </c>
      <c r="AT234" s="46">
        <v>0</v>
      </c>
      <c r="AU234" s="95">
        <f t="shared" si="194"/>
        <v>-2.2512080227535862</v>
      </c>
      <c r="AV234" s="47">
        <f t="shared" si="195"/>
        <v>0</v>
      </c>
      <c r="AW234" s="96">
        <f t="shared" si="230"/>
        <v>-2.2512080227535862</v>
      </c>
      <c r="AX234" s="95">
        <f t="shared" si="196"/>
        <v>-25.813851994241119</v>
      </c>
      <c r="AY234" s="11">
        <f t="shared" si="197"/>
        <v>0</v>
      </c>
      <c r="AZ234" s="96">
        <f t="shared" si="231"/>
        <v>-25.813851994241119</v>
      </c>
      <c r="BA234" s="95">
        <f t="shared" si="232"/>
        <v>-1.7804683773980969</v>
      </c>
      <c r="BB234" s="64">
        <f t="shared" si="233"/>
        <v>-9.8447407953703315E-3</v>
      </c>
      <c r="BC234" s="95">
        <f t="shared" si="234"/>
        <v>-2.2512080227535862</v>
      </c>
      <c r="BD234" s="96">
        <f t="shared" si="235"/>
        <v>-1.2447600722263127E-2</v>
      </c>
      <c r="BE234" s="96">
        <f t="shared" si="236"/>
        <v>-1.7804683773980969</v>
      </c>
      <c r="BF234" s="96">
        <f t="shared" si="237"/>
        <v>-9.8447407953703315E-3</v>
      </c>
      <c r="BG234" s="15">
        <f t="shared" si="223"/>
        <v>-35.519896002991224</v>
      </c>
      <c r="BH234" s="46">
        <f>(SUMPRODUCT(BE235:BE$605,$I234:$I$604)+SUMPRODUCT(BF235:BF$605,$I235:$I$605)) / $I234</f>
        <v>-28.092495656816215</v>
      </c>
      <c r="BJ234" s="46">
        <f t="shared" si="238"/>
        <v>-1.7804683773980969</v>
      </c>
      <c r="BK234" s="46">
        <f t="shared" si="239"/>
        <v>-16.88628505151474</v>
      </c>
      <c r="BM234" s="49">
        <f t="shared" si="224"/>
        <v>365.10920658688724</v>
      </c>
      <c r="BN234" s="46">
        <f t="shared" si="240"/>
        <v>288.62367425028413</v>
      </c>
      <c r="BP234" s="46">
        <f>Reserve!BX234</f>
        <v>477.93004013402282</v>
      </c>
      <c r="BQ234" s="46">
        <f t="shared" si="198"/>
        <v>377.81004074801535</v>
      </c>
      <c r="BR234" s="15">
        <f t="shared" si="225"/>
        <v>23.224803277914475</v>
      </c>
      <c r="BT234" s="49">
        <f t="shared" si="226"/>
        <v>1.6806584669555089</v>
      </c>
      <c r="BU234" s="46">
        <f t="shared" si="199"/>
        <v>1.3292237871294168</v>
      </c>
      <c r="BV234" s="46">
        <f>SUMPRODUCT(BU235:BU$605, $I235:$I$605) / $I234</f>
        <v>10.441268347974002</v>
      </c>
      <c r="BX234" s="46">
        <f>-BZ234*Others!$Q$43</f>
        <v>-1.5071420508495499</v>
      </c>
      <c r="BZ234" s="50">
        <f t="shared" si="184"/>
        <v>5.887273636131054</v>
      </c>
      <c r="CA234" s="46">
        <f t="shared" si="227"/>
        <v>4.3801315852815037</v>
      </c>
      <c r="CB234" s="46">
        <f t="shared" si="200"/>
        <v>4.3801315852815037</v>
      </c>
      <c r="CD234" s="46">
        <f>SUMPRODUCT(BZ235:BZ$605, $I235:$I$605) / $I234</f>
        <v>89.186366497731171</v>
      </c>
      <c r="CE234" s="46">
        <f>SUMPRODUCT(CA235:CA$605, $I235:$I$605) / $I234</f>
        <v>66.354656674311983</v>
      </c>
      <c r="CF234" s="46">
        <f>SUMPRODUCT(CB235:CB$605, $I235:$I$605) / $I234</f>
        <v>66.354656674311983</v>
      </c>
      <c r="CH234" s="46">
        <f t="shared" si="201"/>
        <v>46522.069959865978</v>
      </c>
      <c r="CI234" s="46">
        <f t="shared" si="202"/>
        <v>8828.0699598659776</v>
      </c>
      <c r="CK234" s="46">
        <f>NPV((1+CK$3)^(1/12)-1,$CB$6:$CB234)+$CB$5</f>
        <v>1371.6753388211287</v>
      </c>
      <c r="CL234" s="46">
        <f>NPV((1+CL$3)^(1/12)-1,$CB$6:$CB234)+$CB$5</f>
        <v>1031.2154133599322</v>
      </c>
      <c r="CM234" s="46">
        <f>NPV((1+CM$3)^(1/12)-1,$CB$6:$CB234)+$CB$5</f>
        <v>452.2906666584679</v>
      </c>
      <c r="CN234" s="46">
        <f>NPV((1+CN$3)^(1/12)-1,$CB$6:$CB234)+$CB$5</f>
        <v>452.2906666584679</v>
      </c>
    </row>
    <row r="235" spans="1:92" x14ac:dyDescent="0.25">
      <c r="A235" s="61">
        <f t="shared" si="185"/>
        <v>19.166666666666664</v>
      </c>
      <c r="B235" s="32">
        <f t="shared" si="203"/>
        <v>2</v>
      </c>
      <c r="C235" s="62">
        <f t="shared" si="204"/>
        <v>20</v>
      </c>
      <c r="D235" s="64">
        <f t="shared" si="205"/>
        <v>19.666666666666664</v>
      </c>
      <c r="E235" s="28">
        <f t="shared" si="186"/>
        <v>19</v>
      </c>
      <c r="G235" s="68">
        <f>INDEX(Others!$D$11:$E$60, MATCH(C235, Others!$A$11:$A$60, 0), MATCH(G$3, Others!$D$10:$E$10, 0))</f>
        <v>4.0690909090909333E-2</v>
      </c>
      <c r="H235" s="16">
        <f t="shared" si="228"/>
        <v>3.329265421250005E-3</v>
      </c>
      <c r="I235" s="69">
        <f t="shared" si="229"/>
        <v>0.46558564789072387</v>
      </c>
      <c r="K235" s="80">
        <f>INDEX(Mortality!$B$7:$F$32, MATCH( E235,Mortality!$A$7:$A$32, 0), MATCH( K$3,Mortality!$B$6:$F$6,0))</f>
        <v>0.42199999999999999</v>
      </c>
      <c r="L235" s="11">
        <f t="shared" si="187"/>
        <v>0</v>
      </c>
      <c r="M235" s="80">
        <f t="shared" si="206"/>
        <v>0.42199999999999999</v>
      </c>
      <c r="N235" s="76">
        <f>INDEX(Myopia!$H:$H, MATCH(E235, Myopia!$A:$A, 0)) * Trend_Factor^(A235)</f>
        <v>5.3646636359842574</v>
      </c>
      <c r="O235" s="11">
        <f t="shared" si="188"/>
        <v>0</v>
      </c>
      <c r="P235" s="80">
        <f t="shared" si="207"/>
        <v>5.3646636359842574</v>
      </c>
      <c r="Q235" s="76">
        <f>VLOOKUP(C235,Others!$L$10:$M$61,2)</f>
        <v>0</v>
      </c>
      <c r="R235" s="11">
        <f t="shared" si="189"/>
        <v>0</v>
      </c>
      <c r="S235" s="80">
        <f t="shared" si="208"/>
        <v>0</v>
      </c>
      <c r="T235" s="78">
        <f t="shared" si="209"/>
        <v>3.516666666666667E-5</v>
      </c>
      <c r="U235" s="81">
        <f t="shared" si="210"/>
        <v>4.4705530299868817E-4</v>
      </c>
      <c r="V235" s="81">
        <f t="shared" si="211"/>
        <v>0</v>
      </c>
      <c r="W235" s="77">
        <f t="shared" si="190"/>
        <v>0.79051327395546955</v>
      </c>
      <c r="X235" s="82">
        <f t="shared" si="212"/>
        <v>2.7793502795358526E-5</v>
      </c>
      <c r="Y235" s="82">
        <f t="shared" si="213"/>
        <v>3.5339693720723859E-4</v>
      </c>
      <c r="Z235" s="82">
        <f t="shared" si="214"/>
        <v>0</v>
      </c>
      <c r="AA235" s="82">
        <f t="shared" si="215"/>
        <v>0.79013208351546693</v>
      </c>
      <c r="AC235" s="46">
        <f t="shared" si="191"/>
        <v>0</v>
      </c>
      <c r="AD235" s="15">
        <f t="shared" si="192"/>
        <v>0</v>
      </c>
      <c r="AE235" s="46">
        <f t="shared" si="216"/>
        <v>0</v>
      </c>
      <c r="AF235" s="15">
        <f t="shared" si="217"/>
        <v>0</v>
      </c>
      <c r="AG235" s="46">
        <f>SUMPRODUCT(AE236:AE$605, $I235:$I$604) / $I235</f>
        <v>0</v>
      </c>
      <c r="AI235" s="46">
        <f t="shared" si="193"/>
        <v>-47000</v>
      </c>
      <c r="AJ235" s="46">
        <f>IF(E235&gt;Mat_Year,0,  -SUM($AD$5:AD235))</f>
        <v>-9306</v>
      </c>
      <c r="AK235" s="24">
        <f t="shared" si="218"/>
        <v>-0.25864633701360645</v>
      </c>
      <c r="AL235" s="79">
        <f t="shared" si="219"/>
        <v>-16.609656048740213</v>
      </c>
      <c r="AM235" s="24">
        <f t="shared" si="220"/>
        <v>-21.338417635102264</v>
      </c>
      <c r="AN235" s="79">
        <f t="shared" si="221"/>
        <v>-16.868302385753818</v>
      </c>
      <c r="AO235" s="15">
        <f t="shared" si="222"/>
        <v>-309.33099001388507</v>
      </c>
      <c r="AP235" s="46">
        <f>SUMPRODUCT(AN236:AN$605, $I236:$I$605) / $I235</f>
        <v>-244.53025365176293</v>
      </c>
      <c r="AR235" s="46">
        <v>0</v>
      </c>
      <c r="AS235" s="46">
        <v>0</v>
      </c>
      <c r="AT235" s="46">
        <v>0</v>
      </c>
      <c r="AU235" s="95">
        <f t="shared" si="194"/>
        <v>-2.2537250951025123</v>
      </c>
      <c r="AV235" s="47">
        <f t="shared" si="195"/>
        <v>0</v>
      </c>
      <c r="AW235" s="96">
        <f t="shared" si="230"/>
        <v>-2.2537250951025123</v>
      </c>
      <c r="AX235" s="95">
        <f t="shared" si="196"/>
        <v>-25.842714423842136</v>
      </c>
      <c r="AY235" s="11">
        <f t="shared" si="197"/>
        <v>0</v>
      </c>
      <c r="AZ235" s="96">
        <f t="shared" si="231"/>
        <v>-25.842714423842136</v>
      </c>
      <c r="BA235" s="95">
        <f t="shared" si="232"/>
        <v>-1.7815996035250889</v>
      </c>
      <c r="BB235" s="64">
        <f t="shared" si="233"/>
        <v>-9.8509956820858474E-3</v>
      </c>
      <c r="BC235" s="95">
        <f t="shared" si="234"/>
        <v>-2.2537250951025123</v>
      </c>
      <c r="BD235" s="96">
        <f t="shared" si="235"/>
        <v>-1.2461518366155562E-2</v>
      </c>
      <c r="BE235" s="96">
        <f t="shared" si="236"/>
        <v>-1.7815996035250889</v>
      </c>
      <c r="BF235" s="96">
        <f t="shared" si="237"/>
        <v>-9.8509956820858474E-3</v>
      </c>
      <c r="BG235" s="15">
        <f t="shared" si="223"/>
        <v>-33.381654531873004</v>
      </c>
      <c r="BH235" s="46">
        <f>(SUMPRODUCT(BE236:BE$605,$I235:$I$604)+SUMPRODUCT(BF236:BF$605,$I236:$I$605)) / $I235</f>
        <v>-26.388641014041365</v>
      </c>
      <c r="BJ235" s="46">
        <f t="shared" si="238"/>
        <v>-1.7815996035250889</v>
      </c>
      <c r="BK235" s="46">
        <f t="shared" si="239"/>
        <v>-16.878153381435904</v>
      </c>
      <c r="BM235" s="49">
        <f t="shared" si="224"/>
        <v>342.87798245127323</v>
      </c>
      <c r="BN235" s="46">
        <f t="shared" si="240"/>
        <v>270.9188946658042</v>
      </c>
      <c r="BP235" s="46">
        <f>Reserve!BX235</f>
        <v>448.69818461132428</v>
      </c>
      <c r="BQ235" s="46">
        <f t="shared" si="198"/>
        <v>354.53083147655326</v>
      </c>
      <c r="BR235" s="15">
        <f t="shared" si="225"/>
        <v>23.279209271462094</v>
      </c>
      <c r="BT235" s="49">
        <f t="shared" si="226"/>
        <v>1.5836527073667013</v>
      </c>
      <c r="BU235" s="46">
        <f t="shared" si="199"/>
        <v>1.2518984865088942</v>
      </c>
      <c r="BV235" s="46">
        <f>SUMPRODUCT(BU236:BU$605, $I236:$I$605) / $I235</f>
        <v>9.2241316151300108</v>
      </c>
      <c r="BX235" s="46">
        <f>-BZ235*Others!$Q$43</f>
        <v>-1.503066821890559</v>
      </c>
      <c r="BZ235" s="50">
        <f t="shared" si="184"/>
        <v>5.8713547730099958</v>
      </c>
      <c r="CA235" s="46">
        <f t="shared" si="227"/>
        <v>4.368287951119437</v>
      </c>
      <c r="CB235" s="46">
        <f t="shared" si="200"/>
        <v>4.368287951119437</v>
      </c>
      <c r="CD235" s="46">
        <f>SUMPRODUCT(BZ236:BZ$605, $I236:$I$605) / $I235</f>
        <v>83.611936810748986</v>
      </c>
      <c r="CE235" s="46">
        <f>SUMPRODUCT(CA236:CA$605, $I236:$I$605) / $I235</f>
        <v>62.207280987197251</v>
      </c>
      <c r="CF235" s="46">
        <f>SUMPRODUCT(CB236:CB$605, $I236:$I$605) / $I235</f>
        <v>62.207280987197251</v>
      </c>
      <c r="CH235" s="46">
        <f t="shared" si="201"/>
        <v>46551.301815388673</v>
      </c>
      <c r="CI235" s="46">
        <f t="shared" si="202"/>
        <v>8857.3018153886751</v>
      </c>
      <c r="CK235" s="46">
        <f>NPV((1+CK$3)^(1/12)-1,$CB$6:$CB235)+$CB$5</f>
        <v>1374.154269897117</v>
      </c>
      <c r="CL235" s="46">
        <f>NPV((1+CL$3)^(1/12)-1,$CB$6:$CB235)+$CB$5</f>
        <v>1032.9300931397861</v>
      </c>
      <c r="CM235" s="46">
        <f>NPV((1+CM$3)^(1/12)-1,$CB$6:$CB235)+$CB$5</f>
        <v>452.99366040184282</v>
      </c>
      <c r="CN235" s="46">
        <f>NPV((1+CN$3)^(1/12)-1,$CB$6:$CB235)+$CB$5</f>
        <v>452.99366040184282</v>
      </c>
    </row>
    <row r="236" spans="1:92" x14ac:dyDescent="0.25">
      <c r="A236" s="61">
        <f t="shared" si="185"/>
        <v>19.249999999999996</v>
      </c>
      <c r="B236" s="32">
        <f t="shared" si="203"/>
        <v>3</v>
      </c>
      <c r="C236" s="62">
        <f t="shared" si="204"/>
        <v>20</v>
      </c>
      <c r="D236" s="64">
        <f t="shared" si="205"/>
        <v>19.749999999999996</v>
      </c>
      <c r="E236" s="28">
        <f t="shared" si="186"/>
        <v>19</v>
      </c>
      <c r="G236" s="68">
        <f>INDEX(Others!$D$11:$E$60, MATCH(C236, Others!$A$11:$A$60, 0), MATCH(G$3, Others!$D$10:$E$10, 0))</f>
        <v>4.0690909090909333E-2</v>
      </c>
      <c r="H236" s="16">
        <f t="shared" si="228"/>
        <v>3.329265421250005E-3</v>
      </c>
      <c r="I236" s="69">
        <f t="shared" si="229"/>
        <v>0.46404073312388305</v>
      </c>
      <c r="K236" s="80">
        <f>INDEX(Mortality!$B$7:$F$32, MATCH( E236,Mortality!$A$7:$A$32, 0), MATCH( K$3,Mortality!$B$6:$F$6,0))</f>
        <v>0.42199999999999999</v>
      </c>
      <c r="L236" s="11">
        <f t="shared" si="187"/>
        <v>0</v>
      </c>
      <c r="M236" s="80">
        <f t="shared" si="206"/>
        <v>0.42199999999999999</v>
      </c>
      <c r="N236" s="76">
        <f>INDEX(Myopia!$H:$H, MATCH(E236, Myopia!$A:$A, 0)) * Trend_Factor^(A236)</f>
        <v>5.3646636359842574</v>
      </c>
      <c r="O236" s="11">
        <f t="shared" si="188"/>
        <v>0</v>
      </c>
      <c r="P236" s="80">
        <f t="shared" si="207"/>
        <v>5.3646636359842574</v>
      </c>
      <c r="Q236" s="76">
        <f>VLOOKUP(C236,Others!$L$10:$M$61,2)</f>
        <v>0</v>
      </c>
      <c r="R236" s="11">
        <f t="shared" si="189"/>
        <v>0</v>
      </c>
      <c r="S236" s="80">
        <f t="shared" si="208"/>
        <v>0</v>
      </c>
      <c r="T236" s="78">
        <f t="shared" si="209"/>
        <v>3.516666666666667E-5</v>
      </c>
      <c r="U236" s="81">
        <f t="shared" si="210"/>
        <v>4.4705530299868817E-4</v>
      </c>
      <c r="V236" s="81">
        <f t="shared" si="211"/>
        <v>0</v>
      </c>
      <c r="W236" s="77">
        <f t="shared" si="190"/>
        <v>0.79013208351546693</v>
      </c>
      <c r="X236" s="82">
        <f t="shared" si="212"/>
        <v>2.778010059465067E-5</v>
      </c>
      <c r="Y236" s="82">
        <f t="shared" si="213"/>
        <v>3.5322652699601529E-4</v>
      </c>
      <c r="Z236" s="82">
        <f t="shared" si="214"/>
        <v>0</v>
      </c>
      <c r="AA236" s="82">
        <f t="shared" si="215"/>
        <v>0.78975107688787627</v>
      </c>
      <c r="AC236" s="46">
        <f t="shared" si="191"/>
        <v>0</v>
      </c>
      <c r="AD236" s="15">
        <f t="shared" si="192"/>
        <v>0</v>
      </c>
      <c r="AE236" s="46">
        <f t="shared" si="216"/>
        <v>0</v>
      </c>
      <c r="AF236" s="15">
        <f t="shared" si="217"/>
        <v>0</v>
      </c>
      <c r="AG236" s="46">
        <f>SUMPRODUCT(AE237:AE$605, $I236:$I$604) / $I236</f>
        <v>0</v>
      </c>
      <c r="AI236" s="46">
        <f t="shared" si="193"/>
        <v>-47000</v>
      </c>
      <c r="AJ236" s="46">
        <f>IF(E236&gt;Mat_Year,0,  -SUM($AD$5:AD236))</f>
        <v>-9306</v>
      </c>
      <c r="AK236" s="24">
        <f t="shared" si="218"/>
        <v>-0.25852161613381913</v>
      </c>
      <c r="AL236" s="79">
        <f t="shared" si="219"/>
        <v>-16.601646768812717</v>
      </c>
      <c r="AM236" s="24">
        <f t="shared" si="220"/>
        <v>-21.338417635102267</v>
      </c>
      <c r="AN236" s="79">
        <f t="shared" si="221"/>
        <v>-16.860168384946537</v>
      </c>
      <c r="AO236" s="15">
        <f t="shared" si="222"/>
        <v>-289.17214748219504</v>
      </c>
      <c r="AP236" s="46">
        <f>SUMPRODUCT(AN237:AN$605, $I237:$I$605) / $I236</f>
        <v>-228.48419138474867</v>
      </c>
      <c r="AR236" s="46">
        <v>0</v>
      </c>
      <c r="AS236" s="46">
        <v>0</v>
      </c>
      <c r="AT236" s="46">
        <v>0</v>
      </c>
      <c r="AU236" s="95">
        <f t="shared" si="194"/>
        <v>-2.2562449817862942</v>
      </c>
      <c r="AV236" s="47">
        <f t="shared" si="195"/>
        <v>0</v>
      </c>
      <c r="AW236" s="96">
        <f t="shared" si="230"/>
        <v>-2.2562449817862942</v>
      </c>
      <c r="AX236" s="95">
        <f t="shared" si="196"/>
        <v>-25.871609124482834</v>
      </c>
      <c r="AY236" s="11">
        <f t="shared" si="197"/>
        <v>0</v>
      </c>
      <c r="AZ236" s="96">
        <f t="shared" si="231"/>
        <v>-25.871609124482834</v>
      </c>
      <c r="BA236" s="95">
        <f t="shared" si="232"/>
        <v>-1.7827315483801214</v>
      </c>
      <c r="BB236" s="64">
        <f t="shared" si="233"/>
        <v>-9.8572545428631062E-3</v>
      </c>
      <c r="BC236" s="95">
        <f t="shared" si="234"/>
        <v>-2.2562449817862942</v>
      </c>
      <c r="BD236" s="96">
        <f t="shared" si="235"/>
        <v>-1.247545157134497E-2</v>
      </c>
      <c r="BE236" s="96">
        <f t="shared" si="236"/>
        <v>-1.7827315483801214</v>
      </c>
      <c r="BF236" s="96">
        <f t="shared" si="237"/>
        <v>-9.8572545428631062E-3</v>
      </c>
      <c r="BG236" s="15">
        <f t="shared" si="223"/>
        <v>-31.232717072901572</v>
      </c>
      <c r="BH236" s="46">
        <f>(SUMPRODUCT(BE237:BE$605,$I236:$I$604)+SUMPRODUCT(BF237:BF$605,$I237:$I$605)) / $I236</f>
        <v>-24.677971814660815</v>
      </c>
      <c r="BJ236" s="46">
        <f t="shared" si="238"/>
        <v>-1.7827315483801214</v>
      </c>
      <c r="BK236" s="46">
        <f t="shared" si="239"/>
        <v>-16.870025639489398</v>
      </c>
      <c r="BM236" s="49">
        <f t="shared" si="224"/>
        <v>320.55944032014503</v>
      </c>
      <c r="BN236" s="46">
        <f t="shared" si="240"/>
        <v>253.16216319940943</v>
      </c>
      <c r="BP236" s="46">
        <f>Reserve!BX236</f>
        <v>419.36892737055109</v>
      </c>
      <c r="BQ236" s="46">
        <f t="shared" si="198"/>
        <v>331.19706200420632</v>
      </c>
      <c r="BR236" s="15">
        <f t="shared" si="225"/>
        <v>23.333769472346944</v>
      </c>
      <c r="BT236" s="49">
        <f t="shared" si="226"/>
        <v>1.4863237122044028</v>
      </c>
      <c r="BU236" s="46">
        <f t="shared" si="199"/>
        <v>1.1743920515025081</v>
      </c>
      <c r="BV236" s="46">
        <f>SUMPRODUCT(BU237:BU$605, $I237:$I$605) / $I236</f>
        <v>8.0804491460548142</v>
      </c>
      <c r="BX236" s="46">
        <f>-BZ236*Others!$Q$43</f>
        <v>-1.4989835100108631</v>
      </c>
      <c r="BZ236" s="50">
        <f t="shared" si="184"/>
        <v>5.8554043359799337</v>
      </c>
      <c r="CA236" s="46">
        <f t="shared" si="227"/>
        <v>4.3564208259690709</v>
      </c>
      <c r="CB236" s="46">
        <f t="shared" si="200"/>
        <v>4.3564208259690709</v>
      </c>
      <c r="CD236" s="46">
        <f>SUMPRODUCT(BZ237:BZ$605, $I237:$I$605) / $I236</f>
        <v>78.034898804796825</v>
      </c>
      <c r="CE236" s="46">
        <f>SUMPRODUCT(CA237:CA$605, $I237:$I$605) / $I236</f>
        <v>58.057964710768836</v>
      </c>
      <c r="CF236" s="46">
        <f>SUMPRODUCT(CB237:CB$605, $I237:$I$605) / $I236</f>
        <v>58.057964710768836</v>
      </c>
      <c r="CH236" s="46">
        <f t="shared" si="201"/>
        <v>46580.631072629447</v>
      </c>
      <c r="CI236" s="46">
        <f t="shared" si="202"/>
        <v>8886.6310726294487</v>
      </c>
      <c r="CK236" s="46">
        <f>NPV((1+CK$3)^(1/12)-1,$CB$6:$CB236)+$CB$5</f>
        <v>1376.6203844722636</v>
      </c>
      <c r="CL236" s="46">
        <f>NPV((1+CL$3)^(1/12)-1,$CB$6:$CB236)+$CB$5</f>
        <v>1034.6331761576296</v>
      </c>
      <c r="CM236" s="46">
        <f>NPV((1+CM$3)^(1/12)-1,$CB$6:$CB236)+$CB$5</f>
        <v>453.68919803994027</v>
      </c>
      <c r="CN236" s="46">
        <f>NPV((1+CN$3)^(1/12)-1,$CB$6:$CB236)+$CB$5</f>
        <v>453.68919803994027</v>
      </c>
    </row>
    <row r="237" spans="1:92" x14ac:dyDescent="0.25">
      <c r="A237" s="61">
        <f t="shared" si="185"/>
        <v>19.333333333333329</v>
      </c>
      <c r="B237" s="32">
        <f t="shared" si="203"/>
        <v>4</v>
      </c>
      <c r="C237" s="62">
        <f t="shared" si="204"/>
        <v>20</v>
      </c>
      <c r="D237" s="64">
        <f t="shared" si="205"/>
        <v>19.833333333333329</v>
      </c>
      <c r="E237" s="28">
        <f t="shared" si="186"/>
        <v>19</v>
      </c>
      <c r="G237" s="68">
        <f>INDEX(Others!$D$11:$E$60, MATCH(C237, Others!$A$11:$A$60, 0), MATCH(G$3, Others!$D$10:$E$10, 0))</f>
        <v>4.0690909090909333E-2</v>
      </c>
      <c r="H237" s="16">
        <f t="shared" si="228"/>
        <v>3.329265421250005E-3</v>
      </c>
      <c r="I237" s="69">
        <f t="shared" si="229"/>
        <v>0.46250094472132686</v>
      </c>
      <c r="K237" s="80">
        <f>INDEX(Mortality!$B$7:$F$32, MATCH( E237,Mortality!$A$7:$A$32, 0), MATCH( K$3,Mortality!$B$6:$F$6,0))</f>
        <v>0.42199999999999999</v>
      </c>
      <c r="L237" s="11">
        <f t="shared" si="187"/>
        <v>0</v>
      </c>
      <c r="M237" s="80">
        <f t="shared" si="206"/>
        <v>0.42199999999999999</v>
      </c>
      <c r="N237" s="76">
        <f>INDEX(Myopia!$H:$H, MATCH(E237, Myopia!$A:$A, 0)) * Trend_Factor^(A237)</f>
        <v>5.3646636359842574</v>
      </c>
      <c r="O237" s="11">
        <f t="shared" si="188"/>
        <v>0</v>
      </c>
      <c r="P237" s="80">
        <f t="shared" si="207"/>
        <v>5.3646636359842574</v>
      </c>
      <c r="Q237" s="76">
        <f>VLOOKUP(C237,Others!$L$10:$M$61,2)</f>
        <v>0</v>
      </c>
      <c r="R237" s="11">
        <f t="shared" si="189"/>
        <v>0</v>
      </c>
      <c r="S237" s="80">
        <f t="shared" si="208"/>
        <v>0</v>
      </c>
      <c r="T237" s="78">
        <f t="shared" si="209"/>
        <v>3.516666666666667E-5</v>
      </c>
      <c r="U237" s="81">
        <f t="shared" si="210"/>
        <v>4.4705530299868817E-4</v>
      </c>
      <c r="V237" s="81">
        <f t="shared" si="211"/>
        <v>0</v>
      </c>
      <c r="W237" s="77">
        <f t="shared" si="190"/>
        <v>0.78975107688787627</v>
      </c>
      <c r="X237" s="82">
        <f t="shared" si="212"/>
        <v>2.7766704856567733E-5</v>
      </c>
      <c r="Y237" s="82">
        <f t="shared" si="213"/>
        <v>3.5305619895766054E-4</v>
      </c>
      <c r="Z237" s="82">
        <f t="shared" si="214"/>
        <v>0</v>
      </c>
      <c r="AA237" s="82">
        <f t="shared" si="215"/>
        <v>0.78937025398406202</v>
      </c>
      <c r="AC237" s="46">
        <f t="shared" si="191"/>
        <v>0</v>
      </c>
      <c r="AD237" s="15">
        <f t="shared" si="192"/>
        <v>0</v>
      </c>
      <c r="AE237" s="46">
        <f t="shared" si="216"/>
        <v>0</v>
      </c>
      <c r="AF237" s="15">
        <f t="shared" si="217"/>
        <v>0</v>
      </c>
      <c r="AG237" s="46">
        <f>SUMPRODUCT(AE238:AE$605, $I237:$I$604) / $I237</f>
        <v>0</v>
      </c>
      <c r="AI237" s="46">
        <f t="shared" si="193"/>
        <v>-47000</v>
      </c>
      <c r="AJ237" s="46">
        <f>IF(E237&gt;Mat_Year,0,  -SUM($AD$5:AD237))</f>
        <v>-9306</v>
      </c>
      <c r="AK237" s="24">
        <f t="shared" si="218"/>
        <v>-0.25839695539521934</v>
      </c>
      <c r="AL237" s="79">
        <f t="shared" si="219"/>
        <v>-16.593641351010046</v>
      </c>
      <c r="AM237" s="24">
        <f t="shared" si="220"/>
        <v>-21.338417635102267</v>
      </c>
      <c r="AN237" s="79">
        <f t="shared" si="221"/>
        <v>-16.852038306405266</v>
      </c>
      <c r="AO237" s="15">
        <f t="shared" si="222"/>
        <v>-268.93643302518353</v>
      </c>
      <c r="AP237" s="46">
        <f>SUMPRODUCT(AN238:AN$605, $I238:$I$605) / $I237</f>
        <v>-212.39283759602293</v>
      </c>
      <c r="AR237" s="46">
        <v>0</v>
      </c>
      <c r="AS237" s="46">
        <v>0</v>
      </c>
      <c r="AT237" s="46">
        <v>0</v>
      </c>
      <c r="AU237" s="95">
        <f t="shared" si="194"/>
        <v>-2.258767685951637</v>
      </c>
      <c r="AV237" s="47">
        <f t="shared" si="195"/>
        <v>0</v>
      </c>
      <c r="AW237" s="96">
        <f t="shared" si="230"/>
        <v>-2.258767685951637</v>
      </c>
      <c r="AX237" s="95">
        <f t="shared" si="196"/>
        <v>-25.900536132245435</v>
      </c>
      <c r="AY237" s="11">
        <f t="shared" si="197"/>
        <v>0</v>
      </c>
      <c r="AZ237" s="96">
        <f t="shared" si="231"/>
        <v>-25.900536132245435</v>
      </c>
      <c r="BA237" s="95">
        <f t="shared" si="232"/>
        <v>-1.7838642124198416</v>
      </c>
      <c r="BB237" s="64">
        <f t="shared" si="233"/>
        <v>-9.8635173802270465E-3</v>
      </c>
      <c r="BC237" s="95">
        <f t="shared" si="234"/>
        <v>-2.258767685951637</v>
      </c>
      <c r="BD237" s="96">
        <f t="shared" si="235"/>
        <v>-1.2489400355230417E-2</v>
      </c>
      <c r="BE237" s="96">
        <f t="shared" si="236"/>
        <v>-1.7838642124198416</v>
      </c>
      <c r="BF237" s="96">
        <f t="shared" si="237"/>
        <v>-9.8635173802270465E-3</v>
      </c>
      <c r="BG237" s="15">
        <f t="shared" si="223"/>
        <v>-29.073039996514037</v>
      </c>
      <c r="BH237" s="46">
        <f>(SUMPRODUCT(BE238:BE$605,$I237:$I$604)+SUMPRODUCT(BF238:BF$605,$I238:$I$605)) / $I237</f>
        <v>-22.96046464565126</v>
      </c>
      <c r="BJ237" s="46">
        <f t="shared" si="238"/>
        <v>-1.7838642124198416</v>
      </c>
      <c r="BK237" s="46">
        <f t="shared" si="239"/>
        <v>-16.861901823785495</v>
      </c>
      <c r="BM237" s="49">
        <f t="shared" si="224"/>
        <v>298.15324437906435</v>
      </c>
      <c r="BN237" s="46">
        <f t="shared" si="240"/>
        <v>235.35330224167413</v>
      </c>
      <c r="BP237" s="46">
        <f>Reserve!BX237</f>
        <v>389.94195202675803</v>
      </c>
      <c r="BQ237" s="46">
        <f t="shared" si="198"/>
        <v>307.80857771040291</v>
      </c>
      <c r="BR237" s="15">
        <f t="shared" si="225"/>
        <v>23.388484293803401</v>
      </c>
      <c r="BT237" s="49">
        <f t="shared" si="226"/>
        <v>1.3886704314900051</v>
      </c>
      <c r="BU237" s="46">
        <f t="shared" si="199"/>
        <v>1.0967039687115834</v>
      </c>
      <c r="BV237" s="46">
        <f>SUMPRODUCT(BU238:BU$605, $I238:$I$605) / $I237</f>
        <v>7.0106471372733603</v>
      </c>
      <c r="BX237" s="46">
        <f>-BZ237*Others!$Q$43</f>
        <v>-1.4948920899352698</v>
      </c>
      <c r="BZ237" s="50">
        <f t="shared" si="184"/>
        <v>5.8394222263096474</v>
      </c>
      <c r="CA237" s="46">
        <f t="shared" si="227"/>
        <v>4.3445301363743773</v>
      </c>
      <c r="CB237" s="46">
        <f t="shared" si="200"/>
        <v>4.3445301363743773</v>
      </c>
      <c r="CD237" s="46">
        <f>SUMPRODUCT(BZ238:BZ$605, $I238:$I$605) / $I237</f>
        <v>72.455275468728743</v>
      </c>
      <c r="CE237" s="46">
        <f>SUMPRODUCT(CA238:CA$605, $I238:$I$605) / $I237</f>
        <v>53.90672494873418</v>
      </c>
      <c r="CF237" s="46">
        <f>SUMPRODUCT(CB238:CB$605, $I238:$I$605) / $I237</f>
        <v>53.90672494873418</v>
      </c>
      <c r="CH237" s="46">
        <f t="shared" si="201"/>
        <v>46610.058047973245</v>
      </c>
      <c r="CI237" s="46">
        <f t="shared" si="202"/>
        <v>8916.0580479732416</v>
      </c>
      <c r="CK237" s="46">
        <f>NPV((1+CK$3)^(1/12)-1,$CB$6:$CB237)+$CB$5</f>
        <v>1379.0737172982554</v>
      </c>
      <c r="CL237" s="46">
        <f>NPV((1+CL$3)^(1/12)-1,$CB$6:$CB237)+$CB$5</f>
        <v>1036.3247191179303</v>
      </c>
      <c r="CM237" s="46">
        <f>NPV((1+CM$3)^(1/12)-1,$CB$6:$CB237)+$CB$5</f>
        <v>454.37734981487779</v>
      </c>
      <c r="CN237" s="46">
        <f>NPV((1+CN$3)^(1/12)-1,$CB$6:$CB237)+$CB$5</f>
        <v>454.37734981487779</v>
      </c>
    </row>
    <row r="238" spans="1:92" x14ac:dyDescent="0.25">
      <c r="A238" s="61">
        <f t="shared" si="185"/>
        <v>19.416666666666661</v>
      </c>
      <c r="B238" s="32">
        <f t="shared" si="203"/>
        <v>5</v>
      </c>
      <c r="C238" s="62">
        <f t="shared" si="204"/>
        <v>20</v>
      </c>
      <c r="D238" s="64">
        <f t="shared" si="205"/>
        <v>19.916666666666661</v>
      </c>
      <c r="E238" s="28">
        <f t="shared" si="186"/>
        <v>19</v>
      </c>
      <c r="G238" s="68">
        <f>INDEX(Others!$D$11:$E$60, MATCH(C238, Others!$A$11:$A$60, 0), MATCH(G$3, Others!$D$10:$E$10, 0))</f>
        <v>4.0690909090909333E-2</v>
      </c>
      <c r="H238" s="16">
        <f t="shared" si="228"/>
        <v>3.329265421250005E-3</v>
      </c>
      <c r="I238" s="69">
        <f t="shared" si="229"/>
        <v>0.46096626567266014</v>
      </c>
      <c r="K238" s="80">
        <f>INDEX(Mortality!$B$7:$F$32, MATCH( E238,Mortality!$A$7:$A$32, 0), MATCH( K$3,Mortality!$B$6:$F$6,0))</f>
        <v>0.42199999999999999</v>
      </c>
      <c r="L238" s="11">
        <f t="shared" si="187"/>
        <v>0</v>
      </c>
      <c r="M238" s="80">
        <f t="shared" si="206"/>
        <v>0.42199999999999999</v>
      </c>
      <c r="N238" s="76">
        <f>INDEX(Myopia!$H:$H, MATCH(E238, Myopia!$A:$A, 0)) * Trend_Factor^(A238)</f>
        <v>5.3646636359842574</v>
      </c>
      <c r="O238" s="11">
        <f t="shared" si="188"/>
        <v>0</v>
      </c>
      <c r="P238" s="80">
        <f t="shared" si="207"/>
        <v>5.3646636359842574</v>
      </c>
      <c r="Q238" s="76">
        <f>VLOOKUP(C238,Others!$L$10:$M$61,2)</f>
        <v>0</v>
      </c>
      <c r="R238" s="11">
        <f t="shared" si="189"/>
        <v>0</v>
      </c>
      <c r="S238" s="80">
        <f t="shared" si="208"/>
        <v>0</v>
      </c>
      <c r="T238" s="78">
        <f t="shared" si="209"/>
        <v>3.516666666666667E-5</v>
      </c>
      <c r="U238" s="81">
        <f t="shared" si="210"/>
        <v>4.4705530299868817E-4</v>
      </c>
      <c r="V238" s="81">
        <f t="shared" si="211"/>
        <v>0</v>
      </c>
      <c r="W238" s="77">
        <f t="shared" si="190"/>
        <v>0.78937025398406202</v>
      </c>
      <c r="X238" s="82">
        <f t="shared" si="212"/>
        <v>2.7753315577993398E-5</v>
      </c>
      <c r="Y238" s="82">
        <f t="shared" si="213"/>
        <v>3.5288595305255018E-4</v>
      </c>
      <c r="Z238" s="82">
        <f t="shared" si="214"/>
        <v>0</v>
      </c>
      <c r="AA238" s="82">
        <f t="shared" si="215"/>
        <v>0.7889896147154315</v>
      </c>
      <c r="AC238" s="46">
        <f t="shared" si="191"/>
        <v>0</v>
      </c>
      <c r="AD238" s="15">
        <f t="shared" si="192"/>
        <v>0</v>
      </c>
      <c r="AE238" s="46">
        <f t="shared" si="216"/>
        <v>0</v>
      </c>
      <c r="AF238" s="15">
        <f t="shared" si="217"/>
        <v>0</v>
      </c>
      <c r="AG238" s="46">
        <f>SUMPRODUCT(AE239:AE$605, $I238:$I$604) / $I238</f>
        <v>0</v>
      </c>
      <c r="AI238" s="46">
        <f t="shared" si="193"/>
        <v>-47000</v>
      </c>
      <c r="AJ238" s="46">
        <f>IF(E238&gt;Mat_Year,0,  -SUM($AD$5:AD238))</f>
        <v>-9306</v>
      </c>
      <c r="AK238" s="24">
        <f t="shared" si="218"/>
        <v>-0.25827235476880656</v>
      </c>
      <c r="AL238" s="79">
        <f t="shared" si="219"/>
        <v>-16.585639793469859</v>
      </c>
      <c r="AM238" s="24">
        <f t="shared" si="220"/>
        <v>-21.338417635102267</v>
      </c>
      <c r="AN238" s="79">
        <f t="shared" si="221"/>
        <v>-16.843912148238665</v>
      </c>
      <c r="AO238" s="15">
        <f t="shared" si="222"/>
        <v>-248.62355350633271</v>
      </c>
      <c r="AP238" s="46">
        <f>SUMPRODUCT(AN239:AN$605, $I239:$I$605) / $I238</f>
        <v>-196.2560375777139</v>
      </c>
      <c r="AR238" s="46">
        <v>0</v>
      </c>
      <c r="AS238" s="46">
        <v>0</v>
      </c>
      <c r="AT238" s="46">
        <v>0</v>
      </c>
      <c r="AU238" s="95">
        <f t="shared" si="194"/>
        <v>-2.2612932107487631</v>
      </c>
      <c r="AV238" s="47">
        <f t="shared" si="195"/>
        <v>0</v>
      </c>
      <c r="AW238" s="96">
        <f t="shared" si="230"/>
        <v>-2.2612932107487631</v>
      </c>
      <c r="AX238" s="95">
        <f t="shared" si="196"/>
        <v>-25.929495483252481</v>
      </c>
      <c r="AY238" s="11">
        <f t="shared" si="197"/>
        <v>0</v>
      </c>
      <c r="AZ238" s="96">
        <f t="shared" si="231"/>
        <v>-25.929495483252481</v>
      </c>
      <c r="BA238" s="95">
        <f t="shared" si="232"/>
        <v>-1.7849975961011861</v>
      </c>
      <c r="BB238" s="64">
        <f t="shared" si="233"/>
        <v>-9.869784196704208E-3</v>
      </c>
      <c r="BC238" s="95">
        <f t="shared" si="234"/>
        <v>-2.2612932107487631</v>
      </c>
      <c r="BD238" s="96">
        <f t="shared" si="235"/>
        <v>-1.2503364735230428E-2</v>
      </c>
      <c r="BE238" s="96">
        <f t="shared" si="236"/>
        <v>-1.7849975961011861</v>
      </c>
      <c r="BF238" s="96">
        <f t="shared" si="237"/>
        <v>-9.869784196704208E-3</v>
      </c>
      <c r="BG238" s="15">
        <f t="shared" si="223"/>
        <v>-26.902579503596328</v>
      </c>
      <c r="BH238" s="46">
        <f>(SUMPRODUCT(BE239:BE$605,$I238:$I$604)+SUMPRODUCT(BF239:BF$605,$I239:$I$605)) / $I238</f>
        <v>-21.236096015580255</v>
      </c>
      <c r="BJ238" s="46">
        <f t="shared" si="238"/>
        <v>-1.7849975961011861</v>
      </c>
      <c r="BK238" s="46">
        <f t="shared" si="239"/>
        <v>-16.853781932435371</v>
      </c>
      <c r="BM238" s="49">
        <f t="shared" si="224"/>
        <v>275.65905752984844</v>
      </c>
      <c r="BN238" s="46">
        <f t="shared" si="240"/>
        <v>217.49213359329408</v>
      </c>
      <c r="BP238" s="46">
        <f>Reserve!BX238</f>
        <v>360.41694118216657</v>
      </c>
      <c r="BQ238" s="46">
        <f t="shared" si="198"/>
        <v>284.36522356023193</v>
      </c>
      <c r="BR238" s="15">
        <f t="shared" si="225"/>
        <v>23.44335415017099</v>
      </c>
      <c r="BT238" s="49">
        <f t="shared" si="226"/>
        <v>1.2906918118835609</v>
      </c>
      <c r="BU238" s="46">
        <f t="shared" si="199"/>
        <v>1.0188337233616755</v>
      </c>
      <c r="BV238" s="46">
        <f>SUMPRODUCT(BU239:BU$605, $I239:$I$605) / $I238</f>
        <v>6.0151537190063937</v>
      </c>
      <c r="BX238" s="46">
        <f>-BZ238*Others!$Q$43</f>
        <v>-1.4907925363190038</v>
      </c>
      <c r="BZ238" s="50">
        <f t="shared" si="184"/>
        <v>5.8234083449961087</v>
      </c>
      <c r="CA238" s="46">
        <f t="shared" si="227"/>
        <v>4.3326158086771045</v>
      </c>
      <c r="CB238" s="46">
        <f t="shared" si="200"/>
        <v>4.3326158086771045</v>
      </c>
      <c r="CD238" s="46">
        <f>SUMPRODUCT(BZ239:BZ$605, $I239:$I$605) / $I238</f>
        <v>66.873089966937812</v>
      </c>
      <c r="CE238" s="46">
        <f>SUMPRODUCT(CA239:CA$605, $I239:$I$605) / $I238</f>
        <v>49.75357893540172</v>
      </c>
      <c r="CF238" s="46">
        <f>SUMPRODUCT(CB239:CB$605, $I239:$I$605) / $I238</f>
        <v>49.75357893540172</v>
      </c>
      <c r="CH238" s="46">
        <f t="shared" si="201"/>
        <v>46639.583058817836</v>
      </c>
      <c r="CI238" s="46">
        <f t="shared" si="202"/>
        <v>8945.5830588178342</v>
      </c>
      <c r="CK238" s="46">
        <f>NPV((1+CK$3)^(1/12)-1,$CB$6:$CB238)+$CB$5</f>
        <v>1381.5143030246059</v>
      </c>
      <c r="CL238" s="46">
        <f>NPV((1+CL$3)^(1/12)-1,$CB$6:$CB238)+$CB$5</f>
        <v>1038.004778464584</v>
      </c>
      <c r="CM238" s="46">
        <f>NPV((1+CM$3)^(1/12)-1,$CB$6:$CB238)+$CB$5</f>
        <v>455.05818534198602</v>
      </c>
      <c r="CN238" s="46">
        <f>NPV((1+CN$3)^(1/12)-1,$CB$6:$CB238)+$CB$5</f>
        <v>455.05818534198602</v>
      </c>
    </row>
    <row r="239" spans="1:92" x14ac:dyDescent="0.25">
      <c r="A239" s="61">
        <f t="shared" si="185"/>
        <v>19.499999999999993</v>
      </c>
      <c r="B239" s="32">
        <f t="shared" si="203"/>
        <v>6</v>
      </c>
      <c r="C239" s="62">
        <f t="shared" si="204"/>
        <v>20</v>
      </c>
      <c r="D239" s="64">
        <f t="shared" si="205"/>
        <v>19.999999999999993</v>
      </c>
      <c r="E239" s="28">
        <f t="shared" si="186"/>
        <v>20</v>
      </c>
      <c r="G239" s="68">
        <f>INDEX(Others!$D$11:$E$60, MATCH(C239, Others!$A$11:$A$60, 0), MATCH(G$3, Others!$D$10:$E$10, 0))</f>
        <v>4.0690909090909333E-2</v>
      </c>
      <c r="H239" s="16">
        <f t="shared" si="228"/>
        <v>3.329265421250005E-3</v>
      </c>
      <c r="I239" s="69">
        <f t="shared" si="229"/>
        <v>0.45943667902393182</v>
      </c>
      <c r="K239" s="80">
        <f>INDEX(Mortality!$B$7:$F$32, MATCH( E239,Mortality!$A$7:$A$32, 0), MATCH( K$3,Mortality!$B$6:$F$6,0))</f>
        <v>0.434</v>
      </c>
      <c r="L239" s="11">
        <f t="shared" si="187"/>
        <v>0</v>
      </c>
      <c r="M239" s="80">
        <f t="shared" si="206"/>
        <v>0.434</v>
      </c>
      <c r="N239" s="76">
        <f>INDEX(Myopia!$H:$H, MATCH(E239, Myopia!$A:$A, 0)) * Trend_Factor^(A239)</f>
        <v>5.3360375891693437</v>
      </c>
      <c r="O239" s="11">
        <f t="shared" si="188"/>
        <v>0</v>
      </c>
      <c r="P239" s="80">
        <f t="shared" si="207"/>
        <v>5.3360375891693437</v>
      </c>
      <c r="Q239" s="76">
        <f>VLOOKUP(C239,Others!$L$10:$M$61,2)</f>
        <v>0</v>
      </c>
      <c r="R239" s="11">
        <f t="shared" si="189"/>
        <v>0</v>
      </c>
      <c r="S239" s="80">
        <f t="shared" si="208"/>
        <v>0</v>
      </c>
      <c r="T239" s="78">
        <f t="shared" si="209"/>
        <v>3.6166666666666667E-5</v>
      </c>
      <c r="U239" s="81">
        <f t="shared" si="210"/>
        <v>4.446697990974453E-4</v>
      </c>
      <c r="V239" s="81">
        <f t="shared" si="211"/>
        <v>0</v>
      </c>
      <c r="W239" s="77">
        <f t="shared" si="190"/>
        <v>0.7889896147154315</v>
      </c>
      <c r="X239" s="82">
        <f t="shared" si="212"/>
        <v>2.8528780044857939E-5</v>
      </c>
      <c r="Y239" s="82">
        <f t="shared" si="213"/>
        <v>3.5083350911146484E-4</v>
      </c>
      <c r="Z239" s="82">
        <f t="shared" si="214"/>
        <v>0</v>
      </c>
      <c r="AA239" s="82">
        <f t="shared" si="215"/>
        <v>0.78861025242627514</v>
      </c>
      <c r="AC239" s="46">
        <f t="shared" si="191"/>
        <v>0</v>
      </c>
      <c r="AD239" s="15">
        <f t="shared" si="192"/>
        <v>0</v>
      </c>
      <c r="AE239" s="46">
        <f t="shared" si="216"/>
        <v>0</v>
      </c>
      <c r="AF239" s="15">
        <f t="shared" si="217"/>
        <v>0</v>
      </c>
      <c r="AG239" s="46">
        <f>SUMPRODUCT(AE240:AE$605, $I239:$I$604) / $I239</f>
        <v>0</v>
      </c>
      <c r="AI239" s="46">
        <f t="shared" si="193"/>
        <v>-47000</v>
      </c>
      <c r="AJ239" s="46">
        <f>IF(E239&gt;Mat_Year,0,  -SUM($AD$5:AD239))</f>
        <v>-9306</v>
      </c>
      <c r="AK239" s="24">
        <f t="shared" si="218"/>
        <v>-0.26548882709744798</v>
      </c>
      <c r="AL239" s="79">
        <f t="shared" si="219"/>
        <v>-16.489174928238846</v>
      </c>
      <c r="AM239" s="24">
        <f t="shared" si="220"/>
        <v>-21.235594794716377</v>
      </c>
      <c r="AN239" s="79">
        <f t="shared" si="221"/>
        <v>-16.754663755336296</v>
      </c>
      <c r="AO239" s="15">
        <f t="shared" si="222"/>
        <v>-228.33603751168999</v>
      </c>
      <c r="AP239" s="46">
        <f>SUMPRODUCT(AN240:AN$605, $I240:$I$605) / $I239</f>
        <v>-180.15476226199661</v>
      </c>
      <c r="AR239" s="46">
        <v>0</v>
      </c>
      <c r="AS239" s="46">
        <v>0</v>
      </c>
      <c r="AT239" s="46">
        <v>0</v>
      </c>
      <c r="AU239" s="95">
        <f t="shared" si="194"/>
        <v>-2.2638215593314164</v>
      </c>
      <c r="AV239" s="47">
        <f t="shared" si="195"/>
        <v>0</v>
      </c>
      <c r="AW239" s="96">
        <f t="shared" si="230"/>
        <v>-2.2638215593314164</v>
      </c>
      <c r="AX239" s="95">
        <f t="shared" si="196"/>
        <v>-25.958487213666906</v>
      </c>
      <c r="AY239" s="11">
        <f t="shared" si="197"/>
        <v>0</v>
      </c>
      <c r="AZ239" s="96">
        <f t="shared" si="231"/>
        <v>-25.958487213666906</v>
      </c>
      <c r="BA239" s="95">
        <f t="shared" si="232"/>
        <v>-1.7861316998813817</v>
      </c>
      <c r="BB239" s="64">
        <f t="shared" si="233"/>
        <v>-9.8476711324118112E-3</v>
      </c>
      <c r="BC239" s="95">
        <f t="shared" si="234"/>
        <v>-2.2638215593314164</v>
      </c>
      <c r="BD239" s="96">
        <f t="shared" si="235"/>
        <v>-1.2481369778186011E-2</v>
      </c>
      <c r="BE239" s="96">
        <f t="shared" si="236"/>
        <v>-1.7861316998813817</v>
      </c>
      <c r="BF239" s="96">
        <f t="shared" si="237"/>
        <v>-9.8476711324118112E-3</v>
      </c>
      <c r="BG239" s="15">
        <f t="shared" si="223"/>
        <v>-24.721327599783653</v>
      </c>
      <c r="BH239" s="46">
        <f>(SUMPRODUCT(BE240:BE$605,$I239:$I$604)+SUMPRODUCT(BF240:BF$605,$I240:$I$605)) / $I239</f>
        <v>-19.504870738207266</v>
      </c>
      <c r="BJ239" s="46">
        <f t="shared" si="238"/>
        <v>-1.7861316998813817</v>
      </c>
      <c r="BK239" s="46">
        <f t="shared" si="239"/>
        <v>-16.764511426468708</v>
      </c>
      <c r="BM239" s="49">
        <f t="shared" si="224"/>
        <v>253.17909878285462</v>
      </c>
      <c r="BN239" s="46">
        <f t="shared" si="240"/>
        <v>199.65963300020383</v>
      </c>
      <c r="BP239" s="46">
        <f>Reserve!BX239</f>
        <v>330.92814920846473</v>
      </c>
      <c r="BQ239" s="46">
        <f t="shared" si="198"/>
        <v>260.97333128224739</v>
      </c>
      <c r="BR239" s="15">
        <f t="shared" si="225"/>
        <v>23.391892277984539</v>
      </c>
      <c r="BT239" s="49">
        <f t="shared" si="226"/>
        <v>1.1923867966731219</v>
      </c>
      <c r="BU239" s="46">
        <f t="shared" si="199"/>
        <v>0.94078079929889391</v>
      </c>
      <c r="BV239" s="46">
        <f>SUMPRODUCT(BU240:BU$605, $I240:$I$605) / $I239</f>
        <v>5.0943989629876922</v>
      </c>
      <c r="BX239" s="46">
        <f>-BZ239*Others!$Q$43</f>
        <v>-1.4801996674389362</v>
      </c>
      <c r="BZ239" s="50">
        <f t="shared" si="184"/>
        <v>5.7820299509333442</v>
      </c>
      <c r="CA239" s="46">
        <f t="shared" si="227"/>
        <v>4.3018302834944082</v>
      </c>
      <c r="CB239" s="46">
        <f t="shared" si="200"/>
        <v>4.3018302834944082</v>
      </c>
      <c r="CD239" s="46">
        <f>SUMPRODUCT(BZ240:BZ$605, $I240:$I$605) / $I239</f>
        <v>61.313698282043539</v>
      </c>
      <c r="CE239" s="46">
        <f>SUMPRODUCT(CA240:CA$605, $I240:$I$605) / $I239</f>
        <v>45.617391521840389</v>
      </c>
      <c r="CF239" s="46">
        <f>SUMPRODUCT(CB240:CB$605, $I240:$I$605) / $I239</f>
        <v>45.617391521840389</v>
      </c>
      <c r="CH239" s="46">
        <f t="shared" si="201"/>
        <v>46669.071850791537</v>
      </c>
      <c r="CI239" s="46">
        <f t="shared" si="202"/>
        <v>8975.0718507915353</v>
      </c>
      <c r="CK239" s="46">
        <f>NPV((1+CK$3)^(1/12)-1,$CB$6:$CB239)+$CB$5</f>
        <v>1383.9315854289534</v>
      </c>
      <c r="CL239" s="46">
        <f>NPV((1+CL$3)^(1/12)-1,$CB$6:$CB239)+$CB$5</f>
        <v>1039.6661315435474</v>
      </c>
      <c r="CM239" s="46">
        <f>NPV((1+CM$3)^(1/12)-1,$CB$6:$CB239)+$CB$5</f>
        <v>455.72883531577145</v>
      </c>
      <c r="CN239" s="46">
        <f>NPV((1+CN$3)^(1/12)-1,$CB$6:$CB239)+$CB$5</f>
        <v>455.72883531577145</v>
      </c>
    </row>
    <row r="240" spans="1:92" x14ac:dyDescent="0.25">
      <c r="A240" s="61">
        <f t="shared" si="185"/>
        <v>19.583333333333325</v>
      </c>
      <c r="B240" s="32">
        <f t="shared" si="203"/>
        <v>7</v>
      </c>
      <c r="C240" s="62">
        <f t="shared" si="204"/>
        <v>20</v>
      </c>
      <c r="D240" s="64">
        <f t="shared" si="205"/>
        <v>20.083333333333325</v>
      </c>
      <c r="E240" s="28">
        <f t="shared" si="186"/>
        <v>20</v>
      </c>
      <c r="G240" s="68">
        <f>INDEX(Others!$D$11:$E$60, MATCH(C240, Others!$A$11:$A$60, 0), MATCH(G$3, Others!$D$10:$E$10, 0))</f>
        <v>4.0690909090909333E-2</v>
      </c>
      <c r="H240" s="16">
        <f t="shared" si="228"/>
        <v>3.329265421250005E-3</v>
      </c>
      <c r="I240" s="69">
        <f t="shared" si="229"/>
        <v>0.45791216787744782</v>
      </c>
      <c r="K240" s="80">
        <f>INDEX(Mortality!$B$7:$F$32, MATCH( E240,Mortality!$A$7:$A$32, 0), MATCH( K$3,Mortality!$B$6:$F$6,0))</f>
        <v>0.434</v>
      </c>
      <c r="L240" s="11">
        <f t="shared" si="187"/>
        <v>0</v>
      </c>
      <c r="M240" s="80">
        <f t="shared" si="206"/>
        <v>0.434</v>
      </c>
      <c r="N240" s="76">
        <f>INDEX(Myopia!$H:$H, MATCH(E240, Myopia!$A:$A, 0)) * Trend_Factor^(A240)</f>
        <v>5.3360375891693437</v>
      </c>
      <c r="O240" s="11">
        <f t="shared" si="188"/>
        <v>0</v>
      </c>
      <c r="P240" s="80">
        <f t="shared" si="207"/>
        <v>5.3360375891693437</v>
      </c>
      <c r="Q240" s="76">
        <f>VLOOKUP(C240,Others!$L$10:$M$61,2)</f>
        <v>0</v>
      </c>
      <c r="R240" s="11">
        <f t="shared" si="189"/>
        <v>0</v>
      </c>
      <c r="S240" s="80">
        <f t="shared" si="208"/>
        <v>0</v>
      </c>
      <c r="T240" s="78">
        <f t="shared" si="209"/>
        <v>3.6166666666666667E-5</v>
      </c>
      <c r="U240" s="81">
        <f t="shared" si="210"/>
        <v>4.446697990974453E-4</v>
      </c>
      <c r="V240" s="81">
        <f t="shared" si="211"/>
        <v>0</v>
      </c>
      <c r="W240" s="77">
        <f t="shared" si="190"/>
        <v>0.78861025242627514</v>
      </c>
      <c r="X240" s="82">
        <f t="shared" si="212"/>
        <v>2.8515062825894847E-5</v>
      </c>
      <c r="Y240" s="82">
        <f t="shared" si="213"/>
        <v>3.5066482120905528E-4</v>
      </c>
      <c r="Z240" s="82">
        <f t="shared" si="214"/>
        <v>0</v>
      </c>
      <c r="AA240" s="82">
        <f t="shared" si="215"/>
        <v>0.78823107254224023</v>
      </c>
      <c r="AC240" s="46">
        <f t="shared" si="191"/>
        <v>0</v>
      </c>
      <c r="AD240" s="15">
        <f t="shared" si="192"/>
        <v>0</v>
      </c>
      <c r="AE240" s="46">
        <f t="shared" si="216"/>
        <v>0</v>
      </c>
      <c r="AF240" s="15">
        <f t="shared" si="217"/>
        <v>0</v>
      </c>
      <c r="AG240" s="46">
        <f>SUMPRODUCT(AE241:AE$605, $I240:$I$604) / $I240</f>
        <v>0</v>
      </c>
      <c r="AI240" s="46">
        <f t="shared" si="193"/>
        <v>-47000</v>
      </c>
      <c r="AJ240" s="46">
        <f>IF(E240&gt;Mat_Year,0,  -SUM($AD$5:AD240))</f>
        <v>-9306</v>
      </c>
      <c r="AK240" s="24">
        <f t="shared" si="218"/>
        <v>-0.26536117465777742</v>
      </c>
      <c r="AL240" s="79">
        <f t="shared" si="219"/>
        <v>-16.481246596825599</v>
      </c>
      <c r="AM240" s="24">
        <f t="shared" si="220"/>
        <v>-21.235594794716377</v>
      </c>
      <c r="AN240" s="79">
        <f t="shared" si="221"/>
        <v>-16.746607771483376</v>
      </c>
      <c r="AO240" s="15">
        <f t="shared" si="222"/>
        <v>-207.97084111751161</v>
      </c>
      <c r="AP240" s="46">
        <f>SUMPRODUCT(AN241:AN$605, $I241:$I$605) / $I240</f>
        <v>-164.00793751098558</v>
      </c>
      <c r="AR240" s="46">
        <v>0</v>
      </c>
      <c r="AS240" s="46">
        <v>0</v>
      </c>
      <c r="AT240" s="46">
        <v>0</v>
      </c>
      <c r="AU240" s="95">
        <f t="shared" si="194"/>
        <v>-2.2663527348568677</v>
      </c>
      <c r="AV240" s="47">
        <f t="shared" si="195"/>
        <v>0</v>
      </c>
      <c r="AW240" s="96">
        <f t="shared" si="230"/>
        <v>-2.2663527348568677</v>
      </c>
      <c r="AX240" s="95">
        <f t="shared" si="196"/>
        <v>-25.987511359692078</v>
      </c>
      <c r="AY240" s="11">
        <f t="shared" si="197"/>
        <v>0</v>
      </c>
      <c r="AZ240" s="96">
        <f t="shared" si="231"/>
        <v>-25.987511359692078</v>
      </c>
      <c r="BA240" s="95">
        <f t="shared" si="232"/>
        <v>-1.7872690023224536</v>
      </c>
      <c r="BB240" s="64">
        <f t="shared" si="233"/>
        <v>-9.8539415437249901E-3</v>
      </c>
      <c r="BC240" s="95">
        <f t="shared" si="234"/>
        <v>-2.2663527348568677</v>
      </c>
      <c r="BD240" s="96">
        <f t="shared" si="235"/>
        <v>-1.2495325179209748E-2</v>
      </c>
      <c r="BE240" s="96">
        <f t="shared" si="236"/>
        <v>-1.7872690023224536</v>
      </c>
      <c r="BF240" s="96">
        <f t="shared" si="237"/>
        <v>-9.8539415437249901E-3</v>
      </c>
      <c r="BG240" s="15">
        <f t="shared" si="223"/>
        <v>-22.529169939759068</v>
      </c>
      <c r="BH240" s="46">
        <f>(SUMPRODUCT(BE241:BE$605,$I240:$I$604)+SUMPRODUCT(BF241:BF$605,$I241:$I$605)) / $I240</f>
        <v>-17.76673439314785</v>
      </c>
      <c r="BJ240" s="46">
        <f t="shared" si="238"/>
        <v>-1.7872690023224536</v>
      </c>
      <c r="BK240" s="46">
        <f t="shared" si="239"/>
        <v>-16.7564617130271</v>
      </c>
      <c r="BM240" s="49">
        <f t="shared" si="224"/>
        <v>230.61089347551996</v>
      </c>
      <c r="BN240" s="46">
        <f t="shared" si="240"/>
        <v>181.77467190413341</v>
      </c>
      <c r="BP240" s="46">
        <f>Reserve!BX240</f>
        <v>301.3411632567728</v>
      </c>
      <c r="BQ240" s="46">
        <f t="shared" si="198"/>
        <v>237.52646831501235</v>
      </c>
      <c r="BR240" s="15">
        <f t="shared" si="225"/>
        <v>23.446862967235035</v>
      </c>
      <c r="BT240" s="49">
        <f t="shared" si="226"/>
        <v>1.0942023542854895</v>
      </c>
      <c r="BU240" s="46">
        <f t="shared" si="199"/>
        <v>0.86289919481850441</v>
      </c>
      <c r="BV240" s="46">
        <f>SUMPRODUCT(BU241:BU$605, $I241:$I$605) / $I240</f>
        <v>4.2484603744787144</v>
      </c>
      <c r="BX240" s="46">
        <f>-BZ240*Others!$Q$43</f>
        <v>-1.4761040503562202</v>
      </c>
      <c r="BZ240" s="50">
        <f t="shared" si="184"/>
        <v>5.7660314467039848</v>
      </c>
      <c r="CA240" s="46">
        <f t="shared" si="227"/>
        <v>4.2899273963477649</v>
      </c>
      <c r="CB240" s="46">
        <f t="shared" si="200"/>
        <v>4.2899273963477649</v>
      </c>
      <c r="CD240" s="46">
        <f>SUMPRODUCT(BZ241:BZ$605, $I241:$I$605) / $I240</f>
        <v>55.75179641087891</v>
      </c>
      <c r="CE240" s="46">
        <f>SUMPRODUCT(CA241:CA$605, $I241:$I$605) / $I240</f>
        <v>41.479336529693903</v>
      </c>
      <c r="CF240" s="46">
        <f>SUMPRODUCT(CB241:CB$605, $I241:$I$605) / $I240</f>
        <v>41.479336529693903</v>
      </c>
      <c r="CH240" s="46">
        <f t="shared" si="201"/>
        <v>46698.658836743227</v>
      </c>
      <c r="CI240" s="46">
        <f t="shared" si="202"/>
        <v>9004.6588367432269</v>
      </c>
      <c r="CK240" s="46">
        <f>NPV((1+CK$3)^(1/12)-1,$CB$6:$CB240)+$CB$5</f>
        <v>1386.3362488200455</v>
      </c>
      <c r="CL240" s="46">
        <f>NPV((1+CL$3)^(1/12)-1,$CB$6:$CB240)+$CB$5</f>
        <v>1041.316165323746</v>
      </c>
      <c r="CM240" s="46">
        <f>NPV((1+CM$3)^(1/12)-1,$CB$6:$CB240)+$CB$5</f>
        <v>456.39233877454626</v>
      </c>
      <c r="CN240" s="46">
        <f>NPV((1+CN$3)^(1/12)-1,$CB$6:$CB240)+$CB$5</f>
        <v>456.39233877454626</v>
      </c>
    </row>
    <row r="241" spans="1:92" x14ac:dyDescent="0.25">
      <c r="A241" s="61">
        <f t="shared" si="185"/>
        <v>19.666666666666657</v>
      </c>
      <c r="B241" s="32">
        <f t="shared" si="203"/>
        <v>8</v>
      </c>
      <c r="C241" s="62">
        <f t="shared" si="204"/>
        <v>20</v>
      </c>
      <c r="D241" s="64">
        <f t="shared" si="205"/>
        <v>20.166666666666657</v>
      </c>
      <c r="E241" s="28">
        <f t="shared" si="186"/>
        <v>20</v>
      </c>
      <c r="G241" s="68">
        <f>INDEX(Others!$D$11:$E$60, MATCH(C241, Others!$A$11:$A$60, 0), MATCH(G$3, Others!$D$10:$E$10, 0))</f>
        <v>4.0690909090909333E-2</v>
      </c>
      <c r="H241" s="16">
        <f t="shared" si="228"/>
        <v>3.329265421250005E-3</v>
      </c>
      <c r="I241" s="69">
        <f t="shared" si="229"/>
        <v>0.45639271539158421</v>
      </c>
      <c r="K241" s="80">
        <f>INDEX(Mortality!$B$7:$F$32, MATCH( E241,Mortality!$A$7:$A$32, 0), MATCH( K$3,Mortality!$B$6:$F$6,0))</f>
        <v>0.434</v>
      </c>
      <c r="L241" s="11">
        <f t="shared" si="187"/>
        <v>0</v>
      </c>
      <c r="M241" s="80">
        <f t="shared" si="206"/>
        <v>0.434</v>
      </c>
      <c r="N241" s="76">
        <f>INDEX(Myopia!$H:$H, MATCH(E241, Myopia!$A:$A, 0)) * Trend_Factor^(A241)</f>
        <v>5.3360375891693437</v>
      </c>
      <c r="O241" s="11">
        <f t="shared" si="188"/>
        <v>0</v>
      </c>
      <c r="P241" s="80">
        <f t="shared" si="207"/>
        <v>5.3360375891693437</v>
      </c>
      <c r="Q241" s="76">
        <f>VLOOKUP(C241,Others!$L$10:$M$61,2)</f>
        <v>0</v>
      </c>
      <c r="R241" s="11">
        <f t="shared" si="189"/>
        <v>0</v>
      </c>
      <c r="S241" s="80">
        <f t="shared" si="208"/>
        <v>0</v>
      </c>
      <c r="T241" s="78">
        <f t="shared" si="209"/>
        <v>3.6166666666666667E-5</v>
      </c>
      <c r="U241" s="81">
        <f t="shared" si="210"/>
        <v>4.446697990974453E-4</v>
      </c>
      <c r="V241" s="81">
        <f t="shared" si="211"/>
        <v>0</v>
      </c>
      <c r="W241" s="77">
        <f t="shared" si="190"/>
        <v>0.78823107254224023</v>
      </c>
      <c r="X241" s="82">
        <f t="shared" si="212"/>
        <v>2.8501352202450246E-5</v>
      </c>
      <c r="Y241" s="82">
        <f t="shared" si="213"/>
        <v>3.5049621441522771E-4</v>
      </c>
      <c r="Z241" s="82">
        <f t="shared" si="214"/>
        <v>0</v>
      </c>
      <c r="AA241" s="82">
        <f t="shared" si="215"/>
        <v>0.7878520749756226</v>
      </c>
      <c r="AC241" s="46">
        <f t="shared" si="191"/>
        <v>0</v>
      </c>
      <c r="AD241" s="15">
        <f t="shared" si="192"/>
        <v>0</v>
      </c>
      <c r="AE241" s="46">
        <f t="shared" si="216"/>
        <v>0</v>
      </c>
      <c r="AF241" s="15">
        <f t="shared" si="217"/>
        <v>0</v>
      </c>
      <c r="AG241" s="46">
        <f>SUMPRODUCT(AE242:AE$605, $I241:$I$604) / $I241</f>
        <v>0</v>
      </c>
      <c r="AI241" s="46">
        <f t="shared" si="193"/>
        <v>-47000</v>
      </c>
      <c r="AJ241" s="46">
        <f>IF(E241&gt;Mat_Year,0,  -SUM($AD$5:AD241))</f>
        <v>-9306</v>
      </c>
      <c r="AK241" s="24">
        <f t="shared" si="218"/>
        <v>-0.26523358359600196</v>
      </c>
      <c r="AL241" s="79">
        <f t="shared" si="219"/>
        <v>-16.473322077515704</v>
      </c>
      <c r="AM241" s="24">
        <f t="shared" si="220"/>
        <v>-21.235594794716377</v>
      </c>
      <c r="AN241" s="79">
        <f t="shared" si="221"/>
        <v>-16.738555661111704</v>
      </c>
      <c r="AO241" s="15">
        <f t="shared" si="222"/>
        <v>-187.52801425132668</v>
      </c>
      <c r="AP241" s="46">
        <f>SUMPRODUCT(AN242:AN$605, $I242:$I$605) / $I241</f>
        <v>-147.81540780503974</v>
      </c>
      <c r="AR241" s="46">
        <v>0</v>
      </c>
      <c r="AS241" s="46">
        <v>0</v>
      </c>
      <c r="AT241" s="46">
        <v>0</v>
      </c>
      <c r="AU241" s="95">
        <f t="shared" si="194"/>
        <v>-2.2688867404859163</v>
      </c>
      <c r="AV241" s="47">
        <f t="shared" si="195"/>
        <v>0</v>
      </c>
      <c r="AW241" s="96">
        <f t="shared" si="230"/>
        <v>-2.2688867404859163</v>
      </c>
      <c r="AX241" s="95">
        <f t="shared" si="196"/>
        <v>-26.016567957571837</v>
      </c>
      <c r="AY241" s="11">
        <f t="shared" si="197"/>
        <v>0</v>
      </c>
      <c r="AZ241" s="96">
        <f t="shared" si="231"/>
        <v>-26.016567957571837</v>
      </c>
      <c r="BA241" s="95">
        <f t="shared" si="232"/>
        <v>-1.7884070289300813</v>
      </c>
      <c r="BB241" s="64">
        <f t="shared" si="233"/>
        <v>-9.8602159476631791E-3</v>
      </c>
      <c r="BC241" s="95">
        <f t="shared" si="234"/>
        <v>-2.2688867404859163</v>
      </c>
      <c r="BD241" s="96">
        <f t="shared" si="235"/>
        <v>-1.2509296183746656E-2</v>
      </c>
      <c r="BE241" s="96">
        <f t="shared" si="236"/>
        <v>-1.7884070289300813</v>
      </c>
      <c r="BF241" s="96">
        <f t="shared" si="237"/>
        <v>-9.8602159476631791E-3</v>
      </c>
      <c r="BG241" s="15">
        <f t="shared" si="223"/>
        <v>-20.326099540049061</v>
      </c>
      <c r="BH241" s="46">
        <f>(SUMPRODUCT(BE242:BE$605,$I241:$I$604)+SUMPRODUCT(BF242:BF$605,$I242:$I$605)) / $I241</f>
        <v>-16.021663241053208</v>
      </c>
      <c r="BJ241" s="46">
        <f t="shared" si="238"/>
        <v>-1.7884070289300813</v>
      </c>
      <c r="BK241" s="46">
        <f t="shared" si="239"/>
        <v>-16.748415877059369</v>
      </c>
      <c r="BM241" s="49">
        <f t="shared" si="224"/>
        <v>207.95410236263237</v>
      </c>
      <c r="BN241" s="46">
        <f t="shared" si="240"/>
        <v>163.83707104609294</v>
      </c>
      <c r="BP241" s="46">
        <f>Reserve!BX241</f>
        <v>271.65566456542433</v>
      </c>
      <c r="BQ241" s="46">
        <f t="shared" si="198"/>
        <v>214.02447900675128</v>
      </c>
      <c r="BR241" s="15">
        <f t="shared" si="225"/>
        <v>23.501989308261074</v>
      </c>
      <c r="BT241" s="49">
        <f t="shared" si="226"/>
        <v>0.99569098866019379</v>
      </c>
      <c r="BU241" s="46">
        <f t="shared" si="199"/>
        <v>0.78483457591226813</v>
      </c>
      <c r="BV241" s="46">
        <f>SUMPRODUCT(BU242:BU$605, $I242:$I$605) / $I241</f>
        <v>3.4777700507847489</v>
      </c>
      <c r="BX241" s="46">
        <f>-BZ241*Others!$Q$43</f>
        <v>-1.4720002504150764</v>
      </c>
      <c r="BZ241" s="50">
        <f t="shared" si="184"/>
        <v>5.7500009781838921</v>
      </c>
      <c r="CA241" s="46">
        <f t="shared" si="227"/>
        <v>4.2780007277688155</v>
      </c>
      <c r="CB241" s="46">
        <f t="shared" si="200"/>
        <v>4.2780007277688155</v>
      </c>
      <c r="CD241" s="46">
        <f>SUMPRODUCT(BZ242:BZ$605, $I242:$I$605) / $I241</f>
        <v>50.187407960658327</v>
      </c>
      <c r="CE241" s="46">
        <f>SUMPRODUCT(CA242:CA$605, $I242:$I$605) / $I241</f>
        <v>37.339431522729797</v>
      </c>
      <c r="CF241" s="46">
        <f>SUMPRODUCT(CB242:CB$605, $I242:$I$605) / $I241</f>
        <v>37.339431522729797</v>
      </c>
      <c r="CH241" s="46">
        <f t="shared" si="201"/>
        <v>46728.344335434573</v>
      </c>
      <c r="CI241" s="46">
        <f t="shared" si="202"/>
        <v>9034.3443354345764</v>
      </c>
      <c r="CK241" s="46">
        <f>NPV((1+CK$3)^(1/12)-1,$CB$6:$CB241)+$CB$5</f>
        <v>1388.7283273601201</v>
      </c>
      <c r="CL241" s="46">
        <f>NPV((1+CL$3)^(1/12)-1,$CB$6:$CB241)+$CB$5</f>
        <v>1042.9549352008407</v>
      </c>
      <c r="CM241" s="46">
        <f>NPV((1+CM$3)^(1/12)-1,$CB$6:$CB241)+$CB$5</f>
        <v>457.04876316970763</v>
      </c>
      <c r="CN241" s="46">
        <f>NPV((1+CN$3)^(1/12)-1,$CB$6:$CB241)+$CB$5</f>
        <v>457.04876316970763</v>
      </c>
    </row>
    <row r="242" spans="1:92" x14ac:dyDescent="0.25">
      <c r="A242" s="61">
        <f t="shared" si="185"/>
        <v>19.749999999999989</v>
      </c>
      <c r="B242" s="32">
        <f t="shared" si="203"/>
        <v>9</v>
      </c>
      <c r="C242" s="62">
        <f t="shared" si="204"/>
        <v>20</v>
      </c>
      <c r="D242" s="64">
        <f t="shared" si="205"/>
        <v>20.249999999999989</v>
      </c>
      <c r="E242" s="28">
        <f t="shared" si="186"/>
        <v>20</v>
      </c>
      <c r="G242" s="68">
        <f>INDEX(Others!$D$11:$E$60, MATCH(C242, Others!$A$11:$A$60, 0), MATCH(G$3, Others!$D$10:$E$10, 0))</f>
        <v>4.0690909090909333E-2</v>
      </c>
      <c r="H242" s="16">
        <f t="shared" si="228"/>
        <v>3.329265421250005E-3</v>
      </c>
      <c r="I242" s="69">
        <f t="shared" si="229"/>
        <v>0.45487830478060132</v>
      </c>
      <c r="K242" s="80">
        <f>INDEX(Mortality!$B$7:$F$32, MATCH( E242,Mortality!$A$7:$A$32, 0), MATCH( K$3,Mortality!$B$6:$F$6,0))</f>
        <v>0.434</v>
      </c>
      <c r="L242" s="11">
        <f t="shared" si="187"/>
        <v>0</v>
      </c>
      <c r="M242" s="80">
        <f t="shared" si="206"/>
        <v>0.434</v>
      </c>
      <c r="N242" s="76">
        <f>INDEX(Myopia!$H:$H, MATCH(E242, Myopia!$A:$A, 0)) * Trend_Factor^(A242)</f>
        <v>5.3360375891693437</v>
      </c>
      <c r="O242" s="11">
        <f t="shared" si="188"/>
        <v>0</v>
      </c>
      <c r="P242" s="80">
        <f t="shared" si="207"/>
        <v>5.3360375891693437</v>
      </c>
      <c r="Q242" s="76">
        <f>VLOOKUP(C242,Others!$L$10:$M$61,2)</f>
        <v>0</v>
      </c>
      <c r="R242" s="11">
        <f t="shared" si="189"/>
        <v>0</v>
      </c>
      <c r="S242" s="80">
        <f t="shared" si="208"/>
        <v>0</v>
      </c>
      <c r="T242" s="78">
        <f t="shared" si="209"/>
        <v>3.6166666666666667E-5</v>
      </c>
      <c r="U242" s="81">
        <f t="shared" si="210"/>
        <v>4.446697990974453E-4</v>
      </c>
      <c r="V242" s="81">
        <f t="shared" si="211"/>
        <v>0</v>
      </c>
      <c r="W242" s="77">
        <f t="shared" si="190"/>
        <v>0.7878520749756226</v>
      </c>
      <c r="X242" s="82">
        <f t="shared" si="212"/>
        <v>2.8487648171352864E-5</v>
      </c>
      <c r="Y242" s="82">
        <f t="shared" si="213"/>
        <v>3.5032768869098336E-4</v>
      </c>
      <c r="Z242" s="82">
        <f t="shared" si="214"/>
        <v>0</v>
      </c>
      <c r="AA242" s="82">
        <f t="shared" si="215"/>
        <v>0.78747325963876025</v>
      </c>
      <c r="AC242" s="46">
        <f t="shared" si="191"/>
        <v>0</v>
      </c>
      <c r="AD242" s="15">
        <f t="shared" si="192"/>
        <v>0</v>
      </c>
      <c r="AE242" s="46">
        <f t="shared" si="216"/>
        <v>0</v>
      </c>
      <c r="AF242" s="15">
        <f t="shared" si="217"/>
        <v>0</v>
      </c>
      <c r="AG242" s="46">
        <f>SUMPRODUCT(AE243:AE$605, $I242:$I$604) / $I242</f>
        <v>0</v>
      </c>
      <c r="AI242" s="46">
        <f t="shared" si="193"/>
        <v>-47000</v>
      </c>
      <c r="AJ242" s="46">
        <f>IF(E242&gt;Mat_Year,0,  -SUM($AD$5:AD242))</f>
        <v>-9306</v>
      </c>
      <c r="AK242" s="24">
        <f t="shared" si="218"/>
        <v>-0.26510605388260977</v>
      </c>
      <c r="AL242" s="79">
        <f t="shared" si="219"/>
        <v>-16.465401368476218</v>
      </c>
      <c r="AM242" s="24">
        <f t="shared" si="220"/>
        <v>-21.235594794716373</v>
      </c>
      <c r="AN242" s="79">
        <f t="shared" si="221"/>
        <v>-16.730507422358826</v>
      </c>
      <c r="AO242" s="15">
        <f t="shared" si="222"/>
        <v>-167.00726099209095</v>
      </c>
      <c r="AP242" s="46">
        <f>SUMPRODUCT(AN243:AN$605, $I243:$I$605) / $I242</f>
        <v>-131.5770171086142</v>
      </c>
      <c r="AR242" s="46">
        <v>0</v>
      </c>
      <c r="AS242" s="46">
        <v>0</v>
      </c>
      <c r="AT242" s="46">
        <v>0</v>
      </c>
      <c r="AU242" s="95">
        <f t="shared" si="194"/>
        <v>-2.2714235793828985</v>
      </c>
      <c r="AV242" s="47">
        <f t="shared" si="195"/>
        <v>0</v>
      </c>
      <c r="AW242" s="96">
        <f t="shared" si="230"/>
        <v>-2.2714235793828985</v>
      </c>
      <c r="AX242" s="95">
        <f t="shared" si="196"/>
        <v>-26.045657043590563</v>
      </c>
      <c r="AY242" s="11">
        <f t="shared" si="197"/>
        <v>0</v>
      </c>
      <c r="AZ242" s="96">
        <f t="shared" si="231"/>
        <v>-26.045657043590563</v>
      </c>
      <c r="BA242" s="95">
        <f t="shared" si="232"/>
        <v>-1.7895457801653725</v>
      </c>
      <c r="BB242" s="64">
        <f t="shared" si="233"/>
        <v>-9.8664943467686381E-3</v>
      </c>
      <c r="BC242" s="95">
        <f t="shared" si="234"/>
        <v>-2.2714235793828985</v>
      </c>
      <c r="BD242" s="96">
        <f t="shared" si="235"/>
        <v>-1.2523282809242996E-2</v>
      </c>
      <c r="BE242" s="96">
        <f t="shared" si="236"/>
        <v>-1.7895457801653725</v>
      </c>
      <c r="BF242" s="96">
        <f t="shared" si="237"/>
        <v>-9.8664943467686381E-3</v>
      </c>
      <c r="BG242" s="15">
        <f t="shared" si="223"/>
        <v>-18.112071943856076</v>
      </c>
      <c r="BH242" s="46">
        <f>(SUMPRODUCT(BE243:BE$605,$I242:$I$604)+SUMPRODUCT(BF243:BF$605,$I243:$I$605)) / $I242</f>
        <v>-14.269633463074767</v>
      </c>
      <c r="BJ242" s="46">
        <f t="shared" si="238"/>
        <v>-1.7895457801653725</v>
      </c>
      <c r="BK242" s="46">
        <f t="shared" si="239"/>
        <v>-16.740373916705597</v>
      </c>
      <c r="BM242" s="49">
        <f t="shared" si="224"/>
        <v>185.20838490261067</v>
      </c>
      <c r="BN242" s="46">
        <f t="shared" si="240"/>
        <v>145.84665057168897</v>
      </c>
      <c r="BP242" s="46">
        <f>Reserve!BX242</f>
        <v>241.87133335292978</v>
      </c>
      <c r="BQ242" s="46">
        <f t="shared" si="198"/>
        <v>190.46720728860481</v>
      </c>
      <c r="BR242" s="15">
        <f t="shared" si="225"/>
        <v>23.557271718146467</v>
      </c>
      <c r="BT242" s="49">
        <f t="shared" si="226"/>
        <v>0.896851638544506</v>
      </c>
      <c r="BU242" s="46">
        <f t="shared" si="199"/>
        <v>0.70658642437257613</v>
      </c>
      <c r="BV242" s="46">
        <f>SUMPRODUCT(BU243:BU$605, $I243:$I$605) / $I242</f>
        <v>2.7827620459853084</v>
      </c>
      <c r="BX242" s="46">
        <f>-BZ242*Others!$Q$43</f>
        <v>-1.4678882420859067</v>
      </c>
      <c r="BZ242" s="50">
        <f t="shared" si="184"/>
        <v>5.7339384456480733</v>
      </c>
      <c r="CA242" s="46">
        <f t="shared" si="227"/>
        <v>4.2660502035621661</v>
      </c>
      <c r="CB242" s="46">
        <f t="shared" si="200"/>
        <v>4.2660502035621661</v>
      </c>
      <c r="CD242" s="46">
        <f>SUMPRODUCT(BZ243:BZ$605, $I243:$I$605) / $I242</f>
        <v>44.620556716915843</v>
      </c>
      <c r="CE242" s="46">
        <f>SUMPRODUCT(CA243:CA$605, $I243:$I$605) / $I242</f>
        <v>33.197694197385388</v>
      </c>
      <c r="CF242" s="46">
        <f>SUMPRODUCT(CB243:CB$605, $I243:$I$605) / $I242</f>
        <v>33.197694197385388</v>
      </c>
      <c r="CH242" s="46">
        <f t="shared" si="201"/>
        <v>46758.12866664707</v>
      </c>
      <c r="CI242" s="46">
        <f t="shared" si="202"/>
        <v>9064.1286666470696</v>
      </c>
      <c r="CK242" s="46">
        <f>NPV((1+CK$3)^(1/12)-1,$CB$6:$CB242)+$CB$5</f>
        <v>1391.1078551110322</v>
      </c>
      <c r="CL242" s="46">
        <f>NPV((1+CL$3)^(1/12)-1,$CB$6:$CB242)+$CB$5</f>
        <v>1044.5824963159669</v>
      </c>
      <c r="CM242" s="46">
        <f>NPV((1+CM$3)^(1/12)-1,$CB$6:$CB242)+$CB$5</f>
        <v>457.69817535026482</v>
      </c>
      <c r="CN242" s="46">
        <f>NPV((1+CN$3)^(1/12)-1,$CB$6:$CB242)+$CB$5</f>
        <v>457.69817535026482</v>
      </c>
    </row>
    <row r="243" spans="1:92" x14ac:dyDescent="0.25">
      <c r="A243" s="61">
        <f t="shared" si="185"/>
        <v>19.833333333333321</v>
      </c>
      <c r="B243" s="32">
        <f t="shared" si="203"/>
        <v>10</v>
      </c>
      <c r="C243" s="62">
        <f t="shared" si="204"/>
        <v>20</v>
      </c>
      <c r="D243" s="64">
        <f t="shared" si="205"/>
        <v>20.333333333333321</v>
      </c>
      <c r="E243" s="28">
        <f t="shared" si="186"/>
        <v>20</v>
      </c>
      <c r="G243" s="68">
        <f>INDEX(Others!$D$11:$E$60, MATCH(C243, Others!$A$11:$A$60, 0), MATCH(G$3, Others!$D$10:$E$10, 0))</f>
        <v>4.0690909090909333E-2</v>
      </c>
      <c r="H243" s="16">
        <f t="shared" si="228"/>
        <v>3.329265421250005E-3</v>
      </c>
      <c r="I243" s="69">
        <f t="shared" si="229"/>
        <v>0.45336891931445822</v>
      </c>
      <c r="K243" s="80">
        <f>INDEX(Mortality!$B$7:$F$32, MATCH( E243,Mortality!$A$7:$A$32, 0), MATCH( K$3,Mortality!$B$6:$F$6,0))</f>
        <v>0.434</v>
      </c>
      <c r="L243" s="11">
        <f t="shared" si="187"/>
        <v>0</v>
      </c>
      <c r="M243" s="80">
        <f t="shared" si="206"/>
        <v>0.434</v>
      </c>
      <c r="N243" s="76">
        <f>INDEX(Myopia!$H:$H, MATCH(E243, Myopia!$A:$A, 0)) * Trend_Factor^(A243)</f>
        <v>5.3360375891693437</v>
      </c>
      <c r="O243" s="11">
        <f t="shared" si="188"/>
        <v>0</v>
      </c>
      <c r="P243" s="80">
        <f t="shared" si="207"/>
        <v>5.3360375891693437</v>
      </c>
      <c r="Q243" s="76">
        <f>VLOOKUP(C243,Others!$L$10:$M$61,2)</f>
        <v>0</v>
      </c>
      <c r="R243" s="11">
        <f t="shared" si="189"/>
        <v>0</v>
      </c>
      <c r="S243" s="80">
        <f t="shared" si="208"/>
        <v>0</v>
      </c>
      <c r="T243" s="78">
        <f t="shared" si="209"/>
        <v>3.6166666666666667E-5</v>
      </c>
      <c r="U243" s="81">
        <f t="shared" si="210"/>
        <v>4.446697990974453E-4</v>
      </c>
      <c r="V243" s="81">
        <f t="shared" si="211"/>
        <v>0</v>
      </c>
      <c r="W243" s="77">
        <f t="shared" si="190"/>
        <v>0.78747325963876025</v>
      </c>
      <c r="X243" s="82">
        <f t="shared" si="212"/>
        <v>2.8473950729432972E-5</v>
      </c>
      <c r="Y243" s="82">
        <f t="shared" si="213"/>
        <v>3.5015924399734236E-4</v>
      </c>
      <c r="Z243" s="82">
        <f t="shared" si="214"/>
        <v>0</v>
      </c>
      <c r="AA243" s="82">
        <f t="shared" si="215"/>
        <v>0.7870946264440335</v>
      </c>
      <c r="AC243" s="46">
        <f t="shared" si="191"/>
        <v>0</v>
      </c>
      <c r="AD243" s="15">
        <f t="shared" si="192"/>
        <v>0</v>
      </c>
      <c r="AE243" s="46">
        <f t="shared" si="216"/>
        <v>0</v>
      </c>
      <c r="AF243" s="15">
        <f t="shared" si="217"/>
        <v>0</v>
      </c>
      <c r="AG243" s="46">
        <f>SUMPRODUCT(AE244:AE$605, $I243:$I$604) / $I243</f>
        <v>0</v>
      </c>
      <c r="AI243" s="46">
        <f t="shared" si="193"/>
        <v>-47000</v>
      </c>
      <c r="AJ243" s="46">
        <f>IF(E243&gt;Mat_Year,0,  -SUM($AD$5:AD243))</f>
        <v>-9306</v>
      </c>
      <c r="AK243" s="24">
        <f t="shared" si="218"/>
        <v>-0.26497858548810321</v>
      </c>
      <c r="AL243" s="79">
        <f t="shared" si="219"/>
        <v>-16.457484467875091</v>
      </c>
      <c r="AM243" s="24">
        <f t="shared" si="220"/>
        <v>-21.235594794716373</v>
      </c>
      <c r="AN243" s="79">
        <f t="shared" si="221"/>
        <v>-16.722463053363192</v>
      </c>
      <c r="AO243" s="15">
        <f t="shared" si="222"/>
        <v>-146.40828429073315</v>
      </c>
      <c r="AP243" s="46">
        <f>SUMPRODUCT(AN244:AN$605, $I244:$I$605) / $I243</f>
        <v>-115.29260886854192</v>
      </c>
      <c r="AR243" s="46">
        <v>0</v>
      </c>
      <c r="AS243" s="46">
        <v>0</v>
      </c>
      <c r="AT243" s="46">
        <v>0</v>
      </c>
      <c r="AU243" s="95">
        <f t="shared" si="194"/>
        <v>-2.2739632547156856</v>
      </c>
      <c r="AV243" s="47">
        <f t="shared" si="195"/>
        <v>0</v>
      </c>
      <c r="AW243" s="96">
        <f t="shared" si="230"/>
        <v>-2.2739632547156856</v>
      </c>
      <c r="AX243" s="95">
        <f t="shared" si="196"/>
        <v>-26.074778654073192</v>
      </c>
      <c r="AY243" s="11">
        <f t="shared" si="197"/>
        <v>0</v>
      </c>
      <c r="AZ243" s="96">
        <f t="shared" si="231"/>
        <v>-26.074778654073192</v>
      </c>
      <c r="BA243" s="95">
        <f t="shared" si="232"/>
        <v>-1.7906852564897253</v>
      </c>
      <c r="BB243" s="64">
        <f t="shared" si="233"/>
        <v>-9.8727767435852591E-3</v>
      </c>
      <c r="BC243" s="95">
        <f t="shared" si="234"/>
        <v>-2.2739632547156856</v>
      </c>
      <c r="BD243" s="96">
        <f t="shared" si="235"/>
        <v>-1.2537285073164548E-2</v>
      </c>
      <c r="BE243" s="96">
        <f t="shared" si="236"/>
        <v>-1.7906852564897253</v>
      </c>
      <c r="BF243" s="96">
        <f t="shared" si="237"/>
        <v>-9.8727767435852591E-3</v>
      </c>
      <c r="BG243" s="15">
        <f t="shared" si="223"/>
        <v>-15.887042521720984</v>
      </c>
      <c r="BH243" s="46">
        <f>(SUMPRODUCT(BE244:BE$605,$I243:$I$604)+SUMPRODUCT(BF244:BF$605,$I244:$I$605)) / $I243</f>
        <v>-12.510621160599213</v>
      </c>
      <c r="BJ243" s="46">
        <f t="shared" si="238"/>
        <v>-1.7906852564897253</v>
      </c>
      <c r="BK243" s="46">
        <f t="shared" si="239"/>
        <v>-16.732335830106777</v>
      </c>
      <c r="BM243" s="49">
        <f t="shared" si="224"/>
        <v>162.37339925255941</v>
      </c>
      <c r="BN243" s="46">
        <f t="shared" si="240"/>
        <v>127.80323002914115</v>
      </c>
      <c r="BP243" s="46">
        <f>Reserve!BX243</f>
        <v>211.98784881474211</v>
      </c>
      <c r="BQ243" s="46">
        <f t="shared" si="198"/>
        <v>166.85449667351369</v>
      </c>
      <c r="BR243" s="15">
        <f t="shared" si="225"/>
        <v>23.612710615091117</v>
      </c>
      <c r="BT243" s="49">
        <f t="shared" si="226"/>
        <v>0.79768323929042406</v>
      </c>
      <c r="BU243" s="46">
        <f t="shared" si="199"/>
        <v>0.62815422060323545</v>
      </c>
      <c r="BV243" s="46">
        <f>SUMPRODUCT(BU244:BU$605, $I244:$I$605) / $I243</f>
        <v>2.1638723788373393</v>
      </c>
      <c r="BX243" s="46">
        <f>-BZ243*Others!$Q$43</f>
        <v>-1.4637679997690503</v>
      </c>
      <c r="BZ243" s="50">
        <f t="shared" si="184"/>
        <v>5.7178437490978524</v>
      </c>
      <c r="CA243" s="46">
        <f t="shared" si="227"/>
        <v>4.2540757493288019</v>
      </c>
      <c r="CB243" s="46">
        <f t="shared" si="200"/>
        <v>4.2540757493288019</v>
      </c>
      <c r="CD243" s="46">
        <f>SUMPRODUCT(BZ244:BZ$605, $I244:$I$605) / $I243</f>
        <v>39.051266644372539</v>
      </c>
      <c r="CE243" s="46">
        <f>SUMPRODUCT(CA244:CA$605, $I244:$I$605) / $I243</f>
        <v>29.054142383413172</v>
      </c>
      <c r="CF243" s="46">
        <f>SUMPRODUCT(CB244:CB$605, $I244:$I$605) / $I243</f>
        <v>29.054142383413172</v>
      </c>
      <c r="CH243" s="46">
        <f t="shared" si="201"/>
        <v>46788.012151185256</v>
      </c>
      <c r="CI243" s="46">
        <f t="shared" si="202"/>
        <v>9094.0121511852576</v>
      </c>
      <c r="CK243" s="46">
        <f>NPV((1+CK$3)^(1/12)-1,$CB$6:$CB243)+$CB$5</f>
        <v>1393.4748660345476</v>
      </c>
      <c r="CL243" s="46">
        <f>NPV((1+CL$3)^(1/12)-1,$CB$6:$CB243)+$CB$5</f>
        <v>1046.1989035568881</v>
      </c>
      <c r="CM243" s="46">
        <f>NPV((1+CM$3)^(1/12)-1,$CB$6:$CB243)+$CB$5</f>
        <v>458.34064156806949</v>
      </c>
      <c r="CN243" s="46">
        <f>NPV((1+CN$3)^(1/12)-1,$CB$6:$CB243)+$CB$5</f>
        <v>458.34064156806949</v>
      </c>
    </row>
    <row r="244" spans="1:92" x14ac:dyDescent="0.25">
      <c r="A244" s="61">
        <f t="shared" si="185"/>
        <v>19.916666666666654</v>
      </c>
      <c r="B244" s="32">
        <f t="shared" si="203"/>
        <v>11</v>
      </c>
      <c r="C244" s="62">
        <f t="shared" si="204"/>
        <v>20</v>
      </c>
      <c r="D244" s="64">
        <f t="shared" si="205"/>
        <v>20.416666666666654</v>
      </c>
      <c r="E244" s="28">
        <f t="shared" si="186"/>
        <v>20</v>
      </c>
      <c r="G244" s="68">
        <f>INDEX(Others!$D$11:$E$60, MATCH(C244, Others!$A$11:$A$60, 0), MATCH(G$3, Others!$D$10:$E$10, 0))</f>
        <v>4.0690909090909333E-2</v>
      </c>
      <c r="H244" s="16">
        <f t="shared" si="228"/>
        <v>3.329265421250005E-3</v>
      </c>
      <c r="I244" s="69">
        <f t="shared" si="229"/>
        <v>0.45186454231862783</v>
      </c>
      <c r="K244" s="80">
        <f>INDEX(Mortality!$B$7:$F$32, MATCH( E244,Mortality!$A$7:$A$32, 0), MATCH( K$3,Mortality!$B$6:$F$6,0))</f>
        <v>0.434</v>
      </c>
      <c r="L244" s="11">
        <f t="shared" si="187"/>
        <v>0</v>
      </c>
      <c r="M244" s="80">
        <f t="shared" si="206"/>
        <v>0.434</v>
      </c>
      <c r="N244" s="76">
        <f>INDEX(Myopia!$H:$H, MATCH(E244, Myopia!$A:$A, 0)) * Trend_Factor^(A244)</f>
        <v>5.3360375891693437</v>
      </c>
      <c r="O244" s="11">
        <f t="shared" si="188"/>
        <v>0</v>
      </c>
      <c r="P244" s="80">
        <f t="shared" si="207"/>
        <v>5.3360375891693437</v>
      </c>
      <c r="Q244" s="76">
        <f>VLOOKUP(C244,Others!$L$10:$M$61,2)</f>
        <v>0</v>
      </c>
      <c r="R244" s="11">
        <f t="shared" si="189"/>
        <v>0</v>
      </c>
      <c r="S244" s="80">
        <f t="shared" si="208"/>
        <v>0</v>
      </c>
      <c r="T244" s="78">
        <f t="shared" si="209"/>
        <v>3.6166666666666667E-5</v>
      </c>
      <c r="U244" s="81">
        <f t="shared" si="210"/>
        <v>4.446697990974453E-4</v>
      </c>
      <c r="V244" s="81">
        <f t="shared" si="211"/>
        <v>0</v>
      </c>
      <c r="W244" s="77">
        <f t="shared" si="190"/>
        <v>0.7870946264440335</v>
      </c>
      <c r="X244" s="82">
        <f t="shared" si="212"/>
        <v>2.8460259873522355E-5</v>
      </c>
      <c r="Y244" s="82">
        <f t="shared" si="213"/>
        <v>3.4999088029534362E-4</v>
      </c>
      <c r="Z244" s="82">
        <f t="shared" si="214"/>
        <v>0</v>
      </c>
      <c r="AA244" s="82">
        <f t="shared" si="215"/>
        <v>0.78671617530386462</v>
      </c>
      <c r="AC244" s="46">
        <f t="shared" si="191"/>
        <v>0</v>
      </c>
      <c r="AD244" s="15">
        <f t="shared" si="192"/>
        <v>0</v>
      </c>
      <c r="AE244" s="46">
        <f t="shared" si="216"/>
        <v>0</v>
      </c>
      <c r="AF244" s="15">
        <f t="shared" si="217"/>
        <v>0</v>
      </c>
      <c r="AG244" s="46">
        <f>SUMPRODUCT(AE245:AE$605, $I244:$I$604) / $I244</f>
        <v>0</v>
      </c>
      <c r="AI244" s="46">
        <f t="shared" si="193"/>
        <v>-47000</v>
      </c>
      <c r="AJ244" s="46">
        <f>IF(E244&gt;Mat_Year,0,  -SUM($AD$5:AD244))</f>
        <v>-9306</v>
      </c>
      <c r="AK244" s="24">
        <f t="shared" si="218"/>
        <v>-0.26485117838299904</v>
      </c>
      <c r="AL244" s="79">
        <f t="shared" si="219"/>
        <v>-16.449571373881149</v>
      </c>
      <c r="AM244" s="24">
        <f t="shared" si="220"/>
        <v>-21.235594794716373</v>
      </c>
      <c r="AN244" s="79">
        <f t="shared" si="221"/>
        <v>-16.714422552264146</v>
      </c>
      <c r="AO244" s="15">
        <f t="shared" si="222"/>
        <v>-125.73078596585519</v>
      </c>
      <c r="AP244" s="46">
        <f>SUMPRODUCT(AN245:AN$605, $I245:$I$605) / $I244</f>
        <v>-98.962026012309522</v>
      </c>
      <c r="AR244" s="46">
        <v>0</v>
      </c>
      <c r="AS244" s="46">
        <v>0</v>
      </c>
      <c r="AT244" s="46">
        <v>0</v>
      </c>
      <c r="AU244" s="95">
        <f t="shared" si="194"/>
        <v>-2.2765057696556932</v>
      </c>
      <c r="AV244" s="47">
        <f t="shared" si="195"/>
        <v>0</v>
      </c>
      <c r="AW244" s="96">
        <f t="shared" si="230"/>
        <v>-2.2765057696556932</v>
      </c>
      <c r="AX244" s="95">
        <f t="shared" si="196"/>
        <v>-26.103932825385275</v>
      </c>
      <c r="AY244" s="11">
        <f t="shared" si="197"/>
        <v>0</v>
      </c>
      <c r="AZ244" s="96">
        <f t="shared" si="231"/>
        <v>-26.103932825385275</v>
      </c>
      <c r="BA244" s="95">
        <f t="shared" si="232"/>
        <v>-1.7918254583648348</v>
      </c>
      <c r="BB244" s="64">
        <f t="shared" si="233"/>
        <v>-9.8790631406585443E-3</v>
      </c>
      <c r="BC244" s="95">
        <f t="shared" si="234"/>
        <v>-2.2765057696556932</v>
      </c>
      <c r="BD244" s="96">
        <f t="shared" si="235"/>
        <v>-1.2551302992996607E-2</v>
      </c>
      <c r="BE244" s="96">
        <f t="shared" si="236"/>
        <v>-1.7918254583648348</v>
      </c>
      <c r="BF244" s="96">
        <f t="shared" si="237"/>
        <v>-9.8790631406585443E-3</v>
      </c>
      <c r="BG244" s="15">
        <f t="shared" si="223"/>
        <v>-13.650966470861313</v>
      </c>
      <c r="BH244" s="46">
        <f>(SUMPRODUCT(BE245:BE$605,$I244:$I$604)+SUMPRODUCT(BF245:BF$605,$I245:$I$605)) / $I244</f>
        <v>-10.744602354982611</v>
      </c>
      <c r="BJ244" s="46">
        <f t="shared" si="238"/>
        <v>-1.7918254583648348</v>
      </c>
      <c r="BK244" s="46">
        <f t="shared" si="239"/>
        <v>-16.724301615404805</v>
      </c>
      <c r="BM244" s="49">
        <f t="shared" si="224"/>
        <v>139.44880226330491</v>
      </c>
      <c r="BN244" s="46">
        <f t="shared" si="240"/>
        <v>109.70662836729214</v>
      </c>
      <c r="BP244" s="46">
        <f>Reserve!BX244</f>
        <v>182.00488912001146</v>
      </c>
      <c r="BQ244" s="46">
        <f t="shared" si="198"/>
        <v>143.18619025509938</v>
      </c>
      <c r="BR244" s="15">
        <f t="shared" si="225"/>
        <v>23.668306418414318</v>
      </c>
      <c r="BT244" s="49">
        <f t="shared" si="226"/>
        <v>0.69818472284390398</v>
      </c>
      <c r="BU244" s="46">
        <f t="shared" si="199"/>
        <v>0.54953744361575363</v>
      </c>
      <c r="BV244" s="46">
        <f>SUMPRODUCT(BU245:BU$605, $I245:$I$605) / $I244</f>
        <v>1.6215390407084467</v>
      </c>
      <c r="BX244" s="46">
        <f>-BZ244*Others!$Q$43</f>
        <v>-1.4596394977946709</v>
      </c>
      <c r="BZ244" s="50">
        <f t="shared" si="184"/>
        <v>5.7017167882604332</v>
      </c>
      <c r="CA244" s="46">
        <f t="shared" si="227"/>
        <v>4.2420772904657618</v>
      </c>
      <c r="CB244" s="46">
        <f t="shared" si="200"/>
        <v>4.2420772904657618</v>
      </c>
      <c r="CD244" s="46">
        <f>SUMPRODUCT(BZ245:BZ$605, $I245:$I$605) / $I244</f>
        <v>33.479561887807229</v>
      </c>
      <c r="CE244" s="46">
        <f>SUMPRODUCT(CA245:CA$605, $I245:$I$605) / $I244</f>
        <v>24.908794044528584</v>
      </c>
      <c r="CF244" s="46">
        <f>SUMPRODUCT(CB245:CB$605, $I245:$I$605) / $I244</f>
        <v>24.908794044528584</v>
      </c>
      <c r="CH244" s="46">
        <f t="shared" si="201"/>
        <v>46817.995110879987</v>
      </c>
      <c r="CI244" s="46">
        <f t="shared" si="202"/>
        <v>9123.9951108799887</v>
      </c>
      <c r="CK244" s="46">
        <f>NPV((1+CK$3)^(1/12)-1,$CB$6:$CB244)+$CB$5</f>
        <v>1395.829393992643</v>
      </c>
      <c r="CL244" s="46">
        <f>NPV((1+CL$3)^(1/12)-1,$CB$6:$CB244)+$CB$5</f>
        <v>1047.8042115591484</v>
      </c>
      <c r="CM244" s="46">
        <f>NPV((1+CM$3)^(1/12)-1,$CB$6:$CB244)+$CB$5</f>
        <v>458.97622748300068</v>
      </c>
      <c r="CN244" s="46">
        <f>NPV((1+CN$3)^(1/12)-1,$CB$6:$CB244)+$CB$5</f>
        <v>458.97622748300068</v>
      </c>
    </row>
    <row r="245" spans="1:92" x14ac:dyDescent="0.25">
      <c r="A245" s="61">
        <f t="shared" si="185"/>
        <v>19.999999999999986</v>
      </c>
      <c r="B245" s="32">
        <f t="shared" si="203"/>
        <v>12</v>
      </c>
      <c r="C245" s="62">
        <f t="shared" si="204"/>
        <v>20</v>
      </c>
      <c r="D245" s="64">
        <f t="shared" si="205"/>
        <v>20.499999999999986</v>
      </c>
      <c r="E245" s="28">
        <f t="shared" si="186"/>
        <v>20</v>
      </c>
      <c r="G245" s="68">
        <f>INDEX(Others!$D$11:$E$60, MATCH(C245, Others!$A$11:$A$60, 0), MATCH(G$3, Others!$D$10:$E$10, 0))</f>
        <v>4.0690909090909333E-2</v>
      </c>
      <c r="H245" s="16">
        <f t="shared" si="228"/>
        <v>3.329265421250005E-3</v>
      </c>
      <c r="I245" s="69">
        <f t="shared" si="229"/>
        <v>0.4503651571739129</v>
      </c>
      <c r="K245" s="80">
        <f>INDEX(Mortality!$B$7:$F$32, MATCH( E245,Mortality!$A$7:$A$32, 0), MATCH( K$3,Mortality!$B$6:$F$6,0))</f>
        <v>0.434</v>
      </c>
      <c r="L245" s="11">
        <f t="shared" si="187"/>
        <v>0</v>
      </c>
      <c r="M245" s="80">
        <f t="shared" si="206"/>
        <v>0.434</v>
      </c>
      <c r="N245" s="76">
        <f>INDEX(Myopia!$H:$H, MATCH(E245, Myopia!$A:$A, 0)) * Trend_Factor^(A245)</f>
        <v>5.3360375891693437</v>
      </c>
      <c r="O245" s="11">
        <f t="shared" si="188"/>
        <v>0</v>
      </c>
      <c r="P245" s="80">
        <f t="shared" si="207"/>
        <v>5.3360375891693437</v>
      </c>
      <c r="Q245" s="76">
        <f>VLOOKUP(C245,Others!$L$10:$M$61,2)</f>
        <v>0</v>
      </c>
      <c r="R245" s="11">
        <f t="shared" si="189"/>
        <v>0</v>
      </c>
      <c r="S245" s="80">
        <f t="shared" si="208"/>
        <v>0</v>
      </c>
      <c r="T245" s="78">
        <f t="shared" si="209"/>
        <v>3.6166666666666667E-5</v>
      </c>
      <c r="U245" s="81">
        <f t="shared" si="210"/>
        <v>4.446697990974453E-4</v>
      </c>
      <c r="V245" s="81">
        <f t="shared" si="211"/>
        <v>0</v>
      </c>
      <c r="W245" s="77">
        <f t="shared" si="190"/>
        <v>0.78671617530386462</v>
      </c>
      <c r="X245" s="82">
        <f t="shared" si="212"/>
        <v>2.8446575600454326E-5</v>
      </c>
      <c r="Y245" s="82">
        <f t="shared" si="213"/>
        <v>3.4982259754604461E-4</v>
      </c>
      <c r="Z245" s="82">
        <f>W245 * (1-T245)*(1-U245)*(V245)</f>
        <v>0</v>
      </c>
      <c r="AA245" s="82">
        <f t="shared" si="215"/>
        <v>0.78633790613071808</v>
      </c>
      <c r="AC245" s="46">
        <f t="shared" si="191"/>
        <v>0</v>
      </c>
      <c r="AD245" s="15">
        <f t="shared" si="192"/>
        <v>0</v>
      </c>
      <c r="AE245" s="46">
        <f t="shared" si="216"/>
        <v>0</v>
      </c>
      <c r="AF245" s="15">
        <f t="shared" si="217"/>
        <v>0</v>
      </c>
      <c r="AG245" s="46">
        <f>SUMPRODUCT(AE246:AE$605, $I245:$I$604) / $I245</f>
        <v>0</v>
      </c>
      <c r="AI245" s="46">
        <f t="shared" si="193"/>
        <v>-47000</v>
      </c>
      <c r="AJ245" s="46">
        <f>IF(E245&gt;Mat_Year,0,  -SUM($AD$5:AD245))</f>
        <v>-9306</v>
      </c>
      <c r="AK245" s="24">
        <f t="shared" si="218"/>
        <v>-0.26472383253782794</v>
      </c>
      <c r="AL245" s="79">
        <f t="shared" si="219"/>
        <v>-16.441662084664095</v>
      </c>
      <c r="AM245" s="24">
        <f t="shared" si="220"/>
        <v>-21.235594794716377</v>
      </c>
      <c r="AN245" s="79">
        <f t="shared" si="221"/>
        <v>-16.706385917201924</v>
      </c>
      <c r="AO245" s="15">
        <f t="shared" si="222"/>
        <v>-104.97446669941571</v>
      </c>
      <c r="AP245" s="46">
        <f>SUMPRODUCT(AN246:AN$605, $I246:$I$605) / $I245</f>
        <v>-82.585110946327234</v>
      </c>
      <c r="AR245" s="46">
        <v>0</v>
      </c>
      <c r="AS245" s="46">
        <v>0</v>
      </c>
      <c r="AT245" s="46">
        <v>0</v>
      </c>
      <c r="AU245" s="95">
        <f t="shared" si="194"/>
        <v>-2.2790511273778811</v>
      </c>
      <c r="AV245" s="47">
        <f t="shared" si="195"/>
        <v>0</v>
      </c>
      <c r="AW245" s="96">
        <f t="shared" si="230"/>
        <v>-2.2790511273778811</v>
      </c>
      <c r="AX245" s="95">
        <f t="shared" si="196"/>
        <v>-26.133119593933035</v>
      </c>
      <c r="AY245" s="11">
        <f t="shared" si="197"/>
        <v>0</v>
      </c>
      <c r="AZ245" s="96">
        <f t="shared" si="231"/>
        <v>-26.133119593933035</v>
      </c>
      <c r="BA245" s="95">
        <f t="shared" si="232"/>
        <v>-1.7929663862526874</v>
      </c>
      <c r="BB245" s="64">
        <f t="shared" si="233"/>
        <v>-9.8853535405356192E-3</v>
      </c>
      <c r="BC245" s="95">
        <f t="shared" si="234"/>
        <v>-2.2790511273778811</v>
      </c>
      <c r="BD245" s="96">
        <f t="shared" si="235"/>
        <v>-1.2565336586244027E-2</v>
      </c>
      <c r="BE245" s="96">
        <f t="shared" si="236"/>
        <v>-1.7929663862526874</v>
      </c>
      <c r="BF245" s="96">
        <f t="shared" si="237"/>
        <v>-9.8853535405356192E-3</v>
      </c>
      <c r="BG245" s="15">
        <f t="shared" si="223"/>
        <v>-11.403798814507008</v>
      </c>
      <c r="BH245" s="46">
        <f>(SUMPRODUCT(BE246:BE$605,$I245:$I$604)+SUMPRODUCT(BF246:BF$605,$I246:$I$605)) / $I245</f>
        <v>-8.9715529872836992</v>
      </c>
      <c r="BJ245" s="46">
        <f t="shared" si="238"/>
        <v>-1.7929663862526874</v>
      </c>
      <c r="BK245" s="46">
        <f t="shared" si="239"/>
        <v>-16.71627127074246</v>
      </c>
      <c r="BM245" s="49">
        <f t="shared" si="224"/>
        <v>116.43424947441218</v>
      </c>
      <c r="BN245" s="46">
        <f t="shared" si="240"/>
        <v>91.556663933610935</v>
      </c>
      <c r="BP245" s="46">
        <f>Reserve!BX245</f>
        <v>151.92213140832993</v>
      </c>
      <c r="BQ245" s="46">
        <f t="shared" si="198"/>
        <v>119.46213070654196</v>
      </c>
      <c r="BR245" s="15">
        <f t="shared" si="225"/>
        <v>23.72405954855742</v>
      </c>
      <c r="BT245" s="49">
        <f t="shared" si="226"/>
        <v>0.59835501773405542</v>
      </c>
      <c r="BU245" s="46">
        <f t="shared" si="199"/>
        <v>0.47073557102561214</v>
      </c>
      <c r="BV245" s="46">
        <f>SUMPRODUCT(BU246:BU$605, $I246:$I$605) / $I245</f>
        <v>1.156202003540272</v>
      </c>
      <c r="BX245" s="46">
        <f>-BZ245*Others!$Q$43</f>
        <v>-1.4555027104224987</v>
      </c>
      <c r="BZ245" s="50">
        <f t="shared" si="184"/>
        <v>5.6855574625878855</v>
      </c>
      <c r="CA245" s="46">
        <f t="shared" si="227"/>
        <v>4.2300547521653868</v>
      </c>
      <c r="CB245" s="46">
        <f t="shared" si="200"/>
        <v>4.2300547521653868</v>
      </c>
      <c r="CD245" s="46">
        <f>SUMPRODUCT(BZ246:BZ$605, $I246:$I$605) / $I245</f>
        <v>27.905466772931025</v>
      </c>
      <c r="CE245" s="46">
        <f>SUMPRODUCT(CA246:CA$605, $I246:$I$605) / $I245</f>
        <v>20.761667279060678</v>
      </c>
      <c r="CF245" s="46">
        <f>SUMPRODUCT(CB246:CB$605, $I246:$I$605) / $I245</f>
        <v>20.761667279060678</v>
      </c>
      <c r="CH245" s="46">
        <f t="shared" si="201"/>
        <v>46848.077868591667</v>
      </c>
      <c r="CI245" s="46">
        <f t="shared" si="202"/>
        <v>9154.0778685916703</v>
      </c>
      <c r="CK245" s="46">
        <f>NPV((1+CK$3)^(1/12)-1,$CB$6:$CB245)+$CB$5</f>
        <v>1398.1714727477979</v>
      </c>
      <c r="CL245" s="46">
        <f>NPV((1+CL$3)^(1/12)-1,$CB$6:$CB245)+$CB$5</f>
        <v>1049.3984747072163</v>
      </c>
      <c r="CM245" s="46">
        <f>NPV((1+CM$3)^(1/12)-1,$CB$6:$CB245)+$CB$5</f>
        <v>459.60499816810307</v>
      </c>
      <c r="CN245" s="46">
        <f>NPV((1+CN$3)^(1/12)-1,$CB$6:$CB245)+$CB$5</f>
        <v>459.60499816810307</v>
      </c>
    </row>
    <row r="246" spans="1:92" x14ac:dyDescent="0.25">
      <c r="A246" s="61">
        <f t="shared" si="185"/>
        <v>20.083333333333318</v>
      </c>
      <c r="B246" s="32">
        <f t="shared" si="203"/>
        <v>1</v>
      </c>
      <c r="C246" s="62">
        <f t="shared" si="204"/>
        <v>21</v>
      </c>
      <c r="D246" s="64">
        <f t="shared" si="205"/>
        <v>20.583333333333318</v>
      </c>
      <c r="E246" s="28">
        <f t="shared" si="186"/>
        <v>20</v>
      </c>
      <c r="G246" s="68">
        <f>INDEX(Others!$D$11:$E$60, MATCH(C246, Others!$A$11:$A$60, 0), MATCH(G$3, Others!$D$10:$E$10, 0))</f>
        <v>4.0690909090909111E-2</v>
      </c>
      <c r="H246" s="16">
        <f t="shared" si="228"/>
        <v>3.329265421250005E-3</v>
      </c>
      <c r="I246" s="69">
        <f t="shared" si="229"/>
        <v>0.4488707473162622</v>
      </c>
      <c r="K246" s="80">
        <f>INDEX(Mortality!$B$7:$F$32, MATCH( E246,Mortality!$A$7:$A$32, 0), MATCH( K$3,Mortality!$B$6:$F$6,0))</f>
        <v>0.434</v>
      </c>
      <c r="L246" s="11">
        <f t="shared" si="187"/>
        <v>0</v>
      </c>
      <c r="M246" s="80">
        <f t="shared" si="206"/>
        <v>0.434</v>
      </c>
      <c r="N246" s="76">
        <f>INDEX(Myopia!$H:$H, MATCH(E246, Myopia!$A:$A, 0)) * Trend_Factor^(A246)</f>
        <v>5.3360375891693437</v>
      </c>
      <c r="O246" s="11">
        <f t="shared" si="188"/>
        <v>0</v>
      </c>
      <c r="P246" s="80">
        <f t="shared" si="207"/>
        <v>5.3360375891693437</v>
      </c>
      <c r="Q246" s="76">
        <f>VLOOKUP(C246,Others!$L$10:$M$61,2)</f>
        <v>0</v>
      </c>
      <c r="R246" s="11">
        <f t="shared" si="189"/>
        <v>0</v>
      </c>
      <c r="S246" s="80">
        <f t="shared" si="208"/>
        <v>0</v>
      </c>
      <c r="T246" s="78">
        <f t="shared" si="209"/>
        <v>3.6166666666666667E-5</v>
      </c>
      <c r="U246" s="81">
        <f t="shared" si="210"/>
        <v>4.446697990974453E-4</v>
      </c>
      <c r="V246" s="81">
        <f t="shared" si="211"/>
        <v>0</v>
      </c>
      <c r="W246" s="77">
        <f t="shared" si="190"/>
        <v>0.78633790613071808</v>
      </c>
      <c r="X246" s="82">
        <f t="shared" si="212"/>
        <v>2.8432897907063726E-5</v>
      </c>
      <c r="Y246" s="82">
        <f t="shared" si="213"/>
        <v>3.4965439571052161E-4</v>
      </c>
      <c r="Z246" s="82">
        <f t="shared" si="214"/>
        <v>0</v>
      </c>
      <c r="AA246" s="82">
        <f t="shared" si="215"/>
        <v>0.78595981883710053</v>
      </c>
      <c r="AC246" s="46">
        <f t="shared" si="191"/>
        <v>0</v>
      </c>
      <c r="AD246" s="15">
        <f t="shared" si="192"/>
        <v>0</v>
      </c>
      <c r="AE246" s="46">
        <f t="shared" si="216"/>
        <v>0</v>
      </c>
      <c r="AF246" s="15">
        <f t="shared" si="217"/>
        <v>0</v>
      </c>
      <c r="AG246" s="46">
        <f>SUMPRODUCT(AE247:AE$605, $I246:$I$604) / $I246</f>
        <v>0</v>
      </c>
      <c r="AI246" s="46">
        <f t="shared" si="193"/>
        <v>-47000</v>
      </c>
      <c r="AJ246" s="46">
        <f>IF(E246&gt;Mat_Year,0,  -SUM($AD$5:AD246))</f>
        <v>-9306</v>
      </c>
      <c r="AK246" s="24">
        <f t="shared" si="218"/>
        <v>-0.26459654792313503</v>
      </c>
      <c r="AL246" s="79">
        <f t="shared" si="219"/>
        <v>-16.433756598394517</v>
      </c>
      <c r="AM246" s="24">
        <f t="shared" si="220"/>
        <v>-21.235594794716373</v>
      </c>
      <c r="AN246" s="79">
        <f t="shared" si="221"/>
        <v>-16.69835314631765</v>
      </c>
      <c r="AO246" s="15">
        <f t="shared" si="222"/>
        <v>-84.139026032397325</v>
      </c>
      <c r="AP246" s="46">
        <f>SUMPRODUCT(AN247:AN$605, $I247:$I$605) / $I246</f>
        <v>-66.16170555419329</v>
      </c>
      <c r="AR246" s="46">
        <v>0</v>
      </c>
      <c r="AS246" s="46">
        <v>0</v>
      </c>
      <c r="AT246" s="46">
        <v>0</v>
      </c>
      <c r="AU246" s="95">
        <f t="shared" si="194"/>
        <v>-2.2815993310607605</v>
      </c>
      <c r="AV246" s="47">
        <f t="shared" si="195"/>
        <v>0</v>
      </c>
      <c r="AW246" s="96">
        <f t="shared" si="230"/>
        <v>-2.2815993310607605</v>
      </c>
      <c r="AX246" s="95">
        <f t="shared" si="196"/>
        <v>-26.162338996163385</v>
      </c>
      <c r="AY246" s="11">
        <f t="shared" si="197"/>
        <v>0</v>
      </c>
      <c r="AZ246" s="96">
        <f t="shared" si="231"/>
        <v>-26.162338996163385</v>
      </c>
      <c r="BA246" s="95">
        <f t="shared" si="232"/>
        <v>-1.7941080406155654</v>
      </c>
      <c r="BB246" s="64">
        <f t="shared" si="233"/>
        <v>-9.89164794576523E-3</v>
      </c>
      <c r="BC246" s="95">
        <f t="shared" si="234"/>
        <v>-2.2815993310607605</v>
      </c>
      <c r="BD246" s="96">
        <f t="shared" si="235"/>
        <v>-1.2579385870431226E-2</v>
      </c>
      <c r="BE246" s="96">
        <f t="shared" si="236"/>
        <v>-1.7941080406155654</v>
      </c>
      <c r="BF246" s="96">
        <f t="shared" si="237"/>
        <v>-9.89164794576523E-3</v>
      </c>
      <c r="BG246" s="15">
        <f t="shared" si="223"/>
        <v>-9.1454944012336039</v>
      </c>
      <c r="BH246" s="46">
        <f>(SUMPRODUCT(BE247:BE$605,$I246:$I$604)+SUMPRODUCT(BF247:BF$605,$I247:$I$605)) / $I246</f>
        <v>-7.1914489179962375</v>
      </c>
      <c r="BJ246" s="46">
        <f t="shared" si="238"/>
        <v>-1.7941080406155654</v>
      </c>
      <c r="BK246" s="46">
        <f t="shared" si="239"/>
        <v>-16.708244794263415</v>
      </c>
      <c r="BM246" s="49">
        <f t="shared" si="224"/>
        <v>93.329395109182826</v>
      </c>
      <c r="BN246" s="46">
        <f t="shared" si="240"/>
        <v>73.353154472189516</v>
      </c>
      <c r="BP246" s="46">
        <f>Reserve!BX246</f>
        <v>121.73925178646614</v>
      </c>
      <c r="BQ246" s="46">
        <f t="shared" si="198"/>
        <v>95.68216027945509</v>
      </c>
      <c r="BR246" s="15">
        <f t="shared" si="225"/>
        <v>23.779970427086866</v>
      </c>
      <c r="BT246" s="49">
        <f t="shared" si="226"/>
        <v>0.49819304906230438</v>
      </c>
      <c r="BU246" s="46">
        <f t="shared" si="199"/>
        <v>0.39174807904853054</v>
      </c>
      <c r="BV246" s="46">
        <f>SUMPRODUCT(BU247:BU$605, $I247:$I$605) / $I246</f>
        <v>0.76830322784210825</v>
      </c>
      <c r="BX246" s="46">
        <f>-BZ246*Others!$Q$43</f>
        <v>-1.4513576118416425</v>
      </c>
      <c r="BZ246" s="50">
        <f t="shared" si="184"/>
        <v>5.6693656712564158</v>
      </c>
      <c r="CA246" s="46">
        <f t="shared" si="227"/>
        <v>4.2180080594147729</v>
      </c>
      <c r="CB246" s="46">
        <f t="shared" si="200"/>
        <v>4.2180080594147729</v>
      </c>
      <c r="CD246" s="46">
        <f>SUMPRODUCT(BZ247:BZ$605, $I247:$I$605) / $I246</f>
        <v>22.329005807265563</v>
      </c>
      <c r="CE246" s="46">
        <f>SUMPRODUCT(CA247:CA$605, $I247:$I$605) / $I246</f>
        <v>16.612780320605584</v>
      </c>
      <c r="CF246" s="46">
        <f>SUMPRODUCT(CB247:CB$605, $I247:$I$605) / $I246</f>
        <v>16.612780320605584</v>
      </c>
      <c r="CH246" s="46">
        <f t="shared" si="201"/>
        <v>46878.260748213535</v>
      </c>
      <c r="CI246" s="46">
        <f t="shared" si="202"/>
        <v>9184.2607482135336</v>
      </c>
      <c r="CK246" s="46">
        <f>NPV((1+CK$3)^(1/12)-1,$CB$6:$CB246)+$CB$5</f>
        <v>1400.5011359632899</v>
      </c>
      <c r="CL246" s="46">
        <f>NPV((1+CL$3)^(1/12)-1,$CB$6:$CB246)+$CB$5</f>
        <v>1050.9817471356268</v>
      </c>
      <c r="CM246" s="46">
        <f>NPV((1+CM$3)^(1/12)-1,$CB$6:$CB246)+$CB$5</f>
        <v>460.22701811468619</v>
      </c>
      <c r="CN246" s="46">
        <f>NPV((1+CN$3)^(1/12)-1,$CB$6:$CB246)+$CB$5</f>
        <v>460.22701811468619</v>
      </c>
    </row>
    <row r="247" spans="1:92" x14ac:dyDescent="0.25">
      <c r="A247" s="61">
        <f t="shared" si="185"/>
        <v>20.16666666666665</v>
      </c>
      <c r="B247" s="32">
        <f t="shared" si="203"/>
        <v>2</v>
      </c>
      <c r="C247" s="62">
        <f t="shared" si="204"/>
        <v>21</v>
      </c>
      <c r="D247" s="64">
        <f t="shared" si="205"/>
        <v>20.66666666666665</v>
      </c>
      <c r="E247" s="28">
        <f t="shared" si="186"/>
        <v>20</v>
      </c>
      <c r="G247" s="68">
        <f>INDEX(Others!$D$11:$E$60, MATCH(C247, Others!$A$11:$A$60, 0), MATCH(G$3, Others!$D$10:$E$10, 0))</f>
        <v>4.0690909090909111E-2</v>
      </c>
      <c r="H247" s="16">
        <f t="shared" si="228"/>
        <v>3.329265421250005E-3</v>
      </c>
      <c r="I247" s="69">
        <f t="shared" si="229"/>
        <v>0.44738129623658773</v>
      </c>
      <c r="K247" s="80">
        <f>INDEX(Mortality!$B$7:$F$32, MATCH( E247,Mortality!$A$7:$A$32, 0), MATCH( K$3,Mortality!$B$6:$F$6,0))</f>
        <v>0.434</v>
      </c>
      <c r="L247" s="11">
        <f t="shared" si="187"/>
        <v>0</v>
      </c>
      <c r="M247" s="80">
        <f t="shared" si="206"/>
        <v>0.434</v>
      </c>
      <c r="N247" s="76">
        <f>INDEX(Myopia!$H:$H, MATCH(E247, Myopia!$A:$A, 0)) * Trend_Factor^(A247)</f>
        <v>5.3360375891693437</v>
      </c>
      <c r="O247" s="11">
        <f t="shared" si="188"/>
        <v>0</v>
      </c>
      <c r="P247" s="80">
        <f t="shared" si="207"/>
        <v>5.3360375891693437</v>
      </c>
      <c r="Q247" s="76">
        <f>VLOOKUP(C247,Others!$L$10:$M$61,2)</f>
        <v>0</v>
      </c>
      <c r="R247" s="11">
        <f t="shared" si="189"/>
        <v>0</v>
      </c>
      <c r="S247" s="80">
        <f t="shared" si="208"/>
        <v>0</v>
      </c>
      <c r="T247" s="78">
        <f t="shared" si="209"/>
        <v>3.6166666666666667E-5</v>
      </c>
      <c r="U247" s="81">
        <f t="shared" si="210"/>
        <v>4.446697990974453E-4</v>
      </c>
      <c r="V247" s="81">
        <f t="shared" si="211"/>
        <v>0</v>
      </c>
      <c r="W247" s="77">
        <f t="shared" si="190"/>
        <v>0.78595981883710053</v>
      </c>
      <c r="X247" s="82">
        <f t="shared" si="212"/>
        <v>2.8419226790186904E-5</v>
      </c>
      <c r="Y247" s="82">
        <f t="shared" si="213"/>
        <v>3.4948627474986975E-4</v>
      </c>
      <c r="Z247" s="82">
        <f t="shared" si="214"/>
        <v>0</v>
      </c>
      <c r="AA247" s="82">
        <f t="shared" si="215"/>
        <v>0.78558191333556049</v>
      </c>
      <c r="AC247" s="46">
        <f t="shared" si="191"/>
        <v>0</v>
      </c>
      <c r="AD247" s="15">
        <f t="shared" si="192"/>
        <v>0</v>
      </c>
      <c r="AE247" s="46">
        <f t="shared" si="216"/>
        <v>0</v>
      </c>
      <c r="AF247" s="15">
        <f t="shared" si="217"/>
        <v>0</v>
      </c>
      <c r="AG247" s="46">
        <f>SUMPRODUCT(AE248:AE$605, $I247:$I$604) / $I247</f>
        <v>0</v>
      </c>
      <c r="AI247" s="46">
        <f t="shared" si="193"/>
        <v>-47000</v>
      </c>
      <c r="AJ247" s="46">
        <f>IF(E247&gt;Mat_Year,0,  -SUM($AD$5:AD247))</f>
        <v>-9306</v>
      </c>
      <c r="AK247" s="24">
        <f t="shared" si="218"/>
        <v>-0.26446932450947935</v>
      </c>
      <c r="AL247" s="79">
        <f t="shared" si="219"/>
        <v>-16.425854913243878</v>
      </c>
      <c r="AM247" s="24">
        <f t="shared" si="220"/>
        <v>-21.235594794716377</v>
      </c>
      <c r="AN247" s="79">
        <f t="shared" si="221"/>
        <v>-16.690324237753359</v>
      </c>
      <c r="AO247" s="15">
        <f t="shared" si="222"/>
        <v>-63.224162360457264</v>
      </c>
      <c r="AP247" s="46">
        <f>SUMPRODUCT(AN248:AN$605, $I248:$I$605) / $I247</f>
        <v>-49.691651194952421</v>
      </c>
      <c r="AR247" s="46">
        <v>0</v>
      </c>
      <c r="AS247" s="46">
        <v>0</v>
      </c>
      <c r="AT247" s="46">
        <v>0</v>
      </c>
      <c r="AU247" s="95">
        <f t="shared" si="194"/>
        <v>-2.2841503838863955</v>
      </c>
      <c r="AV247" s="47">
        <f t="shared" si="195"/>
        <v>0</v>
      </c>
      <c r="AW247" s="96">
        <f t="shared" si="230"/>
        <v>-2.2841503838863955</v>
      </c>
      <c r="AX247" s="95">
        <f t="shared" si="196"/>
        <v>-26.191591068563998</v>
      </c>
      <c r="AY247" s="11">
        <f t="shared" si="197"/>
        <v>0</v>
      </c>
      <c r="AZ247" s="96">
        <f t="shared" si="231"/>
        <v>-26.191591068563998</v>
      </c>
      <c r="BA247" s="95">
        <f t="shared" si="232"/>
        <v>-1.795250421916045</v>
      </c>
      <c r="BB247" s="64">
        <f t="shared" si="233"/>
        <v>-9.8979463588977461E-3</v>
      </c>
      <c r="BC247" s="95">
        <f t="shared" si="234"/>
        <v>-2.2841503838863955</v>
      </c>
      <c r="BD247" s="96">
        <f t="shared" si="235"/>
        <v>-1.2593450863102217E-2</v>
      </c>
      <c r="BE247" s="96">
        <f t="shared" si="236"/>
        <v>-1.795250421916045</v>
      </c>
      <c r="BF247" s="96">
        <f t="shared" si="237"/>
        <v>-9.8979463588977461E-3</v>
      </c>
      <c r="BG247" s="15">
        <f t="shared" si="223"/>
        <v>-6.8760079042928695</v>
      </c>
      <c r="BH247" s="46">
        <f>(SUMPRODUCT(BE248:BE$605,$I247:$I$604)+SUMPRODUCT(BF248:BF$605,$I248:$I$605)) / $I247</f>
        <v>-5.4042659267804947</v>
      </c>
      <c r="BJ247" s="46">
        <f t="shared" si="238"/>
        <v>-1.795250421916045</v>
      </c>
      <c r="BK247" s="46">
        <f t="shared" si="239"/>
        <v>-16.700222184112256</v>
      </c>
      <c r="BM247" s="49">
        <f t="shared" si="224"/>
        <v>70.1338920696342</v>
      </c>
      <c r="BN247" s="46">
        <f t="shared" si="240"/>
        <v>55.095917121732924</v>
      </c>
      <c r="BP247" s="46">
        <f>Reserve!BX247</f>
        <v>91.455925325089325</v>
      </c>
      <c r="BQ247" s="46">
        <f t="shared" si="198"/>
        <v>71.84612080275781</v>
      </c>
      <c r="BR247" s="15">
        <f t="shared" si="225"/>
        <v>23.83603947669728</v>
      </c>
      <c r="BT247" s="49">
        <f t="shared" si="226"/>
        <v>0.39769773849152168</v>
      </c>
      <c r="BU247" s="46">
        <f t="shared" si="199"/>
        <v>0.31257444249672095</v>
      </c>
      <c r="BV247" s="46">
        <f>SUMPRODUCT(BU248:BU$605, $I248:$I$605) / $I247</f>
        <v>0.45828667071487672</v>
      </c>
      <c r="BX247" s="46">
        <f>-BZ247*Others!$Q$43</f>
        <v>-1.4472041761704193</v>
      </c>
      <c r="BZ247" s="50">
        <f t="shared" si="184"/>
        <v>5.6531413131657002</v>
      </c>
      <c r="CA247" s="46">
        <f t="shared" si="227"/>
        <v>4.2059371369952814</v>
      </c>
      <c r="CB247" s="46">
        <f t="shared" si="200"/>
        <v>4.2059371369952814</v>
      </c>
      <c r="CD247" s="46">
        <f>SUMPRODUCT(BZ248:BZ$605, $I248:$I$605) / $I247</f>
        <v>16.750203681024885</v>
      </c>
      <c r="CE247" s="46">
        <f>SUMPRODUCT(CA248:CA$605, $I248:$I$605) / $I247</f>
        <v>12.462151538682516</v>
      </c>
      <c r="CF247" s="46">
        <f>SUMPRODUCT(CB248:CB$605, $I248:$I$605) / $I247</f>
        <v>12.462151538682516</v>
      </c>
      <c r="CH247" s="46">
        <f t="shared" si="201"/>
        <v>46908.544074674908</v>
      </c>
      <c r="CI247" s="46">
        <f>IF(E248&gt;Mat_Year, 0, MAX(0, -AJ247-$BP247))</f>
        <v>9214.54407467491</v>
      </c>
      <c r="CK247" s="46">
        <f>NPV((1+CK$3)^(1/12)-1,$CB$6:$CB247)+$CB$5</f>
        <v>1402.8184172034908</v>
      </c>
      <c r="CL247" s="46">
        <f>NPV((1+CL$3)^(1/12)-1,$CB$6:$CB247)+$CB$5</f>
        <v>1052.5540827301143</v>
      </c>
      <c r="CM247" s="46">
        <f>NPV((1+CM$3)^(1/12)-1,$CB$6:$CB247)+$CB$5</f>
        <v>460.84235123737358</v>
      </c>
      <c r="CN247" s="46">
        <f>NPV((1+CN$3)^(1/12)-1,$CB$6:$CB247)+$CB$5</f>
        <v>460.84235123737358</v>
      </c>
    </row>
    <row r="248" spans="1:92" x14ac:dyDescent="0.25">
      <c r="A248" s="61">
        <f t="shared" si="185"/>
        <v>20.249999999999982</v>
      </c>
      <c r="B248" s="32">
        <f t="shared" si="203"/>
        <v>3</v>
      </c>
      <c r="C248" s="62">
        <f t="shared" si="204"/>
        <v>21</v>
      </c>
      <c r="D248" s="64">
        <f t="shared" si="205"/>
        <v>20.749999999999982</v>
      </c>
      <c r="E248" s="28">
        <f t="shared" si="186"/>
        <v>20</v>
      </c>
      <c r="G248" s="68">
        <f>INDEX(Others!$D$11:$E$60, MATCH(C248, Others!$A$11:$A$60, 0), MATCH(G$3, Others!$D$10:$E$10, 0))</f>
        <v>4.0690909090909111E-2</v>
      </c>
      <c r="H248" s="16">
        <f t="shared" si="228"/>
        <v>3.329265421250005E-3</v>
      </c>
      <c r="I248" s="69">
        <f t="shared" si="229"/>
        <v>0.44589678748058215</v>
      </c>
      <c r="K248" s="80">
        <f>INDEX(Mortality!$B$7:$F$32, MATCH( E248,Mortality!$A$7:$A$32, 0), MATCH( K$3,Mortality!$B$6:$F$6,0))</f>
        <v>0.434</v>
      </c>
      <c r="L248" s="11">
        <f t="shared" si="187"/>
        <v>0</v>
      </c>
      <c r="M248" s="80">
        <f t="shared" si="206"/>
        <v>0.434</v>
      </c>
      <c r="N248" s="76">
        <f>INDEX(Myopia!$H:$H, MATCH(E248, Myopia!$A:$A, 0)) * Trend_Factor^(A248)</f>
        <v>5.3360375891693437</v>
      </c>
      <c r="O248" s="11">
        <f t="shared" si="188"/>
        <v>0</v>
      </c>
      <c r="P248" s="80">
        <f t="shared" si="207"/>
        <v>5.3360375891693437</v>
      </c>
      <c r="Q248" s="76">
        <f>VLOOKUP(C248,Others!$L$10:$M$61,2)</f>
        <v>0</v>
      </c>
      <c r="R248" s="11">
        <f t="shared" si="189"/>
        <v>0</v>
      </c>
      <c r="S248" s="80">
        <f t="shared" si="208"/>
        <v>0</v>
      </c>
      <c r="T248" s="78">
        <f t="shared" si="209"/>
        <v>3.6166666666666667E-5</v>
      </c>
      <c r="U248" s="81">
        <f t="shared" si="210"/>
        <v>4.446697990974453E-4</v>
      </c>
      <c r="V248" s="81">
        <f t="shared" si="211"/>
        <v>0</v>
      </c>
      <c r="W248" s="77">
        <f t="shared" si="190"/>
        <v>0.78558191333556049</v>
      </c>
      <c r="X248" s="82">
        <f t="shared" si="212"/>
        <v>2.8405562246661748E-5</v>
      </c>
      <c r="Y248" s="82">
        <f t="shared" si="213"/>
        <v>3.4931823462520267E-4</v>
      </c>
      <c r="Z248" s="82">
        <f t="shared" si="214"/>
        <v>0</v>
      </c>
      <c r="AA248" s="82">
        <f t="shared" si="215"/>
        <v>0.78520418953868865</v>
      </c>
      <c r="AC248" s="46">
        <f t="shared" si="191"/>
        <v>0</v>
      </c>
      <c r="AD248" s="15">
        <f t="shared" si="192"/>
        <v>0</v>
      </c>
      <c r="AE248" s="46">
        <f t="shared" si="216"/>
        <v>0</v>
      </c>
      <c r="AF248" s="15">
        <f t="shared" si="217"/>
        <v>0</v>
      </c>
      <c r="AG248" s="46">
        <f>SUMPRODUCT(AE249:AE$605, $I248:$I$604) / $I248</f>
        <v>0</v>
      </c>
      <c r="AI248" s="46">
        <f t="shared" si="193"/>
        <v>-47000</v>
      </c>
      <c r="AJ248" s="46">
        <f>IF(E248&gt;Mat_Year,0,  -SUM($AD$5:AD248))</f>
        <v>-9306</v>
      </c>
      <c r="AK248" s="24">
        <f t="shared" si="218"/>
        <v>-0.26434216226743423</v>
      </c>
      <c r="AL248" s="79">
        <f t="shared" si="219"/>
        <v>-16.417957027384524</v>
      </c>
      <c r="AM248" s="24">
        <f t="shared" si="220"/>
        <v>-21.235594794716373</v>
      </c>
      <c r="AN248" s="79">
        <f t="shared" si="221"/>
        <v>-16.682299189651957</v>
      </c>
      <c r="AO248" s="15">
        <f t="shared" si="222"/>
        <v>-42.22957292956167</v>
      </c>
      <c r="AP248" s="46">
        <f>SUMPRODUCT(AN249:AN$605, $I249:$I$605) / $I248</f>
        <v>-33.174788701348646</v>
      </c>
      <c r="AR248" s="46">
        <v>0</v>
      </c>
      <c r="AS248" s="46">
        <v>0</v>
      </c>
      <c r="AT248" s="46">
        <v>0</v>
      </c>
      <c r="AU248" s="95">
        <f t="shared" si="194"/>
        <v>-2.2867042890404088</v>
      </c>
      <c r="AV248" s="47">
        <f t="shared" si="195"/>
        <v>0</v>
      </c>
      <c r="AW248" s="96">
        <f t="shared" si="230"/>
        <v>-2.2867042890404088</v>
      </c>
      <c r="AX248" s="95">
        <f t="shared" si="196"/>
        <v>-26.220875847663351</v>
      </c>
      <c r="AY248" s="11">
        <f t="shared" si="197"/>
        <v>0</v>
      </c>
      <c r="AZ248" s="96">
        <f t="shared" si="231"/>
        <v>-26.220875847663351</v>
      </c>
      <c r="BA248" s="95">
        <f t="shared" si="232"/>
        <v>-1.7963935306169969</v>
      </c>
      <c r="BB248" s="64">
        <f t="shared" si="233"/>
        <v>-9.9042487824851661E-3</v>
      </c>
      <c r="BC248" s="95">
        <f t="shared" si="234"/>
        <v>-2.2867042890404088</v>
      </c>
      <c r="BD248" s="96">
        <f t="shared" si="235"/>
        <v>-1.2607531581820644E-2</v>
      </c>
      <c r="BE248" s="96">
        <f t="shared" si="236"/>
        <v>-1.7963935306169969</v>
      </c>
      <c r="BF248" s="96">
        <f t="shared" si="237"/>
        <v>-9.9042487824851661E-3</v>
      </c>
      <c r="BG248" s="15">
        <f t="shared" si="223"/>
        <v>-4.5952938209409151</v>
      </c>
      <c r="BH248" s="46">
        <f>(SUMPRODUCT(BE249:BE$605,$I248:$I$604)+SUMPRODUCT(BF249:BF$605,$I249:$I$605)) / $I248</f>
        <v>-3.6099797121938426</v>
      </c>
      <c r="BJ248" s="46">
        <f t="shared" si="238"/>
        <v>-1.7963935306169969</v>
      </c>
      <c r="BK248" s="46">
        <f t="shared" si="239"/>
        <v>-16.692203438434444</v>
      </c>
      <c r="BM248" s="49">
        <f t="shared" si="224"/>
        <v>46.847391931458894</v>
      </c>
      <c r="BN248" s="46">
        <f t="shared" si="240"/>
        <v>36.78476841354248</v>
      </c>
      <c r="BP248" s="46">
        <f>Reserve!BX248</f>
        <v>61.071826055483136</v>
      </c>
      <c r="BQ248" s="46">
        <f t="shared" si="198"/>
        <v>47.953853681543407</v>
      </c>
      <c r="BR248" s="15">
        <f t="shared" si="225"/>
        <v>23.892267121214402</v>
      </c>
      <c r="BT248" s="49">
        <f t="shared" si="226"/>
        <v>0.29686800423511622</v>
      </c>
      <c r="BU248" s="46">
        <f t="shared" si="199"/>
        <v>0.23321413477513186</v>
      </c>
      <c r="BV248" s="46">
        <f>SUMPRODUCT(BU249:BU$605, $I249:$I$605) / $I248</f>
        <v>0.22659829390557565</v>
      </c>
      <c r="BX248" s="46">
        <f>-BZ248*Others!$Q$43</f>
        <v>-1.4430423774561523</v>
      </c>
      <c r="BZ248" s="50">
        <f t="shared" si="184"/>
        <v>5.6368842869380948</v>
      </c>
      <c r="CA248" s="46">
        <f t="shared" si="227"/>
        <v>4.193841909481943</v>
      </c>
      <c r="CB248" s="46">
        <f t="shared" si="200"/>
        <v>4.193841909481943</v>
      </c>
      <c r="CD248" s="46">
        <f>SUMPRODUCT(BZ249:BZ$605, $I249:$I$605) / $I248</f>
        <v>11.169085268000922</v>
      </c>
      <c r="CE248" s="46">
        <f>SUMPRODUCT(CA249:CA$605, $I249:$I$605) / $I248</f>
        <v>8.3097994393926857</v>
      </c>
      <c r="CF248" s="46">
        <f>SUMPRODUCT(CB249:CB$605, $I249:$I$605) / $I248</f>
        <v>8.3097994393926857</v>
      </c>
      <c r="CH248" s="46">
        <f t="shared" si="201"/>
        <v>46938.928173944514</v>
      </c>
      <c r="CI248" s="46">
        <f t="shared" si="202"/>
        <v>9244.9281739445178</v>
      </c>
      <c r="CK248" s="46">
        <f>NPV((1+CK$3)^(1/12)-1,$CB$6:$CB248)+$CB$5</f>
        <v>1405.1233499341552</v>
      </c>
      <c r="CL248" s="46">
        <f>NPV((1+CL$3)^(1/12)-1,$CB$6:$CB248)+$CB$5</f>
        <v>1054.1155351287441</v>
      </c>
      <c r="CM248" s="46">
        <f>NPV((1+CM$3)^(1/12)-1,$CB$6:$CB248)+$CB$5</f>
        <v>461.45106087911495</v>
      </c>
      <c r="CN248" s="46">
        <f>NPV((1+CN$3)^(1/12)-1,$CB$6:$CB248)+$CB$5</f>
        <v>461.45106087911495</v>
      </c>
    </row>
    <row r="249" spans="1:92" x14ac:dyDescent="0.25">
      <c r="A249" s="61">
        <f t="shared" si="185"/>
        <v>20.333333333333314</v>
      </c>
      <c r="B249" s="32">
        <f t="shared" si="203"/>
        <v>4</v>
      </c>
      <c r="C249" s="62">
        <f t="shared" si="204"/>
        <v>21</v>
      </c>
      <c r="D249" s="64">
        <f t="shared" si="205"/>
        <v>20.833333333333314</v>
      </c>
      <c r="E249" s="28">
        <f t="shared" si="186"/>
        <v>20</v>
      </c>
      <c r="G249" s="68">
        <f>INDEX(Others!$D$11:$E$60, MATCH(C249, Others!$A$11:$A$60, 0), MATCH(G$3, Others!$D$10:$E$10, 0))</f>
        <v>4.0690909090909111E-2</v>
      </c>
      <c r="H249" s="16">
        <f t="shared" si="228"/>
        <v>3.329265421250005E-3</v>
      </c>
      <c r="I249" s="69">
        <f t="shared" si="229"/>
        <v>0.44441720464853718</v>
      </c>
      <c r="K249" s="80">
        <f>INDEX(Mortality!$B$7:$F$32, MATCH( E249,Mortality!$A$7:$A$32, 0), MATCH( K$3,Mortality!$B$6:$F$6,0))</f>
        <v>0.434</v>
      </c>
      <c r="L249" s="11">
        <f t="shared" si="187"/>
        <v>0</v>
      </c>
      <c r="M249" s="80">
        <f t="shared" si="206"/>
        <v>0.434</v>
      </c>
      <c r="N249" s="76">
        <f>INDEX(Myopia!$H:$H, MATCH(E249, Myopia!$A:$A, 0)) * Trend_Factor^(A249)</f>
        <v>5.3360375891693437</v>
      </c>
      <c r="O249" s="11">
        <f t="shared" si="188"/>
        <v>0</v>
      </c>
      <c r="P249" s="80">
        <f t="shared" si="207"/>
        <v>5.3360375891693437</v>
      </c>
      <c r="Q249" s="76">
        <f>VLOOKUP(C249,Others!$L$10:$M$61,2)</f>
        <v>0</v>
      </c>
      <c r="R249" s="11">
        <f t="shared" si="189"/>
        <v>0</v>
      </c>
      <c r="S249" s="80">
        <f t="shared" si="208"/>
        <v>0</v>
      </c>
      <c r="T249" s="78">
        <f t="shared" si="209"/>
        <v>3.6166666666666667E-5</v>
      </c>
      <c r="U249" s="81">
        <f t="shared" si="210"/>
        <v>4.446697990974453E-4</v>
      </c>
      <c r="V249" s="81">
        <f t="shared" si="211"/>
        <v>0</v>
      </c>
      <c r="W249" s="77">
        <f>IF(E249&gt;Mat_Year, 0, AA248)</f>
        <v>0.78520418953868865</v>
      </c>
      <c r="X249" s="82">
        <f t="shared" si="212"/>
        <v>2.8391904273327645E-5</v>
      </c>
      <c r="Y249" s="82">
        <f t="shared" si="213"/>
        <v>3.4915027529765279E-4</v>
      </c>
      <c r="Z249" s="82">
        <f t="shared" si="214"/>
        <v>0</v>
      </c>
      <c r="AA249" s="82">
        <f>W249-SUM(X249:Z249)</f>
        <v>0.78482664735911767</v>
      </c>
      <c r="AC249" s="46">
        <f t="shared" si="191"/>
        <v>0</v>
      </c>
      <c r="AD249" s="15">
        <f t="shared" si="192"/>
        <v>0</v>
      </c>
      <c r="AE249" s="46">
        <f t="shared" si="216"/>
        <v>0</v>
      </c>
      <c r="AF249" s="15">
        <f t="shared" si="217"/>
        <v>0</v>
      </c>
      <c r="AG249" s="46">
        <f>SUMPRODUCT(AE250:AE$605, $I249:$I$604) / $I249</f>
        <v>0</v>
      </c>
      <c r="AI249" s="46">
        <f t="shared" si="193"/>
        <v>-47000</v>
      </c>
      <c r="AJ249" s="46">
        <f>IF(E249&gt;Mat_Year,0,  -SUM($AD$5:AD249))</f>
        <v>-9306</v>
      </c>
      <c r="AK249" s="24">
        <f t="shared" si="218"/>
        <v>-0.26421506116758708</v>
      </c>
      <c r="AL249" s="79">
        <f t="shared" si="219"/>
        <v>-16.410062938989682</v>
      </c>
      <c r="AM249" s="24">
        <f t="shared" si="220"/>
        <v>-21.235594794716377</v>
      </c>
      <c r="AN249" s="79">
        <f t="shared" si="221"/>
        <v>-16.674278000157269</v>
      </c>
      <c r="AO249" s="15">
        <f t="shared" si="222"/>
        <v>-21.154953831602796</v>
      </c>
      <c r="AP249" s="46">
        <f>SUMPRODUCT(AN250:AN$605, $I250:$I$605) / $I249</f>
        <v>-16.610958378072048</v>
      </c>
      <c r="AR249" s="46">
        <v>0</v>
      </c>
      <c r="AS249" s="46">
        <v>0</v>
      </c>
      <c r="AT249" s="46">
        <v>0</v>
      </c>
      <c r="AU249" s="95">
        <f t="shared" si="194"/>
        <v>-2.2892610497119841</v>
      </c>
      <c r="AV249" s="47">
        <f t="shared" si="195"/>
        <v>0</v>
      </c>
      <c r="AW249" s="96">
        <f t="shared" si="230"/>
        <v>-2.2892610497119841</v>
      </c>
      <c r="AX249" s="95">
        <f t="shared" si="196"/>
        <v>-26.250193370030747</v>
      </c>
      <c r="AY249" s="11">
        <f t="shared" si="197"/>
        <v>0</v>
      </c>
      <c r="AZ249" s="96">
        <f t="shared" si="231"/>
        <v>-26.250193370030747</v>
      </c>
      <c r="BA249" s="95">
        <f t="shared" si="232"/>
        <v>-1.797537367181586</v>
      </c>
      <c r="BB249" s="64">
        <f t="shared" si="233"/>
        <v>-9.9105552190811089E-3</v>
      </c>
      <c r="BC249" s="95">
        <f t="shared" si="234"/>
        <v>-2.2892610497119841</v>
      </c>
      <c r="BD249" s="96">
        <f t="shared" si="235"/>
        <v>-1.2621628044169771E-2</v>
      </c>
      <c r="BE249" s="96">
        <f t="shared" si="236"/>
        <v>-1.797537367181586</v>
      </c>
      <c r="BF249" s="96">
        <f t="shared" si="237"/>
        <v>-9.9105552190811089E-3</v>
      </c>
      <c r="BG249" s="15">
        <f t="shared" si="223"/>
        <v>-2.303306471763702</v>
      </c>
      <c r="BH249" s="46">
        <f>(SUMPRODUCT(BE250:BE$605,$I249:$I$604)+SUMPRODUCT(BF250:BF$605,$I250:$I$605)) / $I249</f>
        <v>-1.8085658914204341</v>
      </c>
      <c r="BJ249" s="46">
        <f t="shared" si="238"/>
        <v>-1.797537367181586</v>
      </c>
      <c r="BK249" s="46">
        <f t="shared" si="239"/>
        <v>-16.684188555376352</v>
      </c>
      <c r="BM249" s="49">
        <f t="shared" si="224"/>
        <v>23.469544938965551</v>
      </c>
      <c r="BN249" s="46">
        <f t="shared" si="240"/>
        <v>18.419524269492481</v>
      </c>
      <c r="BP249" s="46">
        <f>Reserve!BX249</f>
        <v>30.586626966249156</v>
      </c>
      <c r="BQ249" s="46">
        <f>BP249*AA249</f>
        <v>24.005199895945307</v>
      </c>
      <c r="BR249" s="15">
        <f t="shared" si="225"/>
        <v>23.948653785598101</v>
      </c>
      <c r="BT249" s="49">
        <f t="shared" si="226"/>
        <v>0.19570276104609452</v>
      </c>
      <c r="BU249" s="46">
        <f t="shared" si="199"/>
        <v>0.15366662787768229</v>
      </c>
      <c r="BV249" s="46">
        <f>SUMPRODUCT(BU250:BU$605, $I250:$I$605) / $I249</f>
        <v>7.3686071892307428E-2</v>
      </c>
      <c r="BX249" s="46">
        <f>-BZ249*Others!$Q$43</f>
        <v>-1.4388721896749683</v>
      </c>
      <c r="BZ249" s="50">
        <f t="shared" si="184"/>
        <v>5.6205944909178447</v>
      </c>
      <c r="CA249" s="46">
        <f t="shared" si="227"/>
        <v>4.1817223012428766</v>
      </c>
      <c r="CB249" s="46">
        <f t="shared" si="200"/>
        <v>4.1817223012428766</v>
      </c>
      <c r="CD249" s="46">
        <f>SUMPRODUCT(BZ250:BZ$605, $I250:$I$605) / $I249</f>
        <v>5.5856756264528258</v>
      </c>
      <c r="CE249" s="46">
        <f>SUMPRODUCT(CA250:CA$605, $I250:$I$605) / $I249</f>
        <v>4.1557426660809025</v>
      </c>
      <c r="CF249" s="46">
        <f>SUMPRODUCT(CB250:CB$605, $I250:$I$605) / $I249</f>
        <v>4.1557426660809025</v>
      </c>
      <c r="CH249" s="46">
        <f t="shared" si="201"/>
        <v>46969.413373033749</v>
      </c>
      <c r="CI249" s="46">
        <f t="shared" si="202"/>
        <v>9275.4133730337508</v>
      </c>
      <c r="CK249" s="46">
        <f>NPV((1+CK$3)^(1/12)-1,$CB$6:$CB249)+$CB$5</f>
        <v>1407.4159675227152</v>
      </c>
      <c r="CL249" s="46">
        <f>NPV((1+CL$3)^(1/12)-1,$CB$6:$CB249)+$CB$5</f>
        <v>1055.666157723037</v>
      </c>
      <c r="CM249" s="46">
        <f>NPV((1+CM$3)^(1/12)-1,$CB$6:$CB249)+$CB$5</f>
        <v>462.05320981615159</v>
      </c>
      <c r="CN249" s="46">
        <f>NPV((1+CN$3)^(1/12)-1,$CB$6:$CB249)+$CB$5</f>
        <v>462.05320981615159</v>
      </c>
    </row>
    <row r="250" spans="1:92" x14ac:dyDescent="0.25">
      <c r="A250" s="61">
        <f t="shared" si="185"/>
        <v>20.416666666666647</v>
      </c>
      <c r="B250" s="32">
        <f t="shared" si="203"/>
        <v>5</v>
      </c>
      <c r="C250" s="62">
        <f t="shared" si="204"/>
        <v>21</v>
      </c>
      <c r="D250" s="64">
        <f t="shared" si="205"/>
        <v>20.916666666666647</v>
      </c>
      <c r="E250" s="28">
        <f t="shared" si="186"/>
        <v>20</v>
      </c>
      <c r="G250" s="68">
        <f>INDEX(Others!$D$11:$E$60, MATCH(C250, Others!$A$11:$A$60, 0), MATCH(G$3, Others!$D$10:$E$10, 0))</f>
        <v>4.0690909090909111E-2</v>
      </c>
      <c r="H250" s="16">
        <f t="shared" si="228"/>
        <v>3.329265421250005E-3</v>
      </c>
      <c r="I250" s="69">
        <f t="shared" si="229"/>
        <v>0.44294253139516232</v>
      </c>
      <c r="K250" s="80">
        <f>INDEX(Mortality!$B$7:$F$32, MATCH( E250,Mortality!$A$7:$A$32, 0), MATCH( K$3,Mortality!$B$6:$F$6,0))</f>
        <v>0.434</v>
      </c>
      <c r="L250" s="11">
        <f t="shared" si="187"/>
        <v>0</v>
      </c>
      <c r="M250" s="80">
        <f t="shared" si="206"/>
        <v>0.434</v>
      </c>
      <c r="N250" s="76">
        <f>INDEX(Myopia!$H:$H, MATCH(E250, Myopia!$A:$A, 0)) * Trend_Factor^(A250)</f>
        <v>5.3360375891693437</v>
      </c>
      <c r="O250" s="11">
        <f t="shared" si="188"/>
        <v>0</v>
      </c>
      <c r="P250" s="80">
        <f t="shared" si="207"/>
        <v>5.3360375891693437</v>
      </c>
      <c r="Q250" s="76">
        <f>VLOOKUP(C250,Others!$L$10:$M$61,2)</f>
        <v>0</v>
      </c>
      <c r="R250" s="11">
        <f t="shared" si="189"/>
        <v>0</v>
      </c>
      <c r="S250" s="80">
        <f t="shared" si="208"/>
        <v>0</v>
      </c>
      <c r="T250" s="78">
        <f t="shared" si="209"/>
        <v>3.6166666666666667E-5</v>
      </c>
      <c r="U250" s="81">
        <f t="shared" si="210"/>
        <v>4.446697990974453E-4</v>
      </c>
      <c r="V250" s="81">
        <f t="shared" si="211"/>
        <v>0</v>
      </c>
      <c r="W250" s="77">
        <f t="shared" si="190"/>
        <v>0.78482664735911767</v>
      </c>
      <c r="X250" s="82">
        <f>W250 * (T250)*(1-U250/2)</f>
        <v>2.8378252867025521E-5</v>
      </c>
      <c r="Y250" s="82">
        <f t="shared" si="213"/>
        <v>3.489823967283712E-4</v>
      </c>
      <c r="Z250" s="82">
        <f t="shared" si="214"/>
        <v>0</v>
      </c>
      <c r="AA250" s="82">
        <f t="shared" si="215"/>
        <v>0.7844492867095223</v>
      </c>
      <c r="AC250" s="46">
        <f t="shared" si="191"/>
        <v>0</v>
      </c>
      <c r="AD250" s="15">
        <f t="shared" si="192"/>
        <v>0</v>
      </c>
      <c r="AE250" s="46">
        <f t="shared" si="216"/>
        <v>0</v>
      </c>
      <c r="AF250" s="15">
        <f t="shared" si="217"/>
        <v>0</v>
      </c>
      <c r="AG250" s="46">
        <f>SUMPRODUCT(AE251:AE$605, $I250:$I$604) / $I250</f>
        <v>0</v>
      </c>
      <c r="AI250" s="46">
        <f t="shared" si="193"/>
        <v>-47000</v>
      </c>
      <c r="AJ250" s="46">
        <f>IF(E250&gt;Mat_Year,0,  -SUM($AD$5:AD250))</f>
        <v>-9306</v>
      </c>
      <c r="AK250" s="24">
        <f t="shared" si="218"/>
        <v>-0.26408802118053948</v>
      </c>
      <c r="AL250" s="79">
        <f t="shared" si="219"/>
        <v>-16.402172646233446</v>
      </c>
      <c r="AM250" s="24">
        <f t="shared" si="220"/>
        <v>-21.235594794716381</v>
      </c>
      <c r="AN250" s="79">
        <f t="shared" si="221"/>
        <v>-16.666260667413987</v>
      </c>
      <c r="AO250" s="15">
        <f t="shared" si="222"/>
        <v>0</v>
      </c>
      <c r="AP250" s="46">
        <f>SUMPRODUCT(AN251:AN$605, $I251:$I$605) / $I250</f>
        <v>0</v>
      </c>
      <c r="AR250" s="46">
        <v>0</v>
      </c>
      <c r="AS250" s="46">
        <v>0</v>
      </c>
      <c r="AT250" s="46">
        <v>0</v>
      </c>
      <c r="AU250" s="95">
        <f t="shared" si="194"/>
        <v>-2.2918206690938714</v>
      </c>
      <c r="AV250" s="47">
        <f t="shared" si="195"/>
        <v>0</v>
      </c>
      <c r="AW250" s="96">
        <f t="shared" si="230"/>
        <v>-2.2918206690938714</v>
      </c>
      <c r="AX250" s="95">
        <f t="shared" si="196"/>
        <v>-26.279543672276386</v>
      </c>
      <c r="AY250" s="11">
        <f t="shared" si="197"/>
        <v>0</v>
      </c>
      <c r="AZ250" s="96">
        <f t="shared" si="231"/>
        <v>-26.279543672276386</v>
      </c>
      <c r="BA250" s="95">
        <f t="shared" si="232"/>
        <v>-1.798681932073273</v>
      </c>
      <c r="BB250" s="64">
        <f t="shared" si="233"/>
        <v>-9.9168656712408151E-3</v>
      </c>
      <c r="BC250" s="95">
        <f t="shared" si="234"/>
        <v>-2.2918206690938714</v>
      </c>
      <c r="BD250" s="96">
        <f t="shared" si="235"/>
        <v>-1.2635740267752526E-2</v>
      </c>
      <c r="BE250" s="96">
        <f>SUM(AT250,BA250)</f>
        <v>-1.798681932073273</v>
      </c>
      <c r="BF250" s="96">
        <f t="shared" si="237"/>
        <v>-9.9168656712408151E-3</v>
      </c>
      <c r="BG250" s="15">
        <f t="shared" si="223"/>
        <v>0</v>
      </c>
      <c r="BH250" s="46">
        <f>(SUMPRODUCT(BE251:BE$605,$I250:$I$604)+SUMPRODUCT(BF251:BF$605,$I251:$I$605)) / $I250</f>
        <v>0</v>
      </c>
      <c r="BJ250" s="46">
        <f>SUM(AE250,BE250)</f>
        <v>-1.798681932073273</v>
      </c>
      <c r="BK250" s="46">
        <f t="shared" si="239"/>
        <v>-16.676177533085227</v>
      </c>
      <c r="BM250" s="49">
        <f t="shared" si="224"/>
        <v>0</v>
      </c>
      <c r="BN250" s="46">
        <f t="shared" si="240"/>
        <v>0</v>
      </c>
      <c r="BP250" s="46">
        <f>Reserve!BX250</f>
        <v>0</v>
      </c>
      <c r="BQ250" s="46">
        <f t="shared" si="198"/>
        <v>0</v>
      </c>
      <c r="BR250" s="15">
        <f t="shared" si="225"/>
        <v>24.005199895945307</v>
      </c>
      <c r="BT250" s="49">
        <f t="shared" si="226"/>
        <v>9.4200920206085989E-2</v>
      </c>
      <c r="BU250" s="46">
        <f t="shared" si="199"/>
        <v>7.3931392383486227E-2</v>
      </c>
      <c r="BV250" s="46">
        <f>SUMPRODUCT(BU251:BU$605, $I251:$I$605) / $I250</f>
        <v>0</v>
      </c>
      <c r="BX250" s="46">
        <f>-BZ250*Others!$Q$43</f>
        <v>-1.4346935867315953</v>
      </c>
      <c r="BZ250" s="50">
        <f t="shared" si="184"/>
        <v>5.6042718231702944</v>
      </c>
      <c r="CA250" s="46">
        <f t="shared" si="227"/>
        <v>4.1695782364386993</v>
      </c>
      <c r="CB250" s="46">
        <f t="shared" si="200"/>
        <v>4.1695782364386993</v>
      </c>
      <c r="CD250" s="46">
        <f>SUMPRODUCT(BZ251:BZ$605, $I251:$I$605) / $I250</f>
        <v>0</v>
      </c>
      <c r="CE250" s="46">
        <f>SUMPRODUCT(CA251:CA$605, $I251:$I$605) / $I250</f>
        <v>0</v>
      </c>
      <c r="CF250" s="46">
        <f>SUMPRODUCT(CB251:CB$605, $I251:$I$605) / $I250</f>
        <v>0</v>
      </c>
      <c r="CH250" s="46">
        <f t="shared" si="201"/>
        <v>0</v>
      </c>
      <c r="CI250" s="46">
        <f t="shared" si="202"/>
        <v>0</v>
      </c>
      <c r="CK250" s="46">
        <f>NPV((1+CK$3)^(1/12)-1,$CB$6:$CB250)+$CB$5</f>
        <v>1409.6963032385702</v>
      </c>
      <c r="CL250" s="46">
        <f>NPV((1+CL$3)^(1/12)-1,$CB$6:$CB250)+$CB$5</f>
        <v>1057.2060036590874</v>
      </c>
      <c r="CM250" s="46">
        <f>NPV((1+CM$3)^(1/12)-1,$CB$6:$CB250)+$CB$5</f>
        <v>462.64886026294084</v>
      </c>
      <c r="CN250" s="46">
        <f>NPV((1+CN$3)^(1/12)-1,$CB$6:$CB250)+$CB$5</f>
        <v>462.64886026294084</v>
      </c>
    </row>
    <row r="251" spans="1:92" x14ac:dyDescent="0.25">
      <c r="A251" s="61">
        <f t="shared" si="185"/>
        <v>20.499999999999979</v>
      </c>
      <c r="B251" s="32">
        <f t="shared" si="203"/>
        <v>6</v>
      </c>
      <c r="C251" s="62">
        <f t="shared" si="204"/>
        <v>21</v>
      </c>
      <c r="D251" s="64">
        <f>$D$5+A251</f>
        <v>20.999999999999979</v>
      </c>
      <c r="E251" s="28">
        <f t="shared" si="186"/>
        <v>21</v>
      </c>
      <c r="G251" s="68">
        <f>INDEX(Others!$D$11:$E$60, MATCH(C251, Others!$A$11:$A$60, 0), MATCH(G$3, Others!$D$10:$E$10, 0))</f>
        <v>4.0690909090909111E-2</v>
      </c>
      <c r="H251" s="16">
        <f t="shared" si="228"/>
        <v>3.329265421250005E-3</v>
      </c>
      <c r="I251" s="69">
        <f t="shared" si="229"/>
        <v>0.44147275142940429</v>
      </c>
      <c r="K251" s="80">
        <f>INDEX(Mortality!$B$7:$F$32, MATCH( E251,Mortality!$A$7:$A$32, 0), MATCH( K$3,Mortality!$B$6:$F$6,0))</f>
        <v>0.44800000000000001</v>
      </c>
      <c r="L251" s="11">
        <f t="shared" si="187"/>
        <v>0</v>
      </c>
      <c r="M251" s="80">
        <f t="shared" si="206"/>
        <v>0.44800000000000001</v>
      </c>
      <c r="N251" s="76" t="e">
        <f>INDEX(Myopia!$H:$H, MATCH(E251, Myopia!$A:$A, 0)) * Trend_Factor^(A251)</f>
        <v>#N/A</v>
      </c>
      <c r="O251" s="11">
        <f t="shared" si="188"/>
        <v>0</v>
      </c>
      <c r="P251" s="80">
        <f t="shared" si="207"/>
        <v>0</v>
      </c>
      <c r="Q251" s="76">
        <f>VLOOKUP(C251,Others!$L$10:$M$61,2)</f>
        <v>0</v>
      </c>
      <c r="R251" s="11">
        <f t="shared" si="189"/>
        <v>0</v>
      </c>
      <c r="S251" s="80">
        <f t="shared" si="208"/>
        <v>0</v>
      </c>
      <c r="T251" s="78">
        <f t="shared" si="209"/>
        <v>3.7333333333333331E-5</v>
      </c>
      <c r="U251" s="81">
        <f t="shared" si="210"/>
        <v>0</v>
      </c>
      <c r="V251" s="81">
        <f t="shared" si="211"/>
        <v>0</v>
      </c>
      <c r="W251" s="77">
        <f t="shared" si="190"/>
        <v>0</v>
      </c>
      <c r="X251" s="82">
        <f t="shared" si="212"/>
        <v>0</v>
      </c>
      <c r="Y251" s="82">
        <f t="shared" si="213"/>
        <v>0</v>
      </c>
      <c r="Z251" s="82">
        <f t="shared" si="214"/>
        <v>0</v>
      </c>
      <c r="AA251" s="82">
        <f t="shared" si="215"/>
        <v>0</v>
      </c>
      <c r="AC251" s="46">
        <f t="shared" si="191"/>
        <v>0</v>
      </c>
      <c r="AD251" s="15">
        <f t="shared" si="192"/>
        <v>0</v>
      </c>
      <c r="AE251" s="46">
        <f t="shared" si="216"/>
        <v>0</v>
      </c>
      <c r="AF251" s="15">
        <f t="shared" si="217"/>
        <v>0</v>
      </c>
      <c r="AG251" s="46">
        <f>SUMPRODUCT(AE252:AE$605, $I251:$I$604) / $I251</f>
        <v>0</v>
      </c>
      <c r="AI251" s="46">
        <f t="shared" si="193"/>
        <v>0</v>
      </c>
      <c r="AJ251" s="46">
        <f>IF(E251&gt;Mat_Year,0,  -SUM($AD$5:AD251))</f>
        <v>0</v>
      </c>
      <c r="AK251" s="24">
        <f t="shared" si="218"/>
        <v>0</v>
      </c>
      <c r="AL251" s="79">
        <f t="shared" si="219"/>
        <v>0</v>
      </c>
      <c r="AM251" s="24">
        <f t="shared" si="220"/>
        <v>0</v>
      </c>
      <c r="AN251" s="79">
        <f t="shared" si="221"/>
        <v>0</v>
      </c>
      <c r="AO251" s="15">
        <f t="shared" si="222"/>
        <v>0</v>
      </c>
      <c r="AP251" s="46">
        <f>SUMPRODUCT(AN252:AN$605, $I252:$I$605) / $I251</f>
        <v>0</v>
      </c>
      <c r="AR251" s="46">
        <v>0</v>
      </c>
      <c r="AS251" s="46">
        <v>0</v>
      </c>
      <c r="AT251" s="46">
        <v>0</v>
      </c>
      <c r="AU251" s="95">
        <f t="shared" si="194"/>
        <v>0</v>
      </c>
      <c r="AV251" s="47">
        <f t="shared" si="195"/>
        <v>0</v>
      </c>
      <c r="AW251" s="96">
        <f t="shared" si="230"/>
        <v>0</v>
      </c>
      <c r="AX251" s="95">
        <f t="shared" si="196"/>
        <v>0</v>
      </c>
      <c r="AY251" s="11">
        <f t="shared" si="197"/>
        <v>0</v>
      </c>
      <c r="AZ251" s="96">
        <f t="shared" si="231"/>
        <v>0</v>
      </c>
      <c r="BA251" s="95">
        <f t="shared" si="232"/>
        <v>0</v>
      </c>
      <c r="BB251" s="64">
        <f t="shared" si="233"/>
        <v>0</v>
      </c>
      <c r="BC251" s="95">
        <f t="shared" si="234"/>
        <v>0</v>
      </c>
      <c r="BD251" s="96">
        <f t="shared" si="235"/>
        <v>0</v>
      </c>
      <c r="BE251" s="96">
        <f t="shared" si="236"/>
        <v>0</v>
      </c>
      <c r="BF251" s="96">
        <f t="shared" si="237"/>
        <v>0</v>
      </c>
      <c r="BG251" s="15">
        <f t="shared" si="223"/>
        <v>0</v>
      </c>
      <c r="BH251" s="46">
        <f>(SUMPRODUCT(BE252:BE$605,$I251:$I$604)+SUMPRODUCT(BF252:BF$605,$I252:$I$605)) / $I251</f>
        <v>0</v>
      </c>
      <c r="BJ251" s="46">
        <f t="shared" si="238"/>
        <v>0</v>
      </c>
      <c r="BK251" s="46">
        <f t="shared" si="239"/>
        <v>0</v>
      </c>
      <c r="BM251" s="49">
        <f t="shared" si="224"/>
        <v>0</v>
      </c>
      <c r="BN251" s="46">
        <f t="shared" si="240"/>
        <v>0</v>
      </c>
      <c r="BP251" s="46">
        <f>Reserve!BX251</f>
        <v>0</v>
      </c>
      <c r="BQ251" s="46">
        <f t="shared" si="198"/>
        <v>0</v>
      </c>
      <c r="BR251" s="15">
        <f t="shared" si="225"/>
        <v>0</v>
      </c>
      <c r="BT251" s="49">
        <f t="shared" si="226"/>
        <v>0</v>
      </c>
      <c r="BU251" s="46">
        <f t="shared" si="199"/>
        <v>0</v>
      </c>
      <c r="BV251" s="46">
        <f>SUMPRODUCT(BU252:BU$605, $I252:$I$605) / $I251</f>
        <v>0</v>
      </c>
      <c r="BX251" s="46">
        <f>-BZ251*Others!$Q$43</f>
        <v>0</v>
      </c>
      <c r="BZ251" s="50">
        <f t="shared" si="184"/>
        <v>0</v>
      </c>
      <c r="CA251" s="46">
        <f t="shared" si="227"/>
        <v>0</v>
      </c>
      <c r="CB251" s="46">
        <f t="shared" si="200"/>
        <v>0</v>
      </c>
      <c r="CD251" s="46">
        <f>SUMPRODUCT(BZ252:BZ$605, $I252:$I$605) / $I251</f>
        <v>0</v>
      </c>
      <c r="CE251" s="46">
        <f>SUMPRODUCT(CA252:CA$605, $I252:$I$605) / $I251</f>
        <v>0</v>
      </c>
      <c r="CF251" s="46">
        <f>SUMPRODUCT(CB252:CB$605, $I252:$I$605) / $I251</f>
        <v>0</v>
      </c>
      <c r="CH251" s="46">
        <f t="shared" si="201"/>
        <v>0</v>
      </c>
      <c r="CI251" s="46">
        <f t="shared" si="202"/>
        <v>0</v>
      </c>
      <c r="CK251" s="46">
        <f>NPV((1+CK$3)^(1/12)-1,$CB$6:$CB251)+$CB$5</f>
        <v>1409.6963032385702</v>
      </c>
      <c r="CL251" s="46">
        <f>NPV((1+CL$3)^(1/12)-1,$CB$6:$CB251)+$CB$5</f>
        <v>1057.2060036590874</v>
      </c>
      <c r="CM251" s="46">
        <f>NPV((1+CM$3)^(1/12)-1,$CB$6:$CB251)+$CB$5</f>
        <v>462.64886026294084</v>
      </c>
      <c r="CN251" s="46">
        <f>NPV((1+CN$3)^(1/12)-1,$CB$6:$CB251)+$CB$5</f>
        <v>462.64886026294084</v>
      </c>
    </row>
    <row r="252" spans="1:92" x14ac:dyDescent="0.25">
      <c r="A252" s="61">
        <f t="shared" si="185"/>
        <v>20.583333333333311</v>
      </c>
      <c r="B252" s="32">
        <f t="shared" si="203"/>
        <v>7</v>
      </c>
      <c r="C252" s="62">
        <f t="shared" si="204"/>
        <v>21</v>
      </c>
      <c r="D252" s="64">
        <f t="shared" si="205"/>
        <v>21.083333333333311</v>
      </c>
      <c r="E252" s="28">
        <f t="shared" si="186"/>
        <v>21</v>
      </c>
      <c r="G252" s="68">
        <f>INDEX(Others!$D$11:$E$60, MATCH(C252, Others!$A$11:$A$60, 0), MATCH(G$3, Others!$D$10:$E$10, 0))</f>
        <v>4.0690909090909111E-2</v>
      </c>
      <c r="H252" s="16">
        <f t="shared" si="228"/>
        <v>3.329265421250005E-3</v>
      </c>
      <c r="I252" s="69">
        <f t="shared" si="229"/>
        <v>0.44000784851426711</v>
      </c>
      <c r="K252" s="80">
        <f>INDEX(Mortality!$B$7:$F$32, MATCH( E252,Mortality!$A$7:$A$32, 0), MATCH( K$3,Mortality!$B$6:$F$6,0))</f>
        <v>0.44800000000000001</v>
      </c>
      <c r="L252" s="11">
        <f t="shared" si="187"/>
        <v>0</v>
      </c>
      <c r="M252" s="80">
        <f t="shared" si="206"/>
        <v>0.44800000000000001</v>
      </c>
      <c r="N252" s="76" t="e">
        <f>INDEX(Myopia!$H:$H, MATCH(E252, Myopia!$A:$A, 0)) * Trend_Factor^(A252)</f>
        <v>#N/A</v>
      </c>
      <c r="O252" s="11">
        <f t="shared" si="188"/>
        <v>0</v>
      </c>
      <c r="P252" s="80">
        <f t="shared" si="207"/>
        <v>0</v>
      </c>
      <c r="Q252" s="76">
        <f>VLOOKUP(C252,Others!$L$10:$M$61,2)</f>
        <v>0</v>
      </c>
      <c r="R252" s="11">
        <f t="shared" si="189"/>
        <v>0</v>
      </c>
      <c r="S252" s="80">
        <f t="shared" si="208"/>
        <v>0</v>
      </c>
      <c r="T252" s="78">
        <f t="shared" si="209"/>
        <v>3.7333333333333331E-5</v>
      </c>
      <c r="U252" s="81">
        <f t="shared" si="210"/>
        <v>0</v>
      </c>
      <c r="V252" s="81">
        <f t="shared" si="211"/>
        <v>0</v>
      </c>
      <c r="W252" s="77">
        <f t="shared" si="190"/>
        <v>0</v>
      </c>
      <c r="X252" s="82">
        <f t="shared" si="212"/>
        <v>0</v>
      </c>
      <c r="Y252" s="82">
        <f t="shared" si="213"/>
        <v>0</v>
      </c>
      <c r="Z252" s="82">
        <f t="shared" si="214"/>
        <v>0</v>
      </c>
      <c r="AA252" s="82">
        <f t="shared" si="215"/>
        <v>0</v>
      </c>
      <c r="AC252" s="46">
        <f t="shared" si="191"/>
        <v>0</v>
      </c>
      <c r="AD252" s="15">
        <f t="shared" si="192"/>
        <v>0</v>
      </c>
      <c r="AE252" s="46">
        <f t="shared" si="216"/>
        <v>0</v>
      </c>
      <c r="AF252" s="15">
        <f t="shared" si="217"/>
        <v>0</v>
      </c>
      <c r="AG252" s="46">
        <f>SUMPRODUCT(AE253:AE$605, $I252:$I$604) / $I252</f>
        <v>0</v>
      </c>
      <c r="AI252" s="46">
        <f t="shared" si="193"/>
        <v>0</v>
      </c>
      <c r="AJ252" s="46">
        <f>IF(E252&gt;Mat_Year,0,  -SUM($AD$5:AD252))</f>
        <v>0</v>
      </c>
      <c r="AK252" s="24">
        <f t="shared" si="218"/>
        <v>0</v>
      </c>
      <c r="AL252" s="79">
        <f t="shared" si="219"/>
        <v>0</v>
      </c>
      <c r="AM252" s="24">
        <f t="shared" si="220"/>
        <v>0</v>
      </c>
      <c r="AN252" s="79">
        <f t="shared" si="221"/>
        <v>0</v>
      </c>
      <c r="AO252" s="15">
        <f t="shared" si="222"/>
        <v>0</v>
      </c>
      <c r="AP252" s="46">
        <f>SUMPRODUCT(AN253:AN$605, $I253:$I$605) / $I252</f>
        <v>0</v>
      </c>
      <c r="AR252" s="46">
        <v>0</v>
      </c>
      <c r="AS252" s="46">
        <v>0</v>
      </c>
      <c r="AT252" s="46">
        <v>0</v>
      </c>
      <c r="AU252" s="95">
        <f t="shared" si="194"/>
        <v>0</v>
      </c>
      <c r="AV252" s="47">
        <f t="shared" si="195"/>
        <v>0</v>
      </c>
      <c r="AW252" s="96">
        <f t="shared" si="230"/>
        <v>0</v>
      </c>
      <c r="AX252" s="95">
        <f t="shared" si="196"/>
        <v>0</v>
      </c>
      <c r="AY252" s="11">
        <f t="shared" si="197"/>
        <v>0</v>
      </c>
      <c r="AZ252" s="96">
        <f t="shared" si="231"/>
        <v>0</v>
      </c>
      <c r="BA252" s="95">
        <f t="shared" si="232"/>
        <v>0</v>
      </c>
      <c r="BB252" s="64">
        <f t="shared" si="233"/>
        <v>0</v>
      </c>
      <c r="BC252" s="95">
        <f t="shared" si="234"/>
        <v>0</v>
      </c>
      <c r="BD252" s="96">
        <f t="shared" si="235"/>
        <v>0</v>
      </c>
      <c r="BE252" s="96">
        <f t="shared" si="236"/>
        <v>0</v>
      </c>
      <c r="BF252" s="96">
        <f t="shared" si="237"/>
        <v>0</v>
      </c>
      <c r="BG252" s="15">
        <f t="shared" si="223"/>
        <v>0</v>
      </c>
      <c r="BH252" s="46">
        <f>(SUMPRODUCT(BE253:BE$605,$I252:$I$604)+SUMPRODUCT(BF253:BF$605,$I253:$I$605)) / $I252</f>
        <v>0</v>
      </c>
      <c r="BJ252" s="46">
        <f t="shared" si="238"/>
        <v>0</v>
      </c>
      <c r="BK252" s="46">
        <f t="shared" si="239"/>
        <v>0</v>
      </c>
      <c r="BM252" s="49">
        <f t="shared" si="224"/>
        <v>0</v>
      </c>
      <c r="BN252" s="46">
        <f t="shared" si="240"/>
        <v>0</v>
      </c>
      <c r="BP252" s="46">
        <f>Reserve!BX252</f>
        <v>0</v>
      </c>
      <c r="BQ252" s="46">
        <f t="shared" si="198"/>
        <v>0</v>
      </c>
      <c r="BR252" s="15">
        <f t="shared" si="225"/>
        <v>0</v>
      </c>
      <c r="BT252" s="49">
        <f t="shared" si="226"/>
        <v>0</v>
      </c>
      <c r="BU252" s="46">
        <f t="shared" si="199"/>
        <v>0</v>
      </c>
      <c r="BV252" s="46">
        <f>SUMPRODUCT(BU253:BU$605, $I253:$I$605) / $I252</f>
        <v>0</v>
      </c>
      <c r="BX252" s="46">
        <f>-BZ252*Others!$Q$43</f>
        <v>0</v>
      </c>
      <c r="BZ252" s="50">
        <f t="shared" si="184"/>
        <v>0</v>
      </c>
      <c r="CA252" s="46">
        <f t="shared" si="227"/>
        <v>0</v>
      </c>
      <c r="CB252" s="46">
        <f t="shared" si="200"/>
        <v>0</v>
      </c>
      <c r="CD252" s="46">
        <f>SUMPRODUCT(BZ253:BZ$605, $I253:$I$605) / $I252</f>
        <v>0</v>
      </c>
      <c r="CE252" s="46">
        <f>SUMPRODUCT(CA253:CA$605, $I253:$I$605) / $I252</f>
        <v>0</v>
      </c>
      <c r="CF252" s="46">
        <f>SUMPRODUCT(CB253:CB$605, $I253:$I$605) / $I252</f>
        <v>0</v>
      </c>
      <c r="CH252" s="46">
        <f t="shared" si="201"/>
        <v>0</v>
      </c>
      <c r="CI252" s="46">
        <f t="shared" si="202"/>
        <v>0</v>
      </c>
      <c r="CK252" s="46">
        <f>NPV((1+CK$3)^(1/12)-1,$CB$6:$CB252)+$CB$5</f>
        <v>1409.6963032385702</v>
      </c>
      <c r="CL252" s="46">
        <f>NPV((1+CL$3)^(1/12)-1,$CB$6:$CB252)+$CB$5</f>
        <v>1057.2060036590874</v>
      </c>
      <c r="CM252" s="46">
        <f>NPV((1+CM$3)^(1/12)-1,$CB$6:$CB252)+$CB$5</f>
        <v>462.64886026294084</v>
      </c>
      <c r="CN252" s="46">
        <f>NPV((1+CN$3)^(1/12)-1,$CB$6:$CB252)+$CB$5</f>
        <v>462.64886026294084</v>
      </c>
    </row>
    <row r="253" spans="1:92" x14ac:dyDescent="0.25">
      <c r="A253" s="61">
        <f t="shared" si="185"/>
        <v>20.666666666666643</v>
      </c>
      <c r="B253" s="32">
        <f t="shared" si="203"/>
        <v>8</v>
      </c>
      <c r="C253" s="62">
        <f t="shared" si="204"/>
        <v>21</v>
      </c>
      <c r="D253" s="64">
        <f t="shared" si="205"/>
        <v>21.166666666666643</v>
      </c>
      <c r="E253" s="28">
        <f t="shared" si="186"/>
        <v>21</v>
      </c>
      <c r="G253" s="68">
        <f>INDEX(Others!$D$11:$E$60, MATCH(C253, Others!$A$11:$A$60, 0), MATCH(G$3, Others!$D$10:$E$10, 0))</f>
        <v>4.0690909090909111E-2</v>
      </c>
      <c r="H253" s="16">
        <f t="shared" si="228"/>
        <v>3.329265421250005E-3</v>
      </c>
      <c r="I253" s="69">
        <f t="shared" si="229"/>
        <v>0.43854780646663272</v>
      </c>
      <c r="K253" s="80">
        <f>INDEX(Mortality!$B$7:$F$32, MATCH( E253,Mortality!$A$7:$A$32, 0), MATCH( K$3,Mortality!$B$6:$F$6,0))</f>
        <v>0.44800000000000001</v>
      </c>
      <c r="L253" s="11">
        <f t="shared" si="187"/>
        <v>0</v>
      </c>
      <c r="M253" s="80">
        <f t="shared" si="206"/>
        <v>0.44800000000000001</v>
      </c>
      <c r="N253" s="76" t="e">
        <f>INDEX(Myopia!$H:$H, MATCH(E253, Myopia!$A:$A, 0)) * Trend_Factor^(A253)</f>
        <v>#N/A</v>
      </c>
      <c r="O253" s="11">
        <f t="shared" si="188"/>
        <v>0</v>
      </c>
      <c r="P253" s="80">
        <f t="shared" si="207"/>
        <v>0</v>
      </c>
      <c r="Q253" s="76">
        <f>VLOOKUP(C253,Others!$L$10:$M$61,2)</f>
        <v>0</v>
      </c>
      <c r="R253" s="11">
        <f t="shared" si="189"/>
        <v>0</v>
      </c>
      <c r="S253" s="80">
        <f t="shared" si="208"/>
        <v>0</v>
      </c>
      <c r="T253" s="78">
        <f t="shared" si="209"/>
        <v>3.7333333333333331E-5</v>
      </c>
      <c r="U253" s="81">
        <f t="shared" si="210"/>
        <v>0</v>
      </c>
      <c r="V253" s="81">
        <f t="shared" si="211"/>
        <v>0</v>
      </c>
      <c r="W253" s="77">
        <f t="shared" si="190"/>
        <v>0</v>
      </c>
      <c r="X253" s="82">
        <f t="shared" si="212"/>
        <v>0</v>
      </c>
      <c r="Y253" s="82">
        <f t="shared" si="213"/>
        <v>0</v>
      </c>
      <c r="Z253" s="82">
        <f t="shared" si="214"/>
        <v>0</v>
      </c>
      <c r="AA253" s="82">
        <f t="shared" si="215"/>
        <v>0</v>
      </c>
      <c r="AC253" s="46">
        <f t="shared" si="191"/>
        <v>0</v>
      </c>
      <c r="AD253" s="15">
        <f t="shared" si="192"/>
        <v>0</v>
      </c>
      <c r="AE253" s="46">
        <f t="shared" si="216"/>
        <v>0</v>
      </c>
      <c r="AF253" s="15">
        <f t="shared" si="217"/>
        <v>0</v>
      </c>
      <c r="AG253" s="46">
        <f>SUMPRODUCT(AE254:AE$605, $I253:$I$604) / $I253</f>
        <v>0</v>
      </c>
      <c r="AI253" s="46">
        <f t="shared" si="193"/>
        <v>0</v>
      </c>
      <c r="AJ253" s="46">
        <f>IF(E253&gt;Mat_Year,0,  -SUM($AD$5:AD253))</f>
        <v>0</v>
      </c>
      <c r="AK253" s="24">
        <f t="shared" si="218"/>
        <v>0</v>
      </c>
      <c r="AL253" s="79">
        <f t="shared" si="219"/>
        <v>0</v>
      </c>
      <c r="AM253" s="24">
        <f t="shared" si="220"/>
        <v>0</v>
      </c>
      <c r="AN253" s="79">
        <f t="shared" si="221"/>
        <v>0</v>
      </c>
      <c r="AO253" s="15">
        <f t="shared" si="222"/>
        <v>0</v>
      </c>
      <c r="AP253" s="46">
        <f>SUMPRODUCT(AN254:AN$605, $I254:$I$605) / $I253</f>
        <v>0</v>
      </c>
      <c r="AR253" s="46">
        <v>0</v>
      </c>
      <c r="AS253" s="46">
        <v>0</v>
      </c>
      <c r="AT253" s="46">
        <v>0</v>
      </c>
      <c r="AU253" s="95">
        <f t="shared" si="194"/>
        <v>0</v>
      </c>
      <c r="AV253" s="47">
        <f t="shared" si="195"/>
        <v>0</v>
      </c>
      <c r="AW253" s="96">
        <f t="shared" si="230"/>
        <v>0</v>
      </c>
      <c r="AX253" s="95">
        <f t="shared" si="196"/>
        <v>0</v>
      </c>
      <c r="AY253" s="11">
        <f t="shared" si="197"/>
        <v>0</v>
      </c>
      <c r="AZ253" s="96">
        <f t="shared" si="231"/>
        <v>0</v>
      </c>
      <c r="BA253" s="95">
        <f t="shared" si="232"/>
        <v>0</v>
      </c>
      <c r="BB253" s="64">
        <f t="shared" si="233"/>
        <v>0</v>
      </c>
      <c r="BC253" s="95">
        <f t="shared" si="234"/>
        <v>0</v>
      </c>
      <c r="BD253" s="96">
        <f t="shared" si="235"/>
        <v>0</v>
      </c>
      <c r="BE253" s="96">
        <f t="shared" si="236"/>
        <v>0</v>
      </c>
      <c r="BF253" s="96">
        <f t="shared" si="237"/>
        <v>0</v>
      </c>
      <c r="BG253" s="15">
        <f t="shared" si="223"/>
        <v>0</v>
      </c>
      <c r="BH253" s="46">
        <f>(SUMPRODUCT(BE254:BE$605,$I253:$I$604)+SUMPRODUCT(BF254:BF$605,$I254:$I$605)) / $I253</f>
        <v>0</v>
      </c>
      <c r="BJ253" s="46">
        <f t="shared" si="238"/>
        <v>0</v>
      </c>
      <c r="BK253" s="46">
        <f t="shared" si="239"/>
        <v>0</v>
      </c>
      <c r="BM253" s="49">
        <f t="shared" si="224"/>
        <v>0</v>
      </c>
      <c r="BN253" s="46">
        <f t="shared" si="240"/>
        <v>0</v>
      </c>
      <c r="BP253" s="46">
        <f>Reserve!BX253</f>
        <v>0</v>
      </c>
      <c r="BQ253" s="46">
        <f t="shared" si="198"/>
        <v>0</v>
      </c>
      <c r="BR253" s="15">
        <f t="shared" si="225"/>
        <v>0</v>
      </c>
      <c r="BT253" s="49">
        <f t="shared" si="226"/>
        <v>0</v>
      </c>
      <c r="BU253" s="46">
        <f t="shared" si="199"/>
        <v>0</v>
      </c>
      <c r="BV253" s="46">
        <f>SUMPRODUCT(BU254:BU$605, $I254:$I$605) / $I253</f>
        <v>0</v>
      </c>
      <c r="BX253" s="46">
        <f>-BZ253*Others!$Q$43</f>
        <v>0</v>
      </c>
      <c r="BZ253" s="50">
        <f t="shared" si="184"/>
        <v>0</v>
      </c>
      <c r="CA253" s="46">
        <f t="shared" si="227"/>
        <v>0</v>
      </c>
      <c r="CB253" s="46">
        <f t="shared" si="200"/>
        <v>0</v>
      </c>
      <c r="CD253" s="46">
        <f>SUMPRODUCT(BZ254:BZ$605, $I254:$I$605) / $I253</f>
        <v>0</v>
      </c>
      <c r="CE253" s="46">
        <f>SUMPRODUCT(CA254:CA$605, $I254:$I$605) / $I253</f>
        <v>0</v>
      </c>
      <c r="CF253" s="46">
        <f>SUMPRODUCT(CB254:CB$605, $I254:$I$605) / $I253</f>
        <v>0</v>
      </c>
      <c r="CH253" s="46">
        <f t="shared" si="201"/>
        <v>0</v>
      </c>
      <c r="CI253" s="46">
        <f t="shared" si="202"/>
        <v>0</v>
      </c>
      <c r="CK253" s="46">
        <f>NPV((1+CK$3)^(1/12)-1,$CB$6:$CB253)+$CB$5</f>
        <v>1409.6963032385702</v>
      </c>
      <c r="CL253" s="46">
        <f>NPV((1+CL$3)^(1/12)-1,$CB$6:$CB253)+$CB$5</f>
        <v>1057.2060036590874</v>
      </c>
      <c r="CM253" s="46">
        <f>NPV((1+CM$3)^(1/12)-1,$CB$6:$CB253)+$CB$5</f>
        <v>462.64886026294084</v>
      </c>
      <c r="CN253" s="46">
        <f>NPV((1+CN$3)^(1/12)-1,$CB$6:$CB253)+$CB$5</f>
        <v>462.64886026294084</v>
      </c>
    </row>
    <row r="254" spans="1:92" x14ac:dyDescent="0.25">
      <c r="A254" s="61">
        <f t="shared" si="185"/>
        <v>20.749999999999975</v>
      </c>
      <c r="B254" s="32">
        <f t="shared" si="203"/>
        <v>9</v>
      </c>
      <c r="C254" s="62">
        <f t="shared" si="204"/>
        <v>21</v>
      </c>
      <c r="D254" s="64">
        <f t="shared" si="205"/>
        <v>21.249999999999975</v>
      </c>
      <c r="E254" s="28">
        <f t="shared" si="186"/>
        <v>21</v>
      </c>
      <c r="G254" s="68">
        <f>INDEX(Others!$D$11:$E$60, MATCH(C254, Others!$A$11:$A$60, 0), MATCH(G$3, Others!$D$10:$E$10, 0))</f>
        <v>4.0690909090909111E-2</v>
      </c>
      <c r="H254" s="16">
        <f t="shared" si="228"/>
        <v>3.329265421250005E-3</v>
      </c>
      <c r="I254" s="69">
        <f t="shared" si="229"/>
        <v>0.43709260915708209</v>
      </c>
      <c r="K254" s="80">
        <f>INDEX(Mortality!$B$7:$F$32, MATCH( E254,Mortality!$A$7:$A$32, 0), MATCH( K$3,Mortality!$B$6:$F$6,0))</f>
        <v>0.44800000000000001</v>
      </c>
      <c r="L254" s="11">
        <f t="shared" si="187"/>
        <v>0</v>
      </c>
      <c r="M254" s="80">
        <f t="shared" si="206"/>
        <v>0.44800000000000001</v>
      </c>
      <c r="N254" s="76" t="e">
        <f>INDEX(Myopia!$H:$H, MATCH(E254, Myopia!$A:$A, 0)) * Trend_Factor^(A254)</f>
        <v>#N/A</v>
      </c>
      <c r="O254" s="11">
        <f t="shared" si="188"/>
        <v>0</v>
      </c>
      <c r="P254" s="80">
        <f t="shared" si="207"/>
        <v>0</v>
      </c>
      <c r="Q254" s="76">
        <f>VLOOKUP(C254,Others!$L$10:$M$61,2)</f>
        <v>0</v>
      </c>
      <c r="R254" s="11">
        <f t="shared" si="189"/>
        <v>0</v>
      </c>
      <c r="S254" s="80">
        <f t="shared" si="208"/>
        <v>0</v>
      </c>
      <c r="T254" s="78">
        <f t="shared" si="209"/>
        <v>3.7333333333333331E-5</v>
      </c>
      <c r="U254" s="81">
        <f t="shared" si="210"/>
        <v>0</v>
      </c>
      <c r="V254" s="81">
        <f t="shared" si="211"/>
        <v>0</v>
      </c>
      <c r="W254" s="77">
        <f t="shared" si="190"/>
        <v>0</v>
      </c>
      <c r="X254" s="82">
        <f t="shared" si="212"/>
        <v>0</v>
      </c>
      <c r="Y254" s="82">
        <f t="shared" si="213"/>
        <v>0</v>
      </c>
      <c r="Z254" s="82">
        <f t="shared" si="214"/>
        <v>0</v>
      </c>
      <c r="AA254" s="82">
        <f t="shared" si="215"/>
        <v>0</v>
      </c>
      <c r="AC254" s="46">
        <f t="shared" si="191"/>
        <v>0</v>
      </c>
      <c r="AD254" s="15">
        <f t="shared" si="192"/>
        <v>0</v>
      </c>
      <c r="AE254" s="46">
        <f t="shared" si="216"/>
        <v>0</v>
      </c>
      <c r="AF254" s="15">
        <f t="shared" si="217"/>
        <v>0</v>
      </c>
      <c r="AG254" s="46">
        <f>SUMPRODUCT(AE255:AE$605, $I254:$I$604) / $I254</f>
        <v>0</v>
      </c>
      <c r="AI254" s="46">
        <f t="shared" si="193"/>
        <v>0</v>
      </c>
      <c r="AJ254" s="46">
        <f>IF(E254&gt;Mat_Year,0,  -SUM($AD$5:AD254))</f>
        <v>0</v>
      </c>
      <c r="AK254" s="24">
        <f t="shared" si="218"/>
        <v>0</v>
      </c>
      <c r="AL254" s="79">
        <f t="shared" si="219"/>
        <v>0</v>
      </c>
      <c r="AM254" s="24">
        <f t="shared" si="220"/>
        <v>0</v>
      </c>
      <c r="AN254" s="79">
        <f t="shared" si="221"/>
        <v>0</v>
      </c>
      <c r="AO254" s="15">
        <f t="shared" si="222"/>
        <v>0</v>
      </c>
      <c r="AP254" s="46">
        <f>SUMPRODUCT(AN255:AN$605, $I255:$I$605) / $I254</f>
        <v>0</v>
      </c>
      <c r="AR254" s="46">
        <v>0</v>
      </c>
      <c r="AS254" s="46">
        <v>0</v>
      </c>
      <c r="AT254" s="46">
        <v>0</v>
      </c>
      <c r="AU254" s="95">
        <f t="shared" si="194"/>
        <v>0</v>
      </c>
      <c r="AV254" s="47">
        <f t="shared" si="195"/>
        <v>0</v>
      </c>
      <c r="AW254" s="96">
        <f t="shared" si="230"/>
        <v>0</v>
      </c>
      <c r="AX254" s="95">
        <f t="shared" si="196"/>
        <v>0</v>
      </c>
      <c r="AY254" s="11">
        <f t="shared" si="197"/>
        <v>0</v>
      </c>
      <c r="AZ254" s="96">
        <f t="shared" si="231"/>
        <v>0</v>
      </c>
      <c r="BA254" s="95">
        <f t="shared" si="232"/>
        <v>0</v>
      </c>
      <c r="BB254" s="64">
        <f t="shared" si="233"/>
        <v>0</v>
      </c>
      <c r="BC254" s="95">
        <f t="shared" si="234"/>
        <v>0</v>
      </c>
      <c r="BD254" s="96">
        <f t="shared" si="235"/>
        <v>0</v>
      </c>
      <c r="BE254" s="96">
        <f t="shared" si="236"/>
        <v>0</v>
      </c>
      <c r="BF254" s="96">
        <f t="shared" si="237"/>
        <v>0</v>
      </c>
      <c r="BG254" s="15">
        <f t="shared" si="223"/>
        <v>0</v>
      </c>
      <c r="BH254" s="46">
        <f>(SUMPRODUCT(BE255:BE$605,$I254:$I$604)+SUMPRODUCT(BF255:BF$605,$I255:$I$605)) / $I254</f>
        <v>0</v>
      </c>
      <c r="BJ254" s="46">
        <f t="shared" si="238"/>
        <v>0</v>
      </c>
      <c r="BK254" s="46">
        <f t="shared" si="239"/>
        <v>0</v>
      </c>
      <c r="BM254" s="49">
        <f t="shared" si="224"/>
        <v>0</v>
      </c>
      <c r="BN254" s="46">
        <f t="shared" si="240"/>
        <v>0</v>
      </c>
      <c r="BP254" s="46">
        <f>Reserve!BX254</f>
        <v>0</v>
      </c>
      <c r="BQ254" s="46">
        <f t="shared" si="198"/>
        <v>0</v>
      </c>
      <c r="BR254" s="15">
        <f t="shared" si="225"/>
        <v>0</v>
      </c>
      <c r="BT254" s="49">
        <f t="shared" si="226"/>
        <v>0</v>
      </c>
      <c r="BU254" s="46">
        <f t="shared" si="199"/>
        <v>0</v>
      </c>
      <c r="BV254" s="46">
        <f>SUMPRODUCT(BU255:BU$605, $I255:$I$605) / $I254</f>
        <v>0</v>
      </c>
      <c r="BX254" s="46">
        <f>-BZ254*Others!$Q$43</f>
        <v>0</v>
      </c>
      <c r="BZ254" s="50">
        <f t="shared" si="184"/>
        <v>0</v>
      </c>
      <c r="CA254" s="46">
        <f t="shared" si="227"/>
        <v>0</v>
      </c>
      <c r="CB254" s="46">
        <f t="shared" si="200"/>
        <v>0</v>
      </c>
      <c r="CD254" s="46">
        <f>SUMPRODUCT(BZ255:BZ$605, $I255:$I$605) / $I254</f>
        <v>0</v>
      </c>
      <c r="CE254" s="46">
        <f>SUMPRODUCT(CA255:CA$605, $I255:$I$605) / $I254</f>
        <v>0</v>
      </c>
      <c r="CF254" s="46">
        <f>SUMPRODUCT(CB255:CB$605, $I255:$I$605) / $I254</f>
        <v>0</v>
      </c>
      <c r="CH254" s="46">
        <f t="shared" si="201"/>
        <v>0</v>
      </c>
      <c r="CI254" s="46">
        <f t="shared" si="202"/>
        <v>0</v>
      </c>
      <c r="CK254" s="46">
        <f>NPV((1+CK$3)^(1/12)-1,$CB$6:$CB254)+$CB$5</f>
        <v>1409.6963032385702</v>
      </c>
      <c r="CL254" s="46">
        <f>NPV((1+CL$3)^(1/12)-1,$CB$6:$CB254)+$CB$5</f>
        <v>1057.2060036590874</v>
      </c>
      <c r="CM254" s="46">
        <f>NPV((1+CM$3)^(1/12)-1,$CB$6:$CB254)+$CB$5</f>
        <v>462.64886026294084</v>
      </c>
      <c r="CN254" s="46">
        <f>NPV((1+CN$3)^(1/12)-1,$CB$6:$CB254)+$CB$5</f>
        <v>462.64886026294084</v>
      </c>
    </row>
    <row r="255" spans="1:92" x14ac:dyDescent="0.25">
      <c r="A255" s="61">
        <f t="shared" si="185"/>
        <v>20.833333333333307</v>
      </c>
      <c r="B255" s="32">
        <f t="shared" si="203"/>
        <v>10</v>
      </c>
      <c r="C255" s="62">
        <f t="shared" si="204"/>
        <v>21</v>
      </c>
      <c r="D255" s="64">
        <f t="shared" si="205"/>
        <v>21.333333333333307</v>
      </c>
      <c r="E255" s="28">
        <f t="shared" si="186"/>
        <v>21</v>
      </c>
      <c r="G255" s="68">
        <f>INDEX(Others!$D$11:$E$60, MATCH(C255, Others!$A$11:$A$60, 0), MATCH(G$3, Others!$D$10:$E$10, 0))</f>
        <v>4.0690909090909111E-2</v>
      </c>
      <c r="H255" s="16">
        <f t="shared" si="228"/>
        <v>3.329265421250005E-3</v>
      </c>
      <c r="I255" s="69">
        <f t="shared" si="229"/>
        <v>0.43564224050971723</v>
      </c>
      <c r="K255" s="80">
        <f>INDEX(Mortality!$B$7:$F$32, MATCH( E255,Mortality!$A$7:$A$32, 0), MATCH( K$3,Mortality!$B$6:$F$6,0))</f>
        <v>0.44800000000000001</v>
      </c>
      <c r="L255" s="11">
        <f t="shared" si="187"/>
        <v>0</v>
      </c>
      <c r="M255" s="80">
        <f t="shared" si="206"/>
        <v>0.44800000000000001</v>
      </c>
      <c r="N255" s="76" t="e">
        <f>INDEX(Myopia!$H:$H, MATCH(E255, Myopia!$A:$A, 0)) * Trend_Factor^(A255)</f>
        <v>#N/A</v>
      </c>
      <c r="O255" s="11">
        <f t="shared" si="188"/>
        <v>0</v>
      </c>
      <c r="P255" s="80">
        <f t="shared" si="207"/>
        <v>0</v>
      </c>
      <c r="Q255" s="76">
        <f>VLOOKUP(C255,Others!$L$10:$M$61,2)</f>
        <v>0</v>
      </c>
      <c r="R255" s="11">
        <f t="shared" si="189"/>
        <v>0</v>
      </c>
      <c r="S255" s="80">
        <f t="shared" si="208"/>
        <v>0</v>
      </c>
      <c r="T255" s="78">
        <f t="shared" si="209"/>
        <v>3.7333333333333331E-5</v>
      </c>
      <c r="U255" s="81">
        <f t="shared" si="210"/>
        <v>0</v>
      </c>
      <c r="V255" s="81">
        <f t="shared" si="211"/>
        <v>0</v>
      </c>
      <c r="W255" s="77">
        <f t="shared" si="190"/>
        <v>0</v>
      </c>
      <c r="X255" s="82">
        <f t="shared" si="212"/>
        <v>0</v>
      </c>
      <c r="Y255" s="82">
        <f t="shared" si="213"/>
        <v>0</v>
      </c>
      <c r="Z255" s="82">
        <f t="shared" si="214"/>
        <v>0</v>
      </c>
      <c r="AA255" s="82">
        <f t="shared" si="215"/>
        <v>0</v>
      </c>
      <c r="AC255" s="46">
        <f t="shared" si="191"/>
        <v>0</v>
      </c>
      <c r="AD255" s="15">
        <f t="shared" si="192"/>
        <v>0</v>
      </c>
      <c r="AE255" s="46">
        <f t="shared" si="216"/>
        <v>0</v>
      </c>
      <c r="AF255" s="15">
        <f t="shared" si="217"/>
        <v>0</v>
      </c>
      <c r="AG255" s="46">
        <f>SUMPRODUCT(AE256:AE$605, $I255:$I$604) / $I255</f>
        <v>0</v>
      </c>
      <c r="AI255" s="46">
        <f t="shared" si="193"/>
        <v>0</v>
      </c>
      <c r="AJ255" s="46">
        <f>IF(E255&gt;Mat_Year,0,  -SUM($AD$5:AD255))</f>
        <v>0</v>
      </c>
      <c r="AK255" s="24">
        <f t="shared" si="218"/>
        <v>0</v>
      </c>
      <c r="AL255" s="79">
        <f t="shared" si="219"/>
        <v>0</v>
      </c>
      <c r="AM255" s="24">
        <f t="shared" si="220"/>
        <v>0</v>
      </c>
      <c r="AN255" s="79">
        <f t="shared" si="221"/>
        <v>0</v>
      </c>
      <c r="AO255" s="15">
        <f t="shared" si="222"/>
        <v>0</v>
      </c>
      <c r="AP255" s="46">
        <f>SUMPRODUCT(AN256:AN$605, $I256:$I$605) / $I255</f>
        <v>0</v>
      </c>
      <c r="AR255" s="46">
        <v>0</v>
      </c>
      <c r="AS255" s="46">
        <v>0</v>
      </c>
      <c r="AT255" s="46">
        <v>0</v>
      </c>
      <c r="AU255" s="95">
        <f t="shared" si="194"/>
        <v>0</v>
      </c>
      <c r="AV255" s="47">
        <f t="shared" si="195"/>
        <v>0</v>
      </c>
      <c r="AW255" s="96">
        <f t="shared" si="230"/>
        <v>0</v>
      </c>
      <c r="AX255" s="95">
        <f t="shared" si="196"/>
        <v>0</v>
      </c>
      <c r="AY255" s="11">
        <f t="shared" si="197"/>
        <v>0</v>
      </c>
      <c r="AZ255" s="96">
        <f t="shared" si="231"/>
        <v>0</v>
      </c>
      <c r="BA255" s="95">
        <f t="shared" si="232"/>
        <v>0</v>
      </c>
      <c r="BB255" s="64">
        <f t="shared" si="233"/>
        <v>0</v>
      </c>
      <c r="BC255" s="95">
        <f t="shared" si="234"/>
        <v>0</v>
      </c>
      <c r="BD255" s="96">
        <f t="shared" si="235"/>
        <v>0</v>
      </c>
      <c r="BE255" s="96">
        <f t="shared" si="236"/>
        <v>0</v>
      </c>
      <c r="BF255" s="96">
        <f t="shared" si="237"/>
        <v>0</v>
      </c>
      <c r="BG255" s="15">
        <f t="shared" si="223"/>
        <v>0</v>
      </c>
      <c r="BH255" s="46">
        <f>(SUMPRODUCT(BE256:BE$605,$I255:$I$604)+SUMPRODUCT(BF256:BF$605,$I256:$I$605)) / $I255</f>
        <v>0</v>
      </c>
      <c r="BJ255" s="46">
        <f t="shared" si="238"/>
        <v>0</v>
      </c>
      <c r="BK255" s="46">
        <f t="shared" si="239"/>
        <v>0</v>
      </c>
      <c r="BM255" s="49">
        <f t="shared" si="224"/>
        <v>0</v>
      </c>
      <c r="BN255" s="46">
        <f t="shared" si="240"/>
        <v>0</v>
      </c>
      <c r="BP255" s="46">
        <f>Reserve!BX255</f>
        <v>0</v>
      </c>
      <c r="BQ255" s="46">
        <f t="shared" si="198"/>
        <v>0</v>
      </c>
      <c r="BR255" s="15">
        <f t="shared" si="225"/>
        <v>0</v>
      </c>
      <c r="BT255" s="49">
        <f t="shared" si="226"/>
        <v>0</v>
      </c>
      <c r="BU255" s="46">
        <f t="shared" si="199"/>
        <v>0</v>
      </c>
      <c r="BV255" s="46">
        <f>SUMPRODUCT(BU256:BU$605, $I256:$I$605) / $I255</f>
        <v>0</v>
      </c>
      <c r="BX255" s="46">
        <f>-BZ255*Others!$Q$43</f>
        <v>0</v>
      </c>
      <c r="BZ255" s="50">
        <f t="shared" si="184"/>
        <v>0</v>
      </c>
      <c r="CA255" s="46">
        <f t="shared" si="227"/>
        <v>0</v>
      </c>
      <c r="CB255" s="46">
        <f t="shared" si="200"/>
        <v>0</v>
      </c>
      <c r="CD255" s="46">
        <f>SUMPRODUCT(BZ256:BZ$605, $I256:$I$605) / $I255</f>
        <v>0</v>
      </c>
      <c r="CE255" s="46">
        <f>SUMPRODUCT(CA256:CA$605, $I256:$I$605) / $I255</f>
        <v>0</v>
      </c>
      <c r="CF255" s="46">
        <f>SUMPRODUCT(CB256:CB$605, $I256:$I$605) / $I255</f>
        <v>0</v>
      </c>
      <c r="CH255" s="46">
        <f t="shared" si="201"/>
        <v>0</v>
      </c>
      <c r="CI255" s="46">
        <f t="shared" si="202"/>
        <v>0</v>
      </c>
      <c r="CK255" s="46">
        <f>NPV((1+CK$3)^(1/12)-1,$CB$6:$CB255)+$CB$5</f>
        <v>1409.6963032385702</v>
      </c>
      <c r="CL255" s="46">
        <f>NPV((1+CL$3)^(1/12)-1,$CB$6:$CB255)+$CB$5</f>
        <v>1057.2060036590874</v>
      </c>
      <c r="CM255" s="46">
        <f>NPV((1+CM$3)^(1/12)-1,$CB$6:$CB255)+$CB$5</f>
        <v>462.64886026294084</v>
      </c>
      <c r="CN255" s="46">
        <f>NPV((1+CN$3)^(1/12)-1,$CB$6:$CB255)+$CB$5</f>
        <v>462.64886026294084</v>
      </c>
    </row>
    <row r="256" spans="1:92" x14ac:dyDescent="0.25">
      <c r="A256" s="61">
        <f t="shared" si="185"/>
        <v>20.916666666666639</v>
      </c>
      <c r="B256" s="32">
        <f t="shared" si="203"/>
        <v>11</v>
      </c>
      <c r="C256" s="62">
        <f t="shared" si="204"/>
        <v>21</v>
      </c>
      <c r="D256" s="64">
        <f t="shared" si="205"/>
        <v>21.416666666666639</v>
      </c>
      <c r="E256" s="28">
        <f t="shared" si="186"/>
        <v>21</v>
      </c>
      <c r="G256" s="68">
        <f>INDEX(Others!$D$11:$E$60, MATCH(C256, Others!$A$11:$A$60, 0), MATCH(G$3, Others!$D$10:$E$10, 0))</f>
        <v>4.0690909090909111E-2</v>
      </c>
      <c r="H256" s="16">
        <f t="shared" si="228"/>
        <v>3.329265421250005E-3</v>
      </c>
      <c r="I256" s="69">
        <f t="shared" si="229"/>
        <v>0.4341966845019834</v>
      </c>
      <c r="K256" s="80">
        <f>INDEX(Mortality!$B$7:$F$32, MATCH( E256,Mortality!$A$7:$A$32, 0), MATCH( K$3,Mortality!$B$6:$F$6,0))</f>
        <v>0.44800000000000001</v>
      </c>
      <c r="L256" s="11">
        <f t="shared" si="187"/>
        <v>0</v>
      </c>
      <c r="M256" s="80">
        <f t="shared" si="206"/>
        <v>0.44800000000000001</v>
      </c>
      <c r="N256" s="76" t="e">
        <f>INDEX(Myopia!$H:$H, MATCH(E256, Myopia!$A:$A, 0)) * Trend_Factor^(A256)</f>
        <v>#N/A</v>
      </c>
      <c r="O256" s="11">
        <f t="shared" si="188"/>
        <v>0</v>
      </c>
      <c r="P256" s="80">
        <f t="shared" si="207"/>
        <v>0</v>
      </c>
      <c r="Q256" s="76">
        <f>VLOOKUP(C256,Others!$L$10:$M$61,2)</f>
        <v>0</v>
      </c>
      <c r="R256" s="11">
        <f t="shared" si="189"/>
        <v>0</v>
      </c>
      <c r="S256" s="80">
        <f t="shared" si="208"/>
        <v>0</v>
      </c>
      <c r="T256" s="78">
        <f t="shared" si="209"/>
        <v>3.7333333333333331E-5</v>
      </c>
      <c r="U256" s="81">
        <f t="shared" si="210"/>
        <v>0</v>
      </c>
      <c r="V256" s="81">
        <f t="shared" si="211"/>
        <v>0</v>
      </c>
      <c r="W256" s="77">
        <f t="shared" si="190"/>
        <v>0</v>
      </c>
      <c r="X256" s="82">
        <f t="shared" si="212"/>
        <v>0</v>
      </c>
      <c r="Y256" s="82">
        <f t="shared" si="213"/>
        <v>0</v>
      </c>
      <c r="Z256" s="82">
        <f t="shared" si="214"/>
        <v>0</v>
      </c>
      <c r="AA256" s="82">
        <f t="shared" si="215"/>
        <v>0</v>
      </c>
      <c r="AC256" s="46">
        <f t="shared" si="191"/>
        <v>0</v>
      </c>
      <c r="AD256" s="15">
        <f t="shared" si="192"/>
        <v>0</v>
      </c>
      <c r="AE256" s="46">
        <f t="shared" si="216"/>
        <v>0</v>
      </c>
      <c r="AF256" s="15">
        <f t="shared" si="217"/>
        <v>0</v>
      </c>
      <c r="AG256" s="46">
        <f>SUMPRODUCT(AE257:AE$605, $I256:$I$604) / $I256</f>
        <v>0</v>
      </c>
      <c r="AI256" s="46">
        <f t="shared" si="193"/>
        <v>0</v>
      </c>
      <c r="AJ256" s="46">
        <f>IF(E256&gt;Mat_Year,0,  -SUM($AD$5:AD256))</f>
        <v>0</v>
      </c>
      <c r="AK256" s="24">
        <f t="shared" si="218"/>
        <v>0</v>
      </c>
      <c r="AL256" s="79">
        <f t="shared" si="219"/>
        <v>0</v>
      </c>
      <c r="AM256" s="24">
        <f t="shared" si="220"/>
        <v>0</v>
      </c>
      <c r="AN256" s="79">
        <f t="shared" si="221"/>
        <v>0</v>
      </c>
      <c r="AO256" s="15">
        <f t="shared" si="222"/>
        <v>0</v>
      </c>
      <c r="AP256" s="46">
        <f>SUMPRODUCT(AN257:AN$605, $I257:$I$605) / $I256</f>
        <v>0</v>
      </c>
      <c r="AR256" s="46">
        <v>0</v>
      </c>
      <c r="AS256" s="46">
        <v>0</v>
      </c>
      <c r="AT256" s="46">
        <v>0</v>
      </c>
      <c r="AU256" s="95">
        <f t="shared" si="194"/>
        <v>0</v>
      </c>
      <c r="AV256" s="47">
        <f t="shared" si="195"/>
        <v>0</v>
      </c>
      <c r="AW256" s="96">
        <f t="shared" si="230"/>
        <v>0</v>
      </c>
      <c r="AX256" s="95">
        <f t="shared" si="196"/>
        <v>0</v>
      </c>
      <c r="AY256" s="11">
        <f t="shared" si="197"/>
        <v>0</v>
      </c>
      <c r="AZ256" s="96">
        <f t="shared" si="231"/>
        <v>0</v>
      </c>
      <c r="BA256" s="95">
        <f t="shared" si="232"/>
        <v>0</v>
      </c>
      <c r="BB256" s="64">
        <f t="shared" si="233"/>
        <v>0</v>
      </c>
      <c r="BC256" s="95">
        <f t="shared" si="234"/>
        <v>0</v>
      </c>
      <c r="BD256" s="96">
        <f t="shared" si="235"/>
        <v>0</v>
      </c>
      <c r="BE256" s="96">
        <f t="shared" si="236"/>
        <v>0</v>
      </c>
      <c r="BF256" s="96">
        <f t="shared" si="237"/>
        <v>0</v>
      </c>
      <c r="BG256" s="15">
        <f t="shared" si="223"/>
        <v>0</v>
      </c>
      <c r="BH256" s="46">
        <f>(SUMPRODUCT(BE257:BE$605,$I256:$I$604)+SUMPRODUCT(BF257:BF$605,$I257:$I$605)) / $I256</f>
        <v>0</v>
      </c>
      <c r="BJ256" s="46">
        <f t="shared" si="238"/>
        <v>0</v>
      </c>
      <c r="BK256" s="46">
        <f t="shared" si="239"/>
        <v>0</v>
      </c>
      <c r="BM256" s="49">
        <f t="shared" si="224"/>
        <v>0</v>
      </c>
      <c r="BN256" s="46">
        <f t="shared" si="240"/>
        <v>0</v>
      </c>
      <c r="BP256" s="46">
        <f>Reserve!BX256</f>
        <v>0</v>
      </c>
      <c r="BQ256" s="46">
        <f t="shared" si="198"/>
        <v>0</v>
      </c>
      <c r="BR256" s="15">
        <f t="shared" si="225"/>
        <v>0</v>
      </c>
      <c r="BT256" s="49">
        <f t="shared" si="226"/>
        <v>0</v>
      </c>
      <c r="BU256" s="46">
        <f t="shared" si="199"/>
        <v>0</v>
      </c>
      <c r="BV256" s="46">
        <f>SUMPRODUCT(BU257:BU$605, $I257:$I$605) / $I256</f>
        <v>0</v>
      </c>
      <c r="BX256" s="46">
        <f>-BZ256*Others!$Q$43</f>
        <v>0</v>
      </c>
      <c r="BZ256" s="50">
        <f t="shared" si="184"/>
        <v>0</v>
      </c>
      <c r="CA256" s="46">
        <f t="shared" si="227"/>
        <v>0</v>
      </c>
      <c r="CB256" s="46">
        <f t="shared" si="200"/>
        <v>0</v>
      </c>
      <c r="CD256" s="46">
        <f>SUMPRODUCT(BZ257:BZ$605, $I257:$I$605) / $I256</f>
        <v>0</v>
      </c>
      <c r="CE256" s="46">
        <f>SUMPRODUCT(CA257:CA$605, $I257:$I$605) / $I256</f>
        <v>0</v>
      </c>
      <c r="CF256" s="46">
        <f>SUMPRODUCT(CB257:CB$605, $I257:$I$605) / $I256</f>
        <v>0</v>
      </c>
      <c r="CH256" s="46">
        <f t="shared" si="201"/>
        <v>0</v>
      </c>
      <c r="CI256" s="46">
        <f t="shared" si="202"/>
        <v>0</v>
      </c>
      <c r="CK256" s="46">
        <f>NPV((1+CK$3)^(1/12)-1,$CB$6:$CB256)+$CB$5</f>
        <v>1409.6963032385702</v>
      </c>
      <c r="CL256" s="46">
        <f>NPV((1+CL$3)^(1/12)-1,$CB$6:$CB256)+$CB$5</f>
        <v>1057.2060036590874</v>
      </c>
      <c r="CM256" s="46">
        <f>NPV((1+CM$3)^(1/12)-1,$CB$6:$CB256)+$CB$5</f>
        <v>462.64886026294084</v>
      </c>
      <c r="CN256" s="46">
        <f>NPV((1+CN$3)^(1/12)-1,$CB$6:$CB256)+$CB$5</f>
        <v>462.64886026294084</v>
      </c>
    </row>
    <row r="257" spans="1:92" x14ac:dyDescent="0.25">
      <c r="A257" s="61">
        <f t="shared" si="185"/>
        <v>20.999999999999972</v>
      </c>
      <c r="B257" s="32">
        <f t="shared" si="203"/>
        <v>12</v>
      </c>
      <c r="C257" s="62">
        <f t="shared" si="204"/>
        <v>21</v>
      </c>
      <c r="D257" s="64">
        <f t="shared" si="205"/>
        <v>21.499999999999972</v>
      </c>
      <c r="E257" s="28">
        <f t="shared" si="186"/>
        <v>21</v>
      </c>
      <c r="G257" s="68">
        <f>INDEX(Others!$D$11:$E$60, MATCH(C257, Others!$A$11:$A$60, 0), MATCH(G$3, Others!$D$10:$E$10, 0))</f>
        <v>4.0690909090909111E-2</v>
      </c>
      <c r="H257" s="16">
        <f t="shared" si="228"/>
        <v>3.329265421250005E-3</v>
      </c>
      <c r="I257" s="69">
        <f t="shared" si="229"/>
        <v>0.43275592516449218</v>
      </c>
      <c r="J257" s="64"/>
      <c r="K257" s="80">
        <f>INDEX(Mortality!$B$7:$F$32, MATCH( E257,Mortality!$A$7:$A$32, 0), MATCH( K$3,Mortality!$B$6:$F$6,0))</f>
        <v>0.44800000000000001</v>
      </c>
      <c r="L257" s="11">
        <f t="shared" si="187"/>
        <v>0</v>
      </c>
      <c r="M257" s="80">
        <f t="shared" si="206"/>
        <v>0.44800000000000001</v>
      </c>
      <c r="N257" s="76" t="e">
        <f>INDEX(Myopia!$H:$H, MATCH(E257, Myopia!$A:$A, 0)) * Trend_Factor^(A257)</f>
        <v>#N/A</v>
      </c>
      <c r="O257" s="11">
        <f t="shared" si="188"/>
        <v>0</v>
      </c>
      <c r="P257" s="80">
        <f t="shared" si="207"/>
        <v>0</v>
      </c>
      <c r="Q257" s="76">
        <f>VLOOKUP(C257,Others!$L$10:$M$61,2)</f>
        <v>0</v>
      </c>
      <c r="R257" s="11">
        <f t="shared" si="189"/>
        <v>0</v>
      </c>
      <c r="S257" s="80">
        <f t="shared" si="208"/>
        <v>0</v>
      </c>
      <c r="T257" s="78">
        <f t="shared" si="209"/>
        <v>3.7333333333333331E-5</v>
      </c>
      <c r="U257" s="81">
        <f t="shared" si="210"/>
        <v>0</v>
      </c>
      <c r="V257" s="81">
        <f t="shared" si="211"/>
        <v>0</v>
      </c>
      <c r="W257" s="77">
        <f t="shared" si="190"/>
        <v>0</v>
      </c>
      <c r="X257" s="82">
        <f t="shared" si="212"/>
        <v>0</v>
      </c>
      <c r="Y257" s="82">
        <f t="shared" si="213"/>
        <v>0</v>
      </c>
      <c r="Z257" s="82">
        <f t="shared" si="214"/>
        <v>0</v>
      </c>
      <c r="AA257" s="82">
        <f t="shared" si="215"/>
        <v>0</v>
      </c>
      <c r="AC257" s="46">
        <f t="shared" si="191"/>
        <v>0</v>
      </c>
      <c r="AD257" s="15">
        <f t="shared" si="192"/>
        <v>0</v>
      </c>
      <c r="AE257" s="46">
        <f t="shared" si="216"/>
        <v>0</v>
      </c>
      <c r="AF257" s="15">
        <f t="shared" si="217"/>
        <v>0</v>
      </c>
      <c r="AG257" s="46">
        <f>SUMPRODUCT(AE258:AE$605, $I257:$I$604) / $I257</f>
        <v>0</v>
      </c>
      <c r="AI257" s="46">
        <f t="shared" si="193"/>
        <v>0</v>
      </c>
      <c r="AJ257" s="46">
        <f>IF(E257&gt;Mat_Year,0,  -SUM($AD$5:AD257))</f>
        <v>0</v>
      </c>
      <c r="AK257" s="24">
        <f t="shared" si="218"/>
        <v>0</v>
      </c>
      <c r="AL257" s="79">
        <f t="shared" si="219"/>
        <v>0</v>
      </c>
      <c r="AM257" s="24">
        <f t="shared" si="220"/>
        <v>0</v>
      </c>
      <c r="AN257" s="79">
        <f t="shared" si="221"/>
        <v>0</v>
      </c>
      <c r="AO257" s="15">
        <f t="shared" si="222"/>
        <v>0</v>
      </c>
      <c r="AP257" s="46">
        <f>SUMPRODUCT(AN258:AN$605, $I258:$I$605) / $I257</f>
        <v>0</v>
      </c>
      <c r="AR257" s="46">
        <v>0</v>
      </c>
      <c r="AS257" s="46">
        <v>0</v>
      </c>
      <c r="AT257" s="46">
        <v>0</v>
      </c>
      <c r="AU257" s="95">
        <f t="shared" si="194"/>
        <v>0</v>
      </c>
      <c r="AV257" s="47">
        <f t="shared" si="195"/>
        <v>0</v>
      </c>
      <c r="AW257" s="96">
        <f t="shared" si="230"/>
        <v>0</v>
      </c>
      <c r="AX257" s="95">
        <f t="shared" si="196"/>
        <v>0</v>
      </c>
      <c r="AY257" s="11">
        <f t="shared" si="197"/>
        <v>0</v>
      </c>
      <c r="AZ257" s="96">
        <f t="shared" si="231"/>
        <v>0</v>
      </c>
      <c r="BA257" s="95">
        <f t="shared" si="232"/>
        <v>0</v>
      </c>
      <c r="BB257" s="64">
        <f t="shared" si="233"/>
        <v>0</v>
      </c>
      <c r="BC257" s="95">
        <f t="shared" si="234"/>
        <v>0</v>
      </c>
      <c r="BD257" s="96">
        <f t="shared" si="235"/>
        <v>0</v>
      </c>
      <c r="BE257" s="96">
        <f t="shared" si="236"/>
        <v>0</v>
      </c>
      <c r="BF257" s="96">
        <f t="shared" si="237"/>
        <v>0</v>
      </c>
      <c r="BG257" s="15">
        <f t="shared" si="223"/>
        <v>0</v>
      </c>
      <c r="BH257" s="46">
        <f>(SUMPRODUCT(BE258:BE$605,$I257:$I$604)+SUMPRODUCT(BF258:BF$605,$I258:$I$605)) / $I257</f>
        <v>0</v>
      </c>
      <c r="BJ257" s="46">
        <f t="shared" si="238"/>
        <v>0</v>
      </c>
      <c r="BK257" s="46">
        <f t="shared" si="239"/>
        <v>0</v>
      </c>
      <c r="BM257" s="49">
        <f t="shared" si="224"/>
        <v>0</v>
      </c>
      <c r="BN257" s="46">
        <f t="shared" si="240"/>
        <v>0</v>
      </c>
      <c r="BP257" s="46">
        <f>Reserve!BX257</f>
        <v>0</v>
      </c>
      <c r="BQ257" s="46">
        <f t="shared" si="198"/>
        <v>0</v>
      </c>
      <c r="BR257" s="15">
        <f t="shared" si="225"/>
        <v>0</v>
      </c>
      <c r="BT257" s="49">
        <f t="shared" si="226"/>
        <v>0</v>
      </c>
      <c r="BU257" s="46">
        <f t="shared" si="199"/>
        <v>0</v>
      </c>
      <c r="BV257" s="46">
        <f>SUMPRODUCT(BU258:BU$605, $I258:$I$605) / $I257</f>
        <v>0</v>
      </c>
      <c r="BX257" s="46">
        <f>-BZ257*Others!$Q$43</f>
        <v>0</v>
      </c>
      <c r="BZ257" s="50">
        <f t="shared" si="184"/>
        <v>0</v>
      </c>
      <c r="CA257" s="46">
        <f t="shared" si="227"/>
        <v>0</v>
      </c>
      <c r="CB257" s="46">
        <f t="shared" si="200"/>
        <v>0</v>
      </c>
      <c r="CD257" s="46">
        <f>SUMPRODUCT(BZ258:BZ$605, $I258:$I$605) / $I257</f>
        <v>0</v>
      </c>
      <c r="CE257" s="46">
        <f>SUMPRODUCT(CA258:CA$605, $I258:$I$605) / $I257</f>
        <v>0</v>
      </c>
      <c r="CF257" s="46">
        <f>SUMPRODUCT(CB258:CB$605, $I258:$I$605) / $I257</f>
        <v>0</v>
      </c>
      <c r="CH257" s="46">
        <f t="shared" si="201"/>
        <v>0</v>
      </c>
      <c r="CI257" s="46">
        <f t="shared" si="202"/>
        <v>0</v>
      </c>
      <c r="CK257" s="46">
        <f>NPV((1+CK$3)^(1/12)-1,$CB$6:$CB257)+$CB$5</f>
        <v>1409.6963032385702</v>
      </c>
      <c r="CL257" s="46">
        <f>NPV((1+CL$3)^(1/12)-1,$CB$6:$CB257)+$CB$5</f>
        <v>1057.2060036590874</v>
      </c>
      <c r="CM257" s="46">
        <f>NPV((1+CM$3)^(1/12)-1,$CB$6:$CB257)+$CB$5</f>
        <v>462.64886026294084</v>
      </c>
      <c r="CN257" s="46">
        <f>NPV((1+CN$3)^(1/12)-1,$CB$6:$CB257)+$CB$5</f>
        <v>462.64886026294084</v>
      </c>
    </row>
    <row r="258" spans="1:92" x14ac:dyDescent="0.25">
      <c r="A258" s="61">
        <f t="shared" si="185"/>
        <v>21.083333333333304</v>
      </c>
      <c r="B258" s="32">
        <f t="shared" si="203"/>
        <v>1</v>
      </c>
      <c r="C258" s="62">
        <f t="shared" si="204"/>
        <v>22</v>
      </c>
      <c r="D258" s="64">
        <f t="shared" si="205"/>
        <v>21.583333333333304</v>
      </c>
      <c r="E258" s="28">
        <f t="shared" si="186"/>
        <v>21</v>
      </c>
      <c r="G258" s="68">
        <f>INDEX(Others!$D$11:$E$60, MATCH(C258, Others!$A$11:$A$60, 0), MATCH(G$3, Others!$D$10:$E$10, 0))</f>
        <v>4.0690909090909333E-2</v>
      </c>
      <c r="H258" s="16">
        <f t="shared" si="228"/>
        <v>3.329265421250005E-3</v>
      </c>
      <c r="I258" s="69">
        <f t="shared" si="229"/>
        <v>0.43131994658084516</v>
      </c>
      <c r="K258" s="80">
        <f>INDEX(Mortality!$B$7:$F$32, MATCH( E258,Mortality!$A$7:$A$32, 0), MATCH( K$3,Mortality!$B$6:$F$6,0))</f>
        <v>0.44800000000000001</v>
      </c>
      <c r="L258" s="11">
        <f t="shared" si="187"/>
        <v>0</v>
      </c>
      <c r="M258" s="80">
        <f t="shared" si="206"/>
        <v>0.44800000000000001</v>
      </c>
      <c r="N258" s="76" t="e">
        <f>INDEX(Myopia!$H:$H, MATCH(E258, Myopia!$A:$A, 0)) * Trend_Factor^(A258)</f>
        <v>#N/A</v>
      </c>
      <c r="O258" s="11">
        <f t="shared" si="188"/>
        <v>0</v>
      </c>
      <c r="P258" s="80">
        <f t="shared" si="207"/>
        <v>0</v>
      </c>
      <c r="Q258" s="76">
        <f>VLOOKUP(C258,Others!$L$10:$M$61,2)</f>
        <v>0</v>
      </c>
      <c r="R258" s="11">
        <f t="shared" si="189"/>
        <v>0</v>
      </c>
      <c r="S258" s="80">
        <f t="shared" si="208"/>
        <v>0</v>
      </c>
      <c r="T258" s="78">
        <f t="shared" si="209"/>
        <v>3.7333333333333331E-5</v>
      </c>
      <c r="U258" s="81">
        <f t="shared" si="210"/>
        <v>0</v>
      </c>
      <c r="V258" s="81">
        <f t="shared" si="211"/>
        <v>0</v>
      </c>
      <c r="W258" s="77">
        <f t="shared" si="190"/>
        <v>0</v>
      </c>
      <c r="X258" s="82">
        <f t="shared" si="212"/>
        <v>0</v>
      </c>
      <c r="Y258" s="82">
        <f t="shared" si="213"/>
        <v>0</v>
      </c>
      <c r="Z258" s="82">
        <f t="shared" si="214"/>
        <v>0</v>
      </c>
      <c r="AA258" s="82">
        <f t="shared" si="215"/>
        <v>0</v>
      </c>
      <c r="AC258" s="46">
        <f t="shared" si="191"/>
        <v>0</v>
      </c>
      <c r="AD258" s="15">
        <f t="shared" si="192"/>
        <v>0</v>
      </c>
      <c r="AE258" s="46">
        <f t="shared" si="216"/>
        <v>0</v>
      </c>
      <c r="AF258" s="15">
        <f t="shared" si="217"/>
        <v>0</v>
      </c>
      <c r="AG258" s="46">
        <f>SUMPRODUCT(AE259:AE$605, $I258:$I$604) / $I258</f>
        <v>0</v>
      </c>
      <c r="AI258" s="46">
        <f t="shared" si="193"/>
        <v>0</v>
      </c>
      <c r="AJ258" s="46">
        <f>IF(E258&gt;Mat_Year,0,  -SUM($AD$5:AD258))</f>
        <v>0</v>
      </c>
      <c r="AK258" s="24">
        <f t="shared" si="218"/>
        <v>0</v>
      </c>
      <c r="AL258" s="79">
        <f t="shared" si="219"/>
        <v>0</v>
      </c>
      <c r="AM258" s="24">
        <f t="shared" si="220"/>
        <v>0</v>
      </c>
      <c r="AN258" s="79">
        <f t="shared" si="221"/>
        <v>0</v>
      </c>
      <c r="AO258" s="15">
        <f t="shared" si="222"/>
        <v>0</v>
      </c>
      <c r="AP258" s="46">
        <f>SUMPRODUCT(AN259:AN$605, $I259:$I$605) / $I258</f>
        <v>0</v>
      </c>
      <c r="AR258" s="46">
        <v>0</v>
      </c>
      <c r="AS258" s="46">
        <v>0</v>
      </c>
      <c r="AT258" s="46">
        <v>0</v>
      </c>
      <c r="AU258" s="95">
        <f t="shared" si="194"/>
        <v>0</v>
      </c>
      <c r="AV258" s="47">
        <f t="shared" si="195"/>
        <v>0</v>
      </c>
      <c r="AW258" s="96">
        <f t="shared" si="230"/>
        <v>0</v>
      </c>
      <c r="AX258" s="95">
        <f t="shared" si="196"/>
        <v>0</v>
      </c>
      <c r="AY258" s="11">
        <f t="shared" si="197"/>
        <v>0</v>
      </c>
      <c r="AZ258" s="96">
        <f t="shared" si="231"/>
        <v>0</v>
      </c>
      <c r="BA258" s="95">
        <f t="shared" si="232"/>
        <v>0</v>
      </c>
      <c r="BB258" s="64">
        <f t="shared" si="233"/>
        <v>0</v>
      </c>
      <c r="BC258" s="95">
        <f t="shared" si="234"/>
        <v>0</v>
      </c>
      <c r="BD258" s="96">
        <f t="shared" si="235"/>
        <v>0</v>
      </c>
      <c r="BE258" s="96">
        <f t="shared" si="236"/>
        <v>0</v>
      </c>
      <c r="BF258" s="96">
        <f t="shared" si="237"/>
        <v>0</v>
      </c>
      <c r="BG258" s="15">
        <f t="shared" si="223"/>
        <v>0</v>
      </c>
      <c r="BH258" s="46">
        <f>(SUMPRODUCT(BE259:BE$605,$I258:$I$604)+SUMPRODUCT(BF259:BF$605,$I259:$I$605)) / $I258</f>
        <v>0</v>
      </c>
      <c r="BJ258" s="46">
        <f t="shared" si="238"/>
        <v>0</v>
      </c>
      <c r="BK258" s="46">
        <f t="shared" si="239"/>
        <v>0</v>
      </c>
      <c r="BM258" s="49">
        <f t="shared" si="224"/>
        <v>0</v>
      </c>
      <c r="BN258" s="46">
        <f t="shared" si="240"/>
        <v>0</v>
      </c>
      <c r="BP258" s="46">
        <f>Reserve!BX258</f>
        <v>0</v>
      </c>
      <c r="BQ258" s="46">
        <f t="shared" si="198"/>
        <v>0</v>
      </c>
      <c r="BR258" s="15">
        <f t="shared" si="225"/>
        <v>0</v>
      </c>
      <c r="BT258" s="49">
        <f t="shared" si="226"/>
        <v>0</v>
      </c>
      <c r="BU258" s="46">
        <f t="shared" si="199"/>
        <v>0</v>
      </c>
      <c r="BV258" s="46">
        <f>SUMPRODUCT(BU259:BU$605, $I259:$I$605) / $I258</f>
        <v>0</v>
      </c>
      <c r="BX258" s="46">
        <f>-BZ258*Others!$Q$43</f>
        <v>0</v>
      </c>
      <c r="BZ258" s="50">
        <f t="shared" si="184"/>
        <v>0</v>
      </c>
      <c r="CA258" s="46">
        <f t="shared" si="227"/>
        <v>0</v>
      </c>
      <c r="CB258" s="46">
        <f t="shared" si="200"/>
        <v>0</v>
      </c>
      <c r="CD258" s="46">
        <f>SUMPRODUCT(BZ259:BZ$605, $I259:$I$605) / $I258</f>
        <v>0</v>
      </c>
      <c r="CE258" s="46">
        <f>SUMPRODUCT(CA259:CA$605, $I259:$I$605) / $I258</f>
        <v>0</v>
      </c>
      <c r="CF258" s="46">
        <f>SUMPRODUCT(CB259:CB$605, $I259:$I$605) / $I258</f>
        <v>0</v>
      </c>
      <c r="CH258" s="46">
        <f t="shared" si="201"/>
        <v>0</v>
      </c>
      <c r="CI258" s="46">
        <f t="shared" si="202"/>
        <v>0</v>
      </c>
      <c r="CK258" s="46">
        <f>NPV((1+CK$3)^(1/12)-1,$CB$6:$CB258)+$CB$5</f>
        <v>1409.6963032385702</v>
      </c>
      <c r="CL258" s="46">
        <f>NPV((1+CL$3)^(1/12)-1,$CB$6:$CB258)+$CB$5</f>
        <v>1057.2060036590874</v>
      </c>
      <c r="CM258" s="46">
        <f>NPV((1+CM$3)^(1/12)-1,$CB$6:$CB258)+$CB$5</f>
        <v>462.64886026294084</v>
      </c>
      <c r="CN258" s="46">
        <f>NPV((1+CN$3)^(1/12)-1,$CB$6:$CB258)+$CB$5</f>
        <v>462.64886026294084</v>
      </c>
    </row>
    <row r="259" spans="1:92" x14ac:dyDescent="0.25">
      <c r="A259" s="61">
        <f t="shared" si="185"/>
        <v>21.166666666666636</v>
      </c>
      <c r="B259" s="32">
        <f t="shared" si="203"/>
        <v>2</v>
      </c>
      <c r="C259" s="62">
        <f t="shared" si="204"/>
        <v>22</v>
      </c>
      <c r="D259" s="64">
        <f t="shared" si="205"/>
        <v>21.666666666666636</v>
      </c>
      <c r="E259" s="28">
        <f t="shared" si="186"/>
        <v>21</v>
      </c>
      <c r="G259" s="68">
        <f>INDEX(Others!$D$11:$E$60, MATCH(C259, Others!$A$11:$A$60, 0), MATCH(G$3, Others!$D$10:$E$10, 0))</f>
        <v>4.0690909090909333E-2</v>
      </c>
      <c r="H259" s="16">
        <f t="shared" si="228"/>
        <v>3.329265421250005E-3</v>
      </c>
      <c r="I259" s="69">
        <f t="shared" si="229"/>
        <v>0.42988873288745799</v>
      </c>
      <c r="K259" s="80">
        <f>INDEX(Mortality!$B$7:$F$32, MATCH( E259,Mortality!$A$7:$A$32, 0), MATCH( K$3,Mortality!$B$6:$F$6,0))</f>
        <v>0.44800000000000001</v>
      </c>
      <c r="L259" s="11">
        <f t="shared" si="187"/>
        <v>0</v>
      </c>
      <c r="M259" s="80">
        <f t="shared" si="206"/>
        <v>0.44800000000000001</v>
      </c>
      <c r="N259" s="76" t="e">
        <f>INDEX(Myopia!$H:$H, MATCH(E259, Myopia!$A:$A, 0)) * Trend_Factor^(A259)</f>
        <v>#N/A</v>
      </c>
      <c r="O259" s="11">
        <f t="shared" si="188"/>
        <v>0</v>
      </c>
      <c r="P259" s="80">
        <f t="shared" si="207"/>
        <v>0</v>
      </c>
      <c r="Q259" s="76">
        <f>VLOOKUP(C259,Others!$L$10:$M$61,2)</f>
        <v>0</v>
      </c>
      <c r="R259" s="11">
        <f t="shared" si="189"/>
        <v>0</v>
      </c>
      <c r="S259" s="80">
        <f t="shared" si="208"/>
        <v>0</v>
      </c>
      <c r="T259" s="78">
        <f t="shared" si="209"/>
        <v>3.7333333333333331E-5</v>
      </c>
      <c r="U259" s="81">
        <f t="shared" si="210"/>
        <v>0</v>
      </c>
      <c r="V259" s="81">
        <f t="shared" si="211"/>
        <v>0</v>
      </c>
      <c r="W259" s="77">
        <f t="shared" si="190"/>
        <v>0</v>
      </c>
      <c r="X259" s="82">
        <f t="shared" si="212"/>
        <v>0</v>
      </c>
      <c r="Y259" s="82">
        <f t="shared" si="213"/>
        <v>0</v>
      </c>
      <c r="Z259" s="82">
        <f t="shared" si="214"/>
        <v>0</v>
      </c>
      <c r="AA259" s="82">
        <f t="shared" si="215"/>
        <v>0</v>
      </c>
      <c r="AC259" s="46">
        <f t="shared" si="191"/>
        <v>0</v>
      </c>
      <c r="AD259" s="15">
        <f t="shared" si="192"/>
        <v>0</v>
      </c>
      <c r="AE259" s="46">
        <f t="shared" si="216"/>
        <v>0</v>
      </c>
      <c r="AF259" s="15">
        <f t="shared" si="217"/>
        <v>0</v>
      </c>
      <c r="AG259" s="46">
        <f>SUMPRODUCT(AE260:AE$605, $I259:$I$604) / $I259</f>
        <v>0</v>
      </c>
      <c r="AI259" s="46">
        <f t="shared" si="193"/>
        <v>0</v>
      </c>
      <c r="AJ259" s="46">
        <f>IF(E259&gt;Mat_Year,0,  -SUM($AD$5:AD259))</f>
        <v>0</v>
      </c>
      <c r="AK259" s="24">
        <f t="shared" si="218"/>
        <v>0</v>
      </c>
      <c r="AL259" s="79">
        <f t="shared" si="219"/>
        <v>0</v>
      </c>
      <c r="AM259" s="24">
        <f t="shared" si="220"/>
        <v>0</v>
      </c>
      <c r="AN259" s="79">
        <f t="shared" si="221"/>
        <v>0</v>
      </c>
      <c r="AO259" s="15">
        <f t="shared" si="222"/>
        <v>0</v>
      </c>
      <c r="AP259" s="46">
        <f>SUMPRODUCT(AN260:AN$605, $I260:$I$605) / $I259</f>
        <v>0</v>
      </c>
      <c r="AR259" s="46">
        <v>0</v>
      </c>
      <c r="AS259" s="46">
        <v>0</v>
      </c>
      <c r="AT259" s="46">
        <v>0</v>
      </c>
      <c r="AU259" s="95">
        <f t="shared" si="194"/>
        <v>0</v>
      </c>
      <c r="AV259" s="47">
        <f t="shared" si="195"/>
        <v>0</v>
      </c>
      <c r="AW259" s="96">
        <f t="shared" si="230"/>
        <v>0</v>
      </c>
      <c r="AX259" s="95">
        <f t="shared" si="196"/>
        <v>0</v>
      </c>
      <c r="AY259" s="11">
        <f t="shared" si="197"/>
        <v>0</v>
      </c>
      <c r="AZ259" s="96">
        <f t="shared" si="231"/>
        <v>0</v>
      </c>
      <c r="BA259" s="95">
        <f t="shared" si="232"/>
        <v>0</v>
      </c>
      <c r="BB259" s="64">
        <f t="shared" si="233"/>
        <v>0</v>
      </c>
      <c r="BC259" s="95">
        <f t="shared" si="234"/>
        <v>0</v>
      </c>
      <c r="BD259" s="96">
        <f t="shared" si="235"/>
        <v>0</v>
      </c>
      <c r="BE259" s="96">
        <f t="shared" si="236"/>
        <v>0</v>
      </c>
      <c r="BF259" s="96">
        <f t="shared" si="237"/>
        <v>0</v>
      </c>
      <c r="BG259" s="15">
        <f t="shared" si="223"/>
        <v>0</v>
      </c>
      <c r="BH259" s="46">
        <f>(SUMPRODUCT(BE260:BE$605,$I259:$I$604)+SUMPRODUCT(BF260:BF$605,$I260:$I$605)) / $I259</f>
        <v>0</v>
      </c>
      <c r="BJ259" s="46">
        <f t="shared" si="238"/>
        <v>0</v>
      </c>
      <c r="BK259" s="46">
        <f t="shared" si="239"/>
        <v>0</v>
      </c>
      <c r="BM259" s="49">
        <f t="shared" si="224"/>
        <v>0</v>
      </c>
      <c r="BN259" s="46">
        <f t="shared" si="240"/>
        <v>0</v>
      </c>
      <c r="BP259" s="46">
        <f>Reserve!BX259</f>
        <v>0</v>
      </c>
      <c r="BQ259" s="46">
        <f t="shared" si="198"/>
        <v>0</v>
      </c>
      <c r="BR259" s="15">
        <f t="shared" si="225"/>
        <v>0</v>
      </c>
      <c r="BT259" s="49">
        <f t="shared" si="226"/>
        <v>0</v>
      </c>
      <c r="BU259" s="46">
        <f t="shared" si="199"/>
        <v>0</v>
      </c>
      <c r="BV259" s="46">
        <f>SUMPRODUCT(BU260:BU$605, $I260:$I$605) / $I259</f>
        <v>0</v>
      </c>
      <c r="BX259" s="46">
        <f>-BZ259*Others!$Q$43</f>
        <v>0</v>
      </c>
      <c r="BZ259" s="50">
        <f t="shared" si="184"/>
        <v>0</v>
      </c>
      <c r="CA259" s="46">
        <f t="shared" si="227"/>
        <v>0</v>
      </c>
      <c r="CB259" s="46">
        <f t="shared" si="200"/>
        <v>0</v>
      </c>
      <c r="CD259" s="46">
        <f>SUMPRODUCT(BZ260:BZ$605, $I260:$I$605) / $I259</f>
        <v>0</v>
      </c>
      <c r="CE259" s="46">
        <f>SUMPRODUCT(CA260:CA$605, $I260:$I$605) / $I259</f>
        <v>0</v>
      </c>
      <c r="CF259" s="46">
        <f>SUMPRODUCT(CB260:CB$605, $I260:$I$605) / $I259</f>
        <v>0</v>
      </c>
      <c r="CH259" s="46">
        <f t="shared" si="201"/>
        <v>0</v>
      </c>
      <c r="CI259" s="46">
        <f t="shared" si="202"/>
        <v>0</v>
      </c>
      <c r="CK259" s="46">
        <f>NPV((1+CK$3)^(1/12)-1,$CB$6:$CB259)+$CB$5</f>
        <v>1409.6963032385702</v>
      </c>
      <c r="CL259" s="46">
        <f>NPV((1+CL$3)^(1/12)-1,$CB$6:$CB259)+$CB$5</f>
        <v>1057.2060036590874</v>
      </c>
      <c r="CM259" s="46">
        <f>NPV((1+CM$3)^(1/12)-1,$CB$6:$CB259)+$CB$5</f>
        <v>462.64886026294084</v>
      </c>
      <c r="CN259" s="46">
        <f>NPV((1+CN$3)^(1/12)-1,$CB$6:$CB259)+$CB$5</f>
        <v>462.64886026294084</v>
      </c>
    </row>
    <row r="260" spans="1:92" x14ac:dyDescent="0.25">
      <c r="A260" s="61">
        <f t="shared" si="185"/>
        <v>21.249999999999968</v>
      </c>
      <c r="B260" s="32">
        <f t="shared" si="203"/>
        <v>3</v>
      </c>
      <c r="C260" s="62">
        <f t="shared" si="204"/>
        <v>22</v>
      </c>
      <c r="D260" s="64">
        <f t="shared" si="205"/>
        <v>21.749999999999968</v>
      </c>
      <c r="E260" s="28">
        <f t="shared" si="186"/>
        <v>21</v>
      </c>
      <c r="G260" s="68">
        <f>INDEX(Others!$D$11:$E$60, MATCH(C260, Others!$A$11:$A$60, 0), MATCH(G$3, Others!$D$10:$E$10, 0))</f>
        <v>4.0690909090909333E-2</v>
      </c>
      <c r="H260" s="16">
        <f t="shared" si="228"/>
        <v>3.329265421250005E-3</v>
      </c>
      <c r="I260" s="69">
        <f t="shared" si="229"/>
        <v>0.42846226827338507</v>
      </c>
      <c r="K260" s="80">
        <f>INDEX(Mortality!$B$7:$F$32, MATCH( E260,Mortality!$A$7:$A$32, 0), MATCH( K$3,Mortality!$B$6:$F$6,0))</f>
        <v>0.44800000000000001</v>
      </c>
      <c r="L260" s="11">
        <f t="shared" si="187"/>
        <v>0</v>
      </c>
      <c r="M260" s="80">
        <f t="shared" si="206"/>
        <v>0.44800000000000001</v>
      </c>
      <c r="N260" s="76" t="e">
        <f>INDEX(Myopia!$H:$H, MATCH(E260, Myopia!$A:$A, 0)) * Trend_Factor^(A260)</f>
        <v>#N/A</v>
      </c>
      <c r="O260" s="11">
        <f t="shared" si="188"/>
        <v>0</v>
      </c>
      <c r="P260" s="80">
        <f t="shared" si="207"/>
        <v>0</v>
      </c>
      <c r="Q260" s="76">
        <f>VLOOKUP(C260,Others!$L$10:$M$61,2)</f>
        <v>0</v>
      </c>
      <c r="R260" s="11">
        <f t="shared" si="189"/>
        <v>0</v>
      </c>
      <c r="S260" s="80">
        <f t="shared" si="208"/>
        <v>0</v>
      </c>
      <c r="T260" s="78">
        <f t="shared" si="209"/>
        <v>3.7333333333333331E-5</v>
      </c>
      <c r="U260" s="81">
        <f t="shared" si="210"/>
        <v>0</v>
      </c>
      <c r="V260" s="81">
        <f t="shared" si="211"/>
        <v>0</v>
      </c>
      <c r="W260" s="77">
        <f t="shared" si="190"/>
        <v>0</v>
      </c>
      <c r="X260" s="82">
        <f t="shared" si="212"/>
        <v>0</v>
      </c>
      <c r="Y260" s="82">
        <f t="shared" si="213"/>
        <v>0</v>
      </c>
      <c r="Z260" s="82">
        <f t="shared" si="214"/>
        <v>0</v>
      </c>
      <c r="AA260" s="82">
        <f t="shared" si="215"/>
        <v>0</v>
      </c>
      <c r="AC260" s="46">
        <f t="shared" si="191"/>
        <v>0</v>
      </c>
      <c r="AD260" s="15">
        <f t="shared" si="192"/>
        <v>0</v>
      </c>
      <c r="AE260" s="46">
        <f t="shared" si="216"/>
        <v>0</v>
      </c>
      <c r="AF260" s="15">
        <f t="shared" si="217"/>
        <v>0</v>
      </c>
      <c r="AG260" s="46">
        <f>SUMPRODUCT(AE261:AE$605, $I260:$I$604) / $I260</f>
        <v>0</v>
      </c>
      <c r="AI260" s="46">
        <f t="shared" si="193"/>
        <v>0</v>
      </c>
      <c r="AJ260" s="46">
        <f>IF(E260&gt;Mat_Year,0,  -SUM($AD$5:AD260))</f>
        <v>0</v>
      </c>
      <c r="AK260" s="24">
        <f t="shared" si="218"/>
        <v>0</v>
      </c>
      <c r="AL260" s="79">
        <f t="shared" si="219"/>
        <v>0</v>
      </c>
      <c r="AM260" s="24">
        <f t="shared" si="220"/>
        <v>0</v>
      </c>
      <c r="AN260" s="79">
        <f t="shared" si="221"/>
        <v>0</v>
      </c>
      <c r="AO260" s="15">
        <f t="shared" si="222"/>
        <v>0</v>
      </c>
      <c r="AP260" s="46">
        <f>SUMPRODUCT(AN261:AN$605, $I261:$I$605) / $I260</f>
        <v>0</v>
      </c>
      <c r="AR260" s="46">
        <v>0</v>
      </c>
      <c r="AS260" s="46">
        <v>0</v>
      </c>
      <c r="AT260" s="46">
        <v>0</v>
      </c>
      <c r="AU260" s="95">
        <f t="shared" si="194"/>
        <v>0</v>
      </c>
      <c r="AV260" s="47">
        <f t="shared" si="195"/>
        <v>0</v>
      </c>
      <c r="AW260" s="96">
        <f t="shared" si="230"/>
        <v>0</v>
      </c>
      <c r="AX260" s="95">
        <f t="shared" si="196"/>
        <v>0</v>
      </c>
      <c r="AY260" s="11">
        <f t="shared" si="197"/>
        <v>0</v>
      </c>
      <c r="AZ260" s="96">
        <f t="shared" si="231"/>
        <v>0</v>
      </c>
      <c r="BA260" s="95">
        <f t="shared" si="232"/>
        <v>0</v>
      </c>
      <c r="BB260" s="64">
        <f t="shared" si="233"/>
        <v>0</v>
      </c>
      <c r="BC260" s="95">
        <f t="shared" si="234"/>
        <v>0</v>
      </c>
      <c r="BD260" s="96">
        <f t="shared" si="235"/>
        <v>0</v>
      </c>
      <c r="BE260" s="96">
        <f t="shared" si="236"/>
        <v>0</v>
      </c>
      <c r="BF260" s="96">
        <f t="shared" si="237"/>
        <v>0</v>
      </c>
      <c r="BG260" s="15">
        <f t="shared" si="223"/>
        <v>0</v>
      </c>
      <c r="BH260" s="46">
        <f>(SUMPRODUCT(BE261:BE$605,$I260:$I$604)+SUMPRODUCT(BF261:BF$605,$I261:$I$605)) / $I260</f>
        <v>0</v>
      </c>
      <c r="BJ260" s="46">
        <f t="shared" si="238"/>
        <v>0</v>
      </c>
      <c r="BK260" s="46">
        <f t="shared" si="239"/>
        <v>0</v>
      </c>
      <c r="BM260" s="49">
        <f t="shared" si="224"/>
        <v>0</v>
      </c>
      <c r="BN260" s="46">
        <f t="shared" si="240"/>
        <v>0</v>
      </c>
      <c r="BP260" s="46">
        <f>Reserve!BX260</f>
        <v>0</v>
      </c>
      <c r="BQ260" s="46">
        <f t="shared" si="198"/>
        <v>0</v>
      </c>
      <c r="BR260" s="15">
        <f t="shared" si="225"/>
        <v>0</v>
      </c>
      <c r="BT260" s="49">
        <f t="shared" si="226"/>
        <v>0</v>
      </c>
      <c r="BU260" s="46">
        <f t="shared" si="199"/>
        <v>0</v>
      </c>
      <c r="BV260" s="46">
        <f>SUMPRODUCT(BU261:BU$605, $I261:$I$605) / $I260</f>
        <v>0</v>
      </c>
      <c r="BX260" s="46">
        <f>-BZ260*Others!$Q$43</f>
        <v>0</v>
      </c>
      <c r="BZ260" s="50">
        <f t="shared" si="184"/>
        <v>0</v>
      </c>
      <c r="CA260" s="46">
        <f t="shared" si="227"/>
        <v>0</v>
      </c>
      <c r="CB260" s="46">
        <f t="shared" si="200"/>
        <v>0</v>
      </c>
      <c r="CD260" s="46">
        <f>SUMPRODUCT(BZ261:BZ$605, $I261:$I$605) / $I260</f>
        <v>0</v>
      </c>
      <c r="CE260" s="46">
        <f>SUMPRODUCT(CA261:CA$605, $I261:$I$605) / $I260</f>
        <v>0</v>
      </c>
      <c r="CF260" s="46">
        <f>SUMPRODUCT(CB261:CB$605, $I261:$I$605) / $I260</f>
        <v>0</v>
      </c>
      <c r="CH260" s="46">
        <f t="shared" si="201"/>
        <v>0</v>
      </c>
      <c r="CI260" s="46">
        <f t="shared" si="202"/>
        <v>0</v>
      </c>
      <c r="CK260" s="46">
        <f>NPV((1+CK$3)^(1/12)-1,$CB$6:$CB260)+$CB$5</f>
        <v>1409.6963032385702</v>
      </c>
      <c r="CL260" s="46">
        <f>NPV((1+CL$3)^(1/12)-1,$CB$6:$CB260)+$CB$5</f>
        <v>1057.2060036590874</v>
      </c>
      <c r="CM260" s="46">
        <f>NPV((1+CM$3)^(1/12)-1,$CB$6:$CB260)+$CB$5</f>
        <v>462.64886026294084</v>
      </c>
      <c r="CN260" s="46">
        <f>NPV((1+CN$3)^(1/12)-1,$CB$6:$CB260)+$CB$5</f>
        <v>462.64886026294084</v>
      </c>
    </row>
    <row r="261" spans="1:92" x14ac:dyDescent="0.25">
      <c r="A261" s="61">
        <f t="shared" si="185"/>
        <v>21.3333333333333</v>
      </c>
      <c r="B261" s="32">
        <f t="shared" si="203"/>
        <v>4</v>
      </c>
      <c r="C261" s="62">
        <f t="shared" si="204"/>
        <v>22</v>
      </c>
      <c r="D261" s="64">
        <f t="shared" si="205"/>
        <v>21.8333333333333</v>
      </c>
      <c r="E261" s="28">
        <f t="shared" si="186"/>
        <v>21</v>
      </c>
      <c r="G261" s="68">
        <f>INDEX(Others!$D$11:$E$60, MATCH(C261, Others!$A$11:$A$60, 0), MATCH(G$3, Others!$D$10:$E$10, 0))</f>
        <v>4.0690909090909333E-2</v>
      </c>
      <c r="H261" s="16">
        <f t="shared" si="228"/>
        <v>3.329265421250005E-3</v>
      </c>
      <c r="I261" s="69">
        <f t="shared" si="229"/>
        <v>0.42704053698014505</v>
      </c>
      <c r="K261" s="80">
        <f>INDEX(Mortality!$B$7:$F$32, MATCH( E261,Mortality!$A$7:$A$32, 0), MATCH( K$3,Mortality!$B$6:$F$6,0))</f>
        <v>0.44800000000000001</v>
      </c>
      <c r="L261" s="11">
        <f t="shared" si="187"/>
        <v>0</v>
      </c>
      <c r="M261" s="80">
        <f t="shared" si="206"/>
        <v>0.44800000000000001</v>
      </c>
      <c r="N261" s="76" t="e">
        <f>INDEX(Myopia!$H:$H, MATCH(E261, Myopia!$A:$A, 0)) * Trend_Factor^(A261)</f>
        <v>#N/A</v>
      </c>
      <c r="O261" s="11">
        <f t="shared" si="188"/>
        <v>0</v>
      </c>
      <c r="P261" s="80">
        <f t="shared" si="207"/>
        <v>0</v>
      </c>
      <c r="Q261" s="76">
        <f>VLOOKUP(C261,Others!$L$10:$M$61,2)</f>
        <v>0</v>
      </c>
      <c r="R261" s="11">
        <f t="shared" si="189"/>
        <v>0</v>
      </c>
      <c r="S261" s="80">
        <f t="shared" si="208"/>
        <v>0</v>
      </c>
      <c r="T261" s="78">
        <f t="shared" si="209"/>
        <v>3.7333333333333331E-5</v>
      </c>
      <c r="U261" s="81">
        <f t="shared" si="210"/>
        <v>0</v>
      </c>
      <c r="V261" s="81">
        <f t="shared" si="211"/>
        <v>0</v>
      </c>
      <c r="W261" s="77">
        <f t="shared" si="190"/>
        <v>0</v>
      </c>
      <c r="X261" s="82">
        <f t="shared" si="212"/>
        <v>0</v>
      </c>
      <c r="Y261" s="82">
        <f t="shared" si="213"/>
        <v>0</v>
      </c>
      <c r="Z261" s="82">
        <f t="shared" si="214"/>
        <v>0</v>
      </c>
      <c r="AA261" s="82">
        <f t="shared" si="215"/>
        <v>0</v>
      </c>
      <c r="AC261" s="46">
        <f t="shared" si="191"/>
        <v>0</v>
      </c>
      <c r="AD261" s="15">
        <f t="shared" si="192"/>
        <v>0</v>
      </c>
      <c r="AE261" s="46">
        <f t="shared" si="216"/>
        <v>0</v>
      </c>
      <c r="AF261" s="15">
        <f t="shared" si="217"/>
        <v>0</v>
      </c>
      <c r="AG261" s="46">
        <f>SUMPRODUCT(AE262:AE$605, $I261:$I$604) / $I261</f>
        <v>0</v>
      </c>
      <c r="AI261" s="46">
        <f t="shared" si="193"/>
        <v>0</v>
      </c>
      <c r="AJ261" s="46">
        <f>IF(E261&gt;Mat_Year,0,  -SUM($AD$5:AD261))</f>
        <v>0</v>
      </c>
      <c r="AK261" s="24">
        <f t="shared" si="218"/>
        <v>0</v>
      </c>
      <c r="AL261" s="79">
        <f t="shared" si="219"/>
        <v>0</v>
      </c>
      <c r="AM261" s="24">
        <f t="shared" si="220"/>
        <v>0</v>
      </c>
      <c r="AN261" s="79">
        <f t="shared" si="221"/>
        <v>0</v>
      </c>
      <c r="AO261" s="15">
        <f t="shared" si="222"/>
        <v>0</v>
      </c>
      <c r="AP261" s="46">
        <f>SUMPRODUCT(AN262:AN$605, $I262:$I$605) / $I261</f>
        <v>0</v>
      </c>
      <c r="AR261" s="46">
        <v>0</v>
      </c>
      <c r="AS261" s="46">
        <v>0</v>
      </c>
      <c r="AT261" s="46">
        <v>0</v>
      </c>
      <c r="AU261" s="95">
        <f t="shared" si="194"/>
        <v>0</v>
      </c>
      <c r="AV261" s="47">
        <f t="shared" si="195"/>
        <v>0</v>
      </c>
      <c r="AW261" s="96">
        <f t="shared" si="230"/>
        <v>0</v>
      </c>
      <c r="AX261" s="95">
        <f t="shared" si="196"/>
        <v>0</v>
      </c>
      <c r="AY261" s="11">
        <f t="shared" si="197"/>
        <v>0</v>
      </c>
      <c r="AZ261" s="96">
        <f t="shared" si="231"/>
        <v>0</v>
      </c>
      <c r="BA261" s="95">
        <f t="shared" si="232"/>
        <v>0</v>
      </c>
      <c r="BB261" s="64">
        <f t="shared" si="233"/>
        <v>0</v>
      </c>
      <c r="BC261" s="95">
        <f t="shared" si="234"/>
        <v>0</v>
      </c>
      <c r="BD261" s="96">
        <f t="shared" si="235"/>
        <v>0</v>
      </c>
      <c r="BE261" s="96">
        <f t="shared" si="236"/>
        <v>0</v>
      </c>
      <c r="BF261" s="96">
        <f t="shared" si="237"/>
        <v>0</v>
      </c>
      <c r="BG261" s="15">
        <f t="shared" si="223"/>
        <v>0</v>
      </c>
      <c r="BH261" s="46">
        <f>(SUMPRODUCT(BE262:BE$605,$I261:$I$604)+SUMPRODUCT(BF262:BF$605,$I262:$I$605)) / $I261</f>
        <v>0</v>
      </c>
      <c r="BJ261" s="46">
        <f t="shared" si="238"/>
        <v>0</v>
      </c>
      <c r="BK261" s="46">
        <f t="shared" si="239"/>
        <v>0</v>
      </c>
      <c r="BM261" s="49">
        <f t="shared" si="224"/>
        <v>0</v>
      </c>
      <c r="BN261" s="46">
        <f t="shared" si="240"/>
        <v>0</v>
      </c>
      <c r="BP261" s="46">
        <f>Reserve!BX261</f>
        <v>0</v>
      </c>
      <c r="BQ261" s="46">
        <f t="shared" si="198"/>
        <v>0</v>
      </c>
      <c r="BR261" s="15">
        <f t="shared" si="225"/>
        <v>0</v>
      </c>
      <c r="BT261" s="49">
        <f t="shared" si="226"/>
        <v>0</v>
      </c>
      <c r="BU261" s="46">
        <f t="shared" si="199"/>
        <v>0</v>
      </c>
      <c r="BV261" s="46">
        <f>SUMPRODUCT(BU262:BU$605, $I262:$I$605) / $I261</f>
        <v>0</v>
      </c>
      <c r="BX261" s="46">
        <f>-BZ261*Others!$Q$43</f>
        <v>0</v>
      </c>
      <c r="BZ261" s="50">
        <f t="shared" ref="BZ261:BZ317" si="241">SUM(BJ261,BK261,BR261,BU261)</f>
        <v>0</v>
      </c>
      <c r="CA261" s="46">
        <f t="shared" si="227"/>
        <v>0</v>
      </c>
      <c r="CB261" s="46">
        <f t="shared" si="200"/>
        <v>0</v>
      </c>
      <c r="CD261" s="46">
        <f>SUMPRODUCT(BZ262:BZ$605, $I262:$I$605) / $I261</f>
        <v>0</v>
      </c>
      <c r="CE261" s="46">
        <f>SUMPRODUCT(CA262:CA$605, $I262:$I$605) / $I261</f>
        <v>0</v>
      </c>
      <c r="CF261" s="46">
        <f>SUMPRODUCT(CB262:CB$605, $I262:$I$605) / $I261</f>
        <v>0</v>
      </c>
      <c r="CH261" s="46">
        <f t="shared" si="201"/>
        <v>0</v>
      </c>
      <c r="CI261" s="46">
        <f t="shared" si="202"/>
        <v>0</v>
      </c>
      <c r="CK261" s="46">
        <f>NPV((1+CK$3)^(1/12)-1,$CB$6:$CB261)+$CB$5</f>
        <v>1409.6963032385702</v>
      </c>
      <c r="CL261" s="46">
        <f>NPV((1+CL$3)^(1/12)-1,$CB$6:$CB261)+$CB$5</f>
        <v>1057.2060036590874</v>
      </c>
      <c r="CM261" s="46">
        <f>NPV((1+CM$3)^(1/12)-1,$CB$6:$CB261)+$CB$5</f>
        <v>462.64886026294084</v>
      </c>
      <c r="CN261" s="46">
        <f>NPV((1+CN$3)^(1/12)-1,$CB$6:$CB261)+$CB$5</f>
        <v>462.64886026294084</v>
      </c>
    </row>
    <row r="262" spans="1:92" x14ac:dyDescent="0.25">
      <c r="A262" s="61">
        <f t="shared" ref="A262:A317" si="242">A261+1/12</f>
        <v>21.416666666666632</v>
      </c>
      <c r="B262" s="32">
        <f t="shared" si="203"/>
        <v>5</v>
      </c>
      <c r="C262" s="62">
        <f t="shared" si="204"/>
        <v>22</v>
      </c>
      <c r="D262" s="64">
        <f t="shared" si="205"/>
        <v>21.916666666666632</v>
      </c>
      <c r="E262" s="28">
        <f t="shared" ref="E262:E317" si="243">INT(D262+0.001)</f>
        <v>21</v>
      </c>
      <c r="G262" s="68">
        <f>INDEX(Others!$D$11:$E$60, MATCH(C262, Others!$A$11:$A$60, 0), MATCH(G$3, Others!$D$10:$E$10, 0))</f>
        <v>4.0690909090909333E-2</v>
      </c>
      <c r="H262" s="16">
        <f t="shared" si="228"/>
        <v>3.329265421250005E-3</v>
      </c>
      <c r="I262" s="69">
        <f t="shared" si="229"/>
        <v>0.42562352330154662</v>
      </c>
      <c r="K262" s="80">
        <f>INDEX(Mortality!$B$7:$F$32, MATCH( E262,Mortality!$A$7:$A$32, 0), MATCH( K$3,Mortality!$B$6:$F$6,0))</f>
        <v>0.44800000000000001</v>
      </c>
      <c r="L262" s="11">
        <f t="shared" ref="L262:L317" si="244">PAD_Mort</f>
        <v>0</v>
      </c>
      <c r="M262" s="80">
        <f t="shared" si="206"/>
        <v>0.44800000000000001</v>
      </c>
      <c r="N262" s="76" t="e">
        <f>INDEX(Myopia!$H:$H, MATCH(E262, Myopia!$A:$A, 0)) * Trend_Factor^(A262)</f>
        <v>#N/A</v>
      </c>
      <c r="O262" s="11">
        <f t="shared" ref="O262:O317" si="245">PAD_Incid</f>
        <v>0</v>
      </c>
      <c r="P262" s="80">
        <f t="shared" si="207"/>
        <v>0</v>
      </c>
      <c r="Q262" s="76">
        <f>VLOOKUP(C262,Others!$L$10:$M$61,2)</f>
        <v>0</v>
      </c>
      <c r="R262" s="11">
        <f t="shared" ref="R262:R317" si="246">PAD_Laspe</f>
        <v>0</v>
      </c>
      <c r="S262" s="80">
        <f t="shared" si="208"/>
        <v>0</v>
      </c>
      <c r="T262" s="78">
        <f t="shared" si="209"/>
        <v>3.7333333333333331E-5</v>
      </c>
      <c r="U262" s="81">
        <f t="shared" si="210"/>
        <v>0</v>
      </c>
      <c r="V262" s="81">
        <f t="shared" si="211"/>
        <v>0</v>
      </c>
      <c r="W262" s="77">
        <f t="shared" ref="W262:W317" si="247">IF(E262&gt;Mat_Year, 0, AA261)</f>
        <v>0</v>
      </c>
      <c r="X262" s="82">
        <f t="shared" si="212"/>
        <v>0</v>
      </c>
      <c r="Y262" s="82">
        <f t="shared" si="213"/>
        <v>0</v>
      </c>
      <c r="Z262" s="82">
        <f t="shared" si="214"/>
        <v>0</v>
      </c>
      <c r="AA262" s="82">
        <f t="shared" si="215"/>
        <v>0</v>
      </c>
      <c r="AC262" s="46">
        <f t="shared" ref="AC262:AC317" si="248">IF(C262&gt;Prem_Term,0,Ann_Prem)</f>
        <v>0</v>
      </c>
      <c r="AD262" s="15">
        <f t="shared" ref="AD262:AD317" si="249">IF(Prem_Mode="Mth",AC262/12,
IF(B262=1, AC262, 0))</f>
        <v>0</v>
      </c>
      <c r="AE262" s="46">
        <f t="shared" si="216"/>
        <v>0</v>
      </c>
      <c r="AF262" s="15">
        <f t="shared" si="217"/>
        <v>0</v>
      </c>
      <c r="AG262" s="46">
        <f>SUMPRODUCT(AE263:AE$605, $I262:$I$604) / $I262</f>
        <v>0</v>
      </c>
      <c r="AI262" s="46">
        <f t="shared" ref="AI262:AI317" si="250">IF(E262&gt;Mat_Year,0, -Sum_Assured)</f>
        <v>0</v>
      </c>
      <c r="AJ262" s="46">
        <f>IF(E262&gt;Mat_Year,0,  -SUM($AD$5:AD262))</f>
        <v>0</v>
      </c>
      <c r="AK262" s="24">
        <f t="shared" si="218"/>
        <v>0</v>
      </c>
      <c r="AL262" s="79">
        <f t="shared" si="219"/>
        <v>0</v>
      </c>
      <c r="AM262" s="24">
        <f t="shared" si="220"/>
        <v>0</v>
      </c>
      <c r="AN262" s="79">
        <f t="shared" si="221"/>
        <v>0</v>
      </c>
      <c r="AO262" s="15">
        <f t="shared" si="222"/>
        <v>0</v>
      </c>
      <c r="AP262" s="46">
        <f>SUMPRODUCT(AN263:AN$605, $I263:$I$605) / $I262</f>
        <v>0</v>
      </c>
      <c r="AR262" s="46">
        <v>0</v>
      </c>
      <c r="AS262" s="46">
        <v>0</v>
      </c>
      <c r="AT262" s="46">
        <v>0</v>
      </c>
      <c r="AU262" s="95">
        <f t="shared" ref="AU262:AU317" si="251">IF(E262&gt;Mat_Year,0,
-Exp_Main/12 * (1+Exp_Main_Infl)^(A261))</f>
        <v>0</v>
      </c>
      <c r="AV262" s="47">
        <f t="shared" ref="AV262:AV317" si="252">PAD_Exp_Main</f>
        <v>0</v>
      </c>
      <c r="AW262" s="96">
        <f t="shared" si="230"/>
        <v>0</v>
      </c>
      <c r="AX262" s="95">
        <f t="shared" ref="AX262:AX317" si="253">IF(E262&gt;Mat_Year,0,
-Exp_Claim* (1+Exp_Main_Infl)^(A261))</f>
        <v>0</v>
      </c>
      <c r="AY262" s="11">
        <f t="shared" ref="AY262:AY317" si="254">PAD_Exp_Claim</f>
        <v>0</v>
      </c>
      <c r="AZ262" s="96">
        <f t="shared" si="231"/>
        <v>0</v>
      </c>
      <c r="BA262" s="95">
        <f t="shared" si="232"/>
        <v>0</v>
      </c>
      <c r="BB262" s="64">
        <f t="shared" si="233"/>
        <v>0</v>
      </c>
      <c r="BC262" s="95">
        <f t="shared" si="234"/>
        <v>0</v>
      </c>
      <c r="BD262" s="96">
        <f t="shared" si="235"/>
        <v>0</v>
      </c>
      <c r="BE262" s="96">
        <f t="shared" si="236"/>
        <v>0</v>
      </c>
      <c r="BF262" s="96">
        <f t="shared" si="237"/>
        <v>0</v>
      </c>
      <c r="BG262" s="15">
        <f t="shared" si="223"/>
        <v>0</v>
      </c>
      <c r="BH262" s="46">
        <f>(SUMPRODUCT(BE263:BE$605,$I262:$I$604)+SUMPRODUCT(BF263:BF$605,$I263:$I$605)) / $I262</f>
        <v>0</v>
      </c>
      <c r="BJ262" s="46">
        <f t="shared" si="238"/>
        <v>0</v>
      </c>
      <c r="BK262" s="46">
        <f t="shared" si="239"/>
        <v>0</v>
      </c>
      <c r="BM262" s="49">
        <f t="shared" si="224"/>
        <v>0</v>
      </c>
      <c r="BN262" s="46">
        <f t="shared" si="240"/>
        <v>0</v>
      </c>
      <c r="BP262" s="46">
        <f>Reserve!BX262</f>
        <v>0</v>
      </c>
      <c r="BQ262" s="46">
        <f t="shared" ref="BQ262:BQ317" si="255">BP262*AA262</f>
        <v>0</v>
      </c>
      <c r="BR262" s="15">
        <f t="shared" si="225"/>
        <v>0</v>
      </c>
      <c r="BT262" s="49">
        <f t="shared" si="226"/>
        <v>0</v>
      </c>
      <c r="BU262" s="46">
        <f t="shared" ref="BU262:BU317" si="256">SUM(BJ262,BQ261)*H262</f>
        <v>0</v>
      </c>
      <c r="BV262" s="46">
        <f>SUMPRODUCT(BU263:BU$605, $I263:$I$605) / $I262</f>
        <v>0</v>
      </c>
      <c r="BX262" s="46">
        <f>-BZ262*Others!$Q$43</f>
        <v>0</v>
      </c>
      <c r="BZ262" s="50">
        <f t="shared" si="241"/>
        <v>0</v>
      </c>
      <c r="CA262" s="46">
        <f t="shared" si="227"/>
        <v>0</v>
      </c>
      <c r="CB262" s="46">
        <f t="shared" ref="CB262:CB317" si="257">CA262</f>
        <v>0</v>
      </c>
      <c r="CD262" s="46">
        <f>SUMPRODUCT(BZ263:BZ$605, $I263:$I$605) / $I262</f>
        <v>0</v>
      </c>
      <c r="CE262" s="46">
        <f>SUMPRODUCT(CA263:CA$605, $I263:$I$605) / $I262</f>
        <v>0</v>
      </c>
      <c r="CF262" s="46">
        <f>SUMPRODUCT(CB263:CB$605, $I263:$I$605) / $I262</f>
        <v>0</v>
      </c>
      <c r="CH262" s="46">
        <f t="shared" ref="CH262:CH317" si="258">IF(E263&gt;Mat_Year, 0, MAX(0, -AI262-$BP262))</f>
        <v>0</v>
      </c>
      <c r="CI262" s="46">
        <f t="shared" ref="CI262:CI317" si="259">IF(E263&gt;Mat_Year, 0, MAX(0, -AJ262-$BP262))</f>
        <v>0</v>
      </c>
      <c r="CK262" s="46">
        <f>NPV((1+CK$3)^(1/12)-1,$CB$6:$CB262)+$CB$5</f>
        <v>1409.6963032385702</v>
      </c>
      <c r="CL262" s="46">
        <f>NPV((1+CL$3)^(1/12)-1,$CB$6:$CB262)+$CB$5</f>
        <v>1057.2060036590874</v>
      </c>
      <c r="CM262" s="46">
        <f>NPV((1+CM$3)^(1/12)-1,$CB$6:$CB262)+$CB$5</f>
        <v>462.64886026294084</v>
      </c>
      <c r="CN262" s="46">
        <f>NPV((1+CN$3)^(1/12)-1,$CB$6:$CB262)+$CB$5</f>
        <v>462.64886026294084</v>
      </c>
    </row>
    <row r="263" spans="1:92" x14ac:dyDescent="0.25">
      <c r="A263" s="61">
        <f t="shared" si="242"/>
        <v>21.499999999999964</v>
      </c>
      <c r="B263" s="32">
        <f t="shared" ref="B263:B317" si="260">IF(B262=12,1,B262+1)</f>
        <v>6</v>
      </c>
      <c r="C263" s="62">
        <f t="shared" ref="C263:C317" si="261">IF(B262=12,C262+1,C262)</f>
        <v>22</v>
      </c>
      <c r="D263" s="64">
        <f t="shared" ref="D263:D317" si="262">$D$5+A263</f>
        <v>21.999999999999964</v>
      </c>
      <c r="E263" s="28">
        <f t="shared" si="243"/>
        <v>22</v>
      </c>
      <c r="G263" s="68">
        <f>INDEX(Others!$D$11:$E$60, MATCH(C263, Others!$A$11:$A$60, 0), MATCH(G$3, Others!$D$10:$E$10, 0))</f>
        <v>4.0690909090909333E-2</v>
      </c>
      <c r="H263" s="16">
        <f t="shared" si="228"/>
        <v>3.329265421250005E-3</v>
      </c>
      <c r="I263" s="69">
        <f t="shared" si="229"/>
        <v>0.42421121158351505</v>
      </c>
      <c r="K263" s="80">
        <f>INDEX(Mortality!$B$7:$F$32, MATCH( E263,Mortality!$A$7:$A$32, 0), MATCH( K$3,Mortality!$B$6:$F$6,0))</f>
        <v>0.46299999999999997</v>
      </c>
      <c r="L263" s="11">
        <f t="shared" si="244"/>
        <v>0</v>
      </c>
      <c r="M263" s="80">
        <f t="shared" ref="M263:M317" si="263">IFERROR( K263*(1+L263), 0)</f>
        <v>0.46299999999999997</v>
      </c>
      <c r="N263" s="76" t="e">
        <f>INDEX(Myopia!$H:$H, MATCH(E263, Myopia!$A:$A, 0)) * Trend_Factor^(A263)</f>
        <v>#N/A</v>
      </c>
      <c r="O263" s="11">
        <f t="shared" si="245"/>
        <v>0</v>
      </c>
      <c r="P263" s="80">
        <f t="shared" ref="P263:P317" si="264">IFERROR( N263*(1+O263), 0)</f>
        <v>0</v>
      </c>
      <c r="Q263" s="76">
        <f>VLOOKUP(C263,Others!$L$10:$M$61,2)</f>
        <v>0</v>
      </c>
      <c r="R263" s="11">
        <f t="shared" si="246"/>
        <v>0</v>
      </c>
      <c r="S263" s="80">
        <f t="shared" ref="S263:S317" si="265">IFERROR( Q263*(1+R263), 0)</f>
        <v>0</v>
      </c>
      <c r="T263" s="78">
        <f t="shared" ref="T263:T317" si="266">(M263/1000)/12</f>
        <v>3.8583333333333334E-5</v>
      </c>
      <c r="U263" s="81">
        <f t="shared" ref="U263:U317" si="267">(P263/1000)/12</f>
        <v>0</v>
      </c>
      <c r="V263" s="81">
        <f t="shared" ref="V263:V317" si="268">(S263/1000)/12</f>
        <v>0</v>
      </c>
      <c r="W263" s="77">
        <f t="shared" si="247"/>
        <v>0</v>
      </c>
      <c r="X263" s="82">
        <f t="shared" ref="X263:X317" si="269">W263 * (T263)*(1-U263/2)</f>
        <v>0</v>
      </c>
      <c r="Y263" s="82">
        <f t="shared" ref="Y263:Y317" si="270">W263 * (1-T263/2)*(U263)</f>
        <v>0</v>
      </c>
      <c r="Z263" s="82">
        <f t="shared" ref="Z263:Z317" si="271">W263 * (1-T263)*(1-U263)*(V263)</f>
        <v>0</v>
      </c>
      <c r="AA263" s="82">
        <f t="shared" ref="AA263:AA317" si="272">W263-SUM(X263:Z263)</f>
        <v>0</v>
      </c>
      <c r="AC263" s="46">
        <f t="shared" si="248"/>
        <v>0</v>
      </c>
      <c r="AD263" s="15">
        <f t="shared" si="249"/>
        <v>0</v>
      </c>
      <c r="AE263" s="46">
        <f t="shared" ref="AE263:AE317" si="273">AD263*$W263</f>
        <v>0</v>
      </c>
      <c r="AF263" s="15">
        <f t="shared" ref="AF263:AF317" si="274">IF($W263 = 0, 0, AG263/$W263)</f>
        <v>0</v>
      </c>
      <c r="AG263" s="46">
        <f>SUMPRODUCT(AE264:AE$605, $I263:$I$604) / $I263</f>
        <v>0</v>
      </c>
      <c r="AI263" s="46">
        <f t="shared" si="250"/>
        <v>0</v>
      </c>
      <c r="AJ263" s="46">
        <f>IF(E263&gt;Mat_Year,0,  -SUM($AD$5:AD263))</f>
        <v>0</v>
      </c>
      <c r="AK263" s="24">
        <f t="shared" ref="AK263:AK317" si="275">AJ263*X263</f>
        <v>0</v>
      </c>
      <c r="AL263" s="79">
        <f t="shared" ref="AL263:AL317" si="276">AI263*Y263</f>
        <v>0</v>
      </c>
      <c r="AM263" s="24">
        <f t="shared" ref="AM263:AM317" si="277">IF($W263 = 0, 0, AN263/$W263)</f>
        <v>0</v>
      </c>
      <c r="AN263" s="79">
        <f t="shared" ref="AN263:AN317" si="278">SUM(AK263:AL263)</f>
        <v>0</v>
      </c>
      <c r="AO263" s="15">
        <f t="shared" ref="AO263:AO317" si="279">IF($W263 = 0, 0, AP263/$W263)</f>
        <v>0</v>
      </c>
      <c r="AP263" s="46">
        <f>SUMPRODUCT(AN264:AN$605, $I264:$I$605) / $I263</f>
        <v>0</v>
      </c>
      <c r="AR263" s="46">
        <v>0</v>
      </c>
      <c r="AS263" s="46">
        <v>0</v>
      </c>
      <c r="AT263" s="46">
        <v>0</v>
      </c>
      <c r="AU263" s="95">
        <f t="shared" si="251"/>
        <v>0</v>
      </c>
      <c r="AV263" s="47">
        <f t="shared" si="252"/>
        <v>0</v>
      </c>
      <c r="AW263" s="96">
        <f t="shared" si="230"/>
        <v>0</v>
      </c>
      <c r="AX263" s="95">
        <f t="shared" si="253"/>
        <v>0</v>
      </c>
      <c r="AY263" s="11">
        <f t="shared" si="254"/>
        <v>0</v>
      </c>
      <c r="AZ263" s="96">
        <f t="shared" si="231"/>
        <v>0</v>
      </c>
      <c r="BA263" s="95">
        <f t="shared" si="232"/>
        <v>0</v>
      </c>
      <c r="BB263" s="64">
        <f t="shared" si="233"/>
        <v>0</v>
      </c>
      <c r="BC263" s="95">
        <f t="shared" si="234"/>
        <v>0</v>
      </c>
      <c r="BD263" s="96">
        <f t="shared" si="235"/>
        <v>0</v>
      </c>
      <c r="BE263" s="96">
        <f t="shared" si="236"/>
        <v>0</v>
      </c>
      <c r="BF263" s="96">
        <f t="shared" si="237"/>
        <v>0</v>
      </c>
      <c r="BG263" s="15">
        <f t="shared" ref="BG263:BG317" si="280">IF($W263 = 0, 0, BH263/$W263)</f>
        <v>0</v>
      </c>
      <c r="BH263" s="46">
        <f>(SUMPRODUCT(BE264:BE$605,$I263:$I$604)+SUMPRODUCT(BF264:BF$605,$I264:$I$605)) / $I263</f>
        <v>0</v>
      </c>
      <c r="BJ263" s="46">
        <f t="shared" si="238"/>
        <v>0</v>
      </c>
      <c r="BK263" s="46">
        <f t="shared" si="239"/>
        <v>0</v>
      </c>
      <c r="BM263" s="49">
        <f t="shared" ref="BM263:BM317" si="281">IF($W263 = 0, 0, BN263/$AA263)</f>
        <v>0</v>
      </c>
      <c r="BN263" s="46">
        <f t="shared" si="240"/>
        <v>0</v>
      </c>
      <c r="BP263" s="46">
        <f>Reserve!BX263</f>
        <v>0</v>
      </c>
      <c r="BQ263" s="46">
        <f t="shared" si="255"/>
        <v>0</v>
      </c>
      <c r="BR263" s="15">
        <f t="shared" ref="BR263:BR317" si="282">BQ262-BQ263</f>
        <v>0</v>
      </c>
      <c r="BT263" s="49">
        <f t="shared" ref="BT263:BT317" si="283">IF($W263 = 0, 0, BU263/$W263)</f>
        <v>0</v>
      </c>
      <c r="BU263" s="46">
        <f t="shared" si="256"/>
        <v>0</v>
      </c>
      <c r="BV263" s="46">
        <f>SUMPRODUCT(BU264:BU$605, $I264:$I$605) / $I263</f>
        <v>0</v>
      </c>
      <c r="BX263" s="46">
        <f>-BZ263*Others!$Q$43</f>
        <v>0</v>
      </c>
      <c r="BZ263" s="50">
        <f t="shared" si="241"/>
        <v>0</v>
      </c>
      <c r="CA263" s="46">
        <f t="shared" ref="CA263:CA317" si="284">BZ263+BX263</f>
        <v>0</v>
      </c>
      <c r="CB263" s="46">
        <f t="shared" si="257"/>
        <v>0</v>
      </c>
      <c r="CD263" s="46">
        <f>SUMPRODUCT(BZ264:BZ$605, $I264:$I$605) / $I263</f>
        <v>0</v>
      </c>
      <c r="CE263" s="46">
        <f>SUMPRODUCT(CA264:CA$605, $I264:$I$605) / $I263</f>
        <v>0</v>
      </c>
      <c r="CF263" s="46">
        <f>SUMPRODUCT(CB264:CB$605, $I264:$I$605) / $I263</f>
        <v>0</v>
      </c>
      <c r="CH263" s="46">
        <f t="shared" si="258"/>
        <v>0</v>
      </c>
      <c r="CI263" s="46">
        <f t="shared" si="259"/>
        <v>0</v>
      </c>
      <c r="CK263" s="46">
        <f>NPV((1+CK$3)^(1/12)-1,$CB$6:$CB263)+$CB$5</f>
        <v>1409.6963032385702</v>
      </c>
      <c r="CL263" s="46">
        <f>NPV((1+CL$3)^(1/12)-1,$CB$6:$CB263)+$CB$5</f>
        <v>1057.2060036590874</v>
      </c>
      <c r="CM263" s="46">
        <f>NPV((1+CM$3)^(1/12)-1,$CB$6:$CB263)+$CB$5</f>
        <v>462.64886026294084</v>
      </c>
      <c r="CN263" s="46">
        <f>NPV((1+CN$3)^(1/12)-1,$CB$6:$CB263)+$CB$5</f>
        <v>462.64886026294084</v>
      </c>
    </row>
    <row r="264" spans="1:92" x14ac:dyDescent="0.25">
      <c r="A264" s="61">
        <f t="shared" si="242"/>
        <v>21.583333333333297</v>
      </c>
      <c r="B264" s="32">
        <f t="shared" si="260"/>
        <v>7</v>
      </c>
      <c r="C264" s="62">
        <f t="shared" si="261"/>
        <v>22</v>
      </c>
      <c r="D264" s="64">
        <f t="shared" si="262"/>
        <v>22.083333333333297</v>
      </c>
      <c r="E264" s="28">
        <f t="shared" si="243"/>
        <v>22</v>
      </c>
      <c r="G264" s="68">
        <f>INDEX(Others!$D$11:$E$60, MATCH(C264, Others!$A$11:$A$60, 0), MATCH(G$3, Others!$D$10:$E$10, 0))</f>
        <v>4.0690909090909333E-2</v>
      </c>
      <c r="H264" s="16">
        <f t="shared" si="228"/>
        <v>3.329265421250005E-3</v>
      </c>
      <c r="I264" s="69">
        <f t="shared" si="229"/>
        <v>0.42280358622391928</v>
      </c>
      <c r="K264" s="80">
        <f>INDEX(Mortality!$B$7:$F$32, MATCH( E264,Mortality!$A$7:$A$32, 0), MATCH( K$3,Mortality!$B$6:$F$6,0))</f>
        <v>0.46299999999999997</v>
      </c>
      <c r="L264" s="11">
        <f t="shared" si="244"/>
        <v>0</v>
      </c>
      <c r="M264" s="80">
        <f t="shared" si="263"/>
        <v>0.46299999999999997</v>
      </c>
      <c r="N264" s="76" t="e">
        <f>INDEX(Myopia!$H:$H, MATCH(E264, Myopia!$A:$A, 0)) * Trend_Factor^(A264)</f>
        <v>#N/A</v>
      </c>
      <c r="O264" s="11">
        <f t="shared" si="245"/>
        <v>0</v>
      </c>
      <c r="P264" s="80">
        <f t="shared" si="264"/>
        <v>0</v>
      </c>
      <c r="Q264" s="76">
        <f>VLOOKUP(C264,Others!$L$10:$M$61,2)</f>
        <v>0</v>
      </c>
      <c r="R264" s="11">
        <f t="shared" si="246"/>
        <v>0</v>
      </c>
      <c r="S264" s="80">
        <f t="shared" si="265"/>
        <v>0</v>
      </c>
      <c r="T264" s="78">
        <f t="shared" si="266"/>
        <v>3.8583333333333334E-5</v>
      </c>
      <c r="U264" s="81">
        <f t="shared" si="267"/>
        <v>0</v>
      </c>
      <c r="V264" s="81">
        <f t="shared" si="268"/>
        <v>0</v>
      </c>
      <c r="W264" s="77">
        <f t="shared" si="247"/>
        <v>0</v>
      </c>
      <c r="X264" s="82">
        <f t="shared" si="269"/>
        <v>0</v>
      </c>
      <c r="Y264" s="82">
        <f t="shared" si="270"/>
        <v>0</v>
      </c>
      <c r="Z264" s="82">
        <f t="shared" si="271"/>
        <v>0</v>
      </c>
      <c r="AA264" s="82">
        <f t="shared" si="272"/>
        <v>0</v>
      </c>
      <c r="AC264" s="46">
        <f t="shared" si="248"/>
        <v>0</v>
      </c>
      <c r="AD264" s="15">
        <f t="shared" si="249"/>
        <v>0</v>
      </c>
      <c r="AE264" s="46">
        <f t="shared" si="273"/>
        <v>0</v>
      </c>
      <c r="AF264" s="15">
        <f t="shared" si="274"/>
        <v>0</v>
      </c>
      <c r="AG264" s="46">
        <f>SUMPRODUCT(AE265:AE$605, $I264:$I$604) / $I264</f>
        <v>0</v>
      </c>
      <c r="AI264" s="46">
        <f t="shared" si="250"/>
        <v>0</v>
      </c>
      <c r="AJ264" s="46">
        <f>IF(E264&gt;Mat_Year,0,  -SUM($AD$5:AD264))</f>
        <v>0</v>
      </c>
      <c r="AK264" s="24">
        <f t="shared" si="275"/>
        <v>0</v>
      </c>
      <c r="AL264" s="79">
        <f t="shared" si="276"/>
        <v>0</v>
      </c>
      <c r="AM264" s="24">
        <f t="shared" si="277"/>
        <v>0</v>
      </c>
      <c r="AN264" s="79">
        <f t="shared" si="278"/>
        <v>0</v>
      </c>
      <c r="AO264" s="15">
        <f t="shared" si="279"/>
        <v>0</v>
      </c>
      <c r="AP264" s="46">
        <f>SUMPRODUCT(AN265:AN$605, $I265:$I$605) / $I264</f>
        <v>0</v>
      </c>
      <c r="AR264" s="46">
        <v>0</v>
      </c>
      <c r="AS264" s="46">
        <v>0</v>
      </c>
      <c r="AT264" s="46">
        <v>0</v>
      </c>
      <c r="AU264" s="95">
        <f t="shared" si="251"/>
        <v>0</v>
      </c>
      <c r="AV264" s="47">
        <f t="shared" si="252"/>
        <v>0</v>
      </c>
      <c r="AW264" s="96">
        <f t="shared" si="230"/>
        <v>0</v>
      </c>
      <c r="AX264" s="95">
        <f t="shared" si="253"/>
        <v>0</v>
      </c>
      <c r="AY264" s="11">
        <f t="shared" si="254"/>
        <v>0</v>
      </c>
      <c r="AZ264" s="96">
        <f t="shared" si="231"/>
        <v>0</v>
      </c>
      <c r="BA264" s="95">
        <f t="shared" si="232"/>
        <v>0</v>
      </c>
      <c r="BB264" s="64">
        <f t="shared" si="233"/>
        <v>0</v>
      </c>
      <c r="BC264" s="95">
        <f t="shared" si="234"/>
        <v>0</v>
      </c>
      <c r="BD264" s="96">
        <f t="shared" si="235"/>
        <v>0</v>
      </c>
      <c r="BE264" s="96">
        <f t="shared" si="236"/>
        <v>0</v>
      </c>
      <c r="BF264" s="96">
        <f t="shared" si="237"/>
        <v>0</v>
      </c>
      <c r="BG264" s="15">
        <f t="shared" si="280"/>
        <v>0</v>
      </c>
      <c r="BH264" s="46">
        <f>(SUMPRODUCT(BE265:BE$605,$I264:$I$604)+SUMPRODUCT(BF265:BF$605,$I265:$I$605)) / $I264</f>
        <v>0</v>
      </c>
      <c r="BJ264" s="46">
        <f t="shared" si="238"/>
        <v>0</v>
      </c>
      <c r="BK264" s="46">
        <f t="shared" si="239"/>
        <v>0</v>
      </c>
      <c r="BM264" s="49">
        <f t="shared" si="281"/>
        <v>0</v>
      </c>
      <c r="BN264" s="46">
        <f t="shared" si="240"/>
        <v>0</v>
      </c>
      <c r="BP264" s="46">
        <f>Reserve!BX264</f>
        <v>0</v>
      </c>
      <c r="BQ264" s="46">
        <f t="shared" si="255"/>
        <v>0</v>
      </c>
      <c r="BR264" s="15">
        <f t="shared" si="282"/>
        <v>0</v>
      </c>
      <c r="BT264" s="49">
        <f t="shared" si="283"/>
        <v>0</v>
      </c>
      <c r="BU264" s="46">
        <f t="shared" si="256"/>
        <v>0</v>
      </c>
      <c r="BV264" s="46">
        <f>SUMPRODUCT(BU265:BU$605, $I265:$I$605) / $I264</f>
        <v>0</v>
      </c>
      <c r="BX264" s="46">
        <f>-BZ264*Others!$Q$43</f>
        <v>0</v>
      </c>
      <c r="BZ264" s="50">
        <f t="shared" si="241"/>
        <v>0</v>
      </c>
      <c r="CA264" s="46">
        <f t="shared" si="284"/>
        <v>0</v>
      </c>
      <c r="CB264" s="46">
        <f t="shared" si="257"/>
        <v>0</v>
      </c>
      <c r="CD264" s="46">
        <f>SUMPRODUCT(BZ265:BZ$605, $I265:$I$605) / $I264</f>
        <v>0</v>
      </c>
      <c r="CE264" s="46">
        <f>SUMPRODUCT(CA265:CA$605, $I265:$I$605) / $I264</f>
        <v>0</v>
      </c>
      <c r="CF264" s="46">
        <f>SUMPRODUCT(CB265:CB$605, $I265:$I$605) / $I264</f>
        <v>0</v>
      </c>
      <c r="CH264" s="46">
        <f t="shared" si="258"/>
        <v>0</v>
      </c>
      <c r="CI264" s="46">
        <f t="shared" si="259"/>
        <v>0</v>
      </c>
      <c r="CK264" s="46">
        <f>NPV((1+CK$3)^(1/12)-1,$CB$6:$CB264)+$CB$5</f>
        <v>1409.6963032385702</v>
      </c>
      <c r="CL264" s="46">
        <f>NPV((1+CL$3)^(1/12)-1,$CB$6:$CB264)+$CB$5</f>
        <v>1057.2060036590874</v>
      </c>
      <c r="CM264" s="46">
        <f>NPV((1+CM$3)^(1/12)-1,$CB$6:$CB264)+$CB$5</f>
        <v>462.64886026294084</v>
      </c>
      <c r="CN264" s="46">
        <f>NPV((1+CN$3)^(1/12)-1,$CB$6:$CB264)+$CB$5</f>
        <v>462.64886026294084</v>
      </c>
    </row>
    <row r="265" spans="1:92" x14ac:dyDescent="0.25">
      <c r="A265" s="61">
        <f t="shared" si="242"/>
        <v>21.666666666666629</v>
      </c>
      <c r="B265" s="32">
        <f t="shared" si="260"/>
        <v>8</v>
      </c>
      <c r="C265" s="62">
        <f t="shared" si="261"/>
        <v>22</v>
      </c>
      <c r="D265" s="64">
        <f t="shared" si="262"/>
        <v>22.166666666666629</v>
      </c>
      <c r="E265" s="28">
        <f t="shared" si="243"/>
        <v>22</v>
      </c>
      <c r="G265" s="68">
        <f>INDEX(Others!$D$11:$E$60, MATCH(C265, Others!$A$11:$A$60, 0), MATCH(G$3, Others!$D$10:$E$10, 0))</f>
        <v>4.0690909090909333E-2</v>
      </c>
      <c r="H265" s="16">
        <f t="shared" si="228"/>
        <v>3.329265421250005E-3</v>
      </c>
      <c r="I265" s="69">
        <f t="shared" si="229"/>
        <v>0.42140063167239944</v>
      </c>
      <c r="K265" s="80">
        <f>INDEX(Mortality!$B$7:$F$32, MATCH( E265,Mortality!$A$7:$A$32, 0), MATCH( K$3,Mortality!$B$6:$F$6,0))</f>
        <v>0.46299999999999997</v>
      </c>
      <c r="L265" s="11">
        <f t="shared" si="244"/>
        <v>0</v>
      </c>
      <c r="M265" s="80">
        <f t="shared" si="263"/>
        <v>0.46299999999999997</v>
      </c>
      <c r="N265" s="76" t="e">
        <f>INDEX(Myopia!$H:$H, MATCH(E265, Myopia!$A:$A, 0)) * Trend_Factor^(A265)</f>
        <v>#N/A</v>
      </c>
      <c r="O265" s="11">
        <f t="shared" si="245"/>
        <v>0</v>
      </c>
      <c r="P265" s="80">
        <f t="shared" si="264"/>
        <v>0</v>
      </c>
      <c r="Q265" s="76">
        <f>VLOOKUP(C265,Others!$L$10:$M$61,2)</f>
        <v>0</v>
      </c>
      <c r="R265" s="11">
        <f t="shared" si="246"/>
        <v>0</v>
      </c>
      <c r="S265" s="80">
        <f t="shared" si="265"/>
        <v>0</v>
      </c>
      <c r="T265" s="78">
        <f t="shared" si="266"/>
        <v>3.8583333333333334E-5</v>
      </c>
      <c r="U265" s="81">
        <f t="shared" si="267"/>
        <v>0</v>
      </c>
      <c r="V265" s="81">
        <f t="shared" si="268"/>
        <v>0</v>
      </c>
      <c r="W265" s="77">
        <f t="shared" si="247"/>
        <v>0</v>
      </c>
      <c r="X265" s="82">
        <f t="shared" si="269"/>
        <v>0</v>
      </c>
      <c r="Y265" s="82">
        <f t="shared" si="270"/>
        <v>0</v>
      </c>
      <c r="Z265" s="82">
        <f t="shared" si="271"/>
        <v>0</v>
      </c>
      <c r="AA265" s="82">
        <f t="shared" si="272"/>
        <v>0</v>
      </c>
      <c r="AC265" s="46">
        <f t="shared" si="248"/>
        <v>0</v>
      </c>
      <c r="AD265" s="15">
        <f t="shared" si="249"/>
        <v>0</v>
      </c>
      <c r="AE265" s="46">
        <f t="shared" si="273"/>
        <v>0</v>
      </c>
      <c r="AF265" s="15">
        <f t="shared" si="274"/>
        <v>0</v>
      </c>
      <c r="AG265" s="46">
        <f>SUMPRODUCT(AE266:AE$605, $I265:$I$604) / $I265</f>
        <v>0</v>
      </c>
      <c r="AI265" s="46">
        <f t="shared" si="250"/>
        <v>0</v>
      </c>
      <c r="AJ265" s="46">
        <f>IF(E265&gt;Mat_Year,0,  -SUM($AD$5:AD265))</f>
        <v>0</v>
      </c>
      <c r="AK265" s="24">
        <f t="shared" si="275"/>
        <v>0</v>
      </c>
      <c r="AL265" s="79">
        <f t="shared" si="276"/>
        <v>0</v>
      </c>
      <c r="AM265" s="24">
        <f t="shared" si="277"/>
        <v>0</v>
      </c>
      <c r="AN265" s="79">
        <f t="shared" si="278"/>
        <v>0</v>
      </c>
      <c r="AO265" s="15">
        <f t="shared" si="279"/>
        <v>0</v>
      </c>
      <c r="AP265" s="46">
        <f>SUMPRODUCT(AN266:AN$605, $I266:$I$605) / $I265</f>
        <v>0</v>
      </c>
      <c r="AR265" s="46">
        <v>0</v>
      </c>
      <c r="AS265" s="46">
        <v>0</v>
      </c>
      <c r="AT265" s="46">
        <v>0</v>
      </c>
      <c r="AU265" s="95">
        <f t="shared" si="251"/>
        <v>0</v>
      </c>
      <c r="AV265" s="47">
        <f t="shared" si="252"/>
        <v>0</v>
      </c>
      <c r="AW265" s="96">
        <f t="shared" si="230"/>
        <v>0</v>
      </c>
      <c r="AX265" s="95">
        <f t="shared" si="253"/>
        <v>0</v>
      </c>
      <c r="AY265" s="11">
        <f t="shared" si="254"/>
        <v>0</v>
      </c>
      <c r="AZ265" s="96">
        <f t="shared" si="231"/>
        <v>0</v>
      </c>
      <c r="BA265" s="95">
        <f t="shared" si="232"/>
        <v>0</v>
      </c>
      <c r="BB265" s="64">
        <f t="shared" si="233"/>
        <v>0</v>
      </c>
      <c r="BC265" s="95">
        <f t="shared" si="234"/>
        <v>0</v>
      </c>
      <c r="BD265" s="96">
        <f t="shared" si="235"/>
        <v>0</v>
      </c>
      <c r="BE265" s="96">
        <f t="shared" si="236"/>
        <v>0</v>
      </c>
      <c r="BF265" s="96">
        <f t="shared" si="237"/>
        <v>0</v>
      </c>
      <c r="BG265" s="15">
        <f t="shared" si="280"/>
        <v>0</v>
      </c>
      <c r="BH265" s="46">
        <f>(SUMPRODUCT(BE266:BE$605,$I265:$I$604)+SUMPRODUCT(BF266:BF$605,$I266:$I$605)) / $I265</f>
        <v>0</v>
      </c>
      <c r="BJ265" s="46">
        <f t="shared" si="238"/>
        <v>0</v>
      </c>
      <c r="BK265" s="46">
        <f t="shared" si="239"/>
        <v>0</v>
      </c>
      <c r="BM265" s="49">
        <f t="shared" si="281"/>
        <v>0</v>
      </c>
      <c r="BN265" s="46">
        <f t="shared" si="240"/>
        <v>0</v>
      </c>
      <c r="BP265" s="46">
        <f>Reserve!BX265</f>
        <v>0</v>
      </c>
      <c r="BQ265" s="46">
        <f t="shared" si="255"/>
        <v>0</v>
      </c>
      <c r="BR265" s="15">
        <f t="shared" si="282"/>
        <v>0</v>
      </c>
      <c r="BT265" s="49">
        <f t="shared" si="283"/>
        <v>0</v>
      </c>
      <c r="BU265" s="46">
        <f t="shared" si="256"/>
        <v>0</v>
      </c>
      <c r="BV265" s="46">
        <f>SUMPRODUCT(BU266:BU$605, $I266:$I$605) / $I265</f>
        <v>0</v>
      </c>
      <c r="BX265" s="46">
        <f>-BZ265*Others!$Q$43</f>
        <v>0</v>
      </c>
      <c r="BZ265" s="50">
        <f t="shared" si="241"/>
        <v>0</v>
      </c>
      <c r="CA265" s="46">
        <f t="shared" si="284"/>
        <v>0</v>
      </c>
      <c r="CB265" s="46">
        <f t="shared" si="257"/>
        <v>0</v>
      </c>
      <c r="CD265" s="46">
        <f>SUMPRODUCT(BZ266:BZ$605, $I266:$I$605) / $I265</f>
        <v>0</v>
      </c>
      <c r="CE265" s="46">
        <f>SUMPRODUCT(CA266:CA$605, $I266:$I$605) / $I265</f>
        <v>0</v>
      </c>
      <c r="CF265" s="46">
        <f>SUMPRODUCT(CB266:CB$605, $I266:$I$605) / $I265</f>
        <v>0</v>
      </c>
      <c r="CH265" s="46">
        <f t="shared" si="258"/>
        <v>0</v>
      </c>
      <c r="CI265" s="46">
        <f t="shared" si="259"/>
        <v>0</v>
      </c>
      <c r="CK265" s="46">
        <f>NPV((1+CK$3)^(1/12)-1,$CB$6:$CB265)+$CB$5</f>
        <v>1409.6963032385702</v>
      </c>
      <c r="CL265" s="46">
        <f>NPV((1+CL$3)^(1/12)-1,$CB$6:$CB265)+$CB$5</f>
        <v>1057.2060036590874</v>
      </c>
      <c r="CM265" s="46">
        <f>NPV((1+CM$3)^(1/12)-1,$CB$6:$CB265)+$CB$5</f>
        <v>462.64886026294084</v>
      </c>
      <c r="CN265" s="46">
        <f>NPV((1+CN$3)^(1/12)-1,$CB$6:$CB265)+$CB$5</f>
        <v>462.64886026294084</v>
      </c>
    </row>
    <row r="266" spans="1:92" x14ac:dyDescent="0.25">
      <c r="A266" s="61">
        <f t="shared" si="242"/>
        <v>21.749999999999961</v>
      </c>
      <c r="B266" s="32">
        <f t="shared" si="260"/>
        <v>9</v>
      </c>
      <c r="C266" s="62">
        <f t="shared" si="261"/>
        <v>22</v>
      </c>
      <c r="D266" s="64">
        <f t="shared" si="262"/>
        <v>22.249999999999961</v>
      </c>
      <c r="E266" s="28">
        <f t="shared" si="243"/>
        <v>22</v>
      </c>
      <c r="G266" s="68">
        <f>INDEX(Others!$D$11:$E$60, MATCH(C266, Others!$A$11:$A$60, 0), MATCH(G$3, Others!$D$10:$E$10, 0))</f>
        <v>4.0690909090909333E-2</v>
      </c>
      <c r="H266" s="16">
        <f t="shared" ref="H266:H317" si="285">(1+G266)^(1/12) - 1</f>
        <v>3.329265421250005E-3</v>
      </c>
      <c r="I266" s="69">
        <f t="shared" ref="I266:I317" si="286">I265/(1+H266)</f>
        <v>0.42000233243019525</v>
      </c>
      <c r="K266" s="80">
        <f>INDEX(Mortality!$B$7:$F$32, MATCH( E266,Mortality!$A$7:$A$32, 0), MATCH( K$3,Mortality!$B$6:$F$6,0))</f>
        <v>0.46299999999999997</v>
      </c>
      <c r="L266" s="11">
        <f t="shared" si="244"/>
        <v>0</v>
      </c>
      <c r="M266" s="80">
        <f t="shared" si="263"/>
        <v>0.46299999999999997</v>
      </c>
      <c r="N266" s="76" t="e">
        <f>INDEX(Myopia!$H:$H, MATCH(E266, Myopia!$A:$A, 0)) * Trend_Factor^(A266)</f>
        <v>#N/A</v>
      </c>
      <c r="O266" s="11">
        <f t="shared" si="245"/>
        <v>0</v>
      </c>
      <c r="P266" s="80">
        <f t="shared" si="264"/>
        <v>0</v>
      </c>
      <c r="Q266" s="76">
        <f>VLOOKUP(C266,Others!$L$10:$M$61,2)</f>
        <v>0</v>
      </c>
      <c r="R266" s="11">
        <f t="shared" si="246"/>
        <v>0</v>
      </c>
      <c r="S266" s="80">
        <f t="shared" si="265"/>
        <v>0</v>
      </c>
      <c r="T266" s="78">
        <f t="shared" si="266"/>
        <v>3.8583333333333334E-5</v>
      </c>
      <c r="U266" s="81">
        <f t="shared" si="267"/>
        <v>0</v>
      </c>
      <c r="V266" s="81">
        <f t="shared" si="268"/>
        <v>0</v>
      </c>
      <c r="W266" s="77">
        <f t="shared" si="247"/>
        <v>0</v>
      </c>
      <c r="X266" s="82">
        <f t="shared" si="269"/>
        <v>0</v>
      </c>
      <c r="Y266" s="82">
        <f t="shared" si="270"/>
        <v>0</v>
      </c>
      <c r="Z266" s="82">
        <f t="shared" si="271"/>
        <v>0</v>
      </c>
      <c r="AA266" s="82">
        <f t="shared" si="272"/>
        <v>0</v>
      </c>
      <c r="AC266" s="46">
        <f t="shared" si="248"/>
        <v>0</v>
      </c>
      <c r="AD266" s="15">
        <f t="shared" si="249"/>
        <v>0</v>
      </c>
      <c r="AE266" s="46">
        <f t="shared" si="273"/>
        <v>0</v>
      </c>
      <c r="AF266" s="15">
        <f t="shared" si="274"/>
        <v>0</v>
      </c>
      <c r="AG266" s="46">
        <f>SUMPRODUCT(AE267:AE$605, $I266:$I$604) / $I266</f>
        <v>0</v>
      </c>
      <c r="AI266" s="46">
        <f t="shared" si="250"/>
        <v>0</v>
      </c>
      <c r="AJ266" s="46">
        <f>IF(E266&gt;Mat_Year,0,  -SUM($AD$5:AD266))</f>
        <v>0</v>
      </c>
      <c r="AK266" s="24">
        <f t="shared" si="275"/>
        <v>0</v>
      </c>
      <c r="AL266" s="79">
        <f t="shared" si="276"/>
        <v>0</v>
      </c>
      <c r="AM266" s="24">
        <f t="shared" si="277"/>
        <v>0</v>
      </c>
      <c r="AN266" s="79">
        <f t="shared" si="278"/>
        <v>0</v>
      </c>
      <c r="AO266" s="15">
        <f t="shared" si="279"/>
        <v>0</v>
      </c>
      <c r="AP266" s="46">
        <f>SUMPRODUCT(AN267:AN$605, $I267:$I$605) / $I266</f>
        <v>0</v>
      </c>
      <c r="AR266" s="46">
        <v>0</v>
      </c>
      <c r="AS266" s="46">
        <v>0</v>
      </c>
      <c r="AT266" s="46">
        <v>0</v>
      </c>
      <c r="AU266" s="95">
        <f t="shared" si="251"/>
        <v>0</v>
      </c>
      <c r="AV266" s="47">
        <f t="shared" si="252"/>
        <v>0</v>
      </c>
      <c r="AW266" s="96">
        <f t="shared" si="230"/>
        <v>0</v>
      </c>
      <c r="AX266" s="95">
        <f t="shared" si="253"/>
        <v>0</v>
      </c>
      <c r="AY266" s="11">
        <f t="shared" si="254"/>
        <v>0</v>
      </c>
      <c r="AZ266" s="96">
        <f t="shared" si="231"/>
        <v>0</v>
      </c>
      <c r="BA266" s="95">
        <f t="shared" si="232"/>
        <v>0</v>
      </c>
      <c r="BB266" s="64">
        <f t="shared" si="233"/>
        <v>0</v>
      </c>
      <c r="BC266" s="95">
        <f t="shared" si="234"/>
        <v>0</v>
      </c>
      <c r="BD266" s="96">
        <f t="shared" si="235"/>
        <v>0</v>
      </c>
      <c r="BE266" s="96">
        <f t="shared" si="236"/>
        <v>0</v>
      </c>
      <c r="BF266" s="96">
        <f t="shared" si="237"/>
        <v>0</v>
      </c>
      <c r="BG266" s="15">
        <f t="shared" si="280"/>
        <v>0</v>
      </c>
      <c r="BH266" s="46">
        <f>(SUMPRODUCT(BE267:BE$605,$I266:$I$604)+SUMPRODUCT(BF267:BF$605,$I267:$I$605)) / $I266</f>
        <v>0</v>
      </c>
      <c r="BJ266" s="46">
        <f t="shared" si="238"/>
        <v>0</v>
      </c>
      <c r="BK266" s="46">
        <f t="shared" si="239"/>
        <v>0</v>
      </c>
      <c r="BM266" s="49">
        <f t="shared" si="281"/>
        <v>0</v>
      </c>
      <c r="BN266" s="46">
        <f t="shared" si="240"/>
        <v>0</v>
      </c>
      <c r="BP266" s="46">
        <f>Reserve!BX266</f>
        <v>0</v>
      </c>
      <c r="BQ266" s="46">
        <f t="shared" si="255"/>
        <v>0</v>
      </c>
      <c r="BR266" s="15">
        <f t="shared" si="282"/>
        <v>0</v>
      </c>
      <c r="BT266" s="49">
        <f t="shared" si="283"/>
        <v>0</v>
      </c>
      <c r="BU266" s="46">
        <f t="shared" si="256"/>
        <v>0</v>
      </c>
      <c r="BV266" s="46">
        <f>SUMPRODUCT(BU267:BU$605, $I267:$I$605) / $I266</f>
        <v>0</v>
      </c>
      <c r="BX266" s="46">
        <f>-BZ266*Others!$Q$43</f>
        <v>0</v>
      </c>
      <c r="BZ266" s="50">
        <f t="shared" si="241"/>
        <v>0</v>
      </c>
      <c r="CA266" s="46">
        <f t="shared" si="284"/>
        <v>0</v>
      </c>
      <c r="CB266" s="46">
        <f t="shared" si="257"/>
        <v>0</v>
      </c>
      <c r="CD266" s="46">
        <f>SUMPRODUCT(BZ267:BZ$605, $I267:$I$605) / $I266</f>
        <v>0</v>
      </c>
      <c r="CE266" s="46">
        <f>SUMPRODUCT(CA267:CA$605, $I267:$I$605) / $I266</f>
        <v>0</v>
      </c>
      <c r="CF266" s="46">
        <f>SUMPRODUCT(CB267:CB$605, $I267:$I$605) / $I266</f>
        <v>0</v>
      </c>
      <c r="CH266" s="46">
        <f t="shared" si="258"/>
        <v>0</v>
      </c>
      <c r="CI266" s="46">
        <f t="shared" si="259"/>
        <v>0</v>
      </c>
      <c r="CK266" s="46">
        <f>NPV((1+CK$3)^(1/12)-1,$CB$6:$CB266)+$CB$5</f>
        <v>1409.6963032385702</v>
      </c>
      <c r="CL266" s="46">
        <f>NPV((1+CL$3)^(1/12)-1,$CB$6:$CB266)+$CB$5</f>
        <v>1057.2060036590874</v>
      </c>
      <c r="CM266" s="46">
        <f>NPV((1+CM$3)^(1/12)-1,$CB$6:$CB266)+$CB$5</f>
        <v>462.64886026294084</v>
      </c>
      <c r="CN266" s="46">
        <f>NPV((1+CN$3)^(1/12)-1,$CB$6:$CB266)+$CB$5</f>
        <v>462.64886026294084</v>
      </c>
    </row>
    <row r="267" spans="1:92" x14ac:dyDescent="0.25">
      <c r="A267" s="61">
        <f t="shared" si="242"/>
        <v>21.833333333333293</v>
      </c>
      <c r="B267" s="32">
        <f t="shared" si="260"/>
        <v>10</v>
      </c>
      <c r="C267" s="62">
        <f t="shared" si="261"/>
        <v>22</v>
      </c>
      <c r="D267" s="64">
        <f t="shared" si="262"/>
        <v>22.333333333333293</v>
      </c>
      <c r="E267" s="28">
        <f t="shared" si="243"/>
        <v>22</v>
      </c>
      <c r="G267" s="68">
        <f>INDEX(Others!$D$11:$E$60, MATCH(C267, Others!$A$11:$A$60, 0), MATCH(G$3, Others!$D$10:$E$10, 0))</f>
        <v>4.0690909090909333E-2</v>
      </c>
      <c r="H267" s="16">
        <f t="shared" si="285"/>
        <v>3.329265421250005E-3</v>
      </c>
      <c r="I267" s="69">
        <f t="shared" si="286"/>
        <v>0.41860867304997462</v>
      </c>
      <c r="K267" s="80">
        <f>INDEX(Mortality!$B$7:$F$32, MATCH( E267,Mortality!$A$7:$A$32, 0), MATCH( K$3,Mortality!$B$6:$F$6,0))</f>
        <v>0.46299999999999997</v>
      </c>
      <c r="L267" s="11">
        <f t="shared" si="244"/>
        <v>0</v>
      </c>
      <c r="M267" s="80">
        <f t="shared" si="263"/>
        <v>0.46299999999999997</v>
      </c>
      <c r="N267" s="76" t="e">
        <f>INDEX(Myopia!$H:$H, MATCH(E267, Myopia!$A:$A, 0)) * Trend_Factor^(A267)</f>
        <v>#N/A</v>
      </c>
      <c r="O267" s="11">
        <f t="shared" si="245"/>
        <v>0</v>
      </c>
      <c r="P267" s="80">
        <f t="shared" si="264"/>
        <v>0</v>
      </c>
      <c r="Q267" s="76">
        <f>VLOOKUP(C267,Others!$L$10:$M$61,2)</f>
        <v>0</v>
      </c>
      <c r="R267" s="11">
        <f t="shared" si="246"/>
        <v>0</v>
      </c>
      <c r="S267" s="80">
        <f t="shared" si="265"/>
        <v>0</v>
      </c>
      <c r="T267" s="78">
        <f t="shared" si="266"/>
        <v>3.8583333333333334E-5</v>
      </c>
      <c r="U267" s="81">
        <f t="shared" si="267"/>
        <v>0</v>
      </c>
      <c r="V267" s="81">
        <f t="shared" si="268"/>
        <v>0</v>
      </c>
      <c r="W267" s="77">
        <f t="shared" si="247"/>
        <v>0</v>
      </c>
      <c r="X267" s="82">
        <f t="shared" si="269"/>
        <v>0</v>
      </c>
      <c r="Y267" s="82">
        <f t="shared" si="270"/>
        <v>0</v>
      </c>
      <c r="Z267" s="82">
        <f t="shared" si="271"/>
        <v>0</v>
      </c>
      <c r="AA267" s="82">
        <f t="shared" si="272"/>
        <v>0</v>
      </c>
      <c r="AC267" s="46">
        <f t="shared" si="248"/>
        <v>0</v>
      </c>
      <c r="AD267" s="15">
        <f t="shared" si="249"/>
        <v>0</v>
      </c>
      <c r="AE267" s="46">
        <f t="shared" si="273"/>
        <v>0</v>
      </c>
      <c r="AF267" s="15">
        <f t="shared" si="274"/>
        <v>0</v>
      </c>
      <c r="AG267" s="46">
        <f>SUMPRODUCT(AE268:AE$605, $I267:$I$604) / $I267</f>
        <v>0</v>
      </c>
      <c r="AI267" s="46">
        <f t="shared" si="250"/>
        <v>0</v>
      </c>
      <c r="AJ267" s="46">
        <f>IF(E267&gt;Mat_Year,0,  -SUM($AD$5:AD267))</f>
        <v>0</v>
      </c>
      <c r="AK267" s="24">
        <f t="shared" si="275"/>
        <v>0</v>
      </c>
      <c r="AL267" s="79">
        <f t="shared" si="276"/>
        <v>0</v>
      </c>
      <c r="AM267" s="24">
        <f t="shared" si="277"/>
        <v>0</v>
      </c>
      <c r="AN267" s="79">
        <f t="shared" si="278"/>
        <v>0</v>
      </c>
      <c r="AO267" s="15">
        <f t="shared" si="279"/>
        <v>0</v>
      </c>
      <c r="AP267" s="46">
        <f>SUMPRODUCT(AN268:AN$605, $I268:$I$605) / $I267</f>
        <v>0</v>
      </c>
      <c r="AR267" s="46">
        <v>0</v>
      </c>
      <c r="AS267" s="46">
        <v>0</v>
      </c>
      <c r="AT267" s="46">
        <v>0</v>
      </c>
      <c r="AU267" s="95">
        <f t="shared" si="251"/>
        <v>0</v>
      </c>
      <c r="AV267" s="47">
        <f t="shared" si="252"/>
        <v>0</v>
      </c>
      <c r="AW267" s="96">
        <f t="shared" si="230"/>
        <v>0</v>
      </c>
      <c r="AX267" s="95">
        <f t="shared" si="253"/>
        <v>0</v>
      </c>
      <c r="AY267" s="11">
        <f t="shared" si="254"/>
        <v>0</v>
      </c>
      <c r="AZ267" s="96">
        <f t="shared" si="231"/>
        <v>0</v>
      </c>
      <c r="BA267" s="95">
        <f t="shared" si="232"/>
        <v>0</v>
      </c>
      <c r="BB267" s="64">
        <f t="shared" si="233"/>
        <v>0</v>
      </c>
      <c r="BC267" s="95">
        <f t="shared" si="234"/>
        <v>0</v>
      </c>
      <c r="BD267" s="96">
        <f t="shared" si="235"/>
        <v>0</v>
      </c>
      <c r="BE267" s="96">
        <f t="shared" si="236"/>
        <v>0</v>
      </c>
      <c r="BF267" s="96">
        <f t="shared" si="237"/>
        <v>0</v>
      </c>
      <c r="BG267" s="15">
        <f t="shared" si="280"/>
        <v>0</v>
      </c>
      <c r="BH267" s="46">
        <f>(SUMPRODUCT(BE268:BE$605,$I267:$I$604)+SUMPRODUCT(BF268:BF$605,$I268:$I$605)) / $I267</f>
        <v>0</v>
      </c>
      <c r="BJ267" s="46">
        <f t="shared" si="238"/>
        <v>0</v>
      </c>
      <c r="BK267" s="46">
        <f t="shared" si="239"/>
        <v>0</v>
      </c>
      <c r="BM267" s="49">
        <f t="shared" si="281"/>
        <v>0</v>
      </c>
      <c r="BN267" s="46">
        <f t="shared" si="240"/>
        <v>0</v>
      </c>
      <c r="BP267" s="46">
        <f>Reserve!BX267</f>
        <v>0</v>
      </c>
      <c r="BQ267" s="46">
        <f t="shared" si="255"/>
        <v>0</v>
      </c>
      <c r="BR267" s="15">
        <f t="shared" si="282"/>
        <v>0</v>
      </c>
      <c r="BT267" s="49">
        <f t="shared" si="283"/>
        <v>0</v>
      </c>
      <c r="BU267" s="46">
        <f t="shared" si="256"/>
        <v>0</v>
      </c>
      <c r="BV267" s="46">
        <f>SUMPRODUCT(BU268:BU$605, $I268:$I$605) / $I267</f>
        <v>0</v>
      </c>
      <c r="BX267" s="46">
        <f>-BZ267*Others!$Q$43</f>
        <v>0</v>
      </c>
      <c r="BZ267" s="50">
        <f t="shared" si="241"/>
        <v>0</v>
      </c>
      <c r="CA267" s="46">
        <f t="shared" si="284"/>
        <v>0</v>
      </c>
      <c r="CB267" s="46">
        <f t="shared" si="257"/>
        <v>0</v>
      </c>
      <c r="CD267" s="46">
        <f>SUMPRODUCT(BZ268:BZ$605, $I268:$I$605) / $I267</f>
        <v>0</v>
      </c>
      <c r="CE267" s="46">
        <f>SUMPRODUCT(CA268:CA$605, $I268:$I$605) / $I267</f>
        <v>0</v>
      </c>
      <c r="CF267" s="46">
        <f>SUMPRODUCT(CB268:CB$605, $I268:$I$605) / $I267</f>
        <v>0</v>
      </c>
      <c r="CH267" s="46">
        <f t="shared" si="258"/>
        <v>0</v>
      </c>
      <c r="CI267" s="46">
        <f t="shared" si="259"/>
        <v>0</v>
      </c>
      <c r="CK267" s="46">
        <f>NPV((1+CK$3)^(1/12)-1,$CB$6:$CB267)+$CB$5</f>
        <v>1409.6963032385702</v>
      </c>
      <c r="CL267" s="46">
        <f>NPV((1+CL$3)^(1/12)-1,$CB$6:$CB267)+$CB$5</f>
        <v>1057.2060036590874</v>
      </c>
      <c r="CM267" s="46">
        <f>NPV((1+CM$3)^(1/12)-1,$CB$6:$CB267)+$CB$5</f>
        <v>462.64886026294084</v>
      </c>
      <c r="CN267" s="46">
        <f>NPV((1+CN$3)^(1/12)-1,$CB$6:$CB267)+$CB$5</f>
        <v>462.64886026294084</v>
      </c>
    </row>
    <row r="268" spans="1:92" x14ac:dyDescent="0.25">
      <c r="A268" s="61">
        <f t="shared" si="242"/>
        <v>21.916666666666625</v>
      </c>
      <c r="B268" s="32">
        <f t="shared" si="260"/>
        <v>11</v>
      </c>
      <c r="C268" s="62">
        <f t="shared" si="261"/>
        <v>22</v>
      </c>
      <c r="D268" s="64">
        <f t="shared" si="262"/>
        <v>22.416666666666625</v>
      </c>
      <c r="E268" s="28">
        <f t="shared" si="243"/>
        <v>22</v>
      </c>
      <c r="G268" s="68">
        <f>INDEX(Others!$D$11:$E$60, MATCH(C268, Others!$A$11:$A$60, 0), MATCH(G$3, Others!$D$10:$E$10, 0))</f>
        <v>4.0690909090909333E-2</v>
      </c>
      <c r="H268" s="16">
        <f t="shared" si="285"/>
        <v>3.329265421250005E-3</v>
      </c>
      <c r="I268" s="69">
        <f t="shared" si="286"/>
        <v>0.4172196381356631</v>
      </c>
      <c r="K268" s="80">
        <f>INDEX(Mortality!$B$7:$F$32, MATCH( E268,Mortality!$A$7:$A$32, 0), MATCH( K$3,Mortality!$B$6:$F$6,0))</f>
        <v>0.46299999999999997</v>
      </c>
      <c r="L268" s="11">
        <f t="shared" si="244"/>
        <v>0</v>
      </c>
      <c r="M268" s="80">
        <f t="shared" si="263"/>
        <v>0.46299999999999997</v>
      </c>
      <c r="N268" s="76" t="e">
        <f>INDEX(Myopia!$H:$H, MATCH(E268, Myopia!$A:$A, 0)) * Trend_Factor^(A268)</f>
        <v>#N/A</v>
      </c>
      <c r="O268" s="11">
        <f t="shared" si="245"/>
        <v>0</v>
      </c>
      <c r="P268" s="80">
        <f t="shared" si="264"/>
        <v>0</v>
      </c>
      <c r="Q268" s="76">
        <f>VLOOKUP(C268,Others!$L$10:$M$61,2)</f>
        <v>0</v>
      </c>
      <c r="R268" s="11">
        <f t="shared" si="246"/>
        <v>0</v>
      </c>
      <c r="S268" s="80">
        <f t="shared" si="265"/>
        <v>0</v>
      </c>
      <c r="T268" s="78">
        <f t="shared" si="266"/>
        <v>3.8583333333333334E-5</v>
      </c>
      <c r="U268" s="81">
        <f t="shared" si="267"/>
        <v>0</v>
      </c>
      <c r="V268" s="81">
        <f t="shared" si="268"/>
        <v>0</v>
      </c>
      <c r="W268" s="77">
        <f t="shared" si="247"/>
        <v>0</v>
      </c>
      <c r="X268" s="82">
        <f t="shared" si="269"/>
        <v>0</v>
      </c>
      <c r="Y268" s="82">
        <f t="shared" si="270"/>
        <v>0</v>
      </c>
      <c r="Z268" s="82">
        <f t="shared" si="271"/>
        <v>0</v>
      </c>
      <c r="AA268" s="82">
        <f t="shared" si="272"/>
        <v>0</v>
      </c>
      <c r="AC268" s="46">
        <f t="shared" si="248"/>
        <v>0</v>
      </c>
      <c r="AD268" s="15">
        <f t="shared" si="249"/>
        <v>0</v>
      </c>
      <c r="AE268" s="46">
        <f t="shared" si="273"/>
        <v>0</v>
      </c>
      <c r="AF268" s="15">
        <f t="shared" si="274"/>
        <v>0</v>
      </c>
      <c r="AG268" s="46">
        <f>SUMPRODUCT(AE269:AE$605, $I268:$I$604) / $I268</f>
        <v>0</v>
      </c>
      <c r="AI268" s="46">
        <f t="shared" si="250"/>
        <v>0</v>
      </c>
      <c r="AJ268" s="46">
        <f>IF(E268&gt;Mat_Year,0,  -SUM($AD$5:AD268))</f>
        <v>0</v>
      </c>
      <c r="AK268" s="24">
        <f t="shared" si="275"/>
        <v>0</v>
      </c>
      <c r="AL268" s="79">
        <f t="shared" si="276"/>
        <v>0</v>
      </c>
      <c r="AM268" s="24">
        <f t="shared" si="277"/>
        <v>0</v>
      </c>
      <c r="AN268" s="79">
        <f t="shared" si="278"/>
        <v>0</v>
      </c>
      <c r="AO268" s="15">
        <f t="shared" si="279"/>
        <v>0</v>
      </c>
      <c r="AP268" s="46">
        <f>SUMPRODUCT(AN269:AN$605, $I269:$I$605) / $I268</f>
        <v>0</v>
      </c>
      <c r="AR268" s="46">
        <v>0</v>
      </c>
      <c r="AS268" s="46">
        <v>0</v>
      </c>
      <c r="AT268" s="46">
        <v>0</v>
      </c>
      <c r="AU268" s="95">
        <f t="shared" si="251"/>
        <v>0</v>
      </c>
      <c r="AV268" s="47">
        <f t="shared" si="252"/>
        <v>0</v>
      </c>
      <c r="AW268" s="96">
        <f t="shared" ref="AW268:AW317" si="287">AU268*(1+AV268)</f>
        <v>0</v>
      </c>
      <c r="AX268" s="95">
        <f t="shared" si="253"/>
        <v>0</v>
      </c>
      <c r="AY268" s="11">
        <f t="shared" si="254"/>
        <v>0</v>
      </c>
      <c r="AZ268" s="96">
        <f t="shared" ref="AZ268:AZ317" si="288">AX268*(1+AY268)</f>
        <v>0</v>
      </c>
      <c r="BA268" s="95">
        <f t="shared" ref="BA268:BA317" si="289">AW268*$W268</f>
        <v>0</v>
      </c>
      <c r="BB268" s="64">
        <f t="shared" ref="BB268:BB317" si="290">AZ268*SUM(X268:Y268)</f>
        <v>0</v>
      </c>
      <c r="BC268" s="95">
        <f t="shared" ref="BC268:BC317" si="291">IF($W268 = 0, 0, BE268/$W268)</f>
        <v>0</v>
      </c>
      <c r="BD268" s="96">
        <f t="shared" ref="BD268:BD317" si="292">IF($W268 = 0, 0, BF268/$W268)</f>
        <v>0</v>
      </c>
      <c r="BE268" s="96">
        <f t="shared" ref="BE268:BE317" si="293">SUM(AT268,BA268)</f>
        <v>0</v>
      </c>
      <c r="BF268" s="96">
        <f t="shared" ref="BF268:BF317" si="294">SUM(BB268)</f>
        <v>0</v>
      </c>
      <c r="BG268" s="15">
        <f t="shared" si="280"/>
        <v>0</v>
      </c>
      <c r="BH268" s="46">
        <f>(SUMPRODUCT(BE269:BE$605,$I268:$I$604)+SUMPRODUCT(BF269:BF$605,$I269:$I$605)) / $I268</f>
        <v>0</v>
      </c>
      <c r="BJ268" s="46">
        <f t="shared" si="238"/>
        <v>0</v>
      </c>
      <c r="BK268" s="46">
        <f t="shared" si="239"/>
        <v>0</v>
      </c>
      <c r="BM268" s="49">
        <f t="shared" si="281"/>
        <v>0</v>
      </c>
      <c r="BN268" s="46">
        <f t="shared" si="240"/>
        <v>0</v>
      </c>
      <c r="BP268" s="46">
        <f>Reserve!BX268</f>
        <v>0</v>
      </c>
      <c r="BQ268" s="46">
        <f t="shared" si="255"/>
        <v>0</v>
      </c>
      <c r="BR268" s="15">
        <f t="shared" si="282"/>
        <v>0</v>
      </c>
      <c r="BT268" s="49">
        <f t="shared" si="283"/>
        <v>0</v>
      </c>
      <c r="BU268" s="46">
        <f t="shared" si="256"/>
        <v>0</v>
      </c>
      <c r="BV268" s="46">
        <f>SUMPRODUCT(BU269:BU$605, $I269:$I$605) / $I268</f>
        <v>0</v>
      </c>
      <c r="BX268" s="46">
        <f>-BZ268*Others!$Q$43</f>
        <v>0</v>
      </c>
      <c r="BZ268" s="50">
        <f t="shared" si="241"/>
        <v>0</v>
      </c>
      <c r="CA268" s="46">
        <f t="shared" si="284"/>
        <v>0</v>
      </c>
      <c r="CB268" s="46">
        <f t="shared" si="257"/>
        <v>0</v>
      </c>
      <c r="CD268" s="46">
        <f>SUMPRODUCT(BZ269:BZ$605, $I269:$I$605) / $I268</f>
        <v>0</v>
      </c>
      <c r="CE268" s="46">
        <f>SUMPRODUCT(CA269:CA$605, $I269:$I$605) / $I268</f>
        <v>0</v>
      </c>
      <c r="CF268" s="46">
        <f>SUMPRODUCT(CB269:CB$605, $I269:$I$605) / $I268</f>
        <v>0</v>
      </c>
      <c r="CH268" s="46">
        <f t="shared" si="258"/>
        <v>0</v>
      </c>
      <c r="CI268" s="46">
        <f t="shared" si="259"/>
        <v>0</v>
      </c>
      <c r="CK268" s="46">
        <f>NPV((1+CK$3)^(1/12)-1,$CB$6:$CB268)+$CB$5</f>
        <v>1409.6963032385702</v>
      </c>
      <c r="CL268" s="46">
        <f>NPV((1+CL$3)^(1/12)-1,$CB$6:$CB268)+$CB$5</f>
        <v>1057.2060036590874</v>
      </c>
      <c r="CM268" s="46">
        <f>NPV((1+CM$3)^(1/12)-1,$CB$6:$CB268)+$CB$5</f>
        <v>462.64886026294084</v>
      </c>
      <c r="CN268" s="46">
        <f>NPV((1+CN$3)^(1/12)-1,$CB$6:$CB268)+$CB$5</f>
        <v>462.64886026294084</v>
      </c>
    </row>
    <row r="269" spans="1:92" x14ac:dyDescent="0.25">
      <c r="A269" s="61">
        <f t="shared" si="242"/>
        <v>21.999999999999957</v>
      </c>
      <c r="B269" s="32">
        <f t="shared" si="260"/>
        <v>12</v>
      </c>
      <c r="C269" s="62">
        <f t="shared" si="261"/>
        <v>22</v>
      </c>
      <c r="D269" s="64">
        <f t="shared" si="262"/>
        <v>22.499999999999957</v>
      </c>
      <c r="E269" s="28">
        <f t="shared" si="243"/>
        <v>22</v>
      </c>
      <c r="G269" s="68">
        <f>INDEX(Others!$D$11:$E$60, MATCH(C269, Others!$A$11:$A$60, 0), MATCH(G$3, Others!$D$10:$E$10, 0))</f>
        <v>4.0690909090909333E-2</v>
      </c>
      <c r="H269" s="16">
        <f t="shared" si="285"/>
        <v>3.329265421250005E-3</v>
      </c>
      <c r="I269" s="69">
        <f t="shared" si="286"/>
        <v>0.41583521234227383</v>
      </c>
      <c r="K269" s="80">
        <f>INDEX(Mortality!$B$7:$F$32, MATCH( E269,Mortality!$A$7:$A$32, 0), MATCH( K$3,Mortality!$B$6:$F$6,0))</f>
        <v>0.46299999999999997</v>
      </c>
      <c r="L269" s="11">
        <f t="shared" si="244"/>
        <v>0</v>
      </c>
      <c r="M269" s="80">
        <f t="shared" si="263"/>
        <v>0.46299999999999997</v>
      </c>
      <c r="N269" s="76" t="e">
        <f>INDEX(Myopia!$H:$H, MATCH(E269, Myopia!$A:$A, 0)) * Trend_Factor^(A269)</f>
        <v>#N/A</v>
      </c>
      <c r="O269" s="11">
        <f t="shared" si="245"/>
        <v>0</v>
      </c>
      <c r="P269" s="80">
        <f t="shared" si="264"/>
        <v>0</v>
      </c>
      <c r="Q269" s="76">
        <f>VLOOKUP(C269,Others!$L$10:$M$61,2)</f>
        <v>0</v>
      </c>
      <c r="R269" s="11">
        <f t="shared" si="246"/>
        <v>0</v>
      </c>
      <c r="S269" s="80">
        <f t="shared" si="265"/>
        <v>0</v>
      </c>
      <c r="T269" s="78">
        <f t="shared" si="266"/>
        <v>3.8583333333333334E-5</v>
      </c>
      <c r="U269" s="81">
        <f t="shared" si="267"/>
        <v>0</v>
      </c>
      <c r="V269" s="81">
        <f t="shared" si="268"/>
        <v>0</v>
      </c>
      <c r="W269" s="77">
        <f t="shared" si="247"/>
        <v>0</v>
      </c>
      <c r="X269" s="82">
        <f t="shared" si="269"/>
        <v>0</v>
      </c>
      <c r="Y269" s="82">
        <f t="shared" si="270"/>
        <v>0</v>
      </c>
      <c r="Z269" s="82">
        <f t="shared" si="271"/>
        <v>0</v>
      </c>
      <c r="AA269" s="82">
        <f t="shared" si="272"/>
        <v>0</v>
      </c>
      <c r="AC269" s="46">
        <f t="shared" si="248"/>
        <v>0</v>
      </c>
      <c r="AD269" s="15">
        <f t="shared" si="249"/>
        <v>0</v>
      </c>
      <c r="AE269" s="46">
        <f t="shared" si="273"/>
        <v>0</v>
      </c>
      <c r="AF269" s="15">
        <f t="shared" si="274"/>
        <v>0</v>
      </c>
      <c r="AG269" s="46">
        <f>SUMPRODUCT(AE270:AE$605, $I269:$I$604) / $I269</f>
        <v>0</v>
      </c>
      <c r="AI269" s="46">
        <f t="shared" si="250"/>
        <v>0</v>
      </c>
      <c r="AJ269" s="46">
        <f>IF(E269&gt;Mat_Year,0,  -SUM($AD$5:AD269))</f>
        <v>0</v>
      </c>
      <c r="AK269" s="24">
        <f t="shared" si="275"/>
        <v>0</v>
      </c>
      <c r="AL269" s="79">
        <f t="shared" si="276"/>
        <v>0</v>
      </c>
      <c r="AM269" s="24">
        <f t="shared" si="277"/>
        <v>0</v>
      </c>
      <c r="AN269" s="79">
        <f t="shared" si="278"/>
        <v>0</v>
      </c>
      <c r="AO269" s="15">
        <f t="shared" si="279"/>
        <v>0</v>
      </c>
      <c r="AP269" s="46">
        <f>SUMPRODUCT(AN270:AN$605, $I270:$I$605) / $I269</f>
        <v>0</v>
      </c>
      <c r="AR269" s="46">
        <v>0</v>
      </c>
      <c r="AS269" s="46">
        <v>0</v>
      </c>
      <c r="AT269" s="46">
        <v>0</v>
      </c>
      <c r="AU269" s="95">
        <f t="shared" si="251"/>
        <v>0</v>
      </c>
      <c r="AV269" s="47">
        <f t="shared" si="252"/>
        <v>0</v>
      </c>
      <c r="AW269" s="96">
        <f t="shared" si="287"/>
        <v>0</v>
      </c>
      <c r="AX269" s="95">
        <f t="shared" si="253"/>
        <v>0</v>
      </c>
      <c r="AY269" s="11">
        <f t="shared" si="254"/>
        <v>0</v>
      </c>
      <c r="AZ269" s="96">
        <f t="shared" si="288"/>
        <v>0</v>
      </c>
      <c r="BA269" s="95">
        <f t="shared" si="289"/>
        <v>0</v>
      </c>
      <c r="BB269" s="64">
        <f t="shared" si="290"/>
        <v>0</v>
      </c>
      <c r="BC269" s="95">
        <f t="shared" si="291"/>
        <v>0</v>
      </c>
      <c r="BD269" s="96">
        <f t="shared" si="292"/>
        <v>0</v>
      </c>
      <c r="BE269" s="96">
        <f t="shared" si="293"/>
        <v>0</v>
      </c>
      <c r="BF269" s="96">
        <f t="shared" si="294"/>
        <v>0</v>
      </c>
      <c r="BG269" s="15">
        <f t="shared" si="280"/>
        <v>0</v>
      </c>
      <c r="BH269" s="46">
        <f>(SUMPRODUCT(BE270:BE$605,$I269:$I$604)+SUMPRODUCT(BF270:BF$605,$I270:$I$605)) / $I269</f>
        <v>0</v>
      </c>
      <c r="BJ269" s="46">
        <f t="shared" si="238"/>
        <v>0</v>
      </c>
      <c r="BK269" s="46">
        <f t="shared" si="239"/>
        <v>0</v>
      </c>
      <c r="BM269" s="49">
        <f t="shared" si="281"/>
        <v>0</v>
      </c>
      <c r="BN269" s="46">
        <f t="shared" si="240"/>
        <v>0</v>
      </c>
      <c r="BP269" s="46">
        <f>Reserve!BX269</f>
        <v>0</v>
      </c>
      <c r="BQ269" s="46">
        <f t="shared" si="255"/>
        <v>0</v>
      </c>
      <c r="BR269" s="15">
        <f t="shared" si="282"/>
        <v>0</v>
      </c>
      <c r="BT269" s="49">
        <f t="shared" si="283"/>
        <v>0</v>
      </c>
      <c r="BU269" s="46">
        <f t="shared" si="256"/>
        <v>0</v>
      </c>
      <c r="BV269" s="46">
        <f>SUMPRODUCT(BU270:BU$605, $I270:$I$605) / $I269</f>
        <v>0</v>
      </c>
      <c r="BX269" s="46">
        <f>-BZ269*Others!$Q$43</f>
        <v>0</v>
      </c>
      <c r="BZ269" s="50">
        <f t="shared" si="241"/>
        <v>0</v>
      </c>
      <c r="CA269" s="46">
        <f t="shared" si="284"/>
        <v>0</v>
      </c>
      <c r="CB269" s="46">
        <f t="shared" si="257"/>
        <v>0</v>
      </c>
      <c r="CD269" s="46">
        <f>SUMPRODUCT(BZ270:BZ$605, $I270:$I$605) / $I269</f>
        <v>0</v>
      </c>
      <c r="CE269" s="46">
        <f>SUMPRODUCT(CA270:CA$605, $I270:$I$605) / $I269</f>
        <v>0</v>
      </c>
      <c r="CF269" s="46">
        <f>SUMPRODUCT(CB270:CB$605, $I270:$I$605) / $I269</f>
        <v>0</v>
      </c>
      <c r="CH269" s="46">
        <f t="shared" si="258"/>
        <v>0</v>
      </c>
      <c r="CI269" s="46">
        <f t="shared" si="259"/>
        <v>0</v>
      </c>
      <c r="CK269" s="46">
        <f>NPV((1+CK$3)^(1/12)-1,$CB$6:$CB269)+$CB$5</f>
        <v>1409.6963032385702</v>
      </c>
      <c r="CL269" s="46">
        <f>NPV((1+CL$3)^(1/12)-1,$CB$6:$CB269)+$CB$5</f>
        <v>1057.2060036590874</v>
      </c>
      <c r="CM269" s="46">
        <f>NPV((1+CM$3)^(1/12)-1,$CB$6:$CB269)+$CB$5</f>
        <v>462.64886026294084</v>
      </c>
      <c r="CN269" s="46">
        <f>NPV((1+CN$3)^(1/12)-1,$CB$6:$CB269)+$CB$5</f>
        <v>462.64886026294084</v>
      </c>
    </row>
    <row r="270" spans="1:92" x14ac:dyDescent="0.25">
      <c r="A270" s="61">
        <f t="shared" si="242"/>
        <v>22.08333333333329</v>
      </c>
      <c r="B270" s="32">
        <f t="shared" si="260"/>
        <v>1</v>
      </c>
      <c r="C270" s="62">
        <f t="shared" si="261"/>
        <v>23</v>
      </c>
      <c r="D270" s="64">
        <f t="shared" si="262"/>
        <v>22.58333333333329</v>
      </c>
      <c r="E270" s="28">
        <f t="shared" si="243"/>
        <v>22</v>
      </c>
      <c r="G270" s="68">
        <f>INDEX(Others!$D$11:$E$60, MATCH(C270, Others!$A$11:$A$60, 0), MATCH(G$3, Others!$D$10:$E$10, 0))</f>
        <v>4.0690909090908889E-2</v>
      </c>
      <c r="H270" s="16">
        <f t="shared" si="285"/>
        <v>3.329265421250005E-3</v>
      </c>
      <c r="I270" s="69">
        <f t="shared" si="286"/>
        <v>0.41445538037573787</v>
      </c>
      <c r="K270" s="80">
        <f>INDEX(Mortality!$B$7:$F$32, MATCH( E270,Mortality!$A$7:$A$32, 0), MATCH( K$3,Mortality!$B$6:$F$6,0))</f>
        <v>0.46299999999999997</v>
      </c>
      <c r="L270" s="11">
        <f t="shared" si="244"/>
        <v>0</v>
      </c>
      <c r="M270" s="80">
        <f t="shared" si="263"/>
        <v>0.46299999999999997</v>
      </c>
      <c r="N270" s="76" t="e">
        <f>INDEX(Myopia!$H:$H, MATCH(E270, Myopia!$A:$A, 0)) * Trend_Factor^(A270)</f>
        <v>#N/A</v>
      </c>
      <c r="O270" s="11">
        <f t="shared" si="245"/>
        <v>0</v>
      </c>
      <c r="P270" s="80">
        <f t="shared" si="264"/>
        <v>0</v>
      </c>
      <c r="Q270" s="76">
        <f>VLOOKUP(C270,Others!$L$10:$M$61,2)</f>
        <v>0</v>
      </c>
      <c r="R270" s="11">
        <f t="shared" si="246"/>
        <v>0</v>
      </c>
      <c r="S270" s="80">
        <f t="shared" si="265"/>
        <v>0</v>
      </c>
      <c r="T270" s="78">
        <f t="shared" si="266"/>
        <v>3.8583333333333334E-5</v>
      </c>
      <c r="U270" s="81">
        <f t="shared" si="267"/>
        <v>0</v>
      </c>
      <c r="V270" s="81">
        <f t="shared" si="268"/>
        <v>0</v>
      </c>
      <c r="W270" s="77">
        <f t="shared" si="247"/>
        <v>0</v>
      </c>
      <c r="X270" s="82">
        <f t="shared" si="269"/>
        <v>0</v>
      </c>
      <c r="Y270" s="82">
        <f t="shared" si="270"/>
        <v>0</v>
      </c>
      <c r="Z270" s="82">
        <f t="shared" si="271"/>
        <v>0</v>
      </c>
      <c r="AA270" s="82">
        <f t="shared" si="272"/>
        <v>0</v>
      </c>
      <c r="AC270" s="46">
        <f t="shared" si="248"/>
        <v>0</v>
      </c>
      <c r="AD270" s="15">
        <f t="shared" si="249"/>
        <v>0</v>
      </c>
      <c r="AE270" s="46">
        <f t="shared" si="273"/>
        <v>0</v>
      </c>
      <c r="AF270" s="15">
        <f t="shared" si="274"/>
        <v>0</v>
      </c>
      <c r="AG270" s="46">
        <f>SUMPRODUCT(AE271:AE$605, $I270:$I$604) / $I270</f>
        <v>0</v>
      </c>
      <c r="AI270" s="46">
        <f t="shared" si="250"/>
        <v>0</v>
      </c>
      <c r="AJ270" s="46">
        <f>IF(E270&gt;Mat_Year,0,  -SUM($AD$5:AD270))</f>
        <v>0</v>
      </c>
      <c r="AK270" s="24">
        <f t="shared" si="275"/>
        <v>0</v>
      </c>
      <c r="AL270" s="79">
        <f t="shared" si="276"/>
        <v>0</v>
      </c>
      <c r="AM270" s="24">
        <f t="shared" si="277"/>
        <v>0</v>
      </c>
      <c r="AN270" s="79">
        <f t="shared" si="278"/>
        <v>0</v>
      </c>
      <c r="AO270" s="15">
        <f t="shared" si="279"/>
        <v>0</v>
      </c>
      <c r="AP270" s="46">
        <f>SUMPRODUCT(AN271:AN$605, $I271:$I$605) / $I270</f>
        <v>0</v>
      </c>
      <c r="AR270" s="46">
        <v>0</v>
      </c>
      <c r="AS270" s="46">
        <v>0</v>
      </c>
      <c r="AT270" s="46">
        <v>0</v>
      </c>
      <c r="AU270" s="95">
        <f t="shared" si="251"/>
        <v>0</v>
      </c>
      <c r="AV270" s="47">
        <f t="shared" si="252"/>
        <v>0</v>
      </c>
      <c r="AW270" s="96">
        <f t="shared" si="287"/>
        <v>0</v>
      </c>
      <c r="AX270" s="95">
        <f t="shared" si="253"/>
        <v>0</v>
      </c>
      <c r="AY270" s="11">
        <f t="shared" si="254"/>
        <v>0</v>
      </c>
      <c r="AZ270" s="96">
        <f t="shared" si="288"/>
        <v>0</v>
      </c>
      <c r="BA270" s="95">
        <f t="shared" si="289"/>
        <v>0</v>
      </c>
      <c r="BB270" s="64">
        <f t="shared" si="290"/>
        <v>0</v>
      </c>
      <c r="BC270" s="95">
        <f t="shared" si="291"/>
        <v>0</v>
      </c>
      <c r="BD270" s="96">
        <f t="shared" si="292"/>
        <v>0</v>
      </c>
      <c r="BE270" s="96">
        <f t="shared" si="293"/>
        <v>0</v>
      </c>
      <c r="BF270" s="96">
        <f t="shared" si="294"/>
        <v>0</v>
      </c>
      <c r="BG270" s="15">
        <f t="shared" si="280"/>
        <v>0</v>
      </c>
      <c r="BH270" s="46">
        <f>(SUMPRODUCT(BE271:BE$605,$I270:$I$604)+SUMPRODUCT(BF271:BF$605,$I271:$I$605)) / $I270</f>
        <v>0</v>
      </c>
      <c r="BJ270" s="46">
        <f t="shared" si="238"/>
        <v>0</v>
      </c>
      <c r="BK270" s="46">
        <f t="shared" si="239"/>
        <v>0</v>
      </c>
      <c r="BM270" s="49">
        <f t="shared" si="281"/>
        <v>0</v>
      </c>
      <c r="BN270" s="46">
        <f t="shared" si="240"/>
        <v>0</v>
      </c>
      <c r="BP270" s="46">
        <f>Reserve!BX270</f>
        <v>0</v>
      </c>
      <c r="BQ270" s="46">
        <f t="shared" si="255"/>
        <v>0</v>
      </c>
      <c r="BR270" s="15">
        <f t="shared" si="282"/>
        <v>0</v>
      </c>
      <c r="BT270" s="49">
        <f t="shared" si="283"/>
        <v>0</v>
      </c>
      <c r="BU270" s="46">
        <f t="shared" si="256"/>
        <v>0</v>
      </c>
      <c r="BV270" s="46">
        <f>SUMPRODUCT(BU271:BU$605, $I271:$I$605) / $I270</f>
        <v>0</v>
      </c>
      <c r="BX270" s="46">
        <f>-BZ270*Others!$Q$43</f>
        <v>0</v>
      </c>
      <c r="BZ270" s="50">
        <f t="shared" si="241"/>
        <v>0</v>
      </c>
      <c r="CA270" s="46">
        <f t="shared" si="284"/>
        <v>0</v>
      </c>
      <c r="CB270" s="46">
        <f t="shared" si="257"/>
        <v>0</v>
      </c>
      <c r="CD270" s="46">
        <f>SUMPRODUCT(BZ271:BZ$605, $I271:$I$605) / $I270</f>
        <v>0</v>
      </c>
      <c r="CE270" s="46">
        <f>SUMPRODUCT(CA271:CA$605, $I271:$I$605) / $I270</f>
        <v>0</v>
      </c>
      <c r="CF270" s="46">
        <f>SUMPRODUCT(CB271:CB$605, $I271:$I$605) / $I270</f>
        <v>0</v>
      </c>
      <c r="CH270" s="46">
        <f t="shared" si="258"/>
        <v>0</v>
      </c>
      <c r="CI270" s="46">
        <f t="shared" si="259"/>
        <v>0</v>
      </c>
      <c r="CK270" s="46">
        <f>NPV((1+CK$3)^(1/12)-1,$CB$6:$CB270)+$CB$5</f>
        <v>1409.6963032385702</v>
      </c>
      <c r="CL270" s="46">
        <f>NPV((1+CL$3)^(1/12)-1,$CB$6:$CB270)+$CB$5</f>
        <v>1057.2060036590874</v>
      </c>
      <c r="CM270" s="46">
        <f>NPV((1+CM$3)^(1/12)-1,$CB$6:$CB270)+$CB$5</f>
        <v>462.64886026294084</v>
      </c>
      <c r="CN270" s="46">
        <f>NPV((1+CN$3)^(1/12)-1,$CB$6:$CB270)+$CB$5</f>
        <v>462.64886026294084</v>
      </c>
    </row>
    <row r="271" spans="1:92" x14ac:dyDescent="0.25">
      <c r="A271" s="61">
        <f t="shared" si="242"/>
        <v>22.166666666666622</v>
      </c>
      <c r="B271" s="32">
        <f t="shared" si="260"/>
        <v>2</v>
      </c>
      <c r="C271" s="62">
        <f t="shared" si="261"/>
        <v>23</v>
      </c>
      <c r="D271" s="64">
        <f t="shared" si="262"/>
        <v>22.666666666666622</v>
      </c>
      <c r="E271" s="28">
        <f t="shared" si="243"/>
        <v>22</v>
      </c>
      <c r="G271" s="68">
        <f>INDEX(Others!$D$11:$E$60, MATCH(C271, Others!$A$11:$A$60, 0), MATCH(G$3, Others!$D$10:$E$10, 0))</f>
        <v>4.0690909090908889E-2</v>
      </c>
      <c r="H271" s="16">
        <f t="shared" si="285"/>
        <v>3.329265421250005E-3</v>
      </c>
      <c r="I271" s="69">
        <f t="shared" si="286"/>
        <v>0.41308012699273539</v>
      </c>
      <c r="K271" s="80">
        <f>INDEX(Mortality!$B$7:$F$32, MATCH( E271,Mortality!$A$7:$A$32, 0), MATCH( K$3,Mortality!$B$6:$F$6,0))</f>
        <v>0.46299999999999997</v>
      </c>
      <c r="L271" s="11">
        <f t="shared" si="244"/>
        <v>0</v>
      </c>
      <c r="M271" s="80">
        <f t="shared" si="263"/>
        <v>0.46299999999999997</v>
      </c>
      <c r="N271" s="76" t="e">
        <f>INDEX(Myopia!$H:$H, MATCH(E271, Myopia!$A:$A, 0)) * Trend_Factor^(A271)</f>
        <v>#N/A</v>
      </c>
      <c r="O271" s="11">
        <f t="shared" si="245"/>
        <v>0</v>
      </c>
      <c r="P271" s="80">
        <f t="shared" si="264"/>
        <v>0</v>
      </c>
      <c r="Q271" s="76">
        <f>VLOOKUP(C271,Others!$L$10:$M$61,2)</f>
        <v>0</v>
      </c>
      <c r="R271" s="11">
        <f t="shared" si="246"/>
        <v>0</v>
      </c>
      <c r="S271" s="80">
        <f t="shared" si="265"/>
        <v>0</v>
      </c>
      <c r="T271" s="78">
        <f t="shared" si="266"/>
        <v>3.8583333333333334E-5</v>
      </c>
      <c r="U271" s="81">
        <f t="shared" si="267"/>
        <v>0</v>
      </c>
      <c r="V271" s="81">
        <f t="shared" si="268"/>
        <v>0</v>
      </c>
      <c r="W271" s="77">
        <f t="shared" si="247"/>
        <v>0</v>
      </c>
      <c r="X271" s="82">
        <f t="shared" si="269"/>
        <v>0</v>
      </c>
      <c r="Y271" s="82">
        <f t="shared" si="270"/>
        <v>0</v>
      </c>
      <c r="Z271" s="82">
        <f t="shared" si="271"/>
        <v>0</v>
      </c>
      <c r="AA271" s="82">
        <f t="shared" si="272"/>
        <v>0</v>
      </c>
      <c r="AC271" s="46">
        <f t="shared" si="248"/>
        <v>0</v>
      </c>
      <c r="AD271" s="15">
        <f t="shared" si="249"/>
        <v>0</v>
      </c>
      <c r="AE271" s="46">
        <f t="shared" si="273"/>
        <v>0</v>
      </c>
      <c r="AF271" s="15">
        <f t="shared" si="274"/>
        <v>0</v>
      </c>
      <c r="AG271" s="46">
        <f>SUMPRODUCT(AE272:AE$605, $I271:$I$604) / $I271</f>
        <v>0</v>
      </c>
      <c r="AI271" s="46">
        <f t="shared" si="250"/>
        <v>0</v>
      </c>
      <c r="AJ271" s="46">
        <f>IF(E271&gt;Mat_Year,0,  -SUM($AD$5:AD271))</f>
        <v>0</v>
      </c>
      <c r="AK271" s="24">
        <f t="shared" si="275"/>
        <v>0</v>
      </c>
      <c r="AL271" s="79">
        <f t="shared" si="276"/>
        <v>0</v>
      </c>
      <c r="AM271" s="24">
        <f t="shared" si="277"/>
        <v>0</v>
      </c>
      <c r="AN271" s="79">
        <f t="shared" si="278"/>
        <v>0</v>
      </c>
      <c r="AO271" s="15">
        <f t="shared" si="279"/>
        <v>0</v>
      </c>
      <c r="AP271" s="46">
        <f>SUMPRODUCT(AN272:AN$605, $I272:$I$605) / $I271</f>
        <v>0</v>
      </c>
      <c r="AR271" s="46">
        <v>0</v>
      </c>
      <c r="AS271" s="46">
        <v>0</v>
      </c>
      <c r="AT271" s="46">
        <v>0</v>
      </c>
      <c r="AU271" s="95">
        <f t="shared" si="251"/>
        <v>0</v>
      </c>
      <c r="AV271" s="47">
        <f t="shared" si="252"/>
        <v>0</v>
      </c>
      <c r="AW271" s="96">
        <f t="shared" si="287"/>
        <v>0</v>
      </c>
      <c r="AX271" s="95">
        <f t="shared" si="253"/>
        <v>0</v>
      </c>
      <c r="AY271" s="11">
        <f t="shared" si="254"/>
        <v>0</v>
      </c>
      <c r="AZ271" s="96">
        <f t="shared" si="288"/>
        <v>0</v>
      </c>
      <c r="BA271" s="95">
        <f t="shared" si="289"/>
        <v>0</v>
      </c>
      <c r="BB271" s="64">
        <f t="shared" si="290"/>
        <v>0</v>
      </c>
      <c r="BC271" s="95">
        <f t="shared" si="291"/>
        <v>0</v>
      </c>
      <c r="BD271" s="96">
        <f t="shared" si="292"/>
        <v>0</v>
      </c>
      <c r="BE271" s="96">
        <f t="shared" si="293"/>
        <v>0</v>
      </c>
      <c r="BF271" s="96">
        <f t="shared" si="294"/>
        <v>0</v>
      </c>
      <c r="BG271" s="15">
        <f t="shared" si="280"/>
        <v>0</v>
      </c>
      <c r="BH271" s="46">
        <f>(SUMPRODUCT(BE272:BE$605,$I271:$I$604)+SUMPRODUCT(BF272:BF$605,$I272:$I$605)) / $I271</f>
        <v>0</v>
      </c>
      <c r="BJ271" s="46">
        <f t="shared" si="238"/>
        <v>0</v>
      </c>
      <c r="BK271" s="46">
        <f t="shared" si="239"/>
        <v>0</v>
      </c>
      <c r="BM271" s="49">
        <f t="shared" si="281"/>
        <v>0</v>
      </c>
      <c r="BN271" s="46">
        <f t="shared" si="240"/>
        <v>0</v>
      </c>
      <c r="BP271" s="46">
        <f>Reserve!BX271</f>
        <v>0</v>
      </c>
      <c r="BQ271" s="46">
        <f t="shared" si="255"/>
        <v>0</v>
      </c>
      <c r="BR271" s="15">
        <f t="shared" si="282"/>
        <v>0</v>
      </c>
      <c r="BT271" s="49">
        <f t="shared" si="283"/>
        <v>0</v>
      </c>
      <c r="BU271" s="46">
        <f t="shared" si="256"/>
        <v>0</v>
      </c>
      <c r="BV271" s="46">
        <f>SUMPRODUCT(BU272:BU$605, $I272:$I$605) / $I271</f>
        <v>0</v>
      </c>
      <c r="BX271" s="46">
        <f>-BZ271*Others!$Q$43</f>
        <v>0</v>
      </c>
      <c r="BZ271" s="50">
        <f t="shared" si="241"/>
        <v>0</v>
      </c>
      <c r="CA271" s="46">
        <f t="shared" si="284"/>
        <v>0</v>
      </c>
      <c r="CB271" s="46">
        <f t="shared" si="257"/>
        <v>0</v>
      </c>
      <c r="CD271" s="46">
        <f>SUMPRODUCT(BZ272:BZ$605, $I272:$I$605) / $I271</f>
        <v>0</v>
      </c>
      <c r="CE271" s="46">
        <f>SUMPRODUCT(CA272:CA$605, $I272:$I$605) / $I271</f>
        <v>0</v>
      </c>
      <c r="CF271" s="46">
        <f>SUMPRODUCT(CB272:CB$605, $I272:$I$605) / $I271</f>
        <v>0</v>
      </c>
      <c r="CH271" s="46">
        <f t="shared" si="258"/>
        <v>0</v>
      </c>
      <c r="CI271" s="46">
        <f t="shared" si="259"/>
        <v>0</v>
      </c>
      <c r="CK271" s="46">
        <f>NPV((1+CK$3)^(1/12)-1,$CB$6:$CB271)+$CB$5</f>
        <v>1409.6963032385702</v>
      </c>
      <c r="CL271" s="46">
        <f>NPV((1+CL$3)^(1/12)-1,$CB$6:$CB271)+$CB$5</f>
        <v>1057.2060036590874</v>
      </c>
      <c r="CM271" s="46">
        <f>NPV((1+CM$3)^(1/12)-1,$CB$6:$CB271)+$CB$5</f>
        <v>462.64886026294084</v>
      </c>
      <c r="CN271" s="46">
        <f>NPV((1+CN$3)^(1/12)-1,$CB$6:$CB271)+$CB$5</f>
        <v>462.64886026294084</v>
      </c>
    </row>
    <row r="272" spans="1:92" x14ac:dyDescent="0.25">
      <c r="A272" s="61">
        <f t="shared" si="242"/>
        <v>22.249999999999954</v>
      </c>
      <c r="B272" s="32">
        <f t="shared" si="260"/>
        <v>3</v>
      </c>
      <c r="C272" s="62">
        <f t="shared" si="261"/>
        <v>23</v>
      </c>
      <c r="D272" s="64">
        <f t="shared" si="262"/>
        <v>22.749999999999954</v>
      </c>
      <c r="E272" s="28">
        <f t="shared" si="243"/>
        <v>22</v>
      </c>
      <c r="G272" s="68">
        <f>INDEX(Others!$D$11:$E$60, MATCH(C272, Others!$A$11:$A$60, 0), MATCH(G$3, Others!$D$10:$E$10, 0))</f>
        <v>4.0690909090908889E-2</v>
      </c>
      <c r="H272" s="16">
        <f t="shared" si="285"/>
        <v>3.329265421250005E-3</v>
      </c>
      <c r="I272" s="69">
        <f t="shared" si="286"/>
        <v>0.4117094370005272</v>
      </c>
      <c r="K272" s="80">
        <f>INDEX(Mortality!$B$7:$F$32, MATCH( E272,Mortality!$A$7:$A$32, 0), MATCH( K$3,Mortality!$B$6:$F$6,0))</f>
        <v>0.46299999999999997</v>
      </c>
      <c r="L272" s="11">
        <f t="shared" si="244"/>
        <v>0</v>
      </c>
      <c r="M272" s="80">
        <f t="shared" si="263"/>
        <v>0.46299999999999997</v>
      </c>
      <c r="N272" s="76" t="e">
        <f>INDEX(Myopia!$H:$H, MATCH(E272, Myopia!$A:$A, 0)) * Trend_Factor^(A272)</f>
        <v>#N/A</v>
      </c>
      <c r="O272" s="11">
        <f t="shared" si="245"/>
        <v>0</v>
      </c>
      <c r="P272" s="80">
        <f t="shared" si="264"/>
        <v>0</v>
      </c>
      <c r="Q272" s="76">
        <f>VLOOKUP(C272,Others!$L$10:$M$61,2)</f>
        <v>0</v>
      </c>
      <c r="R272" s="11">
        <f t="shared" si="246"/>
        <v>0</v>
      </c>
      <c r="S272" s="80">
        <f t="shared" si="265"/>
        <v>0</v>
      </c>
      <c r="T272" s="78">
        <f t="shared" si="266"/>
        <v>3.8583333333333334E-5</v>
      </c>
      <c r="U272" s="81">
        <f t="shared" si="267"/>
        <v>0</v>
      </c>
      <c r="V272" s="81">
        <f t="shared" si="268"/>
        <v>0</v>
      </c>
      <c r="W272" s="77">
        <f t="shared" si="247"/>
        <v>0</v>
      </c>
      <c r="X272" s="82">
        <f t="shared" si="269"/>
        <v>0</v>
      </c>
      <c r="Y272" s="82">
        <f t="shared" si="270"/>
        <v>0</v>
      </c>
      <c r="Z272" s="82">
        <f t="shared" si="271"/>
        <v>0</v>
      </c>
      <c r="AA272" s="82">
        <f t="shared" si="272"/>
        <v>0</v>
      </c>
      <c r="AC272" s="46">
        <f t="shared" si="248"/>
        <v>0</v>
      </c>
      <c r="AD272" s="15">
        <f t="shared" si="249"/>
        <v>0</v>
      </c>
      <c r="AE272" s="46">
        <f t="shared" si="273"/>
        <v>0</v>
      </c>
      <c r="AF272" s="15">
        <f t="shared" si="274"/>
        <v>0</v>
      </c>
      <c r="AG272" s="46">
        <f>SUMPRODUCT(AE273:AE$605, $I272:$I$604) / $I272</f>
        <v>0</v>
      </c>
      <c r="AI272" s="46">
        <f t="shared" si="250"/>
        <v>0</v>
      </c>
      <c r="AJ272" s="46">
        <f>IF(E272&gt;Mat_Year,0,  -SUM($AD$5:AD272))</f>
        <v>0</v>
      </c>
      <c r="AK272" s="24">
        <f t="shared" si="275"/>
        <v>0</v>
      </c>
      <c r="AL272" s="79">
        <f t="shared" si="276"/>
        <v>0</v>
      </c>
      <c r="AM272" s="24">
        <f t="shared" si="277"/>
        <v>0</v>
      </c>
      <c r="AN272" s="79">
        <f t="shared" si="278"/>
        <v>0</v>
      </c>
      <c r="AO272" s="15">
        <f t="shared" si="279"/>
        <v>0</v>
      </c>
      <c r="AP272" s="46">
        <f>SUMPRODUCT(AN273:AN$605, $I273:$I$605) / $I272</f>
        <v>0</v>
      </c>
      <c r="AR272" s="46">
        <v>0</v>
      </c>
      <c r="AS272" s="46">
        <v>0</v>
      </c>
      <c r="AT272" s="46">
        <v>0</v>
      </c>
      <c r="AU272" s="95">
        <f t="shared" si="251"/>
        <v>0</v>
      </c>
      <c r="AV272" s="47">
        <f t="shared" si="252"/>
        <v>0</v>
      </c>
      <c r="AW272" s="96">
        <f t="shared" si="287"/>
        <v>0</v>
      </c>
      <c r="AX272" s="95">
        <f t="shared" si="253"/>
        <v>0</v>
      </c>
      <c r="AY272" s="11">
        <f t="shared" si="254"/>
        <v>0</v>
      </c>
      <c r="AZ272" s="96">
        <f t="shared" si="288"/>
        <v>0</v>
      </c>
      <c r="BA272" s="95">
        <f t="shared" si="289"/>
        <v>0</v>
      </c>
      <c r="BB272" s="64">
        <f t="shared" si="290"/>
        <v>0</v>
      </c>
      <c r="BC272" s="95">
        <f t="shared" si="291"/>
        <v>0</v>
      </c>
      <c r="BD272" s="96">
        <f t="shared" si="292"/>
        <v>0</v>
      </c>
      <c r="BE272" s="96">
        <f t="shared" si="293"/>
        <v>0</v>
      </c>
      <c r="BF272" s="96">
        <f t="shared" si="294"/>
        <v>0</v>
      </c>
      <c r="BG272" s="15">
        <f t="shared" si="280"/>
        <v>0</v>
      </c>
      <c r="BH272" s="46">
        <f>(SUMPRODUCT(BE273:BE$605,$I272:$I$604)+SUMPRODUCT(BF273:BF$605,$I273:$I$605)) / $I272</f>
        <v>0</v>
      </c>
      <c r="BJ272" s="46">
        <f t="shared" si="238"/>
        <v>0</v>
      </c>
      <c r="BK272" s="46">
        <f t="shared" si="239"/>
        <v>0</v>
      </c>
      <c r="BM272" s="49">
        <f t="shared" si="281"/>
        <v>0</v>
      </c>
      <c r="BN272" s="46">
        <f t="shared" si="240"/>
        <v>0</v>
      </c>
      <c r="BP272" s="46">
        <f>Reserve!BX272</f>
        <v>0</v>
      </c>
      <c r="BQ272" s="46">
        <f t="shared" si="255"/>
        <v>0</v>
      </c>
      <c r="BR272" s="15">
        <f t="shared" si="282"/>
        <v>0</v>
      </c>
      <c r="BT272" s="49">
        <f t="shared" si="283"/>
        <v>0</v>
      </c>
      <c r="BU272" s="46">
        <f t="shared" si="256"/>
        <v>0</v>
      </c>
      <c r="BV272" s="46">
        <f>SUMPRODUCT(BU273:BU$605, $I273:$I$605) / $I272</f>
        <v>0</v>
      </c>
      <c r="BX272" s="46">
        <f>-BZ272*Others!$Q$43</f>
        <v>0</v>
      </c>
      <c r="BZ272" s="50">
        <f t="shared" si="241"/>
        <v>0</v>
      </c>
      <c r="CA272" s="46">
        <f t="shared" si="284"/>
        <v>0</v>
      </c>
      <c r="CB272" s="46">
        <f t="shared" si="257"/>
        <v>0</v>
      </c>
      <c r="CD272" s="46">
        <f>SUMPRODUCT(BZ273:BZ$605, $I273:$I$605) / $I272</f>
        <v>0</v>
      </c>
      <c r="CE272" s="46">
        <f>SUMPRODUCT(CA273:CA$605, $I273:$I$605) / $I272</f>
        <v>0</v>
      </c>
      <c r="CF272" s="46">
        <f>SUMPRODUCT(CB273:CB$605, $I273:$I$605) / $I272</f>
        <v>0</v>
      </c>
      <c r="CH272" s="46">
        <f t="shared" si="258"/>
        <v>0</v>
      </c>
      <c r="CI272" s="46">
        <f t="shared" si="259"/>
        <v>0</v>
      </c>
      <c r="CK272" s="46">
        <f>NPV((1+CK$3)^(1/12)-1,$CB$6:$CB272)+$CB$5</f>
        <v>1409.6963032385702</v>
      </c>
      <c r="CL272" s="46">
        <f>NPV((1+CL$3)^(1/12)-1,$CB$6:$CB272)+$CB$5</f>
        <v>1057.2060036590874</v>
      </c>
      <c r="CM272" s="46">
        <f>NPV((1+CM$3)^(1/12)-1,$CB$6:$CB272)+$CB$5</f>
        <v>462.64886026294084</v>
      </c>
      <c r="CN272" s="46">
        <f>NPV((1+CN$3)^(1/12)-1,$CB$6:$CB272)+$CB$5</f>
        <v>462.64886026294084</v>
      </c>
    </row>
    <row r="273" spans="1:92" x14ac:dyDescent="0.25">
      <c r="A273" s="61">
        <f t="shared" si="242"/>
        <v>22.333333333333286</v>
      </c>
      <c r="B273" s="32">
        <f t="shared" si="260"/>
        <v>4</v>
      </c>
      <c r="C273" s="62">
        <f t="shared" si="261"/>
        <v>23</v>
      </c>
      <c r="D273" s="64">
        <f t="shared" si="262"/>
        <v>22.833333333333286</v>
      </c>
      <c r="E273" s="28">
        <f t="shared" si="243"/>
        <v>22</v>
      </c>
      <c r="G273" s="68">
        <f>INDEX(Others!$D$11:$E$60, MATCH(C273, Others!$A$11:$A$60, 0), MATCH(G$3, Others!$D$10:$E$10, 0))</f>
        <v>4.0690909090908889E-2</v>
      </c>
      <c r="H273" s="16">
        <f t="shared" si="285"/>
        <v>3.329265421250005E-3</v>
      </c>
      <c r="I273" s="69">
        <f t="shared" si="286"/>
        <v>0.41034329525678698</v>
      </c>
      <c r="K273" s="80">
        <f>INDEX(Mortality!$B$7:$F$32, MATCH( E273,Mortality!$A$7:$A$32, 0), MATCH( K$3,Mortality!$B$6:$F$6,0))</f>
        <v>0.46299999999999997</v>
      </c>
      <c r="L273" s="11">
        <f t="shared" si="244"/>
        <v>0</v>
      </c>
      <c r="M273" s="80">
        <f t="shared" si="263"/>
        <v>0.46299999999999997</v>
      </c>
      <c r="N273" s="76" t="e">
        <f>INDEX(Myopia!$H:$H, MATCH(E273, Myopia!$A:$A, 0)) * Trend_Factor^(A273)</f>
        <v>#N/A</v>
      </c>
      <c r="O273" s="11">
        <f t="shared" si="245"/>
        <v>0</v>
      </c>
      <c r="P273" s="80">
        <f t="shared" si="264"/>
        <v>0</v>
      </c>
      <c r="Q273" s="76">
        <f>VLOOKUP(C273,Others!$L$10:$M$61,2)</f>
        <v>0</v>
      </c>
      <c r="R273" s="11">
        <f t="shared" si="246"/>
        <v>0</v>
      </c>
      <c r="S273" s="80">
        <f t="shared" si="265"/>
        <v>0</v>
      </c>
      <c r="T273" s="78">
        <f t="shared" si="266"/>
        <v>3.8583333333333334E-5</v>
      </c>
      <c r="U273" s="81">
        <f t="shared" si="267"/>
        <v>0</v>
      </c>
      <c r="V273" s="81">
        <f t="shared" si="268"/>
        <v>0</v>
      </c>
      <c r="W273" s="77">
        <f t="shared" si="247"/>
        <v>0</v>
      </c>
      <c r="X273" s="82">
        <f t="shared" si="269"/>
        <v>0</v>
      </c>
      <c r="Y273" s="82">
        <f t="shared" si="270"/>
        <v>0</v>
      </c>
      <c r="Z273" s="82">
        <f t="shared" si="271"/>
        <v>0</v>
      </c>
      <c r="AA273" s="82">
        <f t="shared" si="272"/>
        <v>0</v>
      </c>
      <c r="AC273" s="46">
        <f t="shared" si="248"/>
        <v>0</v>
      </c>
      <c r="AD273" s="15">
        <f t="shared" si="249"/>
        <v>0</v>
      </c>
      <c r="AE273" s="46">
        <f t="shared" si="273"/>
        <v>0</v>
      </c>
      <c r="AF273" s="15">
        <f t="shared" si="274"/>
        <v>0</v>
      </c>
      <c r="AG273" s="46">
        <f>SUMPRODUCT(AE274:AE$605, $I273:$I$604) / $I273</f>
        <v>0</v>
      </c>
      <c r="AI273" s="46">
        <f t="shared" si="250"/>
        <v>0</v>
      </c>
      <c r="AJ273" s="46">
        <f>IF(E273&gt;Mat_Year,0,  -SUM($AD$5:AD273))</f>
        <v>0</v>
      </c>
      <c r="AK273" s="24">
        <f t="shared" si="275"/>
        <v>0</v>
      </c>
      <c r="AL273" s="79">
        <f t="shared" si="276"/>
        <v>0</v>
      </c>
      <c r="AM273" s="24">
        <f t="shared" si="277"/>
        <v>0</v>
      </c>
      <c r="AN273" s="79">
        <f t="shared" si="278"/>
        <v>0</v>
      </c>
      <c r="AO273" s="15">
        <f t="shared" si="279"/>
        <v>0</v>
      </c>
      <c r="AP273" s="46">
        <f>SUMPRODUCT(AN274:AN$605, $I274:$I$605) / $I273</f>
        <v>0</v>
      </c>
      <c r="AR273" s="46">
        <v>0</v>
      </c>
      <c r="AS273" s="46">
        <v>0</v>
      </c>
      <c r="AT273" s="46">
        <v>0</v>
      </c>
      <c r="AU273" s="95">
        <f t="shared" si="251"/>
        <v>0</v>
      </c>
      <c r="AV273" s="47">
        <f t="shared" si="252"/>
        <v>0</v>
      </c>
      <c r="AW273" s="96">
        <f t="shared" si="287"/>
        <v>0</v>
      </c>
      <c r="AX273" s="95">
        <f t="shared" si="253"/>
        <v>0</v>
      </c>
      <c r="AY273" s="11">
        <f t="shared" si="254"/>
        <v>0</v>
      </c>
      <c r="AZ273" s="96">
        <f t="shared" si="288"/>
        <v>0</v>
      </c>
      <c r="BA273" s="95">
        <f t="shared" si="289"/>
        <v>0</v>
      </c>
      <c r="BB273" s="64">
        <f t="shared" si="290"/>
        <v>0</v>
      </c>
      <c r="BC273" s="95">
        <f t="shared" si="291"/>
        <v>0</v>
      </c>
      <c r="BD273" s="96">
        <f t="shared" si="292"/>
        <v>0</v>
      </c>
      <c r="BE273" s="96">
        <f t="shared" si="293"/>
        <v>0</v>
      </c>
      <c r="BF273" s="96">
        <f t="shared" si="294"/>
        <v>0</v>
      </c>
      <c r="BG273" s="15">
        <f t="shared" si="280"/>
        <v>0</v>
      </c>
      <c r="BH273" s="46">
        <f>(SUMPRODUCT(BE274:BE$605,$I273:$I$604)+SUMPRODUCT(BF274:BF$605,$I274:$I$605)) / $I273</f>
        <v>0</v>
      </c>
      <c r="BJ273" s="46">
        <f t="shared" si="238"/>
        <v>0</v>
      </c>
      <c r="BK273" s="46">
        <f t="shared" si="239"/>
        <v>0</v>
      </c>
      <c r="BM273" s="49">
        <f t="shared" si="281"/>
        <v>0</v>
      </c>
      <c r="BN273" s="46">
        <f t="shared" si="240"/>
        <v>0</v>
      </c>
      <c r="BP273" s="46">
        <f>Reserve!BX273</f>
        <v>0</v>
      </c>
      <c r="BQ273" s="46">
        <f t="shared" si="255"/>
        <v>0</v>
      </c>
      <c r="BR273" s="15">
        <f t="shared" si="282"/>
        <v>0</v>
      </c>
      <c r="BT273" s="49">
        <f t="shared" si="283"/>
        <v>0</v>
      </c>
      <c r="BU273" s="46">
        <f t="shared" si="256"/>
        <v>0</v>
      </c>
      <c r="BV273" s="46">
        <f>SUMPRODUCT(BU274:BU$605, $I274:$I$605) / $I273</f>
        <v>0</v>
      </c>
      <c r="BX273" s="46">
        <f>-BZ273*Others!$Q$43</f>
        <v>0</v>
      </c>
      <c r="BZ273" s="50">
        <f t="shared" si="241"/>
        <v>0</v>
      </c>
      <c r="CA273" s="46">
        <f t="shared" si="284"/>
        <v>0</v>
      </c>
      <c r="CB273" s="46">
        <f t="shared" si="257"/>
        <v>0</v>
      </c>
      <c r="CD273" s="46">
        <f>SUMPRODUCT(BZ274:BZ$605, $I274:$I$605) / $I273</f>
        <v>0</v>
      </c>
      <c r="CE273" s="46">
        <f>SUMPRODUCT(CA274:CA$605, $I274:$I$605) / $I273</f>
        <v>0</v>
      </c>
      <c r="CF273" s="46">
        <f>SUMPRODUCT(CB274:CB$605, $I274:$I$605) / $I273</f>
        <v>0</v>
      </c>
      <c r="CH273" s="46">
        <f t="shared" si="258"/>
        <v>0</v>
      </c>
      <c r="CI273" s="46">
        <f t="shared" si="259"/>
        <v>0</v>
      </c>
      <c r="CK273" s="46">
        <f>NPV((1+CK$3)^(1/12)-1,$CB$6:$CB273)+$CB$5</f>
        <v>1409.6963032385702</v>
      </c>
      <c r="CL273" s="46">
        <f>NPV((1+CL$3)^(1/12)-1,$CB$6:$CB273)+$CB$5</f>
        <v>1057.2060036590874</v>
      </c>
      <c r="CM273" s="46">
        <f>NPV((1+CM$3)^(1/12)-1,$CB$6:$CB273)+$CB$5</f>
        <v>462.64886026294084</v>
      </c>
      <c r="CN273" s="46">
        <f>NPV((1+CN$3)^(1/12)-1,$CB$6:$CB273)+$CB$5</f>
        <v>462.64886026294084</v>
      </c>
    </row>
    <row r="274" spans="1:92" x14ac:dyDescent="0.25">
      <c r="A274" s="61">
        <f t="shared" si="242"/>
        <v>22.416666666666618</v>
      </c>
      <c r="B274" s="32">
        <f t="shared" si="260"/>
        <v>5</v>
      </c>
      <c r="C274" s="62">
        <f t="shared" si="261"/>
        <v>23</v>
      </c>
      <c r="D274" s="64">
        <f t="shared" si="262"/>
        <v>22.916666666666618</v>
      </c>
      <c r="E274" s="28">
        <f t="shared" si="243"/>
        <v>22</v>
      </c>
      <c r="G274" s="68">
        <f>INDEX(Others!$D$11:$E$60, MATCH(C274, Others!$A$11:$A$60, 0), MATCH(G$3, Others!$D$10:$E$10, 0))</f>
        <v>4.0690909090908889E-2</v>
      </c>
      <c r="H274" s="16">
        <f t="shared" si="285"/>
        <v>3.329265421250005E-3</v>
      </c>
      <c r="I274" s="69">
        <f t="shared" si="286"/>
        <v>0.40898168666943391</v>
      </c>
      <c r="K274" s="80">
        <f>INDEX(Mortality!$B$7:$F$32, MATCH( E274,Mortality!$A$7:$A$32, 0), MATCH( K$3,Mortality!$B$6:$F$6,0))</f>
        <v>0.46299999999999997</v>
      </c>
      <c r="L274" s="11">
        <f t="shared" si="244"/>
        <v>0</v>
      </c>
      <c r="M274" s="80">
        <f t="shared" si="263"/>
        <v>0.46299999999999997</v>
      </c>
      <c r="N274" s="76" t="e">
        <f>INDEX(Myopia!$H:$H, MATCH(E274, Myopia!$A:$A, 0)) * Trend_Factor^(A274)</f>
        <v>#N/A</v>
      </c>
      <c r="O274" s="11">
        <f t="shared" si="245"/>
        <v>0</v>
      </c>
      <c r="P274" s="80">
        <f t="shared" si="264"/>
        <v>0</v>
      </c>
      <c r="Q274" s="76">
        <f>VLOOKUP(C274,Others!$L$10:$M$61,2)</f>
        <v>0</v>
      </c>
      <c r="R274" s="11">
        <f t="shared" si="246"/>
        <v>0</v>
      </c>
      <c r="S274" s="80">
        <f t="shared" si="265"/>
        <v>0</v>
      </c>
      <c r="T274" s="78">
        <f t="shared" si="266"/>
        <v>3.8583333333333334E-5</v>
      </c>
      <c r="U274" s="81">
        <f t="shared" si="267"/>
        <v>0</v>
      </c>
      <c r="V274" s="81">
        <f t="shared" si="268"/>
        <v>0</v>
      </c>
      <c r="W274" s="77">
        <f t="shared" si="247"/>
        <v>0</v>
      </c>
      <c r="X274" s="82">
        <f t="shared" si="269"/>
        <v>0</v>
      </c>
      <c r="Y274" s="82">
        <f t="shared" si="270"/>
        <v>0</v>
      </c>
      <c r="Z274" s="82">
        <f t="shared" si="271"/>
        <v>0</v>
      </c>
      <c r="AA274" s="82">
        <f t="shared" si="272"/>
        <v>0</v>
      </c>
      <c r="AC274" s="46">
        <f t="shared" si="248"/>
        <v>0</v>
      </c>
      <c r="AD274" s="15">
        <f t="shared" si="249"/>
        <v>0</v>
      </c>
      <c r="AE274" s="46">
        <f t="shared" si="273"/>
        <v>0</v>
      </c>
      <c r="AF274" s="15">
        <f t="shared" si="274"/>
        <v>0</v>
      </c>
      <c r="AG274" s="46">
        <f>SUMPRODUCT(AE275:AE$605, $I274:$I$604) / $I274</f>
        <v>0</v>
      </c>
      <c r="AI274" s="46">
        <f t="shared" si="250"/>
        <v>0</v>
      </c>
      <c r="AJ274" s="46">
        <f>IF(E274&gt;Mat_Year,0,  -SUM($AD$5:AD274))</f>
        <v>0</v>
      </c>
      <c r="AK274" s="24">
        <f t="shared" si="275"/>
        <v>0</v>
      </c>
      <c r="AL274" s="79">
        <f t="shared" si="276"/>
        <v>0</v>
      </c>
      <c r="AM274" s="24">
        <f t="shared" si="277"/>
        <v>0</v>
      </c>
      <c r="AN274" s="79">
        <f t="shared" si="278"/>
        <v>0</v>
      </c>
      <c r="AO274" s="15">
        <f t="shared" si="279"/>
        <v>0</v>
      </c>
      <c r="AP274" s="46">
        <f>SUMPRODUCT(AN275:AN$605, $I275:$I$605) / $I274</f>
        <v>0</v>
      </c>
      <c r="AR274" s="46">
        <v>0</v>
      </c>
      <c r="AS274" s="46">
        <v>0</v>
      </c>
      <c r="AT274" s="46">
        <v>0</v>
      </c>
      <c r="AU274" s="95">
        <f t="shared" si="251"/>
        <v>0</v>
      </c>
      <c r="AV274" s="47">
        <f t="shared" si="252"/>
        <v>0</v>
      </c>
      <c r="AW274" s="96">
        <f t="shared" si="287"/>
        <v>0</v>
      </c>
      <c r="AX274" s="95">
        <f t="shared" si="253"/>
        <v>0</v>
      </c>
      <c r="AY274" s="11">
        <f t="shared" si="254"/>
        <v>0</v>
      </c>
      <c r="AZ274" s="96">
        <f t="shared" si="288"/>
        <v>0</v>
      </c>
      <c r="BA274" s="95">
        <f t="shared" si="289"/>
        <v>0</v>
      </c>
      <c r="BB274" s="64">
        <f t="shared" si="290"/>
        <v>0</v>
      </c>
      <c r="BC274" s="95">
        <f t="shared" si="291"/>
        <v>0</v>
      </c>
      <c r="BD274" s="96">
        <f t="shared" si="292"/>
        <v>0</v>
      </c>
      <c r="BE274" s="96">
        <f t="shared" si="293"/>
        <v>0</v>
      </c>
      <c r="BF274" s="96">
        <f t="shared" si="294"/>
        <v>0</v>
      </c>
      <c r="BG274" s="15">
        <f t="shared" si="280"/>
        <v>0</v>
      </c>
      <c r="BH274" s="46">
        <f>(SUMPRODUCT(BE275:BE$605,$I274:$I$604)+SUMPRODUCT(BF275:BF$605,$I275:$I$605)) / $I274</f>
        <v>0</v>
      </c>
      <c r="BJ274" s="46">
        <f t="shared" si="238"/>
        <v>0</v>
      </c>
      <c r="BK274" s="46">
        <f t="shared" si="239"/>
        <v>0</v>
      </c>
      <c r="BM274" s="49">
        <f t="shared" si="281"/>
        <v>0</v>
      </c>
      <c r="BN274" s="46">
        <f t="shared" si="240"/>
        <v>0</v>
      </c>
      <c r="BP274" s="46">
        <f>Reserve!BX274</f>
        <v>0</v>
      </c>
      <c r="BQ274" s="46">
        <f t="shared" si="255"/>
        <v>0</v>
      </c>
      <c r="BR274" s="15">
        <f t="shared" si="282"/>
        <v>0</v>
      </c>
      <c r="BT274" s="49">
        <f t="shared" si="283"/>
        <v>0</v>
      </c>
      <c r="BU274" s="46">
        <f t="shared" si="256"/>
        <v>0</v>
      </c>
      <c r="BV274" s="46">
        <f>SUMPRODUCT(BU275:BU$605, $I275:$I$605) / $I274</f>
        <v>0</v>
      </c>
      <c r="BX274" s="46">
        <f>-BZ274*Others!$Q$43</f>
        <v>0</v>
      </c>
      <c r="BZ274" s="50">
        <f t="shared" si="241"/>
        <v>0</v>
      </c>
      <c r="CA274" s="46">
        <f t="shared" si="284"/>
        <v>0</v>
      </c>
      <c r="CB274" s="46">
        <f t="shared" si="257"/>
        <v>0</v>
      </c>
      <c r="CD274" s="46">
        <f>SUMPRODUCT(BZ275:BZ$605, $I275:$I$605) / $I274</f>
        <v>0</v>
      </c>
      <c r="CE274" s="46">
        <f>SUMPRODUCT(CA275:CA$605, $I275:$I$605) / $I274</f>
        <v>0</v>
      </c>
      <c r="CF274" s="46">
        <f>SUMPRODUCT(CB275:CB$605, $I275:$I$605) / $I274</f>
        <v>0</v>
      </c>
      <c r="CH274" s="46">
        <f t="shared" si="258"/>
        <v>0</v>
      </c>
      <c r="CI274" s="46">
        <f t="shared" si="259"/>
        <v>0</v>
      </c>
      <c r="CK274" s="46">
        <f>NPV((1+CK$3)^(1/12)-1,$CB$6:$CB274)+$CB$5</f>
        <v>1409.6963032385702</v>
      </c>
      <c r="CL274" s="46">
        <f>NPV((1+CL$3)^(1/12)-1,$CB$6:$CB274)+$CB$5</f>
        <v>1057.2060036590874</v>
      </c>
      <c r="CM274" s="46">
        <f>NPV((1+CM$3)^(1/12)-1,$CB$6:$CB274)+$CB$5</f>
        <v>462.64886026294084</v>
      </c>
      <c r="CN274" s="46">
        <f>NPV((1+CN$3)^(1/12)-1,$CB$6:$CB274)+$CB$5</f>
        <v>462.64886026294084</v>
      </c>
    </row>
    <row r="275" spans="1:92" x14ac:dyDescent="0.25">
      <c r="A275" s="61">
        <f t="shared" si="242"/>
        <v>22.49999999999995</v>
      </c>
      <c r="B275" s="32">
        <f t="shared" si="260"/>
        <v>6</v>
      </c>
      <c r="C275" s="62">
        <f t="shared" si="261"/>
        <v>23</v>
      </c>
      <c r="D275" s="64">
        <f t="shared" si="262"/>
        <v>22.99999999999995</v>
      </c>
      <c r="E275" s="28">
        <f t="shared" si="243"/>
        <v>23</v>
      </c>
      <c r="G275" s="68">
        <f>INDEX(Others!$D$11:$E$60, MATCH(C275, Others!$A$11:$A$60, 0), MATCH(G$3, Others!$D$10:$E$10, 0))</f>
        <v>4.0690909090908889E-2</v>
      </c>
      <c r="H275" s="16">
        <f t="shared" si="285"/>
        <v>3.329265421250005E-3</v>
      </c>
      <c r="I275" s="69">
        <f t="shared" si="286"/>
        <v>0.40762459619646602</v>
      </c>
      <c r="K275" s="80" t="e">
        <f>INDEX(Mortality!$B$7:$F$32, MATCH( E275,Mortality!$A$7:$A$32, 0), MATCH( K$3,Mortality!$B$6:$F$6,0))</f>
        <v>#N/A</v>
      </c>
      <c r="L275" s="11">
        <f t="shared" si="244"/>
        <v>0</v>
      </c>
      <c r="M275" s="80">
        <f t="shared" si="263"/>
        <v>0</v>
      </c>
      <c r="N275" s="76" t="e">
        <f>INDEX(Myopia!$H:$H, MATCH(E275, Myopia!$A:$A, 0)) * Trend_Factor^(A275)</f>
        <v>#N/A</v>
      </c>
      <c r="O275" s="11">
        <f t="shared" si="245"/>
        <v>0</v>
      </c>
      <c r="P275" s="80">
        <f t="shared" si="264"/>
        <v>0</v>
      </c>
      <c r="Q275" s="76">
        <f>VLOOKUP(C275,Others!$L$10:$M$61,2)</f>
        <v>0</v>
      </c>
      <c r="R275" s="11">
        <f t="shared" si="246"/>
        <v>0</v>
      </c>
      <c r="S275" s="80">
        <f t="shared" si="265"/>
        <v>0</v>
      </c>
      <c r="T275" s="78">
        <f t="shared" si="266"/>
        <v>0</v>
      </c>
      <c r="U275" s="81">
        <f t="shared" si="267"/>
        <v>0</v>
      </c>
      <c r="V275" s="81">
        <f t="shared" si="268"/>
        <v>0</v>
      </c>
      <c r="W275" s="77">
        <f t="shared" si="247"/>
        <v>0</v>
      </c>
      <c r="X275" s="82">
        <f t="shared" si="269"/>
        <v>0</v>
      </c>
      <c r="Y275" s="82">
        <f t="shared" si="270"/>
        <v>0</v>
      </c>
      <c r="Z275" s="82">
        <f t="shared" si="271"/>
        <v>0</v>
      </c>
      <c r="AA275" s="82">
        <f t="shared" si="272"/>
        <v>0</v>
      </c>
      <c r="AC275" s="46">
        <f t="shared" si="248"/>
        <v>0</v>
      </c>
      <c r="AD275" s="15">
        <f t="shared" si="249"/>
        <v>0</v>
      </c>
      <c r="AE275" s="46">
        <f t="shared" si="273"/>
        <v>0</v>
      </c>
      <c r="AF275" s="15">
        <f t="shared" si="274"/>
        <v>0</v>
      </c>
      <c r="AG275" s="46">
        <f>SUMPRODUCT(AE276:AE$605, $I275:$I$604) / $I275</f>
        <v>0</v>
      </c>
      <c r="AI275" s="46">
        <f t="shared" si="250"/>
        <v>0</v>
      </c>
      <c r="AJ275" s="46">
        <f>IF(E275&gt;Mat_Year,0,  -SUM($AD$5:AD275))</f>
        <v>0</v>
      </c>
      <c r="AK275" s="24">
        <f t="shared" si="275"/>
        <v>0</v>
      </c>
      <c r="AL275" s="79">
        <f t="shared" si="276"/>
        <v>0</v>
      </c>
      <c r="AM275" s="24">
        <f t="shared" si="277"/>
        <v>0</v>
      </c>
      <c r="AN275" s="79">
        <f t="shared" si="278"/>
        <v>0</v>
      </c>
      <c r="AO275" s="15">
        <f t="shared" si="279"/>
        <v>0</v>
      </c>
      <c r="AP275" s="46">
        <f>SUMPRODUCT(AN276:AN$605, $I276:$I$605) / $I275</f>
        <v>0</v>
      </c>
      <c r="AR275" s="46">
        <v>0</v>
      </c>
      <c r="AS275" s="46">
        <v>0</v>
      </c>
      <c r="AT275" s="46">
        <v>0</v>
      </c>
      <c r="AU275" s="95">
        <f t="shared" si="251"/>
        <v>0</v>
      </c>
      <c r="AV275" s="47">
        <f t="shared" si="252"/>
        <v>0</v>
      </c>
      <c r="AW275" s="96">
        <f t="shared" si="287"/>
        <v>0</v>
      </c>
      <c r="AX275" s="95">
        <f t="shared" si="253"/>
        <v>0</v>
      </c>
      <c r="AY275" s="11">
        <f t="shared" si="254"/>
        <v>0</v>
      </c>
      <c r="AZ275" s="96">
        <f t="shared" si="288"/>
        <v>0</v>
      </c>
      <c r="BA275" s="95">
        <f t="shared" si="289"/>
        <v>0</v>
      </c>
      <c r="BB275" s="64">
        <f t="shared" si="290"/>
        <v>0</v>
      </c>
      <c r="BC275" s="95">
        <f t="shared" si="291"/>
        <v>0</v>
      </c>
      <c r="BD275" s="96">
        <f t="shared" si="292"/>
        <v>0</v>
      </c>
      <c r="BE275" s="96">
        <f t="shared" si="293"/>
        <v>0</v>
      </c>
      <c r="BF275" s="96">
        <f t="shared" si="294"/>
        <v>0</v>
      </c>
      <c r="BG275" s="15">
        <f t="shared" si="280"/>
        <v>0</v>
      </c>
      <c r="BH275" s="46">
        <f>(SUMPRODUCT(BE276:BE$605,$I275:$I$604)+SUMPRODUCT(BF276:BF$605,$I276:$I$605)) / $I275</f>
        <v>0</v>
      </c>
      <c r="BJ275" s="46">
        <f t="shared" si="238"/>
        <v>0</v>
      </c>
      <c r="BK275" s="46">
        <f t="shared" si="239"/>
        <v>0</v>
      </c>
      <c r="BM275" s="49">
        <f t="shared" si="281"/>
        <v>0</v>
      </c>
      <c r="BN275" s="46">
        <f t="shared" si="240"/>
        <v>0</v>
      </c>
      <c r="BP275" s="46">
        <f>Reserve!BX275</f>
        <v>0</v>
      </c>
      <c r="BQ275" s="46">
        <f t="shared" si="255"/>
        <v>0</v>
      </c>
      <c r="BR275" s="15">
        <f t="shared" si="282"/>
        <v>0</v>
      </c>
      <c r="BT275" s="49">
        <f t="shared" si="283"/>
        <v>0</v>
      </c>
      <c r="BU275" s="46">
        <f t="shared" si="256"/>
        <v>0</v>
      </c>
      <c r="BV275" s="46">
        <f>SUMPRODUCT(BU276:BU$605, $I276:$I$605) / $I275</f>
        <v>0</v>
      </c>
      <c r="BX275" s="46">
        <f>-BZ275*Others!$Q$43</f>
        <v>0</v>
      </c>
      <c r="BZ275" s="50">
        <f t="shared" si="241"/>
        <v>0</v>
      </c>
      <c r="CA275" s="46">
        <f t="shared" si="284"/>
        <v>0</v>
      </c>
      <c r="CB275" s="46">
        <f t="shared" si="257"/>
        <v>0</v>
      </c>
      <c r="CD275" s="46">
        <f>SUMPRODUCT(BZ276:BZ$605, $I276:$I$605) / $I275</f>
        <v>0</v>
      </c>
      <c r="CE275" s="46">
        <f>SUMPRODUCT(CA276:CA$605, $I276:$I$605) / $I275</f>
        <v>0</v>
      </c>
      <c r="CF275" s="46">
        <f>SUMPRODUCT(CB276:CB$605, $I276:$I$605) / $I275</f>
        <v>0</v>
      </c>
      <c r="CH275" s="46">
        <f t="shared" si="258"/>
        <v>0</v>
      </c>
      <c r="CI275" s="46">
        <f t="shared" si="259"/>
        <v>0</v>
      </c>
      <c r="CK275" s="46">
        <f>NPV((1+CK$3)^(1/12)-1,$CB$6:$CB275)+$CB$5</f>
        <v>1409.6963032385702</v>
      </c>
      <c r="CL275" s="46">
        <f>NPV((1+CL$3)^(1/12)-1,$CB$6:$CB275)+$CB$5</f>
        <v>1057.2060036590874</v>
      </c>
      <c r="CM275" s="46">
        <f>NPV((1+CM$3)^(1/12)-1,$CB$6:$CB275)+$CB$5</f>
        <v>462.64886026294084</v>
      </c>
      <c r="CN275" s="46">
        <f>NPV((1+CN$3)^(1/12)-1,$CB$6:$CB275)+$CB$5</f>
        <v>462.64886026294084</v>
      </c>
    </row>
    <row r="276" spans="1:92" x14ac:dyDescent="0.25">
      <c r="A276" s="61">
        <f t="shared" si="242"/>
        <v>22.583333333333282</v>
      </c>
      <c r="B276" s="32">
        <f t="shared" si="260"/>
        <v>7</v>
      </c>
      <c r="C276" s="62">
        <f t="shared" si="261"/>
        <v>23</v>
      </c>
      <c r="D276" s="64">
        <f t="shared" si="262"/>
        <v>23.083333333333282</v>
      </c>
      <c r="E276" s="28">
        <f t="shared" si="243"/>
        <v>23</v>
      </c>
      <c r="G276" s="68">
        <f>INDEX(Others!$D$11:$E$60, MATCH(C276, Others!$A$11:$A$60, 0), MATCH(G$3, Others!$D$10:$E$10, 0))</f>
        <v>4.0690909090908889E-2</v>
      </c>
      <c r="H276" s="16">
        <f t="shared" si="285"/>
        <v>3.329265421250005E-3</v>
      </c>
      <c r="I276" s="69">
        <f t="shared" si="286"/>
        <v>0.40627200884579395</v>
      </c>
      <c r="K276" s="80" t="e">
        <f>INDEX(Mortality!$B$7:$F$32, MATCH( E276,Mortality!$A$7:$A$32, 0), MATCH( K$3,Mortality!$B$6:$F$6,0))</f>
        <v>#N/A</v>
      </c>
      <c r="L276" s="11">
        <f t="shared" si="244"/>
        <v>0</v>
      </c>
      <c r="M276" s="80">
        <f t="shared" si="263"/>
        <v>0</v>
      </c>
      <c r="N276" s="76" t="e">
        <f>INDEX(Myopia!$H:$H, MATCH(E276, Myopia!$A:$A, 0)) * Trend_Factor^(A276)</f>
        <v>#N/A</v>
      </c>
      <c r="O276" s="11">
        <f t="shared" si="245"/>
        <v>0</v>
      </c>
      <c r="P276" s="80">
        <f t="shared" si="264"/>
        <v>0</v>
      </c>
      <c r="Q276" s="76">
        <f>VLOOKUP(C276,Others!$L$10:$M$61,2)</f>
        <v>0</v>
      </c>
      <c r="R276" s="11">
        <f t="shared" si="246"/>
        <v>0</v>
      </c>
      <c r="S276" s="80">
        <f t="shared" si="265"/>
        <v>0</v>
      </c>
      <c r="T276" s="78">
        <f t="shared" si="266"/>
        <v>0</v>
      </c>
      <c r="U276" s="81">
        <f t="shared" si="267"/>
        <v>0</v>
      </c>
      <c r="V276" s="81">
        <f t="shared" si="268"/>
        <v>0</v>
      </c>
      <c r="W276" s="77">
        <f t="shared" si="247"/>
        <v>0</v>
      </c>
      <c r="X276" s="82">
        <f t="shared" si="269"/>
        <v>0</v>
      </c>
      <c r="Y276" s="82">
        <f t="shared" si="270"/>
        <v>0</v>
      </c>
      <c r="Z276" s="82">
        <f t="shared" si="271"/>
        <v>0</v>
      </c>
      <c r="AA276" s="82">
        <f t="shared" si="272"/>
        <v>0</v>
      </c>
      <c r="AC276" s="46">
        <f t="shared" si="248"/>
        <v>0</v>
      </c>
      <c r="AD276" s="15">
        <f t="shared" si="249"/>
        <v>0</v>
      </c>
      <c r="AE276" s="46">
        <f t="shared" si="273"/>
        <v>0</v>
      </c>
      <c r="AF276" s="15">
        <f t="shared" si="274"/>
        <v>0</v>
      </c>
      <c r="AG276" s="46">
        <f>SUMPRODUCT(AE277:AE$605, $I276:$I$604) / $I276</f>
        <v>0</v>
      </c>
      <c r="AI276" s="46">
        <f t="shared" si="250"/>
        <v>0</v>
      </c>
      <c r="AJ276" s="46">
        <f>IF(E276&gt;Mat_Year,0,  -SUM($AD$5:AD276))</f>
        <v>0</v>
      </c>
      <c r="AK276" s="24">
        <f t="shared" si="275"/>
        <v>0</v>
      </c>
      <c r="AL276" s="79">
        <f t="shared" si="276"/>
        <v>0</v>
      </c>
      <c r="AM276" s="24">
        <f t="shared" si="277"/>
        <v>0</v>
      </c>
      <c r="AN276" s="79">
        <f t="shared" si="278"/>
        <v>0</v>
      </c>
      <c r="AO276" s="15">
        <f t="shared" si="279"/>
        <v>0</v>
      </c>
      <c r="AP276" s="46">
        <f>SUMPRODUCT(AN277:AN$605, $I277:$I$605) / $I276</f>
        <v>0</v>
      </c>
      <c r="AR276" s="46">
        <v>0</v>
      </c>
      <c r="AS276" s="46">
        <v>0</v>
      </c>
      <c r="AT276" s="46">
        <v>0</v>
      </c>
      <c r="AU276" s="95">
        <f t="shared" si="251"/>
        <v>0</v>
      </c>
      <c r="AV276" s="47">
        <f t="shared" si="252"/>
        <v>0</v>
      </c>
      <c r="AW276" s="96">
        <f t="shared" si="287"/>
        <v>0</v>
      </c>
      <c r="AX276" s="95">
        <f t="shared" si="253"/>
        <v>0</v>
      </c>
      <c r="AY276" s="11">
        <f t="shared" si="254"/>
        <v>0</v>
      </c>
      <c r="AZ276" s="96">
        <f t="shared" si="288"/>
        <v>0</v>
      </c>
      <c r="BA276" s="95">
        <f t="shared" si="289"/>
        <v>0</v>
      </c>
      <c r="BB276" s="64">
        <f t="shared" si="290"/>
        <v>0</v>
      </c>
      <c r="BC276" s="95">
        <f t="shared" si="291"/>
        <v>0</v>
      </c>
      <c r="BD276" s="96">
        <f t="shared" si="292"/>
        <v>0</v>
      </c>
      <c r="BE276" s="96">
        <f t="shared" si="293"/>
        <v>0</v>
      </c>
      <c r="BF276" s="96">
        <f t="shared" si="294"/>
        <v>0</v>
      </c>
      <c r="BG276" s="15">
        <f t="shared" si="280"/>
        <v>0</v>
      </c>
      <c r="BH276" s="46">
        <f>(SUMPRODUCT(BE277:BE$605,$I276:$I$604)+SUMPRODUCT(BF277:BF$605,$I277:$I$605)) / $I276</f>
        <v>0</v>
      </c>
      <c r="BJ276" s="46">
        <f t="shared" si="238"/>
        <v>0</v>
      </c>
      <c r="BK276" s="46">
        <f t="shared" si="239"/>
        <v>0</v>
      </c>
      <c r="BM276" s="49">
        <f t="shared" si="281"/>
        <v>0</v>
      </c>
      <c r="BN276" s="46">
        <f t="shared" si="240"/>
        <v>0</v>
      </c>
      <c r="BP276" s="46">
        <f>Reserve!BX276</f>
        <v>0</v>
      </c>
      <c r="BQ276" s="46">
        <f t="shared" si="255"/>
        <v>0</v>
      </c>
      <c r="BR276" s="15">
        <f t="shared" si="282"/>
        <v>0</v>
      </c>
      <c r="BT276" s="49">
        <f t="shared" si="283"/>
        <v>0</v>
      </c>
      <c r="BU276" s="46">
        <f t="shared" si="256"/>
        <v>0</v>
      </c>
      <c r="BV276" s="46">
        <f>SUMPRODUCT(BU277:BU$605, $I277:$I$605) / $I276</f>
        <v>0</v>
      </c>
      <c r="BX276" s="46">
        <f>-BZ276*Others!$Q$43</f>
        <v>0</v>
      </c>
      <c r="BZ276" s="50">
        <f t="shared" si="241"/>
        <v>0</v>
      </c>
      <c r="CA276" s="46">
        <f t="shared" si="284"/>
        <v>0</v>
      </c>
      <c r="CB276" s="46">
        <f t="shared" si="257"/>
        <v>0</v>
      </c>
      <c r="CD276" s="46">
        <f>SUMPRODUCT(BZ277:BZ$605, $I277:$I$605) / $I276</f>
        <v>0</v>
      </c>
      <c r="CE276" s="46">
        <f>SUMPRODUCT(CA277:CA$605, $I277:$I$605) / $I276</f>
        <v>0</v>
      </c>
      <c r="CF276" s="46">
        <f>SUMPRODUCT(CB277:CB$605, $I277:$I$605) / $I276</f>
        <v>0</v>
      </c>
      <c r="CH276" s="46">
        <f t="shared" si="258"/>
        <v>0</v>
      </c>
      <c r="CI276" s="46">
        <f t="shared" si="259"/>
        <v>0</v>
      </c>
      <c r="CK276" s="46">
        <f>NPV((1+CK$3)^(1/12)-1,$CB$6:$CB276)+$CB$5</f>
        <v>1409.6963032385702</v>
      </c>
      <c r="CL276" s="46">
        <f>NPV((1+CL$3)^(1/12)-1,$CB$6:$CB276)+$CB$5</f>
        <v>1057.2060036590874</v>
      </c>
      <c r="CM276" s="46">
        <f>NPV((1+CM$3)^(1/12)-1,$CB$6:$CB276)+$CB$5</f>
        <v>462.64886026294084</v>
      </c>
      <c r="CN276" s="46">
        <f>NPV((1+CN$3)^(1/12)-1,$CB$6:$CB276)+$CB$5</f>
        <v>462.64886026294084</v>
      </c>
    </row>
    <row r="277" spans="1:92" x14ac:dyDescent="0.25">
      <c r="A277" s="61">
        <f t="shared" si="242"/>
        <v>22.666666666666615</v>
      </c>
      <c r="B277" s="32">
        <f t="shared" si="260"/>
        <v>8</v>
      </c>
      <c r="C277" s="62">
        <f t="shared" si="261"/>
        <v>23</v>
      </c>
      <c r="D277" s="64">
        <f t="shared" si="262"/>
        <v>23.166666666666615</v>
      </c>
      <c r="E277" s="28">
        <f t="shared" si="243"/>
        <v>23</v>
      </c>
      <c r="G277" s="68">
        <f>INDEX(Others!$D$11:$E$60, MATCH(C277, Others!$A$11:$A$60, 0), MATCH(G$3, Others!$D$10:$E$10, 0))</f>
        <v>4.0690909090908889E-2</v>
      </c>
      <c r="H277" s="16">
        <f t="shared" si="285"/>
        <v>3.329265421250005E-3</v>
      </c>
      <c r="I277" s="69">
        <f t="shared" si="286"/>
        <v>0.40492390967507536</v>
      </c>
      <c r="K277" s="80" t="e">
        <f>INDEX(Mortality!$B$7:$F$32, MATCH( E277,Mortality!$A$7:$A$32, 0), MATCH( K$3,Mortality!$B$6:$F$6,0))</f>
        <v>#N/A</v>
      </c>
      <c r="L277" s="11">
        <f t="shared" si="244"/>
        <v>0</v>
      </c>
      <c r="M277" s="80">
        <f t="shared" si="263"/>
        <v>0</v>
      </c>
      <c r="N277" s="76" t="e">
        <f>INDEX(Myopia!$H:$H, MATCH(E277, Myopia!$A:$A, 0)) * Trend_Factor^(A277)</f>
        <v>#N/A</v>
      </c>
      <c r="O277" s="11">
        <f t="shared" si="245"/>
        <v>0</v>
      </c>
      <c r="P277" s="80">
        <f t="shared" si="264"/>
        <v>0</v>
      </c>
      <c r="Q277" s="76">
        <f>VLOOKUP(C277,Others!$L$10:$M$61,2)</f>
        <v>0</v>
      </c>
      <c r="R277" s="11">
        <f t="shared" si="246"/>
        <v>0</v>
      </c>
      <c r="S277" s="80">
        <f t="shared" si="265"/>
        <v>0</v>
      </c>
      <c r="T277" s="78">
        <f t="shared" si="266"/>
        <v>0</v>
      </c>
      <c r="U277" s="81">
        <f t="shared" si="267"/>
        <v>0</v>
      </c>
      <c r="V277" s="81">
        <f t="shared" si="268"/>
        <v>0</v>
      </c>
      <c r="W277" s="77">
        <f t="shared" si="247"/>
        <v>0</v>
      </c>
      <c r="X277" s="82">
        <f t="shared" si="269"/>
        <v>0</v>
      </c>
      <c r="Y277" s="82">
        <f t="shared" si="270"/>
        <v>0</v>
      </c>
      <c r="Z277" s="82">
        <f t="shared" si="271"/>
        <v>0</v>
      </c>
      <c r="AA277" s="82">
        <f t="shared" si="272"/>
        <v>0</v>
      </c>
      <c r="AC277" s="46">
        <f t="shared" si="248"/>
        <v>0</v>
      </c>
      <c r="AD277" s="15">
        <f t="shared" si="249"/>
        <v>0</v>
      </c>
      <c r="AE277" s="46">
        <f t="shared" si="273"/>
        <v>0</v>
      </c>
      <c r="AF277" s="15">
        <f t="shared" si="274"/>
        <v>0</v>
      </c>
      <c r="AG277" s="46">
        <f>SUMPRODUCT(AE278:AE$605, $I277:$I$604) / $I277</f>
        <v>0</v>
      </c>
      <c r="AI277" s="46">
        <f t="shared" si="250"/>
        <v>0</v>
      </c>
      <c r="AJ277" s="46">
        <f>IF(E277&gt;Mat_Year,0,  -SUM($AD$5:AD277))</f>
        <v>0</v>
      </c>
      <c r="AK277" s="24">
        <f t="shared" si="275"/>
        <v>0</v>
      </c>
      <c r="AL277" s="79">
        <f t="shared" si="276"/>
        <v>0</v>
      </c>
      <c r="AM277" s="24">
        <f t="shared" si="277"/>
        <v>0</v>
      </c>
      <c r="AN277" s="79">
        <f t="shared" si="278"/>
        <v>0</v>
      </c>
      <c r="AO277" s="15">
        <f t="shared" si="279"/>
        <v>0</v>
      </c>
      <c r="AP277" s="46">
        <f>SUMPRODUCT(AN278:AN$605, $I278:$I$605) / $I277</f>
        <v>0</v>
      </c>
      <c r="AR277" s="46">
        <v>0</v>
      </c>
      <c r="AS277" s="46">
        <v>0</v>
      </c>
      <c r="AT277" s="46">
        <v>0</v>
      </c>
      <c r="AU277" s="95">
        <f t="shared" si="251"/>
        <v>0</v>
      </c>
      <c r="AV277" s="47">
        <f t="shared" si="252"/>
        <v>0</v>
      </c>
      <c r="AW277" s="96">
        <f t="shared" si="287"/>
        <v>0</v>
      </c>
      <c r="AX277" s="95">
        <f t="shared" si="253"/>
        <v>0</v>
      </c>
      <c r="AY277" s="11">
        <f t="shared" si="254"/>
        <v>0</v>
      </c>
      <c r="AZ277" s="96">
        <f t="shared" si="288"/>
        <v>0</v>
      </c>
      <c r="BA277" s="95">
        <f t="shared" si="289"/>
        <v>0</v>
      </c>
      <c r="BB277" s="64">
        <f t="shared" si="290"/>
        <v>0</v>
      </c>
      <c r="BC277" s="95">
        <f t="shared" si="291"/>
        <v>0</v>
      </c>
      <c r="BD277" s="96">
        <f t="shared" si="292"/>
        <v>0</v>
      </c>
      <c r="BE277" s="96">
        <f t="shared" si="293"/>
        <v>0</v>
      </c>
      <c r="BF277" s="96">
        <f t="shared" si="294"/>
        <v>0</v>
      </c>
      <c r="BG277" s="15">
        <f t="shared" si="280"/>
        <v>0</v>
      </c>
      <c r="BH277" s="46">
        <f>(SUMPRODUCT(BE278:BE$605,$I277:$I$604)+SUMPRODUCT(BF278:BF$605,$I278:$I$605)) / $I277</f>
        <v>0</v>
      </c>
      <c r="BJ277" s="46">
        <f t="shared" si="238"/>
        <v>0</v>
      </c>
      <c r="BK277" s="46">
        <f t="shared" si="239"/>
        <v>0</v>
      </c>
      <c r="BM277" s="49">
        <f t="shared" si="281"/>
        <v>0</v>
      </c>
      <c r="BN277" s="46">
        <f t="shared" si="240"/>
        <v>0</v>
      </c>
      <c r="BP277" s="46">
        <f>Reserve!BX277</f>
        <v>0</v>
      </c>
      <c r="BQ277" s="46">
        <f t="shared" si="255"/>
        <v>0</v>
      </c>
      <c r="BR277" s="15">
        <f t="shared" si="282"/>
        <v>0</v>
      </c>
      <c r="BT277" s="49">
        <f t="shared" si="283"/>
        <v>0</v>
      </c>
      <c r="BU277" s="46">
        <f t="shared" si="256"/>
        <v>0</v>
      </c>
      <c r="BV277" s="46">
        <f>SUMPRODUCT(BU278:BU$605, $I278:$I$605) / $I277</f>
        <v>0</v>
      </c>
      <c r="BX277" s="46">
        <f>-BZ277*Others!$Q$43</f>
        <v>0</v>
      </c>
      <c r="BZ277" s="50">
        <f t="shared" si="241"/>
        <v>0</v>
      </c>
      <c r="CA277" s="46">
        <f t="shared" si="284"/>
        <v>0</v>
      </c>
      <c r="CB277" s="46">
        <f t="shared" si="257"/>
        <v>0</v>
      </c>
      <c r="CD277" s="46">
        <f>SUMPRODUCT(BZ278:BZ$605, $I278:$I$605) / $I277</f>
        <v>0</v>
      </c>
      <c r="CE277" s="46">
        <f>SUMPRODUCT(CA278:CA$605, $I278:$I$605) / $I277</f>
        <v>0</v>
      </c>
      <c r="CF277" s="46">
        <f>SUMPRODUCT(CB278:CB$605, $I278:$I$605) / $I277</f>
        <v>0</v>
      </c>
      <c r="CH277" s="46">
        <f t="shared" si="258"/>
        <v>0</v>
      </c>
      <c r="CI277" s="46">
        <f t="shared" si="259"/>
        <v>0</v>
      </c>
      <c r="CK277" s="46">
        <f>NPV((1+CK$3)^(1/12)-1,$CB$6:$CB277)+$CB$5</f>
        <v>1409.6963032385702</v>
      </c>
      <c r="CL277" s="46">
        <f>NPV((1+CL$3)^(1/12)-1,$CB$6:$CB277)+$CB$5</f>
        <v>1057.2060036590874</v>
      </c>
      <c r="CM277" s="46">
        <f>NPV((1+CM$3)^(1/12)-1,$CB$6:$CB277)+$CB$5</f>
        <v>462.64886026294084</v>
      </c>
      <c r="CN277" s="46">
        <f>NPV((1+CN$3)^(1/12)-1,$CB$6:$CB277)+$CB$5</f>
        <v>462.64886026294084</v>
      </c>
    </row>
    <row r="278" spans="1:92" x14ac:dyDescent="0.25">
      <c r="A278" s="61">
        <f t="shared" si="242"/>
        <v>22.749999999999947</v>
      </c>
      <c r="B278" s="32">
        <f t="shared" si="260"/>
        <v>9</v>
      </c>
      <c r="C278" s="62">
        <f t="shared" si="261"/>
        <v>23</v>
      </c>
      <c r="D278" s="64">
        <f t="shared" si="262"/>
        <v>23.249999999999947</v>
      </c>
      <c r="E278" s="28">
        <f t="shared" si="243"/>
        <v>23</v>
      </c>
      <c r="G278" s="68">
        <f>INDEX(Others!$D$11:$E$60, MATCH(C278, Others!$A$11:$A$60, 0), MATCH(G$3, Others!$D$10:$E$10, 0))</f>
        <v>4.0690909090908889E-2</v>
      </c>
      <c r="H278" s="16">
        <f t="shared" si="285"/>
        <v>3.329265421250005E-3</v>
      </c>
      <c r="I278" s="69">
        <f t="shared" si="286"/>
        <v>0.40358028379154987</v>
      </c>
      <c r="K278" s="80" t="e">
        <f>INDEX(Mortality!$B$7:$F$32, MATCH( E278,Mortality!$A$7:$A$32, 0), MATCH( K$3,Mortality!$B$6:$F$6,0))</f>
        <v>#N/A</v>
      </c>
      <c r="L278" s="11">
        <f t="shared" si="244"/>
        <v>0</v>
      </c>
      <c r="M278" s="80">
        <f t="shared" si="263"/>
        <v>0</v>
      </c>
      <c r="N278" s="76" t="e">
        <f>INDEX(Myopia!$H:$H, MATCH(E278, Myopia!$A:$A, 0)) * Trend_Factor^(A278)</f>
        <v>#N/A</v>
      </c>
      <c r="O278" s="11">
        <f t="shared" si="245"/>
        <v>0</v>
      </c>
      <c r="P278" s="80">
        <f t="shared" si="264"/>
        <v>0</v>
      </c>
      <c r="Q278" s="76">
        <f>VLOOKUP(C278,Others!$L$10:$M$61,2)</f>
        <v>0</v>
      </c>
      <c r="R278" s="11">
        <f t="shared" si="246"/>
        <v>0</v>
      </c>
      <c r="S278" s="80">
        <f t="shared" si="265"/>
        <v>0</v>
      </c>
      <c r="T278" s="78">
        <f t="shared" si="266"/>
        <v>0</v>
      </c>
      <c r="U278" s="81">
        <f t="shared" si="267"/>
        <v>0</v>
      </c>
      <c r="V278" s="81">
        <f t="shared" si="268"/>
        <v>0</v>
      </c>
      <c r="W278" s="77">
        <f t="shared" si="247"/>
        <v>0</v>
      </c>
      <c r="X278" s="82">
        <f t="shared" si="269"/>
        <v>0</v>
      </c>
      <c r="Y278" s="82">
        <f t="shared" si="270"/>
        <v>0</v>
      </c>
      <c r="Z278" s="82">
        <f t="shared" si="271"/>
        <v>0</v>
      </c>
      <c r="AA278" s="82">
        <f t="shared" si="272"/>
        <v>0</v>
      </c>
      <c r="AC278" s="46">
        <f t="shared" si="248"/>
        <v>0</v>
      </c>
      <c r="AD278" s="15">
        <f t="shared" si="249"/>
        <v>0</v>
      </c>
      <c r="AE278" s="46">
        <f t="shared" si="273"/>
        <v>0</v>
      </c>
      <c r="AF278" s="15">
        <f t="shared" si="274"/>
        <v>0</v>
      </c>
      <c r="AG278" s="46">
        <f>SUMPRODUCT(AE279:AE$605, $I278:$I$604) / $I278</f>
        <v>0</v>
      </c>
      <c r="AI278" s="46">
        <f t="shared" si="250"/>
        <v>0</v>
      </c>
      <c r="AJ278" s="46">
        <f>IF(E278&gt;Mat_Year,0,  -SUM($AD$5:AD278))</f>
        <v>0</v>
      </c>
      <c r="AK278" s="24">
        <f t="shared" si="275"/>
        <v>0</v>
      </c>
      <c r="AL278" s="79">
        <f t="shared" si="276"/>
        <v>0</v>
      </c>
      <c r="AM278" s="24">
        <f t="shared" si="277"/>
        <v>0</v>
      </c>
      <c r="AN278" s="79">
        <f t="shared" si="278"/>
        <v>0</v>
      </c>
      <c r="AO278" s="15">
        <f t="shared" si="279"/>
        <v>0</v>
      </c>
      <c r="AP278" s="46">
        <f>SUMPRODUCT(AN279:AN$605, $I279:$I$605) / $I278</f>
        <v>0</v>
      </c>
      <c r="AR278" s="46">
        <v>0</v>
      </c>
      <c r="AS278" s="46">
        <v>0</v>
      </c>
      <c r="AT278" s="46">
        <v>0</v>
      </c>
      <c r="AU278" s="95">
        <f t="shared" si="251"/>
        <v>0</v>
      </c>
      <c r="AV278" s="47">
        <f t="shared" si="252"/>
        <v>0</v>
      </c>
      <c r="AW278" s="96">
        <f t="shared" si="287"/>
        <v>0</v>
      </c>
      <c r="AX278" s="95">
        <f t="shared" si="253"/>
        <v>0</v>
      </c>
      <c r="AY278" s="11">
        <f t="shared" si="254"/>
        <v>0</v>
      </c>
      <c r="AZ278" s="96">
        <f t="shared" si="288"/>
        <v>0</v>
      </c>
      <c r="BA278" s="95">
        <f t="shared" si="289"/>
        <v>0</v>
      </c>
      <c r="BB278" s="64">
        <f t="shared" si="290"/>
        <v>0</v>
      </c>
      <c r="BC278" s="95">
        <f t="shared" si="291"/>
        <v>0</v>
      </c>
      <c r="BD278" s="96">
        <f t="shared" si="292"/>
        <v>0</v>
      </c>
      <c r="BE278" s="96">
        <f t="shared" si="293"/>
        <v>0</v>
      </c>
      <c r="BF278" s="96">
        <f t="shared" si="294"/>
        <v>0</v>
      </c>
      <c r="BG278" s="15">
        <f t="shared" si="280"/>
        <v>0</v>
      </c>
      <c r="BH278" s="46">
        <f>(SUMPRODUCT(BE279:BE$605,$I278:$I$604)+SUMPRODUCT(BF279:BF$605,$I279:$I$605)) / $I278</f>
        <v>0</v>
      </c>
      <c r="BJ278" s="46">
        <f t="shared" si="238"/>
        <v>0</v>
      </c>
      <c r="BK278" s="46">
        <f t="shared" si="239"/>
        <v>0</v>
      </c>
      <c r="BM278" s="49">
        <f t="shared" si="281"/>
        <v>0</v>
      </c>
      <c r="BN278" s="46">
        <f t="shared" si="240"/>
        <v>0</v>
      </c>
      <c r="BP278" s="46">
        <f>Reserve!BX278</f>
        <v>0</v>
      </c>
      <c r="BQ278" s="46">
        <f t="shared" si="255"/>
        <v>0</v>
      </c>
      <c r="BR278" s="15">
        <f t="shared" si="282"/>
        <v>0</v>
      </c>
      <c r="BT278" s="49">
        <f t="shared" si="283"/>
        <v>0</v>
      </c>
      <c r="BU278" s="46">
        <f t="shared" si="256"/>
        <v>0</v>
      </c>
      <c r="BV278" s="46">
        <f>SUMPRODUCT(BU279:BU$605, $I279:$I$605) / $I278</f>
        <v>0</v>
      </c>
      <c r="BX278" s="46">
        <f>-BZ278*Others!$Q$43</f>
        <v>0</v>
      </c>
      <c r="BZ278" s="50">
        <f t="shared" si="241"/>
        <v>0</v>
      </c>
      <c r="CA278" s="46">
        <f t="shared" si="284"/>
        <v>0</v>
      </c>
      <c r="CB278" s="46">
        <f t="shared" si="257"/>
        <v>0</v>
      </c>
      <c r="CD278" s="46">
        <f>SUMPRODUCT(BZ279:BZ$605, $I279:$I$605) / $I278</f>
        <v>0</v>
      </c>
      <c r="CE278" s="46">
        <f>SUMPRODUCT(CA279:CA$605, $I279:$I$605) / $I278</f>
        <v>0</v>
      </c>
      <c r="CF278" s="46">
        <f>SUMPRODUCT(CB279:CB$605, $I279:$I$605) / $I278</f>
        <v>0</v>
      </c>
      <c r="CH278" s="46">
        <f t="shared" si="258"/>
        <v>0</v>
      </c>
      <c r="CI278" s="46">
        <f t="shared" si="259"/>
        <v>0</v>
      </c>
      <c r="CK278" s="46">
        <f>NPV((1+CK$3)^(1/12)-1,$CB$6:$CB278)+$CB$5</f>
        <v>1409.6963032385702</v>
      </c>
      <c r="CL278" s="46">
        <f>NPV((1+CL$3)^(1/12)-1,$CB$6:$CB278)+$CB$5</f>
        <v>1057.2060036590874</v>
      </c>
      <c r="CM278" s="46">
        <f>NPV((1+CM$3)^(1/12)-1,$CB$6:$CB278)+$CB$5</f>
        <v>462.64886026294084</v>
      </c>
      <c r="CN278" s="46">
        <f>NPV((1+CN$3)^(1/12)-1,$CB$6:$CB278)+$CB$5</f>
        <v>462.64886026294084</v>
      </c>
    </row>
    <row r="279" spans="1:92" x14ac:dyDescent="0.25">
      <c r="A279" s="61">
        <f t="shared" si="242"/>
        <v>22.833333333333279</v>
      </c>
      <c r="B279" s="32">
        <f t="shared" si="260"/>
        <v>10</v>
      </c>
      <c r="C279" s="62">
        <f t="shared" si="261"/>
        <v>23</v>
      </c>
      <c r="D279" s="64">
        <f t="shared" si="262"/>
        <v>23.333333333333279</v>
      </c>
      <c r="E279" s="28">
        <f t="shared" si="243"/>
        <v>23</v>
      </c>
      <c r="G279" s="68">
        <f>INDEX(Others!$D$11:$E$60, MATCH(C279, Others!$A$11:$A$60, 0), MATCH(G$3, Others!$D$10:$E$10, 0))</f>
        <v>4.0690909090908889E-2</v>
      </c>
      <c r="H279" s="16">
        <f t="shared" si="285"/>
        <v>3.329265421250005E-3</v>
      </c>
      <c r="I279" s="69">
        <f t="shared" si="286"/>
        <v>0.40224111635187459</v>
      </c>
      <c r="K279" s="80" t="e">
        <f>INDEX(Mortality!$B$7:$F$32, MATCH( E279,Mortality!$A$7:$A$32, 0), MATCH( K$3,Mortality!$B$6:$F$6,0))</f>
        <v>#N/A</v>
      </c>
      <c r="L279" s="11">
        <f t="shared" si="244"/>
        <v>0</v>
      </c>
      <c r="M279" s="80">
        <f t="shared" si="263"/>
        <v>0</v>
      </c>
      <c r="N279" s="76" t="e">
        <f>INDEX(Myopia!$H:$H, MATCH(E279, Myopia!$A:$A, 0)) * Trend_Factor^(A279)</f>
        <v>#N/A</v>
      </c>
      <c r="O279" s="11">
        <f t="shared" si="245"/>
        <v>0</v>
      </c>
      <c r="P279" s="80">
        <f t="shared" si="264"/>
        <v>0</v>
      </c>
      <c r="Q279" s="76">
        <f>VLOOKUP(C279,Others!$L$10:$M$61,2)</f>
        <v>0</v>
      </c>
      <c r="R279" s="11">
        <f t="shared" si="246"/>
        <v>0</v>
      </c>
      <c r="S279" s="80">
        <f t="shared" si="265"/>
        <v>0</v>
      </c>
      <c r="T279" s="78">
        <f t="shared" si="266"/>
        <v>0</v>
      </c>
      <c r="U279" s="81">
        <f t="shared" si="267"/>
        <v>0</v>
      </c>
      <c r="V279" s="81">
        <f t="shared" si="268"/>
        <v>0</v>
      </c>
      <c r="W279" s="77">
        <f t="shared" si="247"/>
        <v>0</v>
      </c>
      <c r="X279" s="82">
        <f t="shared" si="269"/>
        <v>0</v>
      </c>
      <c r="Y279" s="82">
        <f t="shared" si="270"/>
        <v>0</v>
      </c>
      <c r="Z279" s="82">
        <f t="shared" si="271"/>
        <v>0</v>
      </c>
      <c r="AA279" s="82">
        <f t="shared" si="272"/>
        <v>0</v>
      </c>
      <c r="AC279" s="46">
        <f t="shared" si="248"/>
        <v>0</v>
      </c>
      <c r="AD279" s="15">
        <f t="shared" si="249"/>
        <v>0</v>
      </c>
      <c r="AE279" s="46">
        <f t="shared" si="273"/>
        <v>0</v>
      </c>
      <c r="AF279" s="15">
        <f t="shared" si="274"/>
        <v>0</v>
      </c>
      <c r="AG279" s="46">
        <f>SUMPRODUCT(AE280:AE$605, $I279:$I$604) / $I279</f>
        <v>0</v>
      </c>
      <c r="AI279" s="46">
        <f t="shared" si="250"/>
        <v>0</v>
      </c>
      <c r="AJ279" s="46">
        <f>IF(E279&gt;Mat_Year,0,  -SUM($AD$5:AD279))</f>
        <v>0</v>
      </c>
      <c r="AK279" s="24">
        <f t="shared" si="275"/>
        <v>0</v>
      </c>
      <c r="AL279" s="79">
        <f t="shared" si="276"/>
        <v>0</v>
      </c>
      <c r="AM279" s="24">
        <f t="shared" si="277"/>
        <v>0</v>
      </c>
      <c r="AN279" s="79">
        <f t="shared" si="278"/>
        <v>0</v>
      </c>
      <c r="AO279" s="15">
        <f t="shared" si="279"/>
        <v>0</v>
      </c>
      <c r="AP279" s="46">
        <f>SUMPRODUCT(AN280:AN$605, $I280:$I$605) / $I279</f>
        <v>0</v>
      </c>
      <c r="AR279" s="46">
        <v>0</v>
      </c>
      <c r="AS279" s="46">
        <v>0</v>
      </c>
      <c r="AT279" s="46">
        <v>0</v>
      </c>
      <c r="AU279" s="95">
        <f t="shared" si="251"/>
        <v>0</v>
      </c>
      <c r="AV279" s="47">
        <f t="shared" si="252"/>
        <v>0</v>
      </c>
      <c r="AW279" s="96">
        <f t="shared" si="287"/>
        <v>0</v>
      </c>
      <c r="AX279" s="95">
        <f t="shared" si="253"/>
        <v>0</v>
      </c>
      <c r="AY279" s="11">
        <f t="shared" si="254"/>
        <v>0</v>
      </c>
      <c r="AZ279" s="96">
        <f t="shared" si="288"/>
        <v>0</v>
      </c>
      <c r="BA279" s="95">
        <f t="shared" si="289"/>
        <v>0</v>
      </c>
      <c r="BB279" s="64">
        <f t="shared" si="290"/>
        <v>0</v>
      </c>
      <c r="BC279" s="95">
        <f t="shared" si="291"/>
        <v>0</v>
      </c>
      <c r="BD279" s="96">
        <f t="shared" si="292"/>
        <v>0</v>
      </c>
      <c r="BE279" s="96">
        <f t="shared" si="293"/>
        <v>0</v>
      </c>
      <c r="BF279" s="96">
        <f t="shared" si="294"/>
        <v>0</v>
      </c>
      <c r="BG279" s="15">
        <f t="shared" si="280"/>
        <v>0</v>
      </c>
      <c r="BH279" s="46">
        <f>(SUMPRODUCT(BE280:BE$605,$I279:$I$604)+SUMPRODUCT(BF280:BF$605,$I280:$I$605)) / $I279</f>
        <v>0</v>
      </c>
      <c r="BJ279" s="46">
        <f t="shared" si="238"/>
        <v>0</v>
      </c>
      <c r="BK279" s="46">
        <f t="shared" si="239"/>
        <v>0</v>
      </c>
      <c r="BM279" s="49">
        <f t="shared" si="281"/>
        <v>0</v>
      </c>
      <c r="BN279" s="46">
        <f t="shared" si="240"/>
        <v>0</v>
      </c>
      <c r="BP279" s="46">
        <f>Reserve!BX279</f>
        <v>0</v>
      </c>
      <c r="BQ279" s="46">
        <f t="shared" si="255"/>
        <v>0</v>
      </c>
      <c r="BR279" s="15">
        <f t="shared" si="282"/>
        <v>0</v>
      </c>
      <c r="BT279" s="49">
        <f t="shared" si="283"/>
        <v>0</v>
      </c>
      <c r="BU279" s="46">
        <f t="shared" si="256"/>
        <v>0</v>
      </c>
      <c r="BV279" s="46">
        <f>SUMPRODUCT(BU280:BU$605, $I280:$I$605) / $I279</f>
        <v>0</v>
      </c>
      <c r="BX279" s="46">
        <f>-BZ279*Others!$Q$43</f>
        <v>0</v>
      </c>
      <c r="BZ279" s="50">
        <f t="shared" si="241"/>
        <v>0</v>
      </c>
      <c r="CA279" s="46">
        <f t="shared" si="284"/>
        <v>0</v>
      </c>
      <c r="CB279" s="46">
        <f t="shared" si="257"/>
        <v>0</v>
      </c>
      <c r="CD279" s="46">
        <f>SUMPRODUCT(BZ280:BZ$605, $I280:$I$605) / $I279</f>
        <v>0</v>
      </c>
      <c r="CE279" s="46">
        <f>SUMPRODUCT(CA280:CA$605, $I280:$I$605) / $I279</f>
        <v>0</v>
      </c>
      <c r="CF279" s="46">
        <f>SUMPRODUCT(CB280:CB$605, $I280:$I$605) / $I279</f>
        <v>0</v>
      </c>
      <c r="CH279" s="46">
        <f t="shared" si="258"/>
        <v>0</v>
      </c>
      <c r="CI279" s="46">
        <f t="shared" si="259"/>
        <v>0</v>
      </c>
      <c r="CK279" s="46">
        <f>NPV((1+CK$3)^(1/12)-1,$CB$6:$CB279)+$CB$5</f>
        <v>1409.6963032385702</v>
      </c>
      <c r="CL279" s="46">
        <f>NPV((1+CL$3)^(1/12)-1,$CB$6:$CB279)+$CB$5</f>
        <v>1057.2060036590874</v>
      </c>
      <c r="CM279" s="46">
        <f>NPV((1+CM$3)^(1/12)-1,$CB$6:$CB279)+$CB$5</f>
        <v>462.64886026294084</v>
      </c>
      <c r="CN279" s="46">
        <f>NPV((1+CN$3)^(1/12)-1,$CB$6:$CB279)+$CB$5</f>
        <v>462.64886026294084</v>
      </c>
    </row>
    <row r="280" spans="1:92" x14ac:dyDescent="0.25">
      <c r="A280" s="61">
        <f t="shared" si="242"/>
        <v>22.916666666666611</v>
      </c>
      <c r="B280" s="32">
        <f t="shared" si="260"/>
        <v>11</v>
      </c>
      <c r="C280" s="62">
        <f t="shared" si="261"/>
        <v>23</v>
      </c>
      <c r="D280" s="64">
        <f t="shared" si="262"/>
        <v>23.416666666666611</v>
      </c>
      <c r="E280" s="28">
        <f t="shared" si="243"/>
        <v>23</v>
      </c>
      <c r="G280" s="68">
        <f>INDEX(Others!$D$11:$E$60, MATCH(C280, Others!$A$11:$A$60, 0), MATCH(G$3, Others!$D$10:$E$10, 0))</f>
        <v>4.0690909090908889E-2</v>
      </c>
      <c r="H280" s="16">
        <f t="shared" si="285"/>
        <v>3.329265421250005E-3</v>
      </c>
      <c r="I280" s="69">
        <f t="shared" si="286"/>
        <v>0.40090639256195998</v>
      </c>
      <c r="K280" s="80" t="e">
        <f>INDEX(Mortality!$B$7:$F$32, MATCH( E280,Mortality!$A$7:$A$32, 0), MATCH( K$3,Mortality!$B$6:$F$6,0))</f>
        <v>#N/A</v>
      </c>
      <c r="L280" s="11">
        <f t="shared" si="244"/>
        <v>0</v>
      </c>
      <c r="M280" s="80">
        <f t="shared" si="263"/>
        <v>0</v>
      </c>
      <c r="N280" s="76" t="e">
        <f>INDEX(Myopia!$H:$H, MATCH(E280, Myopia!$A:$A, 0)) * Trend_Factor^(A280)</f>
        <v>#N/A</v>
      </c>
      <c r="O280" s="11">
        <f t="shared" si="245"/>
        <v>0</v>
      </c>
      <c r="P280" s="80">
        <f t="shared" si="264"/>
        <v>0</v>
      </c>
      <c r="Q280" s="76">
        <f>VLOOKUP(C280,Others!$L$10:$M$61,2)</f>
        <v>0</v>
      </c>
      <c r="R280" s="11">
        <f t="shared" si="246"/>
        <v>0</v>
      </c>
      <c r="S280" s="80">
        <f t="shared" si="265"/>
        <v>0</v>
      </c>
      <c r="T280" s="78">
        <f t="shared" si="266"/>
        <v>0</v>
      </c>
      <c r="U280" s="81">
        <f t="shared" si="267"/>
        <v>0</v>
      </c>
      <c r="V280" s="81">
        <f t="shared" si="268"/>
        <v>0</v>
      </c>
      <c r="W280" s="77">
        <f t="shared" si="247"/>
        <v>0</v>
      </c>
      <c r="X280" s="82">
        <f t="shared" si="269"/>
        <v>0</v>
      </c>
      <c r="Y280" s="82">
        <f t="shared" si="270"/>
        <v>0</v>
      </c>
      <c r="Z280" s="82">
        <f t="shared" si="271"/>
        <v>0</v>
      </c>
      <c r="AA280" s="82">
        <f t="shared" si="272"/>
        <v>0</v>
      </c>
      <c r="AC280" s="46">
        <f t="shared" si="248"/>
        <v>0</v>
      </c>
      <c r="AD280" s="15">
        <f t="shared" si="249"/>
        <v>0</v>
      </c>
      <c r="AE280" s="46">
        <f t="shared" si="273"/>
        <v>0</v>
      </c>
      <c r="AF280" s="15">
        <f t="shared" si="274"/>
        <v>0</v>
      </c>
      <c r="AG280" s="46">
        <f>SUMPRODUCT(AE281:AE$605, $I280:$I$604) / $I280</f>
        <v>0</v>
      </c>
      <c r="AI280" s="46">
        <f t="shared" si="250"/>
        <v>0</v>
      </c>
      <c r="AJ280" s="46">
        <f>IF(E280&gt;Mat_Year,0,  -SUM($AD$5:AD280))</f>
        <v>0</v>
      </c>
      <c r="AK280" s="24">
        <f t="shared" si="275"/>
        <v>0</v>
      </c>
      <c r="AL280" s="79">
        <f t="shared" si="276"/>
        <v>0</v>
      </c>
      <c r="AM280" s="24">
        <f t="shared" si="277"/>
        <v>0</v>
      </c>
      <c r="AN280" s="79">
        <f t="shared" si="278"/>
        <v>0</v>
      </c>
      <c r="AO280" s="15">
        <f t="shared" si="279"/>
        <v>0</v>
      </c>
      <c r="AP280" s="46">
        <f>SUMPRODUCT(AN281:AN$605, $I281:$I$605) / $I280</f>
        <v>0</v>
      </c>
      <c r="AR280" s="46">
        <v>0</v>
      </c>
      <c r="AS280" s="46">
        <v>0</v>
      </c>
      <c r="AT280" s="46">
        <v>0</v>
      </c>
      <c r="AU280" s="95">
        <f t="shared" si="251"/>
        <v>0</v>
      </c>
      <c r="AV280" s="47">
        <f t="shared" si="252"/>
        <v>0</v>
      </c>
      <c r="AW280" s="96">
        <f t="shared" si="287"/>
        <v>0</v>
      </c>
      <c r="AX280" s="95">
        <f t="shared" si="253"/>
        <v>0</v>
      </c>
      <c r="AY280" s="11">
        <f t="shared" si="254"/>
        <v>0</v>
      </c>
      <c r="AZ280" s="96">
        <f t="shared" si="288"/>
        <v>0</v>
      </c>
      <c r="BA280" s="95">
        <f t="shared" si="289"/>
        <v>0</v>
      </c>
      <c r="BB280" s="64">
        <f t="shared" si="290"/>
        <v>0</v>
      </c>
      <c r="BC280" s="95">
        <f t="shared" si="291"/>
        <v>0</v>
      </c>
      <c r="BD280" s="96">
        <f t="shared" si="292"/>
        <v>0</v>
      </c>
      <c r="BE280" s="96">
        <f t="shared" si="293"/>
        <v>0</v>
      </c>
      <c r="BF280" s="96">
        <f t="shared" si="294"/>
        <v>0</v>
      </c>
      <c r="BG280" s="15">
        <f t="shared" si="280"/>
        <v>0</v>
      </c>
      <c r="BH280" s="46">
        <f>(SUMPRODUCT(BE281:BE$605,$I280:$I$604)+SUMPRODUCT(BF281:BF$605,$I281:$I$605)) / $I280</f>
        <v>0</v>
      </c>
      <c r="BJ280" s="46">
        <f t="shared" si="238"/>
        <v>0</v>
      </c>
      <c r="BK280" s="46">
        <f t="shared" si="239"/>
        <v>0</v>
      </c>
      <c r="BM280" s="49">
        <f t="shared" si="281"/>
        <v>0</v>
      </c>
      <c r="BN280" s="46">
        <f t="shared" si="240"/>
        <v>0</v>
      </c>
      <c r="BP280" s="46">
        <f>Reserve!BX280</f>
        <v>0</v>
      </c>
      <c r="BQ280" s="46">
        <f t="shared" si="255"/>
        <v>0</v>
      </c>
      <c r="BR280" s="15">
        <f t="shared" si="282"/>
        <v>0</v>
      </c>
      <c r="BT280" s="49">
        <f t="shared" si="283"/>
        <v>0</v>
      </c>
      <c r="BU280" s="46">
        <f t="shared" si="256"/>
        <v>0</v>
      </c>
      <c r="BV280" s="46">
        <f>SUMPRODUCT(BU281:BU$605, $I281:$I$605) / $I280</f>
        <v>0</v>
      </c>
      <c r="BX280" s="46">
        <f>-BZ280*Others!$Q$43</f>
        <v>0</v>
      </c>
      <c r="BZ280" s="50">
        <f t="shared" si="241"/>
        <v>0</v>
      </c>
      <c r="CA280" s="46">
        <f t="shared" si="284"/>
        <v>0</v>
      </c>
      <c r="CB280" s="46">
        <f t="shared" si="257"/>
        <v>0</v>
      </c>
      <c r="CD280" s="46">
        <f>SUMPRODUCT(BZ281:BZ$605, $I281:$I$605) / $I280</f>
        <v>0</v>
      </c>
      <c r="CE280" s="46">
        <f>SUMPRODUCT(CA281:CA$605, $I281:$I$605) / $I280</f>
        <v>0</v>
      </c>
      <c r="CF280" s="46">
        <f>SUMPRODUCT(CB281:CB$605, $I281:$I$605) / $I280</f>
        <v>0</v>
      </c>
      <c r="CH280" s="46">
        <f t="shared" si="258"/>
        <v>0</v>
      </c>
      <c r="CI280" s="46">
        <f t="shared" si="259"/>
        <v>0</v>
      </c>
      <c r="CK280" s="46">
        <f>NPV((1+CK$3)^(1/12)-1,$CB$6:$CB280)+$CB$5</f>
        <v>1409.6963032385702</v>
      </c>
      <c r="CL280" s="46">
        <f>NPV((1+CL$3)^(1/12)-1,$CB$6:$CB280)+$CB$5</f>
        <v>1057.2060036590874</v>
      </c>
      <c r="CM280" s="46">
        <f>NPV((1+CM$3)^(1/12)-1,$CB$6:$CB280)+$CB$5</f>
        <v>462.64886026294084</v>
      </c>
      <c r="CN280" s="46">
        <f>NPV((1+CN$3)^(1/12)-1,$CB$6:$CB280)+$CB$5</f>
        <v>462.64886026294084</v>
      </c>
    </row>
    <row r="281" spans="1:92" x14ac:dyDescent="0.25">
      <c r="A281" s="61">
        <f t="shared" si="242"/>
        <v>22.999999999999943</v>
      </c>
      <c r="B281" s="32">
        <f t="shared" si="260"/>
        <v>12</v>
      </c>
      <c r="C281" s="62">
        <f t="shared" si="261"/>
        <v>23</v>
      </c>
      <c r="D281" s="64">
        <f t="shared" si="262"/>
        <v>23.499999999999943</v>
      </c>
      <c r="E281" s="28">
        <f t="shared" si="243"/>
        <v>23</v>
      </c>
      <c r="G281" s="68">
        <f>INDEX(Others!$D$11:$E$60, MATCH(C281, Others!$A$11:$A$60, 0), MATCH(G$3, Others!$D$10:$E$10, 0))</f>
        <v>4.0690909090908889E-2</v>
      </c>
      <c r="H281" s="16">
        <f t="shared" si="285"/>
        <v>3.329265421250005E-3</v>
      </c>
      <c r="I281" s="69">
        <f t="shared" si="286"/>
        <v>0.39957609767680657</v>
      </c>
      <c r="K281" s="80" t="e">
        <f>INDEX(Mortality!$B$7:$F$32, MATCH( E281,Mortality!$A$7:$A$32, 0), MATCH( K$3,Mortality!$B$6:$F$6,0))</f>
        <v>#N/A</v>
      </c>
      <c r="L281" s="11">
        <f t="shared" si="244"/>
        <v>0</v>
      </c>
      <c r="M281" s="80">
        <f t="shared" si="263"/>
        <v>0</v>
      </c>
      <c r="N281" s="76" t="e">
        <f>INDEX(Myopia!$H:$H, MATCH(E281, Myopia!$A:$A, 0)) * Trend_Factor^(A281)</f>
        <v>#N/A</v>
      </c>
      <c r="O281" s="11">
        <f t="shared" si="245"/>
        <v>0</v>
      </c>
      <c r="P281" s="80">
        <f t="shared" si="264"/>
        <v>0</v>
      </c>
      <c r="Q281" s="76">
        <f>VLOOKUP(C281,Others!$L$10:$M$61,2)</f>
        <v>0</v>
      </c>
      <c r="R281" s="11">
        <f t="shared" si="246"/>
        <v>0</v>
      </c>
      <c r="S281" s="80">
        <f t="shared" si="265"/>
        <v>0</v>
      </c>
      <c r="T281" s="78">
        <f t="shared" si="266"/>
        <v>0</v>
      </c>
      <c r="U281" s="81">
        <f t="shared" si="267"/>
        <v>0</v>
      </c>
      <c r="V281" s="81">
        <f t="shared" si="268"/>
        <v>0</v>
      </c>
      <c r="W281" s="77">
        <f t="shared" si="247"/>
        <v>0</v>
      </c>
      <c r="X281" s="82">
        <f t="shared" si="269"/>
        <v>0</v>
      </c>
      <c r="Y281" s="82">
        <f t="shared" si="270"/>
        <v>0</v>
      </c>
      <c r="Z281" s="82">
        <f t="shared" si="271"/>
        <v>0</v>
      </c>
      <c r="AA281" s="82">
        <f t="shared" si="272"/>
        <v>0</v>
      </c>
      <c r="AC281" s="46">
        <f t="shared" si="248"/>
        <v>0</v>
      </c>
      <c r="AD281" s="15">
        <f t="shared" si="249"/>
        <v>0</v>
      </c>
      <c r="AE281" s="46">
        <f t="shared" si="273"/>
        <v>0</v>
      </c>
      <c r="AF281" s="15">
        <f t="shared" si="274"/>
        <v>0</v>
      </c>
      <c r="AG281" s="46">
        <f>SUMPRODUCT(AE282:AE$605, $I281:$I$604) / $I281</f>
        <v>0</v>
      </c>
      <c r="AI281" s="46">
        <f t="shared" si="250"/>
        <v>0</v>
      </c>
      <c r="AJ281" s="46">
        <f>IF(E281&gt;Mat_Year,0,  -SUM($AD$5:AD281))</f>
        <v>0</v>
      </c>
      <c r="AK281" s="24">
        <f t="shared" si="275"/>
        <v>0</v>
      </c>
      <c r="AL281" s="79">
        <f t="shared" si="276"/>
        <v>0</v>
      </c>
      <c r="AM281" s="24">
        <f t="shared" si="277"/>
        <v>0</v>
      </c>
      <c r="AN281" s="79">
        <f t="shared" si="278"/>
        <v>0</v>
      </c>
      <c r="AO281" s="15">
        <f t="shared" si="279"/>
        <v>0</v>
      </c>
      <c r="AP281" s="46">
        <f>SUMPRODUCT(AN282:AN$605, $I282:$I$605) / $I281</f>
        <v>0</v>
      </c>
      <c r="AR281" s="46">
        <v>0</v>
      </c>
      <c r="AS281" s="46">
        <v>0</v>
      </c>
      <c r="AT281" s="46">
        <v>0</v>
      </c>
      <c r="AU281" s="95">
        <f t="shared" si="251"/>
        <v>0</v>
      </c>
      <c r="AV281" s="47">
        <f t="shared" si="252"/>
        <v>0</v>
      </c>
      <c r="AW281" s="96">
        <f t="shared" si="287"/>
        <v>0</v>
      </c>
      <c r="AX281" s="95">
        <f t="shared" si="253"/>
        <v>0</v>
      </c>
      <c r="AY281" s="11">
        <f t="shared" si="254"/>
        <v>0</v>
      </c>
      <c r="AZ281" s="96">
        <f t="shared" si="288"/>
        <v>0</v>
      </c>
      <c r="BA281" s="95">
        <f t="shared" si="289"/>
        <v>0</v>
      </c>
      <c r="BB281" s="64">
        <f t="shared" si="290"/>
        <v>0</v>
      </c>
      <c r="BC281" s="95">
        <f t="shared" si="291"/>
        <v>0</v>
      </c>
      <c r="BD281" s="96">
        <f t="shared" si="292"/>
        <v>0</v>
      </c>
      <c r="BE281" s="96">
        <f t="shared" si="293"/>
        <v>0</v>
      </c>
      <c r="BF281" s="96">
        <f t="shared" si="294"/>
        <v>0</v>
      </c>
      <c r="BG281" s="15">
        <f t="shared" si="280"/>
        <v>0</v>
      </c>
      <c r="BH281" s="46">
        <f>(SUMPRODUCT(BE282:BE$605,$I281:$I$604)+SUMPRODUCT(BF282:BF$605,$I282:$I$605)) / $I281</f>
        <v>0</v>
      </c>
      <c r="BJ281" s="46">
        <f t="shared" si="238"/>
        <v>0</v>
      </c>
      <c r="BK281" s="46">
        <f t="shared" si="239"/>
        <v>0</v>
      </c>
      <c r="BM281" s="49">
        <f t="shared" si="281"/>
        <v>0</v>
      </c>
      <c r="BN281" s="46">
        <f t="shared" si="240"/>
        <v>0</v>
      </c>
      <c r="BP281" s="46">
        <f>Reserve!BX281</f>
        <v>0</v>
      </c>
      <c r="BQ281" s="46">
        <f t="shared" si="255"/>
        <v>0</v>
      </c>
      <c r="BR281" s="15">
        <f t="shared" si="282"/>
        <v>0</v>
      </c>
      <c r="BT281" s="49">
        <f t="shared" si="283"/>
        <v>0</v>
      </c>
      <c r="BU281" s="46">
        <f t="shared" si="256"/>
        <v>0</v>
      </c>
      <c r="BV281" s="46">
        <f>SUMPRODUCT(BU282:BU$605, $I282:$I$605) / $I281</f>
        <v>0</v>
      </c>
      <c r="BX281" s="46">
        <f>-BZ281*Others!$Q$43</f>
        <v>0</v>
      </c>
      <c r="BZ281" s="50">
        <f t="shared" si="241"/>
        <v>0</v>
      </c>
      <c r="CA281" s="46">
        <f t="shared" si="284"/>
        <v>0</v>
      </c>
      <c r="CB281" s="46">
        <f t="shared" si="257"/>
        <v>0</v>
      </c>
      <c r="CD281" s="46">
        <f>SUMPRODUCT(BZ282:BZ$605, $I282:$I$605) / $I281</f>
        <v>0</v>
      </c>
      <c r="CE281" s="46">
        <f>SUMPRODUCT(CA282:CA$605, $I282:$I$605) / $I281</f>
        <v>0</v>
      </c>
      <c r="CF281" s="46">
        <f>SUMPRODUCT(CB282:CB$605, $I282:$I$605) / $I281</f>
        <v>0</v>
      </c>
      <c r="CH281" s="46">
        <f t="shared" si="258"/>
        <v>0</v>
      </c>
      <c r="CI281" s="46">
        <f t="shared" si="259"/>
        <v>0</v>
      </c>
      <c r="CK281" s="46">
        <f>NPV((1+CK$3)^(1/12)-1,$CB$6:$CB281)+$CB$5</f>
        <v>1409.6963032385702</v>
      </c>
      <c r="CL281" s="46">
        <f>NPV((1+CL$3)^(1/12)-1,$CB$6:$CB281)+$CB$5</f>
        <v>1057.2060036590874</v>
      </c>
      <c r="CM281" s="46">
        <f>NPV((1+CM$3)^(1/12)-1,$CB$6:$CB281)+$CB$5</f>
        <v>462.64886026294084</v>
      </c>
      <c r="CN281" s="46">
        <f>NPV((1+CN$3)^(1/12)-1,$CB$6:$CB281)+$CB$5</f>
        <v>462.64886026294084</v>
      </c>
    </row>
    <row r="282" spans="1:92" x14ac:dyDescent="0.25">
      <c r="A282" s="61">
        <f t="shared" si="242"/>
        <v>23.083333333333275</v>
      </c>
      <c r="B282" s="32">
        <f t="shared" si="260"/>
        <v>1</v>
      </c>
      <c r="C282" s="62">
        <f t="shared" si="261"/>
        <v>24</v>
      </c>
      <c r="D282" s="64">
        <f t="shared" si="262"/>
        <v>23.583333333333275</v>
      </c>
      <c r="E282" s="28">
        <f t="shared" si="243"/>
        <v>23</v>
      </c>
      <c r="G282" s="68">
        <f>INDEX(Others!$D$11:$E$60, MATCH(C282, Others!$A$11:$A$60, 0), MATCH(G$3, Others!$D$10:$E$10, 0))</f>
        <v>4.0690909090909333E-2</v>
      </c>
      <c r="H282" s="16">
        <f t="shared" si="285"/>
        <v>3.329265421250005E-3</v>
      </c>
      <c r="I282" s="69">
        <f t="shared" si="286"/>
        <v>0.39825021700034202</v>
      </c>
      <c r="K282" s="80" t="e">
        <f>INDEX(Mortality!$B$7:$F$32, MATCH( E282,Mortality!$A$7:$A$32, 0), MATCH( K$3,Mortality!$B$6:$F$6,0))</f>
        <v>#N/A</v>
      </c>
      <c r="L282" s="11">
        <f t="shared" si="244"/>
        <v>0</v>
      </c>
      <c r="M282" s="80">
        <f t="shared" si="263"/>
        <v>0</v>
      </c>
      <c r="N282" s="76" t="e">
        <f>INDEX(Myopia!$H:$H, MATCH(E282, Myopia!$A:$A, 0)) * Trend_Factor^(A282)</f>
        <v>#N/A</v>
      </c>
      <c r="O282" s="11">
        <f t="shared" si="245"/>
        <v>0</v>
      </c>
      <c r="P282" s="80">
        <f t="shared" si="264"/>
        <v>0</v>
      </c>
      <c r="Q282" s="76">
        <f>VLOOKUP(C282,Others!$L$10:$M$61,2)</f>
        <v>0</v>
      </c>
      <c r="R282" s="11">
        <f t="shared" si="246"/>
        <v>0</v>
      </c>
      <c r="S282" s="80">
        <f t="shared" si="265"/>
        <v>0</v>
      </c>
      <c r="T282" s="78">
        <f t="shared" si="266"/>
        <v>0</v>
      </c>
      <c r="U282" s="81">
        <f t="shared" si="267"/>
        <v>0</v>
      </c>
      <c r="V282" s="81">
        <f t="shared" si="268"/>
        <v>0</v>
      </c>
      <c r="W282" s="77">
        <f t="shared" si="247"/>
        <v>0</v>
      </c>
      <c r="X282" s="82">
        <f t="shared" si="269"/>
        <v>0</v>
      </c>
      <c r="Y282" s="82">
        <f t="shared" si="270"/>
        <v>0</v>
      </c>
      <c r="Z282" s="82">
        <f t="shared" si="271"/>
        <v>0</v>
      </c>
      <c r="AA282" s="82">
        <f t="shared" si="272"/>
        <v>0</v>
      </c>
      <c r="AC282" s="46">
        <f t="shared" si="248"/>
        <v>0</v>
      </c>
      <c r="AD282" s="15">
        <f t="shared" si="249"/>
        <v>0</v>
      </c>
      <c r="AE282" s="46">
        <f t="shared" si="273"/>
        <v>0</v>
      </c>
      <c r="AF282" s="15">
        <f t="shared" si="274"/>
        <v>0</v>
      </c>
      <c r="AG282" s="46">
        <f>SUMPRODUCT(AE283:AE$605, $I282:$I$604) / $I282</f>
        <v>0</v>
      </c>
      <c r="AI282" s="46">
        <f t="shared" si="250"/>
        <v>0</v>
      </c>
      <c r="AJ282" s="46">
        <f>IF(E282&gt;Mat_Year,0,  -SUM($AD$5:AD282))</f>
        <v>0</v>
      </c>
      <c r="AK282" s="24">
        <f t="shared" si="275"/>
        <v>0</v>
      </c>
      <c r="AL282" s="79">
        <f t="shared" si="276"/>
        <v>0</v>
      </c>
      <c r="AM282" s="24">
        <f t="shared" si="277"/>
        <v>0</v>
      </c>
      <c r="AN282" s="79">
        <f t="shared" si="278"/>
        <v>0</v>
      </c>
      <c r="AO282" s="15">
        <f t="shared" si="279"/>
        <v>0</v>
      </c>
      <c r="AP282" s="46">
        <f>SUMPRODUCT(AN283:AN$605, $I283:$I$605) / $I282</f>
        <v>0</v>
      </c>
      <c r="AR282" s="46">
        <v>0</v>
      </c>
      <c r="AS282" s="46">
        <v>0</v>
      </c>
      <c r="AT282" s="46">
        <v>0</v>
      </c>
      <c r="AU282" s="95">
        <f t="shared" si="251"/>
        <v>0</v>
      </c>
      <c r="AV282" s="47">
        <f t="shared" si="252"/>
        <v>0</v>
      </c>
      <c r="AW282" s="96">
        <f t="shared" si="287"/>
        <v>0</v>
      </c>
      <c r="AX282" s="95">
        <f t="shared" si="253"/>
        <v>0</v>
      </c>
      <c r="AY282" s="11">
        <f t="shared" si="254"/>
        <v>0</v>
      </c>
      <c r="AZ282" s="96">
        <f t="shared" si="288"/>
        <v>0</v>
      </c>
      <c r="BA282" s="95">
        <f t="shared" si="289"/>
        <v>0</v>
      </c>
      <c r="BB282" s="64">
        <f t="shared" si="290"/>
        <v>0</v>
      </c>
      <c r="BC282" s="95">
        <f t="shared" si="291"/>
        <v>0</v>
      </c>
      <c r="BD282" s="96">
        <f t="shared" si="292"/>
        <v>0</v>
      </c>
      <c r="BE282" s="96">
        <f t="shared" si="293"/>
        <v>0</v>
      </c>
      <c r="BF282" s="96">
        <f t="shared" si="294"/>
        <v>0</v>
      </c>
      <c r="BG282" s="15">
        <f t="shared" si="280"/>
        <v>0</v>
      </c>
      <c r="BH282" s="46">
        <f>(SUMPRODUCT(BE283:BE$605,$I282:$I$604)+SUMPRODUCT(BF283:BF$605,$I283:$I$605)) / $I282</f>
        <v>0</v>
      </c>
      <c r="BJ282" s="46">
        <f t="shared" si="238"/>
        <v>0</v>
      </c>
      <c r="BK282" s="46">
        <f t="shared" si="239"/>
        <v>0</v>
      </c>
      <c r="BM282" s="49">
        <f t="shared" si="281"/>
        <v>0</v>
      </c>
      <c r="BN282" s="46">
        <f t="shared" si="240"/>
        <v>0</v>
      </c>
      <c r="BP282" s="46">
        <f>Reserve!BX282</f>
        <v>0</v>
      </c>
      <c r="BQ282" s="46">
        <f t="shared" si="255"/>
        <v>0</v>
      </c>
      <c r="BR282" s="15">
        <f t="shared" si="282"/>
        <v>0</v>
      </c>
      <c r="BT282" s="49">
        <f t="shared" si="283"/>
        <v>0</v>
      </c>
      <c r="BU282" s="46">
        <f t="shared" si="256"/>
        <v>0</v>
      </c>
      <c r="BV282" s="46">
        <f>SUMPRODUCT(BU283:BU$605, $I283:$I$605) / $I282</f>
        <v>0</v>
      </c>
      <c r="BX282" s="46">
        <f>-BZ282*Others!$Q$43</f>
        <v>0</v>
      </c>
      <c r="BZ282" s="50">
        <f t="shared" si="241"/>
        <v>0</v>
      </c>
      <c r="CA282" s="46">
        <f t="shared" si="284"/>
        <v>0</v>
      </c>
      <c r="CB282" s="46">
        <f t="shared" si="257"/>
        <v>0</v>
      </c>
      <c r="CD282" s="46">
        <f>SUMPRODUCT(BZ283:BZ$605, $I283:$I$605) / $I282</f>
        <v>0</v>
      </c>
      <c r="CE282" s="46">
        <f>SUMPRODUCT(CA283:CA$605, $I283:$I$605) / $I282</f>
        <v>0</v>
      </c>
      <c r="CF282" s="46">
        <f>SUMPRODUCT(CB283:CB$605, $I283:$I$605) / $I282</f>
        <v>0</v>
      </c>
      <c r="CH282" s="46">
        <f t="shared" si="258"/>
        <v>0</v>
      </c>
      <c r="CI282" s="46">
        <f t="shared" si="259"/>
        <v>0</v>
      </c>
      <c r="CK282" s="46">
        <f>NPV((1+CK$3)^(1/12)-1,$CB$6:$CB282)+$CB$5</f>
        <v>1409.6963032385702</v>
      </c>
      <c r="CL282" s="46">
        <f>NPV((1+CL$3)^(1/12)-1,$CB$6:$CB282)+$CB$5</f>
        <v>1057.2060036590874</v>
      </c>
      <c r="CM282" s="46">
        <f>NPV((1+CM$3)^(1/12)-1,$CB$6:$CB282)+$CB$5</f>
        <v>462.64886026294084</v>
      </c>
      <c r="CN282" s="46">
        <f>NPV((1+CN$3)^(1/12)-1,$CB$6:$CB282)+$CB$5</f>
        <v>462.64886026294084</v>
      </c>
    </row>
    <row r="283" spans="1:92" x14ac:dyDescent="0.25">
      <c r="A283" s="61">
        <f t="shared" si="242"/>
        <v>23.166666666666607</v>
      </c>
      <c r="B283" s="32">
        <f t="shared" si="260"/>
        <v>2</v>
      </c>
      <c r="C283" s="62">
        <f t="shared" si="261"/>
        <v>24</v>
      </c>
      <c r="D283" s="64">
        <f t="shared" si="262"/>
        <v>23.666666666666607</v>
      </c>
      <c r="E283" s="28">
        <f t="shared" si="243"/>
        <v>23</v>
      </c>
      <c r="G283" s="68">
        <f>INDEX(Others!$D$11:$E$60, MATCH(C283, Others!$A$11:$A$60, 0), MATCH(G$3, Others!$D$10:$E$10, 0))</f>
        <v>4.0690909090909333E-2</v>
      </c>
      <c r="H283" s="16">
        <f t="shared" si="285"/>
        <v>3.329265421250005E-3</v>
      </c>
      <c r="I283" s="69">
        <f t="shared" si="286"/>
        <v>0.39692873588525873</v>
      </c>
      <c r="K283" s="80" t="e">
        <f>INDEX(Mortality!$B$7:$F$32, MATCH( E283,Mortality!$A$7:$A$32, 0), MATCH( K$3,Mortality!$B$6:$F$6,0))</f>
        <v>#N/A</v>
      </c>
      <c r="L283" s="11">
        <f t="shared" si="244"/>
        <v>0</v>
      </c>
      <c r="M283" s="80">
        <f t="shared" si="263"/>
        <v>0</v>
      </c>
      <c r="N283" s="76" t="e">
        <f>INDEX(Myopia!$H:$H, MATCH(E283, Myopia!$A:$A, 0)) * Trend_Factor^(A283)</f>
        <v>#N/A</v>
      </c>
      <c r="O283" s="11">
        <f t="shared" si="245"/>
        <v>0</v>
      </c>
      <c r="P283" s="80">
        <f t="shared" si="264"/>
        <v>0</v>
      </c>
      <c r="Q283" s="76">
        <f>VLOOKUP(C283,Others!$L$10:$M$61,2)</f>
        <v>0</v>
      </c>
      <c r="R283" s="11">
        <f t="shared" si="246"/>
        <v>0</v>
      </c>
      <c r="S283" s="80">
        <f t="shared" si="265"/>
        <v>0</v>
      </c>
      <c r="T283" s="78">
        <f t="shared" si="266"/>
        <v>0</v>
      </c>
      <c r="U283" s="81">
        <f t="shared" si="267"/>
        <v>0</v>
      </c>
      <c r="V283" s="81">
        <f t="shared" si="268"/>
        <v>0</v>
      </c>
      <c r="W283" s="77">
        <f t="shared" si="247"/>
        <v>0</v>
      </c>
      <c r="X283" s="82">
        <f t="shared" si="269"/>
        <v>0</v>
      </c>
      <c r="Y283" s="82">
        <f t="shared" si="270"/>
        <v>0</v>
      </c>
      <c r="Z283" s="82">
        <f t="shared" si="271"/>
        <v>0</v>
      </c>
      <c r="AA283" s="82">
        <f t="shared" si="272"/>
        <v>0</v>
      </c>
      <c r="AC283" s="46">
        <f t="shared" si="248"/>
        <v>0</v>
      </c>
      <c r="AD283" s="15">
        <f t="shared" si="249"/>
        <v>0</v>
      </c>
      <c r="AE283" s="46">
        <f t="shared" si="273"/>
        <v>0</v>
      </c>
      <c r="AF283" s="15">
        <f t="shared" si="274"/>
        <v>0</v>
      </c>
      <c r="AG283" s="46">
        <f>SUMPRODUCT(AE284:AE$605, $I283:$I$604) / $I283</f>
        <v>0</v>
      </c>
      <c r="AI283" s="46">
        <f t="shared" si="250"/>
        <v>0</v>
      </c>
      <c r="AJ283" s="46">
        <f>IF(E283&gt;Mat_Year,0,  -SUM($AD$5:AD283))</f>
        <v>0</v>
      </c>
      <c r="AK283" s="24">
        <f t="shared" si="275"/>
        <v>0</v>
      </c>
      <c r="AL283" s="79">
        <f t="shared" si="276"/>
        <v>0</v>
      </c>
      <c r="AM283" s="24">
        <f t="shared" si="277"/>
        <v>0</v>
      </c>
      <c r="AN283" s="79">
        <f t="shared" si="278"/>
        <v>0</v>
      </c>
      <c r="AO283" s="15">
        <f t="shared" si="279"/>
        <v>0</v>
      </c>
      <c r="AP283" s="46">
        <f>SUMPRODUCT(AN284:AN$605, $I284:$I$605) / $I283</f>
        <v>0</v>
      </c>
      <c r="AR283" s="46">
        <v>0</v>
      </c>
      <c r="AS283" s="46">
        <v>0</v>
      </c>
      <c r="AT283" s="46">
        <v>0</v>
      </c>
      <c r="AU283" s="95">
        <f t="shared" si="251"/>
        <v>0</v>
      </c>
      <c r="AV283" s="47">
        <f t="shared" si="252"/>
        <v>0</v>
      </c>
      <c r="AW283" s="96">
        <f t="shared" si="287"/>
        <v>0</v>
      </c>
      <c r="AX283" s="95">
        <f t="shared" si="253"/>
        <v>0</v>
      </c>
      <c r="AY283" s="11">
        <f t="shared" si="254"/>
        <v>0</v>
      </c>
      <c r="AZ283" s="96">
        <f t="shared" si="288"/>
        <v>0</v>
      </c>
      <c r="BA283" s="95">
        <f t="shared" si="289"/>
        <v>0</v>
      </c>
      <c r="BB283" s="64">
        <f t="shared" si="290"/>
        <v>0</v>
      </c>
      <c r="BC283" s="95">
        <f t="shared" si="291"/>
        <v>0</v>
      </c>
      <c r="BD283" s="96">
        <f t="shared" si="292"/>
        <v>0</v>
      </c>
      <c r="BE283" s="96">
        <f t="shared" si="293"/>
        <v>0</v>
      </c>
      <c r="BF283" s="96">
        <f t="shared" si="294"/>
        <v>0</v>
      </c>
      <c r="BG283" s="15">
        <f t="shared" si="280"/>
        <v>0</v>
      </c>
      <c r="BH283" s="46">
        <f>(SUMPRODUCT(BE284:BE$605,$I283:$I$604)+SUMPRODUCT(BF284:BF$605,$I284:$I$605)) / $I283</f>
        <v>0</v>
      </c>
      <c r="BJ283" s="46">
        <f t="shared" ref="BJ283:BJ317" si="295">SUM(AE283,BE283)</f>
        <v>0</v>
      </c>
      <c r="BK283" s="46">
        <f t="shared" ref="BK283:BK317" si="296">SUM(AN283,BF283)</f>
        <v>0</v>
      </c>
      <c r="BM283" s="49">
        <f t="shared" si="281"/>
        <v>0</v>
      </c>
      <c r="BN283" s="46">
        <f t="shared" ref="BN283:BN317" si="297">MAX(BN284/(1+H284) - (BJ284 + BK284/(1+H284)),0)</f>
        <v>0</v>
      </c>
      <c r="BP283" s="46">
        <f>Reserve!BX283</f>
        <v>0</v>
      </c>
      <c r="BQ283" s="46">
        <f t="shared" si="255"/>
        <v>0</v>
      </c>
      <c r="BR283" s="15">
        <f t="shared" si="282"/>
        <v>0</v>
      </c>
      <c r="BT283" s="49">
        <f t="shared" si="283"/>
        <v>0</v>
      </c>
      <c r="BU283" s="46">
        <f t="shared" si="256"/>
        <v>0</v>
      </c>
      <c r="BV283" s="46">
        <f>SUMPRODUCT(BU284:BU$605, $I284:$I$605) / $I283</f>
        <v>0</v>
      </c>
      <c r="BX283" s="46">
        <f>-BZ283*Others!$Q$43</f>
        <v>0</v>
      </c>
      <c r="BZ283" s="50">
        <f t="shared" si="241"/>
        <v>0</v>
      </c>
      <c r="CA283" s="46">
        <f t="shared" si="284"/>
        <v>0</v>
      </c>
      <c r="CB283" s="46">
        <f t="shared" si="257"/>
        <v>0</v>
      </c>
      <c r="CD283" s="46">
        <f>SUMPRODUCT(BZ284:BZ$605, $I284:$I$605) / $I283</f>
        <v>0</v>
      </c>
      <c r="CE283" s="46">
        <f>SUMPRODUCT(CA284:CA$605, $I284:$I$605) / $I283</f>
        <v>0</v>
      </c>
      <c r="CF283" s="46">
        <f>SUMPRODUCT(CB284:CB$605, $I284:$I$605) / $I283</f>
        <v>0</v>
      </c>
      <c r="CH283" s="46">
        <f t="shared" si="258"/>
        <v>0</v>
      </c>
      <c r="CI283" s="46">
        <f t="shared" si="259"/>
        <v>0</v>
      </c>
      <c r="CK283" s="46">
        <f>NPV((1+CK$3)^(1/12)-1,$CB$6:$CB283)+$CB$5</f>
        <v>1409.6963032385702</v>
      </c>
      <c r="CL283" s="46">
        <f>NPV((1+CL$3)^(1/12)-1,$CB$6:$CB283)+$CB$5</f>
        <v>1057.2060036590874</v>
      </c>
      <c r="CM283" s="46">
        <f>NPV((1+CM$3)^(1/12)-1,$CB$6:$CB283)+$CB$5</f>
        <v>462.64886026294084</v>
      </c>
      <c r="CN283" s="46">
        <f>NPV((1+CN$3)^(1/12)-1,$CB$6:$CB283)+$CB$5</f>
        <v>462.64886026294084</v>
      </c>
    </row>
    <row r="284" spans="1:92" x14ac:dyDescent="0.25">
      <c r="A284" s="61">
        <f t="shared" si="242"/>
        <v>23.24999999999994</v>
      </c>
      <c r="B284" s="32">
        <f t="shared" si="260"/>
        <v>3</v>
      </c>
      <c r="C284" s="62">
        <f t="shared" si="261"/>
        <v>24</v>
      </c>
      <c r="D284" s="64">
        <f t="shared" si="262"/>
        <v>23.74999999999994</v>
      </c>
      <c r="E284" s="28">
        <f t="shared" si="243"/>
        <v>23</v>
      </c>
      <c r="G284" s="68">
        <f>INDEX(Others!$D$11:$E$60, MATCH(C284, Others!$A$11:$A$60, 0), MATCH(G$3, Others!$D$10:$E$10, 0))</f>
        <v>4.0690909090909333E-2</v>
      </c>
      <c r="H284" s="16">
        <f t="shared" si="285"/>
        <v>3.329265421250005E-3</v>
      </c>
      <c r="I284" s="69">
        <f t="shared" si="286"/>
        <v>0.39561163973285213</v>
      </c>
      <c r="K284" s="80" t="e">
        <f>INDEX(Mortality!$B$7:$F$32, MATCH( E284,Mortality!$A$7:$A$32, 0), MATCH( K$3,Mortality!$B$6:$F$6,0))</f>
        <v>#N/A</v>
      </c>
      <c r="L284" s="11">
        <f t="shared" si="244"/>
        <v>0</v>
      </c>
      <c r="M284" s="80">
        <f t="shared" si="263"/>
        <v>0</v>
      </c>
      <c r="N284" s="76" t="e">
        <f>INDEX(Myopia!$H:$H, MATCH(E284, Myopia!$A:$A, 0)) * Trend_Factor^(A284)</f>
        <v>#N/A</v>
      </c>
      <c r="O284" s="11">
        <f t="shared" si="245"/>
        <v>0</v>
      </c>
      <c r="P284" s="80">
        <f t="shared" si="264"/>
        <v>0</v>
      </c>
      <c r="Q284" s="76">
        <f>VLOOKUP(C284,Others!$L$10:$M$61,2)</f>
        <v>0</v>
      </c>
      <c r="R284" s="11">
        <f t="shared" si="246"/>
        <v>0</v>
      </c>
      <c r="S284" s="80">
        <f t="shared" si="265"/>
        <v>0</v>
      </c>
      <c r="T284" s="78">
        <f t="shared" si="266"/>
        <v>0</v>
      </c>
      <c r="U284" s="81">
        <f t="shared" si="267"/>
        <v>0</v>
      </c>
      <c r="V284" s="81">
        <f t="shared" si="268"/>
        <v>0</v>
      </c>
      <c r="W284" s="77">
        <f t="shared" si="247"/>
        <v>0</v>
      </c>
      <c r="X284" s="82">
        <f t="shared" si="269"/>
        <v>0</v>
      </c>
      <c r="Y284" s="82">
        <f t="shared" si="270"/>
        <v>0</v>
      </c>
      <c r="Z284" s="82">
        <f t="shared" si="271"/>
        <v>0</v>
      </c>
      <c r="AA284" s="82">
        <f t="shared" si="272"/>
        <v>0</v>
      </c>
      <c r="AC284" s="46">
        <f t="shared" si="248"/>
        <v>0</v>
      </c>
      <c r="AD284" s="15">
        <f t="shared" si="249"/>
        <v>0</v>
      </c>
      <c r="AE284" s="46">
        <f t="shared" si="273"/>
        <v>0</v>
      </c>
      <c r="AF284" s="15">
        <f t="shared" si="274"/>
        <v>0</v>
      </c>
      <c r="AG284" s="46">
        <f>SUMPRODUCT(AE285:AE$605, $I284:$I$604) / $I284</f>
        <v>0</v>
      </c>
      <c r="AI284" s="46">
        <f t="shared" si="250"/>
        <v>0</v>
      </c>
      <c r="AJ284" s="46">
        <f>IF(E284&gt;Mat_Year,0,  -SUM($AD$5:AD284))</f>
        <v>0</v>
      </c>
      <c r="AK284" s="24">
        <f t="shared" si="275"/>
        <v>0</v>
      </c>
      <c r="AL284" s="79">
        <f t="shared" si="276"/>
        <v>0</v>
      </c>
      <c r="AM284" s="24">
        <f t="shared" si="277"/>
        <v>0</v>
      </c>
      <c r="AN284" s="79">
        <f t="shared" si="278"/>
        <v>0</v>
      </c>
      <c r="AO284" s="15">
        <f t="shared" si="279"/>
        <v>0</v>
      </c>
      <c r="AP284" s="46">
        <f>SUMPRODUCT(AN285:AN$605, $I285:$I$605) / $I284</f>
        <v>0</v>
      </c>
      <c r="AR284" s="46">
        <v>0</v>
      </c>
      <c r="AS284" s="46">
        <v>0</v>
      </c>
      <c r="AT284" s="46">
        <v>0</v>
      </c>
      <c r="AU284" s="95">
        <f t="shared" si="251"/>
        <v>0</v>
      </c>
      <c r="AV284" s="47">
        <f t="shared" si="252"/>
        <v>0</v>
      </c>
      <c r="AW284" s="96">
        <f t="shared" si="287"/>
        <v>0</v>
      </c>
      <c r="AX284" s="95">
        <f t="shared" si="253"/>
        <v>0</v>
      </c>
      <c r="AY284" s="11">
        <f t="shared" si="254"/>
        <v>0</v>
      </c>
      <c r="AZ284" s="96">
        <f t="shared" si="288"/>
        <v>0</v>
      </c>
      <c r="BA284" s="95">
        <f t="shared" si="289"/>
        <v>0</v>
      </c>
      <c r="BB284" s="64">
        <f t="shared" si="290"/>
        <v>0</v>
      </c>
      <c r="BC284" s="95">
        <f t="shared" si="291"/>
        <v>0</v>
      </c>
      <c r="BD284" s="96">
        <f t="shared" si="292"/>
        <v>0</v>
      </c>
      <c r="BE284" s="96">
        <f t="shared" si="293"/>
        <v>0</v>
      </c>
      <c r="BF284" s="96">
        <f t="shared" si="294"/>
        <v>0</v>
      </c>
      <c r="BG284" s="15">
        <f t="shared" si="280"/>
        <v>0</v>
      </c>
      <c r="BH284" s="46">
        <f>(SUMPRODUCT(BE285:BE$605,$I284:$I$604)+SUMPRODUCT(BF285:BF$605,$I285:$I$605)) / $I284</f>
        <v>0</v>
      </c>
      <c r="BJ284" s="46">
        <f t="shared" si="295"/>
        <v>0</v>
      </c>
      <c r="BK284" s="46">
        <f t="shared" si="296"/>
        <v>0</v>
      </c>
      <c r="BM284" s="49">
        <f t="shared" si="281"/>
        <v>0</v>
      </c>
      <c r="BN284" s="46">
        <f t="shared" si="297"/>
        <v>0</v>
      </c>
      <c r="BP284" s="46">
        <f>Reserve!BX284</f>
        <v>0</v>
      </c>
      <c r="BQ284" s="46">
        <f t="shared" si="255"/>
        <v>0</v>
      </c>
      <c r="BR284" s="15">
        <f t="shared" si="282"/>
        <v>0</v>
      </c>
      <c r="BT284" s="49">
        <f t="shared" si="283"/>
        <v>0</v>
      </c>
      <c r="BU284" s="46">
        <f t="shared" si="256"/>
        <v>0</v>
      </c>
      <c r="BV284" s="46">
        <f>SUMPRODUCT(BU285:BU$605, $I285:$I$605) / $I284</f>
        <v>0</v>
      </c>
      <c r="BX284" s="46">
        <f>-BZ284*Others!$Q$43</f>
        <v>0</v>
      </c>
      <c r="BZ284" s="50">
        <f t="shared" si="241"/>
        <v>0</v>
      </c>
      <c r="CA284" s="46">
        <f t="shared" si="284"/>
        <v>0</v>
      </c>
      <c r="CB284" s="46">
        <f t="shared" si="257"/>
        <v>0</v>
      </c>
      <c r="CD284" s="46">
        <f>SUMPRODUCT(BZ285:BZ$605, $I285:$I$605) / $I284</f>
        <v>0</v>
      </c>
      <c r="CE284" s="46">
        <f>SUMPRODUCT(CA285:CA$605, $I285:$I$605) / $I284</f>
        <v>0</v>
      </c>
      <c r="CF284" s="46">
        <f>SUMPRODUCT(CB285:CB$605, $I285:$I$605) / $I284</f>
        <v>0</v>
      </c>
      <c r="CH284" s="46">
        <f t="shared" si="258"/>
        <v>0</v>
      </c>
      <c r="CI284" s="46">
        <f t="shared" si="259"/>
        <v>0</v>
      </c>
      <c r="CK284" s="46">
        <f>NPV((1+CK$3)^(1/12)-1,$CB$6:$CB284)+$CB$5</f>
        <v>1409.6963032385702</v>
      </c>
      <c r="CL284" s="46">
        <f>NPV((1+CL$3)^(1/12)-1,$CB$6:$CB284)+$CB$5</f>
        <v>1057.2060036590874</v>
      </c>
      <c r="CM284" s="46">
        <f>NPV((1+CM$3)^(1/12)-1,$CB$6:$CB284)+$CB$5</f>
        <v>462.64886026294084</v>
      </c>
      <c r="CN284" s="46">
        <f>NPV((1+CN$3)^(1/12)-1,$CB$6:$CB284)+$CB$5</f>
        <v>462.64886026294084</v>
      </c>
    </row>
    <row r="285" spans="1:92" x14ac:dyDescent="0.25">
      <c r="A285" s="61">
        <f t="shared" si="242"/>
        <v>23.333333333333272</v>
      </c>
      <c r="B285" s="32">
        <f t="shared" si="260"/>
        <v>4</v>
      </c>
      <c r="C285" s="62">
        <f t="shared" si="261"/>
        <v>24</v>
      </c>
      <c r="D285" s="64">
        <f t="shared" si="262"/>
        <v>23.833333333333272</v>
      </c>
      <c r="E285" s="28">
        <f t="shared" si="243"/>
        <v>23</v>
      </c>
      <c r="G285" s="68">
        <f>INDEX(Others!$D$11:$E$60, MATCH(C285, Others!$A$11:$A$60, 0), MATCH(G$3, Others!$D$10:$E$10, 0))</f>
        <v>4.0690909090909333E-2</v>
      </c>
      <c r="H285" s="16">
        <f t="shared" si="285"/>
        <v>3.329265421250005E-3</v>
      </c>
      <c r="I285" s="69">
        <f t="shared" si="286"/>
        <v>0.39429891399285927</v>
      </c>
      <c r="K285" s="80" t="e">
        <f>INDEX(Mortality!$B$7:$F$32, MATCH( E285,Mortality!$A$7:$A$32, 0), MATCH( K$3,Mortality!$B$6:$F$6,0))</f>
        <v>#N/A</v>
      </c>
      <c r="L285" s="11">
        <f t="shared" si="244"/>
        <v>0</v>
      </c>
      <c r="M285" s="80">
        <f t="shared" si="263"/>
        <v>0</v>
      </c>
      <c r="N285" s="76" t="e">
        <f>INDEX(Myopia!$H:$H, MATCH(E285, Myopia!$A:$A, 0)) * Trend_Factor^(A285)</f>
        <v>#N/A</v>
      </c>
      <c r="O285" s="11">
        <f t="shared" si="245"/>
        <v>0</v>
      </c>
      <c r="P285" s="80">
        <f t="shared" si="264"/>
        <v>0</v>
      </c>
      <c r="Q285" s="76">
        <f>VLOOKUP(C285,Others!$L$10:$M$61,2)</f>
        <v>0</v>
      </c>
      <c r="R285" s="11">
        <f t="shared" si="246"/>
        <v>0</v>
      </c>
      <c r="S285" s="80">
        <f t="shared" si="265"/>
        <v>0</v>
      </c>
      <c r="T285" s="78">
        <f t="shared" si="266"/>
        <v>0</v>
      </c>
      <c r="U285" s="81">
        <f t="shared" si="267"/>
        <v>0</v>
      </c>
      <c r="V285" s="81">
        <f t="shared" si="268"/>
        <v>0</v>
      </c>
      <c r="W285" s="77">
        <f t="shared" si="247"/>
        <v>0</v>
      </c>
      <c r="X285" s="82">
        <f t="shared" si="269"/>
        <v>0</v>
      </c>
      <c r="Y285" s="82">
        <f t="shared" si="270"/>
        <v>0</v>
      </c>
      <c r="Z285" s="82">
        <f t="shared" si="271"/>
        <v>0</v>
      </c>
      <c r="AA285" s="82">
        <f t="shared" si="272"/>
        <v>0</v>
      </c>
      <c r="AC285" s="46">
        <f t="shared" si="248"/>
        <v>0</v>
      </c>
      <c r="AD285" s="15">
        <f t="shared" si="249"/>
        <v>0</v>
      </c>
      <c r="AE285" s="46">
        <f t="shared" si="273"/>
        <v>0</v>
      </c>
      <c r="AF285" s="15">
        <f t="shared" si="274"/>
        <v>0</v>
      </c>
      <c r="AG285" s="46">
        <f>SUMPRODUCT(AE286:AE$605, $I285:$I$604) / $I285</f>
        <v>0</v>
      </c>
      <c r="AI285" s="46">
        <f t="shared" si="250"/>
        <v>0</v>
      </c>
      <c r="AJ285" s="46">
        <f>IF(E285&gt;Mat_Year,0,  -SUM($AD$5:AD285))</f>
        <v>0</v>
      </c>
      <c r="AK285" s="24">
        <f t="shared" si="275"/>
        <v>0</v>
      </c>
      <c r="AL285" s="79">
        <f t="shared" si="276"/>
        <v>0</v>
      </c>
      <c r="AM285" s="24">
        <f t="shared" si="277"/>
        <v>0</v>
      </c>
      <c r="AN285" s="79">
        <f t="shared" si="278"/>
        <v>0</v>
      </c>
      <c r="AO285" s="15">
        <f t="shared" si="279"/>
        <v>0</v>
      </c>
      <c r="AP285" s="46">
        <f>SUMPRODUCT(AN286:AN$605, $I286:$I$605) / $I285</f>
        <v>0</v>
      </c>
      <c r="AR285" s="46">
        <v>0</v>
      </c>
      <c r="AS285" s="46">
        <v>0</v>
      </c>
      <c r="AT285" s="46">
        <v>0</v>
      </c>
      <c r="AU285" s="95">
        <f t="shared" si="251"/>
        <v>0</v>
      </c>
      <c r="AV285" s="47">
        <f t="shared" si="252"/>
        <v>0</v>
      </c>
      <c r="AW285" s="96">
        <f t="shared" si="287"/>
        <v>0</v>
      </c>
      <c r="AX285" s="95">
        <f t="shared" si="253"/>
        <v>0</v>
      </c>
      <c r="AY285" s="11">
        <f t="shared" si="254"/>
        <v>0</v>
      </c>
      <c r="AZ285" s="96">
        <f t="shared" si="288"/>
        <v>0</v>
      </c>
      <c r="BA285" s="95">
        <f t="shared" si="289"/>
        <v>0</v>
      </c>
      <c r="BB285" s="64">
        <f t="shared" si="290"/>
        <v>0</v>
      </c>
      <c r="BC285" s="95">
        <f t="shared" si="291"/>
        <v>0</v>
      </c>
      <c r="BD285" s="96">
        <f t="shared" si="292"/>
        <v>0</v>
      </c>
      <c r="BE285" s="96">
        <f t="shared" si="293"/>
        <v>0</v>
      </c>
      <c r="BF285" s="96">
        <f t="shared" si="294"/>
        <v>0</v>
      </c>
      <c r="BG285" s="15">
        <f t="shared" si="280"/>
        <v>0</v>
      </c>
      <c r="BH285" s="46">
        <f>(SUMPRODUCT(BE286:BE$605,$I285:$I$604)+SUMPRODUCT(BF286:BF$605,$I286:$I$605)) / $I285</f>
        <v>0</v>
      </c>
      <c r="BJ285" s="46">
        <f t="shared" si="295"/>
        <v>0</v>
      </c>
      <c r="BK285" s="46">
        <f t="shared" si="296"/>
        <v>0</v>
      </c>
      <c r="BM285" s="49">
        <f t="shared" si="281"/>
        <v>0</v>
      </c>
      <c r="BN285" s="46">
        <f t="shared" si="297"/>
        <v>0</v>
      </c>
      <c r="BP285" s="46">
        <f>Reserve!BX285</f>
        <v>0</v>
      </c>
      <c r="BQ285" s="46">
        <f t="shared" si="255"/>
        <v>0</v>
      </c>
      <c r="BR285" s="15">
        <f t="shared" si="282"/>
        <v>0</v>
      </c>
      <c r="BT285" s="49">
        <f t="shared" si="283"/>
        <v>0</v>
      </c>
      <c r="BU285" s="46">
        <f t="shared" si="256"/>
        <v>0</v>
      </c>
      <c r="BV285" s="46">
        <f>SUMPRODUCT(BU286:BU$605, $I286:$I$605) / $I285</f>
        <v>0</v>
      </c>
      <c r="BX285" s="46">
        <f>-BZ285*Others!$Q$43</f>
        <v>0</v>
      </c>
      <c r="BZ285" s="50">
        <f t="shared" si="241"/>
        <v>0</v>
      </c>
      <c r="CA285" s="46">
        <f t="shared" si="284"/>
        <v>0</v>
      </c>
      <c r="CB285" s="46">
        <f t="shared" si="257"/>
        <v>0</v>
      </c>
      <c r="CD285" s="46">
        <f>SUMPRODUCT(BZ286:BZ$605, $I286:$I$605) / $I285</f>
        <v>0</v>
      </c>
      <c r="CE285" s="46">
        <f>SUMPRODUCT(CA286:CA$605, $I286:$I$605) / $I285</f>
        <v>0</v>
      </c>
      <c r="CF285" s="46">
        <f>SUMPRODUCT(CB286:CB$605, $I286:$I$605) / $I285</f>
        <v>0</v>
      </c>
      <c r="CH285" s="46">
        <f t="shared" si="258"/>
        <v>0</v>
      </c>
      <c r="CI285" s="46">
        <f t="shared" si="259"/>
        <v>0</v>
      </c>
      <c r="CK285" s="46">
        <f>NPV((1+CK$3)^(1/12)-1,$CB$6:$CB285)+$CB$5</f>
        <v>1409.6963032385702</v>
      </c>
      <c r="CL285" s="46">
        <f>NPV((1+CL$3)^(1/12)-1,$CB$6:$CB285)+$CB$5</f>
        <v>1057.2060036590874</v>
      </c>
      <c r="CM285" s="46">
        <f>NPV((1+CM$3)^(1/12)-1,$CB$6:$CB285)+$CB$5</f>
        <v>462.64886026294084</v>
      </c>
      <c r="CN285" s="46">
        <f>NPV((1+CN$3)^(1/12)-1,$CB$6:$CB285)+$CB$5</f>
        <v>462.64886026294084</v>
      </c>
    </row>
    <row r="286" spans="1:92" x14ac:dyDescent="0.25">
      <c r="A286" s="61">
        <f t="shared" si="242"/>
        <v>23.416666666666604</v>
      </c>
      <c r="B286" s="32">
        <f t="shared" si="260"/>
        <v>5</v>
      </c>
      <c r="C286" s="62">
        <f t="shared" si="261"/>
        <v>24</v>
      </c>
      <c r="D286" s="64">
        <f t="shared" si="262"/>
        <v>23.916666666666604</v>
      </c>
      <c r="E286" s="28">
        <f t="shared" si="243"/>
        <v>23</v>
      </c>
      <c r="G286" s="68">
        <f>INDEX(Others!$D$11:$E$60, MATCH(C286, Others!$A$11:$A$60, 0), MATCH(G$3, Others!$D$10:$E$10, 0))</f>
        <v>4.0690909090909333E-2</v>
      </c>
      <c r="H286" s="16">
        <f t="shared" si="285"/>
        <v>3.329265421250005E-3</v>
      </c>
      <c r="I286" s="69">
        <f t="shared" si="286"/>
        <v>0.39299054416329815</v>
      </c>
      <c r="K286" s="80" t="e">
        <f>INDEX(Mortality!$B$7:$F$32, MATCH( E286,Mortality!$A$7:$A$32, 0), MATCH( K$3,Mortality!$B$6:$F$6,0))</f>
        <v>#N/A</v>
      </c>
      <c r="L286" s="11">
        <f t="shared" si="244"/>
        <v>0</v>
      </c>
      <c r="M286" s="80">
        <f t="shared" si="263"/>
        <v>0</v>
      </c>
      <c r="N286" s="76" t="e">
        <f>INDEX(Myopia!$H:$H, MATCH(E286, Myopia!$A:$A, 0)) * Trend_Factor^(A286)</f>
        <v>#N/A</v>
      </c>
      <c r="O286" s="11">
        <f t="shared" si="245"/>
        <v>0</v>
      </c>
      <c r="P286" s="80">
        <f t="shared" si="264"/>
        <v>0</v>
      </c>
      <c r="Q286" s="76">
        <f>VLOOKUP(C286,Others!$L$10:$M$61,2)</f>
        <v>0</v>
      </c>
      <c r="R286" s="11">
        <f t="shared" si="246"/>
        <v>0</v>
      </c>
      <c r="S286" s="80">
        <f t="shared" si="265"/>
        <v>0</v>
      </c>
      <c r="T286" s="78">
        <f t="shared" si="266"/>
        <v>0</v>
      </c>
      <c r="U286" s="81">
        <f t="shared" si="267"/>
        <v>0</v>
      </c>
      <c r="V286" s="81">
        <f t="shared" si="268"/>
        <v>0</v>
      </c>
      <c r="W286" s="77">
        <f t="shared" si="247"/>
        <v>0</v>
      </c>
      <c r="X286" s="82">
        <f t="shared" si="269"/>
        <v>0</v>
      </c>
      <c r="Y286" s="82">
        <f t="shared" si="270"/>
        <v>0</v>
      </c>
      <c r="Z286" s="82">
        <f t="shared" si="271"/>
        <v>0</v>
      </c>
      <c r="AA286" s="82">
        <f t="shared" si="272"/>
        <v>0</v>
      </c>
      <c r="AC286" s="46">
        <f t="shared" si="248"/>
        <v>0</v>
      </c>
      <c r="AD286" s="15">
        <f t="shared" si="249"/>
        <v>0</v>
      </c>
      <c r="AE286" s="46">
        <f t="shared" si="273"/>
        <v>0</v>
      </c>
      <c r="AF286" s="15">
        <f t="shared" si="274"/>
        <v>0</v>
      </c>
      <c r="AG286" s="46">
        <f>SUMPRODUCT(AE287:AE$605, $I286:$I$604) / $I286</f>
        <v>0</v>
      </c>
      <c r="AI286" s="46">
        <f t="shared" si="250"/>
        <v>0</v>
      </c>
      <c r="AJ286" s="46">
        <f>IF(E286&gt;Mat_Year,0,  -SUM($AD$5:AD286))</f>
        <v>0</v>
      </c>
      <c r="AK286" s="24">
        <f t="shared" si="275"/>
        <v>0</v>
      </c>
      <c r="AL286" s="79">
        <f t="shared" si="276"/>
        <v>0</v>
      </c>
      <c r="AM286" s="24">
        <f t="shared" si="277"/>
        <v>0</v>
      </c>
      <c r="AN286" s="79">
        <f t="shared" si="278"/>
        <v>0</v>
      </c>
      <c r="AO286" s="15">
        <f t="shared" si="279"/>
        <v>0</v>
      </c>
      <c r="AP286" s="46">
        <f>SUMPRODUCT(AN287:AN$605, $I287:$I$605) / $I286</f>
        <v>0</v>
      </c>
      <c r="AR286" s="46">
        <v>0</v>
      </c>
      <c r="AS286" s="46">
        <v>0</v>
      </c>
      <c r="AT286" s="46">
        <v>0</v>
      </c>
      <c r="AU286" s="95">
        <f t="shared" si="251"/>
        <v>0</v>
      </c>
      <c r="AV286" s="47">
        <f t="shared" si="252"/>
        <v>0</v>
      </c>
      <c r="AW286" s="96">
        <f t="shared" si="287"/>
        <v>0</v>
      </c>
      <c r="AX286" s="95">
        <f t="shared" si="253"/>
        <v>0</v>
      </c>
      <c r="AY286" s="11">
        <f t="shared" si="254"/>
        <v>0</v>
      </c>
      <c r="AZ286" s="96">
        <f t="shared" si="288"/>
        <v>0</v>
      </c>
      <c r="BA286" s="95">
        <f t="shared" si="289"/>
        <v>0</v>
      </c>
      <c r="BB286" s="64">
        <f t="shared" si="290"/>
        <v>0</v>
      </c>
      <c r="BC286" s="95">
        <f t="shared" si="291"/>
        <v>0</v>
      </c>
      <c r="BD286" s="96">
        <f t="shared" si="292"/>
        <v>0</v>
      </c>
      <c r="BE286" s="96">
        <f t="shared" si="293"/>
        <v>0</v>
      </c>
      <c r="BF286" s="96">
        <f t="shared" si="294"/>
        <v>0</v>
      </c>
      <c r="BG286" s="15">
        <f t="shared" si="280"/>
        <v>0</v>
      </c>
      <c r="BH286" s="46">
        <f>(SUMPRODUCT(BE287:BE$605,$I286:$I$604)+SUMPRODUCT(BF287:BF$605,$I287:$I$605)) / $I286</f>
        <v>0</v>
      </c>
      <c r="BJ286" s="46">
        <f t="shared" si="295"/>
        <v>0</v>
      </c>
      <c r="BK286" s="46">
        <f t="shared" si="296"/>
        <v>0</v>
      </c>
      <c r="BM286" s="49">
        <f t="shared" si="281"/>
        <v>0</v>
      </c>
      <c r="BN286" s="46">
        <f t="shared" si="297"/>
        <v>0</v>
      </c>
      <c r="BP286" s="46">
        <f>Reserve!BX286</f>
        <v>0</v>
      </c>
      <c r="BQ286" s="46">
        <f t="shared" si="255"/>
        <v>0</v>
      </c>
      <c r="BR286" s="15">
        <f t="shared" si="282"/>
        <v>0</v>
      </c>
      <c r="BT286" s="49">
        <f t="shared" si="283"/>
        <v>0</v>
      </c>
      <c r="BU286" s="46">
        <f t="shared" si="256"/>
        <v>0</v>
      </c>
      <c r="BV286" s="46">
        <f>SUMPRODUCT(BU287:BU$605, $I287:$I$605) / $I286</f>
        <v>0</v>
      </c>
      <c r="BX286" s="46">
        <f>-BZ286*Others!$Q$43</f>
        <v>0</v>
      </c>
      <c r="BZ286" s="50">
        <f t="shared" si="241"/>
        <v>0</v>
      </c>
      <c r="CA286" s="46">
        <f t="shared" si="284"/>
        <v>0</v>
      </c>
      <c r="CB286" s="46">
        <f t="shared" si="257"/>
        <v>0</v>
      </c>
      <c r="CD286" s="46">
        <f>SUMPRODUCT(BZ287:BZ$605, $I287:$I$605) / $I286</f>
        <v>0</v>
      </c>
      <c r="CE286" s="46">
        <f>SUMPRODUCT(CA287:CA$605, $I287:$I$605) / $I286</f>
        <v>0</v>
      </c>
      <c r="CF286" s="46">
        <f>SUMPRODUCT(CB287:CB$605, $I287:$I$605) / $I286</f>
        <v>0</v>
      </c>
      <c r="CH286" s="46">
        <f t="shared" si="258"/>
        <v>0</v>
      </c>
      <c r="CI286" s="46">
        <f t="shared" si="259"/>
        <v>0</v>
      </c>
      <c r="CK286" s="46">
        <f>NPV((1+CK$3)^(1/12)-1,$CB$6:$CB286)+$CB$5</f>
        <v>1409.6963032385702</v>
      </c>
      <c r="CL286" s="46">
        <f>NPV((1+CL$3)^(1/12)-1,$CB$6:$CB286)+$CB$5</f>
        <v>1057.2060036590874</v>
      </c>
      <c r="CM286" s="46">
        <f>NPV((1+CM$3)^(1/12)-1,$CB$6:$CB286)+$CB$5</f>
        <v>462.64886026294084</v>
      </c>
      <c r="CN286" s="46">
        <f>NPV((1+CN$3)^(1/12)-1,$CB$6:$CB286)+$CB$5</f>
        <v>462.64886026294084</v>
      </c>
    </row>
    <row r="287" spans="1:92" x14ac:dyDescent="0.25">
      <c r="A287" s="61">
        <f t="shared" si="242"/>
        <v>23.499999999999936</v>
      </c>
      <c r="B287" s="32">
        <f t="shared" si="260"/>
        <v>6</v>
      </c>
      <c r="C287" s="62">
        <f t="shared" si="261"/>
        <v>24</v>
      </c>
      <c r="D287" s="64">
        <f t="shared" si="262"/>
        <v>23.999999999999936</v>
      </c>
      <c r="E287" s="28">
        <f t="shared" si="243"/>
        <v>24</v>
      </c>
      <c r="G287" s="68">
        <f>INDEX(Others!$D$11:$E$60, MATCH(C287, Others!$A$11:$A$60, 0), MATCH(G$3, Others!$D$10:$E$10, 0))</f>
        <v>4.0690909090909333E-2</v>
      </c>
      <c r="H287" s="16">
        <f t="shared" si="285"/>
        <v>3.329265421250005E-3</v>
      </c>
      <c r="I287" s="69">
        <f t="shared" si="286"/>
        <v>0.39168651579030761</v>
      </c>
      <c r="K287" s="80" t="e">
        <f>INDEX(Mortality!$B$7:$F$32, MATCH( E287,Mortality!$A$7:$A$32, 0), MATCH( K$3,Mortality!$B$6:$F$6,0))</f>
        <v>#N/A</v>
      </c>
      <c r="L287" s="11">
        <f t="shared" si="244"/>
        <v>0</v>
      </c>
      <c r="M287" s="80">
        <f t="shared" si="263"/>
        <v>0</v>
      </c>
      <c r="N287" s="76" t="e">
        <f>INDEX(Myopia!$H:$H, MATCH(E287, Myopia!$A:$A, 0)) * Trend_Factor^(A287)</f>
        <v>#N/A</v>
      </c>
      <c r="O287" s="11">
        <f t="shared" si="245"/>
        <v>0</v>
      </c>
      <c r="P287" s="80">
        <f t="shared" si="264"/>
        <v>0</v>
      </c>
      <c r="Q287" s="76">
        <f>VLOOKUP(C287,Others!$L$10:$M$61,2)</f>
        <v>0</v>
      </c>
      <c r="R287" s="11">
        <f t="shared" si="246"/>
        <v>0</v>
      </c>
      <c r="S287" s="80">
        <f t="shared" si="265"/>
        <v>0</v>
      </c>
      <c r="T287" s="78">
        <f t="shared" si="266"/>
        <v>0</v>
      </c>
      <c r="U287" s="81">
        <f t="shared" si="267"/>
        <v>0</v>
      </c>
      <c r="V287" s="81">
        <f t="shared" si="268"/>
        <v>0</v>
      </c>
      <c r="W287" s="77">
        <f t="shared" si="247"/>
        <v>0</v>
      </c>
      <c r="X287" s="82">
        <f t="shared" si="269"/>
        <v>0</v>
      </c>
      <c r="Y287" s="82">
        <f t="shared" si="270"/>
        <v>0</v>
      </c>
      <c r="Z287" s="82">
        <f t="shared" si="271"/>
        <v>0</v>
      </c>
      <c r="AA287" s="82">
        <f t="shared" si="272"/>
        <v>0</v>
      </c>
      <c r="AC287" s="46">
        <f t="shared" si="248"/>
        <v>0</v>
      </c>
      <c r="AD287" s="15">
        <f t="shared" si="249"/>
        <v>0</v>
      </c>
      <c r="AE287" s="46">
        <f t="shared" si="273"/>
        <v>0</v>
      </c>
      <c r="AF287" s="15">
        <f t="shared" si="274"/>
        <v>0</v>
      </c>
      <c r="AG287" s="46">
        <f>SUMPRODUCT(AE288:AE$605, $I287:$I$604) / $I287</f>
        <v>0</v>
      </c>
      <c r="AI287" s="46">
        <f t="shared" si="250"/>
        <v>0</v>
      </c>
      <c r="AJ287" s="46">
        <f>IF(E287&gt;Mat_Year,0,  -SUM($AD$5:AD287))</f>
        <v>0</v>
      </c>
      <c r="AK287" s="24">
        <f t="shared" si="275"/>
        <v>0</v>
      </c>
      <c r="AL287" s="79">
        <f t="shared" si="276"/>
        <v>0</v>
      </c>
      <c r="AM287" s="24">
        <f t="shared" si="277"/>
        <v>0</v>
      </c>
      <c r="AN287" s="79">
        <f t="shared" si="278"/>
        <v>0</v>
      </c>
      <c r="AO287" s="15">
        <f t="shared" si="279"/>
        <v>0</v>
      </c>
      <c r="AP287" s="46">
        <f>SUMPRODUCT(AN288:AN$605, $I288:$I$605) / $I287</f>
        <v>0</v>
      </c>
      <c r="AR287" s="46">
        <v>0</v>
      </c>
      <c r="AS287" s="46">
        <v>0</v>
      </c>
      <c r="AT287" s="46">
        <v>0</v>
      </c>
      <c r="AU287" s="95">
        <f t="shared" si="251"/>
        <v>0</v>
      </c>
      <c r="AV287" s="47">
        <f t="shared" si="252"/>
        <v>0</v>
      </c>
      <c r="AW287" s="96">
        <f t="shared" si="287"/>
        <v>0</v>
      </c>
      <c r="AX287" s="95">
        <f t="shared" si="253"/>
        <v>0</v>
      </c>
      <c r="AY287" s="11">
        <f t="shared" si="254"/>
        <v>0</v>
      </c>
      <c r="AZ287" s="96">
        <f t="shared" si="288"/>
        <v>0</v>
      </c>
      <c r="BA287" s="95">
        <f t="shared" si="289"/>
        <v>0</v>
      </c>
      <c r="BB287" s="64">
        <f t="shared" si="290"/>
        <v>0</v>
      </c>
      <c r="BC287" s="95">
        <f t="shared" si="291"/>
        <v>0</v>
      </c>
      <c r="BD287" s="96">
        <f t="shared" si="292"/>
        <v>0</v>
      </c>
      <c r="BE287" s="96">
        <f t="shared" si="293"/>
        <v>0</v>
      </c>
      <c r="BF287" s="96">
        <f t="shared" si="294"/>
        <v>0</v>
      </c>
      <c r="BG287" s="15">
        <f t="shared" si="280"/>
        <v>0</v>
      </c>
      <c r="BH287" s="46">
        <f>(SUMPRODUCT(BE288:BE$605,$I287:$I$604)+SUMPRODUCT(BF288:BF$605,$I288:$I$605)) / $I287</f>
        <v>0</v>
      </c>
      <c r="BJ287" s="46">
        <f t="shared" si="295"/>
        <v>0</v>
      </c>
      <c r="BK287" s="46">
        <f t="shared" si="296"/>
        <v>0</v>
      </c>
      <c r="BM287" s="49">
        <f t="shared" si="281"/>
        <v>0</v>
      </c>
      <c r="BN287" s="46">
        <f t="shared" si="297"/>
        <v>0</v>
      </c>
      <c r="BP287" s="46">
        <f>Reserve!BX287</f>
        <v>0</v>
      </c>
      <c r="BQ287" s="46">
        <f t="shared" si="255"/>
        <v>0</v>
      </c>
      <c r="BR287" s="15">
        <f t="shared" si="282"/>
        <v>0</v>
      </c>
      <c r="BT287" s="49">
        <f t="shared" si="283"/>
        <v>0</v>
      </c>
      <c r="BU287" s="46">
        <f t="shared" si="256"/>
        <v>0</v>
      </c>
      <c r="BV287" s="46">
        <f>SUMPRODUCT(BU288:BU$605, $I288:$I$605) / $I287</f>
        <v>0</v>
      </c>
      <c r="BX287" s="46">
        <f>-BZ287*Others!$Q$43</f>
        <v>0</v>
      </c>
      <c r="BZ287" s="50">
        <f t="shared" si="241"/>
        <v>0</v>
      </c>
      <c r="CA287" s="46">
        <f t="shared" si="284"/>
        <v>0</v>
      </c>
      <c r="CB287" s="46">
        <f t="shared" si="257"/>
        <v>0</v>
      </c>
      <c r="CD287" s="46">
        <f>SUMPRODUCT(BZ288:BZ$605, $I288:$I$605) / $I287</f>
        <v>0</v>
      </c>
      <c r="CE287" s="46">
        <f>SUMPRODUCT(CA288:CA$605, $I288:$I$605) / $I287</f>
        <v>0</v>
      </c>
      <c r="CF287" s="46">
        <f>SUMPRODUCT(CB288:CB$605, $I288:$I$605) / $I287</f>
        <v>0</v>
      </c>
      <c r="CH287" s="46">
        <f t="shared" si="258"/>
        <v>0</v>
      </c>
      <c r="CI287" s="46">
        <f t="shared" si="259"/>
        <v>0</v>
      </c>
      <c r="CK287" s="46">
        <f>NPV((1+CK$3)^(1/12)-1,$CB$6:$CB287)+$CB$5</f>
        <v>1409.6963032385702</v>
      </c>
      <c r="CL287" s="46">
        <f>NPV((1+CL$3)^(1/12)-1,$CB$6:$CB287)+$CB$5</f>
        <v>1057.2060036590874</v>
      </c>
      <c r="CM287" s="46">
        <f>NPV((1+CM$3)^(1/12)-1,$CB$6:$CB287)+$CB$5</f>
        <v>462.64886026294084</v>
      </c>
      <c r="CN287" s="46">
        <f>NPV((1+CN$3)^(1/12)-1,$CB$6:$CB287)+$CB$5</f>
        <v>462.64886026294084</v>
      </c>
    </row>
    <row r="288" spans="1:92" x14ac:dyDescent="0.25">
      <c r="A288" s="61">
        <f t="shared" si="242"/>
        <v>23.583333333333268</v>
      </c>
      <c r="B288" s="32">
        <f t="shared" si="260"/>
        <v>7</v>
      </c>
      <c r="C288" s="62">
        <f t="shared" si="261"/>
        <v>24</v>
      </c>
      <c r="D288" s="64">
        <f t="shared" si="262"/>
        <v>24.083333333333268</v>
      </c>
      <c r="E288" s="28">
        <f t="shared" si="243"/>
        <v>24</v>
      </c>
      <c r="G288" s="68">
        <f>INDEX(Others!$D$11:$E$60, MATCH(C288, Others!$A$11:$A$60, 0), MATCH(G$3, Others!$D$10:$E$10, 0))</f>
        <v>4.0690909090909333E-2</v>
      </c>
      <c r="H288" s="16">
        <f t="shared" si="285"/>
        <v>3.329265421250005E-3</v>
      </c>
      <c r="I288" s="69">
        <f t="shared" si="286"/>
        <v>0.3903868144679874</v>
      </c>
      <c r="K288" s="80" t="e">
        <f>INDEX(Mortality!$B$7:$F$32, MATCH( E288,Mortality!$A$7:$A$32, 0), MATCH( K$3,Mortality!$B$6:$F$6,0))</f>
        <v>#N/A</v>
      </c>
      <c r="L288" s="11">
        <f t="shared" si="244"/>
        <v>0</v>
      </c>
      <c r="M288" s="80">
        <f t="shared" si="263"/>
        <v>0</v>
      </c>
      <c r="N288" s="76" t="e">
        <f>INDEX(Myopia!$H:$H, MATCH(E288, Myopia!$A:$A, 0)) * Trend_Factor^(A288)</f>
        <v>#N/A</v>
      </c>
      <c r="O288" s="11">
        <f t="shared" si="245"/>
        <v>0</v>
      </c>
      <c r="P288" s="80">
        <f t="shared" si="264"/>
        <v>0</v>
      </c>
      <c r="Q288" s="76">
        <f>VLOOKUP(C288,Others!$L$10:$M$61,2)</f>
        <v>0</v>
      </c>
      <c r="R288" s="11">
        <f t="shared" si="246"/>
        <v>0</v>
      </c>
      <c r="S288" s="80">
        <f t="shared" si="265"/>
        <v>0</v>
      </c>
      <c r="T288" s="78">
        <f t="shared" si="266"/>
        <v>0</v>
      </c>
      <c r="U288" s="81">
        <f t="shared" si="267"/>
        <v>0</v>
      </c>
      <c r="V288" s="81">
        <f t="shared" si="268"/>
        <v>0</v>
      </c>
      <c r="W288" s="77">
        <f t="shared" si="247"/>
        <v>0</v>
      </c>
      <c r="X288" s="82">
        <f t="shared" si="269"/>
        <v>0</v>
      </c>
      <c r="Y288" s="82">
        <f t="shared" si="270"/>
        <v>0</v>
      </c>
      <c r="Z288" s="82">
        <f t="shared" si="271"/>
        <v>0</v>
      </c>
      <c r="AA288" s="82">
        <f t="shared" si="272"/>
        <v>0</v>
      </c>
      <c r="AC288" s="46">
        <f t="shared" si="248"/>
        <v>0</v>
      </c>
      <c r="AD288" s="15">
        <f t="shared" si="249"/>
        <v>0</v>
      </c>
      <c r="AE288" s="46">
        <f t="shared" si="273"/>
        <v>0</v>
      </c>
      <c r="AF288" s="15">
        <f t="shared" si="274"/>
        <v>0</v>
      </c>
      <c r="AG288" s="46">
        <f>SUMPRODUCT(AE289:AE$605, $I288:$I$604) / $I288</f>
        <v>0</v>
      </c>
      <c r="AI288" s="46">
        <f t="shared" si="250"/>
        <v>0</v>
      </c>
      <c r="AJ288" s="46">
        <f>IF(E288&gt;Mat_Year,0,  -SUM($AD$5:AD288))</f>
        <v>0</v>
      </c>
      <c r="AK288" s="24">
        <f t="shared" si="275"/>
        <v>0</v>
      </c>
      <c r="AL288" s="79">
        <f t="shared" si="276"/>
        <v>0</v>
      </c>
      <c r="AM288" s="24">
        <f t="shared" si="277"/>
        <v>0</v>
      </c>
      <c r="AN288" s="79">
        <f t="shared" si="278"/>
        <v>0</v>
      </c>
      <c r="AO288" s="15">
        <f t="shared" si="279"/>
        <v>0</v>
      </c>
      <c r="AP288" s="46">
        <f>SUMPRODUCT(AN289:AN$605, $I289:$I$605) / $I288</f>
        <v>0</v>
      </c>
      <c r="AR288" s="46">
        <v>0</v>
      </c>
      <c r="AS288" s="46">
        <v>0</v>
      </c>
      <c r="AT288" s="46">
        <v>0</v>
      </c>
      <c r="AU288" s="95">
        <f t="shared" si="251"/>
        <v>0</v>
      </c>
      <c r="AV288" s="47">
        <f t="shared" si="252"/>
        <v>0</v>
      </c>
      <c r="AW288" s="96">
        <f t="shared" si="287"/>
        <v>0</v>
      </c>
      <c r="AX288" s="95">
        <f t="shared" si="253"/>
        <v>0</v>
      </c>
      <c r="AY288" s="11">
        <f t="shared" si="254"/>
        <v>0</v>
      </c>
      <c r="AZ288" s="96">
        <f t="shared" si="288"/>
        <v>0</v>
      </c>
      <c r="BA288" s="95">
        <f t="shared" si="289"/>
        <v>0</v>
      </c>
      <c r="BB288" s="64">
        <f t="shared" si="290"/>
        <v>0</v>
      </c>
      <c r="BC288" s="95">
        <f t="shared" si="291"/>
        <v>0</v>
      </c>
      <c r="BD288" s="96">
        <f t="shared" si="292"/>
        <v>0</v>
      </c>
      <c r="BE288" s="96">
        <f t="shared" si="293"/>
        <v>0</v>
      </c>
      <c r="BF288" s="96">
        <f t="shared" si="294"/>
        <v>0</v>
      </c>
      <c r="BG288" s="15">
        <f t="shared" si="280"/>
        <v>0</v>
      </c>
      <c r="BH288" s="46">
        <f>(SUMPRODUCT(BE289:BE$605,$I288:$I$604)+SUMPRODUCT(BF289:BF$605,$I289:$I$605)) / $I288</f>
        <v>0</v>
      </c>
      <c r="BJ288" s="46">
        <f t="shared" si="295"/>
        <v>0</v>
      </c>
      <c r="BK288" s="46">
        <f t="shared" si="296"/>
        <v>0</v>
      </c>
      <c r="BM288" s="49">
        <f t="shared" si="281"/>
        <v>0</v>
      </c>
      <c r="BN288" s="46">
        <f t="shared" si="297"/>
        <v>0</v>
      </c>
      <c r="BP288" s="46">
        <f>Reserve!BX288</f>
        <v>0</v>
      </c>
      <c r="BQ288" s="46">
        <f t="shared" si="255"/>
        <v>0</v>
      </c>
      <c r="BR288" s="15">
        <f t="shared" si="282"/>
        <v>0</v>
      </c>
      <c r="BT288" s="49">
        <f t="shared" si="283"/>
        <v>0</v>
      </c>
      <c r="BU288" s="46">
        <f t="shared" si="256"/>
        <v>0</v>
      </c>
      <c r="BV288" s="46">
        <f>SUMPRODUCT(BU289:BU$605, $I289:$I$605) / $I288</f>
        <v>0</v>
      </c>
      <c r="BX288" s="46">
        <f>-BZ288*Others!$Q$43</f>
        <v>0</v>
      </c>
      <c r="BZ288" s="50">
        <f t="shared" si="241"/>
        <v>0</v>
      </c>
      <c r="CA288" s="46">
        <f t="shared" si="284"/>
        <v>0</v>
      </c>
      <c r="CB288" s="46">
        <f t="shared" si="257"/>
        <v>0</v>
      </c>
      <c r="CD288" s="46">
        <f>SUMPRODUCT(BZ289:BZ$605, $I289:$I$605) / $I288</f>
        <v>0</v>
      </c>
      <c r="CE288" s="46">
        <f>SUMPRODUCT(CA289:CA$605, $I289:$I$605) / $I288</f>
        <v>0</v>
      </c>
      <c r="CF288" s="46">
        <f>SUMPRODUCT(CB289:CB$605, $I289:$I$605) / $I288</f>
        <v>0</v>
      </c>
      <c r="CH288" s="46">
        <f t="shared" si="258"/>
        <v>0</v>
      </c>
      <c r="CI288" s="46">
        <f t="shared" si="259"/>
        <v>0</v>
      </c>
      <c r="CK288" s="46">
        <f>NPV((1+CK$3)^(1/12)-1,$CB$6:$CB288)+$CB$5</f>
        <v>1409.6963032385702</v>
      </c>
      <c r="CL288" s="46">
        <f>NPV((1+CL$3)^(1/12)-1,$CB$6:$CB288)+$CB$5</f>
        <v>1057.2060036590874</v>
      </c>
      <c r="CM288" s="46">
        <f>NPV((1+CM$3)^(1/12)-1,$CB$6:$CB288)+$CB$5</f>
        <v>462.64886026294084</v>
      </c>
      <c r="CN288" s="46">
        <f>NPV((1+CN$3)^(1/12)-1,$CB$6:$CB288)+$CB$5</f>
        <v>462.64886026294084</v>
      </c>
    </row>
    <row r="289" spans="1:92" x14ac:dyDescent="0.25">
      <c r="A289" s="61">
        <f t="shared" si="242"/>
        <v>23.6666666666666</v>
      </c>
      <c r="B289" s="32">
        <f t="shared" si="260"/>
        <v>8</v>
      </c>
      <c r="C289" s="62">
        <f t="shared" si="261"/>
        <v>24</v>
      </c>
      <c r="D289" s="64">
        <f t="shared" si="262"/>
        <v>24.1666666666666</v>
      </c>
      <c r="E289" s="28">
        <f t="shared" si="243"/>
        <v>24</v>
      </c>
      <c r="G289" s="68">
        <f>INDEX(Others!$D$11:$E$60, MATCH(C289, Others!$A$11:$A$60, 0), MATCH(G$3, Others!$D$10:$E$10, 0))</f>
        <v>4.0690909090909333E-2</v>
      </c>
      <c r="H289" s="16">
        <f t="shared" si="285"/>
        <v>3.329265421250005E-3</v>
      </c>
      <c r="I289" s="69">
        <f t="shared" si="286"/>
        <v>0.3890914258382393</v>
      </c>
      <c r="K289" s="80" t="e">
        <f>INDEX(Mortality!$B$7:$F$32, MATCH( E289,Mortality!$A$7:$A$32, 0), MATCH( K$3,Mortality!$B$6:$F$6,0))</f>
        <v>#N/A</v>
      </c>
      <c r="L289" s="11">
        <f t="shared" si="244"/>
        <v>0</v>
      </c>
      <c r="M289" s="80">
        <f t="shared" si="263"/>
        <v>0</v>
      </c>
      <c r="N289" s="76" t="e">
        <f>INDEX(Myopia!$H:$H, MATCH(E289, Myopia!$A:$A, 0)) * Trend_Factor^(A289)</f>
        <v>#N/A</v>
      </c>
      <c r="O289" s="11">
        <f t="shared" si="245"/>
        <v>0</v>
      </c>
      <c r="P289" s="80">
        <f t="shared" si="264"/>
        <v>0</v>
      </c>
      <c r="Q289" s="76">
        <f>VLOOKUP(C289,Others!$L$10:$M$61,2)</f>
        <v>0</v>
      </c>
      <c r="R289" s="11">
        <f t="shared" si="246"/>
        <v>0</v>
      </c>
      <c r="S289" s="80">
        <f t="shared" si="265"/>
        <v>0</v>
      </c>
      <c r="T289" s="78">
        <f t="shared" si="266"/>
        <v>0</v>
      </c>
      <c r="U289" s="81">
        <f t="shared" si="267"/>
        <v>0</v>
      </c>
      <c r="V289" s="81">
        <f t="shared" si="268"/>
        <v>0</v>
      </c>
      <c r="W289" s="77">
        <f t="shared" si="247"/>
        <v>0</v>
      </c>
      <c r="X289" s="82">
        <f t="shared" si="269"/>
        <v>0</v>
      </c>
      <c r="Y289" s="82">
        <f t="shared" si="270"/>
        <v>0</v>
      </c>
      <c r="Z289" s="82">
        <f t="shared" si="271"/>
        <v>0</v>
      </c>
      <c r="AA289" s="82">
        <f t="shared" si="272"/>
        <v>0</v>
      </c>
      <c r="AC289" s="46">
        <f t="shared" si="248"/>
        <v>0</v>
      </c>
      <c r="AD289" s="15">
        <f t="shared" si="249"/>
        <v>0</v>
      </c>
      <c r="AE289" s="46">
        <f t="shared" si="273"/>
        <v>0</v>
      </c>
      <c r="AF289" s="15">
        <f t="shared" si="274"/>
        <v>0</v>
      </c>
      <c r="AG289" s="46">
        <f>SUMPRODUCT(AE290:AE$605, $I289:$I$604) / $I289</f>
        <v>0</v>
      </c>
      <c r="AI289" s="46">
        <f t="shared" si="250"/>
        <v>0</v>
      </c>
      <c r="AJ289" s="46">
        <f>IF(E289&gt;Mat_Year,0,  -SUM($AD$5:AD289))</f>
        <v>0</v>
      </c>
      <c r="AK289" s="24">
        <f t="shared" si="275"/>
        <v>0</v>
      </c>
      <c r="AL289" s="79">
        <f t="shared" si="276"/>
        <v>0</v>
      </c>
      <c r="AM289" s="24">
        <f t="shared" si="277"/>
        <v>0</v>
      </c>
      <c r="AN289" s="79">
        <f t="shared" si="278"/>
        <v>0</v>
      </c>
      <c r="AO289" s="15">
        <f t="shared" si="279"/>
        <v>0</v>
      </c>
      <c r="AP289" s="46">
        <f>SUMPRODUCT(AN290:AN$605, $I290:$I$605) / $I289</f>
        <v>0</v>
      </c>
      <c r="AR289" s="46">
        <v>0</v>
      </c>
      <c r="AS289" s="46">
        <v>0</v>
      </c>
      <c r="AT289" s="46">
        <v>0</v>
      </c>
      <c r="AU289" s="95">
        <f t="shared" si="251"/>
        <v>0</v>
      </c>
      <c r="AV289" s="47">
        <f t="shared" si="252"/>
        <v>0</v>
      </c>
      <c r="AW289" s="96">
        <f t="shared" si="287"/>
        <v>0</v>
      </c>
      <c r="AX289" s="95">
        <f t="shared" si="253"/>
        <v>0</v>
      </c>
      <c r="AY289" s="11">
        <f t="shared" si="254"/>
        <v>0</v>
      </c>
      <c r="AZ289" s="96">
        <f t="shared" si="288"/>
        <v>0</v>
      </c>
      <c r="BA289" s="95">
        <f t="shared" si="289"/>
        <v>0</v>
      </c>
      <c r="BB289" s="64">
        <f t="shared" si="290"/>
        <v>0</v>
      </c>
      <c r="BC289" s="95">
        <f t="shared" si="291"/>
        <v>0</v>
      </c>
      <c r="BD289" s="96">
        <f t="shared" si="292"/>
        <v>0</v>
      </c>
      <c r="BE289" s="96">
        <f t="shared" si="293"/>
        <v>0</v>
      </c>
      <c r="BF289" s="96">
        <f t="shared" si="294"/>
        <v>0</v>
      </c>
      <c r="BG289" s="15">
        <f t="shared" si="280"/>
        <v>0</v>
      </c>
      <c r="BH289" s="46">
        <f>(SUMPRODUCT(BE290:BE$605,$I289:$I$604)+SUMPRODUCT(BF290:BF$605,$I290:$I$605)) / $I289</f>
        <v>0</v>
      </c>
      <c r="BJ289" s="46">
        <f t="shared" si="295"/>
        <v>0</v>
      </c>
      <c r="BK289" s="46">
        <f t="shared" si="296"/>
        <v>0</v>
      </c>
      <c r="BM289" s="49">
        <f t="shared" si="281"/>
        <v>0</v>
      </c>
      <c r="BN289" s="46">
        <f t="shared" si="297"/>
        <v>0</v>
      </c>
      <c r="BP289" s="46">
        <f>Reserve!BX289</f>
        <v>0</v>
      </c>
      <c r="BQ289" s="46">
        <f t="shared" si="255"/>
        <v>0</v>
      </c>
      <c r="BR289" s="15">
        <f t="shared" si="282"/>
        <v>0</v>
      </c>
      <c r="BT289" s="49">
        <f t="shared" si="283"/>
        <v>0</v>
      </c>
      <c r="BU289" s="46">
        <f t="shared" si="256"/>
        <v>0</v>
      </c>
      <c r="BV289" s="46">
        <f>SUMPRODUCT(BU290:BU$605, $I290:$I$605) / $I289</f>
        <v>0</v>
      </c>
      <c r="BX289" s="46">
        <f>-BZ289*Others!$Q$43</f>
        <v>0</v>
      </c>
      <c r="BZ289" s="50">
        <f t="shared" si="241"/>
        <v>0</v>
      </c>
      <c r="CA289" s="46">
        <f t="shared" si="284"/>
        <v>0</v>
      </c>
      <c r="CB289" s="46">
        <f t="shared" si="257"/>
        <v>0</v>
      </c>
      <c r="CD289" s="46">
        <f>SUMPRODUCT(BZ290:BZ$605, $I290:$I$605) / $I289</f>
        <v>0</v>
      </c>
      <c r="CE289" s="46">
        <f>SUMPRODUCT(CA290:CA$605, $I290:$I$605) / $I289</f>
        <v>0</v>
      </c>
      <c r="CF289" s="46">
        <f>SUMPRODUCT(CB290:CB$605, $I290:$I$605) / $I289</f>
        <v>0</v>
      </c>
      <c r="CH289" s="46">
        <f t="shared" si="258"/>
        <v>0</v>
      </c>
      <c r="CI289" s="46">
        <f t="shared" si="259"/>
        <v>0</v>
      </c>
      <c r="CK289" s="46">
        <f>NPV((1+CK$3)^(1/12)-1,$CB$6:$CB289)+$CB$5</f>
        <v>1409.6963032385702</v>
      </c>
      <c r="CL289" s="46">
        <f>NPV((1+CL$3)^(1/12)-1,$CB$6:$CB289)+$CB$5</f>
        <v>1057.2060036590874</v>
      </c>
      <c r="CM289" s="46">
        <f>NPV((1+CM$3)^(1/12)-1,$CB$6:$CB289)+$CB$5</f>
        <v>462.64886026294084</v>
      </c>
      <c r="CN289" s="46">
        <f>NPV((1+CN$3)^(1/12)-1,$CB$6:$CB289)+$CB$5</f>
        <v>462.64886026294084</v>
      </c>
    </row>
    <row r="290" spans="1:92" x14ac:dyDescent="0.25">
      <c r="A290" s="61">
        <f t="shared" si="242"/>
        <v>23.749999999999932</v>
      </c>
      <c r="B290" s="32">
        <f t="shared" si="260"/>
        <v>9</v>
      </c>
      <c r="C290" s="62">
        <f t="shared" si="261"/>
        <v>24</v>
      </c>
      <c r="D290" s="64">
        <f t="shared" si="262"/>
        <v>24.249999999999932</v>
      </c>
      <c r="E290" s="28">
        <f t="shared" si="243"/>
        <v>24</v>
      </c>
      <c r="G290" s="68">
        <f>INDEX(Others!$D$11:$E$60, MATCH(C290, Others!$A$11:$A$60, 0), MATCH(G$3, Others!$D$10:$E$10, 0))</f>
        <v>4.0690909090909333E-2</v>
      </c>
      <c r="H290" s="16">
        <f t="shared" si="285"/>
        <v>3.329265421250005E-3</v>
      </c>
      <c r="I290" s="69">
        <f t="shared" si="286"/>
        <v>0.38780033559060834</v>
      </c>
      <c r="K290" s="80" t="e">
        <f>INDEX(Mortality!$B$7:$F$32, MATCH( E290,Mortality!$A$7:$A$32, 0), MATCH( K$3,Mortality!$B$6:$F$6,0))</f>
        <v>#N/A</v>
      </c>
      <c r="L290" s="11">
        <f t="shared" si="244"/>
        <v>0</v>
      </c>
      <c r="M290" s="80">
        <f t="shared" si="263"/>
        <v>0</v>
      </c>
      <c r="N290" s="76" t="e">
        <f>INDEX(Myopia!$H:$H, MATCH(E290, Myopia!$A:$A, 0)) * Trend_Factor^(A290)</f>
        <v>#N/A</v>
      </c>
      <c r="O290" s="11">
        <f t="shared" si="245"/>
        <v>0</v>
      </c>
      <c r="P290" s="80">
        <f t="shared" si="264"/>
        <v>0</v>
      </c>
      <c r="Q290" s="76">
        <f>VLOOKUP(C290,Others!$L$10:$M$61,2)</f>
        <v>0</v>
      </c>
      <c r="R290" s="11">
        <f t="shared" si="246"/>
        <v>0</v>
      </c>
      <c r="S290" s="80">
        <f t="shared" si="265"/>
        <v>0</v>
      </c>
      <c r="T290" s="78">
        <f t="shared" si="266"/>
        <v>0</v>
      </c>
      <c r="U290" s="81">
        <f t="shared" si="267"/>
        <v>0</v>
      </c>
      <c r="V290" s="81">
        <f t="shared" si="268"/>
        <v>0</v>
      </c>
      <c r="W290" s="77">
        <f t="shared" si="247"/>
        <v>0</v>
      </c>
      <c r="X290" s="82">
        <f t="shared" si="269"/>
        <v>0</v>
      </c>
      <c r="Y290" s="82">
        <f t="shared" si="270"/>
        <v>0</v>
      </c>
      <c r="Z290" s="82">
        <f t="shared" si="271"/>
        <v>0</v>
      </c>
      <c r="AA290" s="82">
        <f t="shared" si="272"/>
        <v>0</v>
      </c>
      <c r="AC290" s="46">
        <f t="shared" si="248"/>
        <v>0</v>
      </c>
      <c r="AD290" s="15">
        <f t="shared" si="249"/>
        <v>0</v>
      </c>
      <c r="AE290" s="46">
        <f t="shared" si="273"/>
        <v>0</v>
      </c>
      <c r="AF290" s="15">
        <f t="shared" si="274"/>
        <v>0</v>
      </c>
      <c r="AG290" s="46">
        <f>SUMPRODUCT(AE291:AE$605, $I290:$I$604) / $I290</f>
        <v>0</v>
      </c>
      <c r="AI290" s="46">
        <f t="shared" si="250"/>
        <v>0</v>
      </c>
      <c r="AJ290" s="46">
        <f>IF(E290&gt;Mat_Year,0,  -SUM($AD$5:AD290))</f>
        <v>0</v>
      </c>
      <c r="AK290" s="24">
        <f t="shared" si="275"/>
        <v>0</v>
      </c>
      <c r="AL290" s="79">
        <f t="shared" si="276"/>
        <v>0</v>
      </c>
      <c r="AM290" s="24">
        <f t="shared" si="277"/>
        <v>0</v>
      </c>
      <c r="AN290" s="79">
        <f t="shared" si="278"/>
        <v>0</v>
      </c>
      <c r="AO290" s="15">
        <f t="shared" si="279"/>
        <v>0</v>
      </c>
      <c r="AP290" s="46">
        <f>SUMPRODUCT(AN291:AN$605, $I291:$I$605) / $I290</f>
        <v>0</v>
      </c>
      <c r="AR290" s="46">
        <v>0</v>
      </c>
      <c r="AS290" s="46">
        <v>0</v>
      </c>
      <c r="AT290" s="46">
        <v>0</v>
      </c>
      <c r="AU290" s="95">
        <f t="shared" si="251"/>
        <v>0</v>
      </c>
      <c r="AV290" s="47">
        <f t="shared" si="252"/>
        <v>0</v>
      </c>
      <c r="AW290" s="96">
        <f t="shared" si="287"/>
        <v>0</v>
      </c>
      <c r="AX290" s="95">
        <f t="shared" si="253"/>
        <v>0</v>
      </c>
      <c r="AY290" s="11">
        <f t="shared" si="254"/>
        <v>0</v>
      </c>
      <c r="AZ290" s="96">
        <f t="shared" si="288"/>
        <v>0</v>
      </c>
      <c r="BA290" s="95">
        <f t="shared" si="289"/>
        <v>0</v>
      </c>
      <c r="BB290" s="64">
        <f t="shared" si="290"/>
        <v>0</v>
      </c>
      <c r="BC290" s="95">
        <f t="shared" si="291"/>
        <v>0</v>
      </c>
      <c r="BD290" s="96">
        <f t="shared" si="292"/>
        <v>0</v>
      </c>
      <c r="BE290" s="96">
        <f t="shared" si="293"/>
        <v>0</v>
      </c>
      <c r="BF290" s="96">
        <f t="shared" si="294"/>
        <v>0</v>
      </c>
      <c r="BG290" s="15">
        <f t="shared" si="280"/>
        <v>0</v>
      </c>
      <c r="BH290" s="46">
        <f>(SUMPRODUCT(BE291:BE$605,$I290:$I$604)+SUMPRODUCT(BF291:BF$605,$I291:$I$605)) / $I290</f>
        <v>0</v>
      </c>
      <c r="BJ290" s="46">
        <f t="shared" si="295"/>
        <v>0</v>
      </c>
      <c r="BK290" s="46">
        <f t="shared" si="296"/>
        <v>0</v>
      </c>
      <c r="BM290" s="49">
        <f t="shared" si="281"/>
        <v>0</v>
      </c>
      <c r="BN290" s="46">
        <f t="shared" si="297"/>
        <v>0</v>
      </c>
      <c r="BP290" s="46">
        <f>Reserve!BX290</f>
        <v>0</v>
      </c>
      <c r="BQ290" s="46">
        <f t="shared" si="255"/>
        <v>0</v>
      </c>
      <c r="BR290" s="15">
        <f t="shared" si="282"/>
        <v>0</v>
      </c>
      <c r="BT290" s="49">
        <f t="shared" si="283"/>
        <v>0</v>
      </c>
      <c r="BU290" s="46">
        <f t="shared" si="256"/>
        <v>0</v>
      </c>
      <c r="BV290" s="46">
        <f>SUMPRODUCT(BU291:BU$605, $I291:$I$605) / $I290</f>
        <v>0</v>
      </c>
      <c r="BX290" s="46">
        <f>-BZ290*Others!$Q$43</f>
        <v>0</v>
      </c>
      <c r="BZ290" s="50">
        <f t="shared" si="241"/>
        <v>0</v>
      </c>
      <c r="CA290" s="46">
        <f t="shared" si="284"/>
        <v>0</v>
      </c>
      <c r="CB290" s="46">
        <f t="shared" si="257"/>
        <v>0</v>
      </c>
      <c r="CD290" s="46">
        <f>SUMPRODUCT(BZ291:BZ$605, $I291:$I$605) / $I290</f>
        <v>0</v>
      </c>
      <c r="CE290" s="46">
        <f>SUMPRODUCT(CA291:CA$605, $I291:$I$605) / $I290</f>
        <v>0</v>
      </c>
      <c r="CF290" s="46">
        <f>SUMPRODUCT(CB291:CB$605, $I291:$I$605) / $I290</f>
        <v>0</v>
      </c>
      <c r="CH290" s="46">
        <f t="shared" si="258"/>
        <v>0</v>
      </c>
      <c r="CI290" s="46">
        <f t="shared" si="259"/>
        <v>0</v>
      </c>
      <c r="CK290" s="46">
        <f>NPV((1+CK$3)^(1/12)-1,$CB$6:$CB290)+$CB$5</f>
        <v>1409.6963032385702</v>
      </c>
      <c r="CL290" s="46">
        <f>NPV((1+CL$3)^(1/12)-1,$CB$6:$CB290)+$CB$5</f>
        <v>1057.2060036590874</v>
      </c>
      <c r="CM290" s="46">
        <f>NPV((1+CM$3)^(1/12)-1,$CB$6:$CB290)+$CB$5</f>
        <v>462.64886026294084</v>
      </c>
      <c r="CN290" s="46">
        <f>NPV((1+CN$3)^(1/12)-1,$CB$6:$CB290)+$CB$5</f>
        <v>462.64886026294084</v>
      </c>
    </row>
    <row r="291" spans="1:92" x14ac:dyDescent="0.25">
      <c r="A291" s="61">
        <f t="shared" si="242"/>
        <v>23.833333333333265</v>
      </c>
      <c r="B291" s="32">
        <f t="shared" si="260"/>
        <v>10</v>
      </c>
      <c r="C291" s="62">
        <f t="shared" si="261"/>
        <v>24</v>
      </c>
      <c r="D291" s="64">
        <f t="shared" si="262"/>
        <v>24.333333333333265</v>
      </c>
      <c r="E291" s="28">
        <f t="shared" si="243"/>
        <v>24</v>
      </c>
      <c r="G291" s="68">
        <f>INDEX(Others!$D$11:$E$60, MATCH(C291, Others!$A$11:$A$60, 0), MATCH(G$3, Others!$D$10:$E$10, 0))</f>
        <v>4.0690909090909333E-2</v>
      </c>
      <c r="H291" s="16">
        <f t="shared" si="285"/>
        <v>3.329265421250005E-3</v>
      </c>
      <c r="I291" s="69">
        <f t="shared" si="286"/>
        <v>0.38651352946212481</v>
      </c>
      <c r="K291" s="80" t="e">
        <f>INDEX(Mortality!$B$7:$F$32, MATCH( E291,Mortality!$A$7:$A$32, 0), MATCH( K$3,Mortality!$B$6:$F$6,0))</f>
        <v>#N/A</v>
      </c>
      <c r="L291" s="11">
        <f t="shared" si="244"/>
        <v>0</v>
      </c>
      <c r="M291" s="80">
        <f t="shared" si="263"/>
        <v>0</v>
      </c>
      <c r="N291" s="76" t="e">
        <f>INDEX(Myopia!$H:$H, MATCH(E291, Myopia!$A:$A, 0)) * Trend_Factor^(A291)</f>
        <v>#N/A</v>
      </c>
      <c r="O291" s="11">
        <f t="shared" si="245"/>
        <v>0</v>
      </c>
      <c r="P291" s="80">
        <f t="shared" si="264"/>
        <v>0</v>
      </c>
      <c r="Q291" s="76">
        <f>VLOOKUP(C291,Others!$L$10:$M$61,2)</f>
        <v>0</v>
      </c>
      <c r="R291" s="11">
        <f t="shared" si="246"/>
        <v>0</v>
      </c>
      <c r="S291" s="80">
        <f t="shared" si="265"/>
        <v>0</v>
      </c>
      <c r="T291" s="78">
        <f t="shared" si="266"/>
        <v>0</v>
      </c>
      <c r="U291" s="81">
        <f t="shared" si="267"/>
        <v>0</v>
      </c>
      <c r="V291" s="81">
        <f t="shared" si="268"/>
        <v>0</v>
      </c>
      <c r="W291" s="77">
        <f t="shared" si="247"/>
        <v>0</v>
      </c>
      <c r="X291" s="82">
        <f t="shared" si="269"/>
        <v>0</v>
      </c>
      <c r="Y291" s="82">
        <f t="shared" si="270"/>
        <v>0</v>
      </c>
      <c r="Z291" s="82">
        <f t="shared" si="271"/>
        <v>0</v>
      </c>
      <c r="AA291" s="82">
        <f t="shared" si="272"/>
        <v>0</v>
      </c>
      <c r="AC291" s="46">
        <f t="shared" si="248"/>
        <v>0</v>
      </c>
      <c r="AD291" s="15">
        <f t="shared" si="249"/>
        <v>0</v>
      </c>
      <c r="AE291" s="46">
        <f t="shared" si="273"/>
        <v>0</v>
      </c>
      <c r="AF291" s="15">
        <f t="shared" si="274"/>
        <v>0</v>
      </c>
      <c r="AG291" s="46">
        <f>SUMPRODUCT(AE292:AE$605, $I291:$I$604) / $I291</f>
        <v>0</v>
      </c>
      <c r="AI291" s="46">
        <f t="shared" si="250"/>
        <v>0</v>
      </c>
      <c r="AJ291" s="46">
        <f>IF(E291&gt;Mat_Year,0,  -SUM($AD$5:AD291))</f>
        <v>0</v>
      </c>
      <c r="AK291" s="24">
        <f t="shared" si="275"/>
        <v>0</v>
      </c>
      <c r="AL291" s="79">
        <f t="shared" si="276"/>
        <v>0</v>
      </c>
      <c r="AM291" s="24">
        <f t="shared" si="277"/>
        <v>0</v>
      </c>
      <c r="AN291" s="79">
        <f t="shared" si="278"/>
        <v>0</v>
      </c>
      <c r="AO291" s="15">
        <f t="shared" si="279"/>
        <v>0</v>
      </c>
      <c r="AP291" s="46">
        <f>SUMPRODUCT(AN292:AN$605, $I292:$I$605) / $I291</f>
        <v>0</v>
      </c>
      <c r="AR291" s="46">
        <v>0</v>
      </c>
      <c r="AS291" s="46">
        <v>0</v>
      </c>
      <c r="AT291" s="46">
        <v>0</v>
      </c>
      <c r="AU291" s="95">
        <f t="shared" si="251"/>
        <v>0</v>
      </c>
      <c r="AV291" s="47">
        <f t="shared" si="252"/>
        <v>0</v>
      </c>
      <c r="AW291" s="96">
        <f t="shared" si="287"/>
        <v>0</v>
      </c>
      <c r="AX291" s="95">
        <f t="shared" si="253"/>
        <v>0</v>
      </c>
      <c r="AY291" s="11">
        <f t="shared" si="254"/>
        <v>0</v>
      </c>
      <c r="AZ291" s="96">
        <f t="shared" si="288"/>
        <v>0</v>
      </c>
      <c r="BA291" s="95">
        <f t="shared" si="289"/>
        <v>0</v>
      </c>
      <c r="BB291" s="64">
        <f t="shared" si="290"/>
        <v>0</v>
      </c>
      <c r="BC291" s="95">
        <f t="shared" si="291"/>
        <v>0</v>
      </c>
      <c r="BD291" s="96">
        <f t="shared" si="292"/>
        <v>0</v>
      </c>
      <c r="BE291" s="96">
        <f t="shared" si="293"/>
        <v>0</v>
      </c>
      <c r="BF291" s="96">
        <f t="shared" si="294"/>
        <v>0</v>
      </c>
      <c r="BG291" s="15">
        <f t="shared" si="280"/>
        <v>0</v>
      </c>
      <c r="BH291" s="46">
        <f>(SUMPRODUCT(BE292:BE$605,$I291:$I$604)+SUMPRODUCT(BF292:BF$605,$I292:$I$605)) / $I291</f>
        <v>0</v>
      </c>
      <c r="BJ291" s="46">
        <f t="shared" si="295"/>
        <v>0</v>
      </c>
      <c r="BK291" s="46">
        <f t="shared" si="296"/>
        <v>0</v>
      </c>
      <c r="BM291" s="49">
        <f t="shared" si="281"/>
        <v>0</v>
      </c>
      <c r="BN291" s="46">
        <f t="shared" si="297"/>
        <v>0</v>
      </c>
      <c r="BP291" s="46">
        <f>Reserve!BX291</f>
        <v>0</v>
      </c>
      <c r="BQ291" s="46">
        <f t="shared" si="255"/>
        <v>0</v>
      </c>
      <c r="BR291" s="15">
        <f t="shared" si="282"/>
        <v>0</v>
      </c>
      <c r="BT291" s="49">
        <f t="shared" si="283"/>
        <v>0</v>
      </c>
      <c r="BU291" s="46">
        <f t="shared" si="256"/>
        <v>0</v>
      </c>
      <c r="BV291" s="46">
        <f>SUMPRODUCT(BU292:BU$605, $I292:$I$605) / $I291</f>
        <v>0</v>
      </c>
      <c r="BX291" s="46">
        <f>-BZ291*Others!$Q$43</f>
        <v>0</v>
      </c>
      <c r="BZ291" s="50">
        <f t="shared" si="241"/>
        <v>0</v>
      </c>
      <c r="CA291" s="46">
        <f t="shared" si="284"/>
        <v>0</v>
      </c>
      <c r="CB291" s="46">
        <f t="shared" si="257"/>
        <v>0</v>
      </c>
      <c r="CD291" s="46">
        <f>SUMPRODUCT(BZ292:BZ$605, $I292:$I$605) / $I291</f>
        <v>0</v>
      </c>
      <c r="CE291" s="46">
        <f>SUMPRODUCT(CA292:CA$605, $I292:$I$605) / $I291</f>
        <v>0</v>
      </c>
      <c r="CF291" s="46">
        <f>SUMPRODUCT(CB292:CB$605, $I292:$I$605) / $I291</f>
        <v>0</v>
      </c>
      <c r="CH291" s="46">
        <f t="shared" si="258"/>
        <v>0</v>
      </c>
      <c r="CI291" s="46">
        <f t="shared" si="259"/>
        <v>0</v>
      </c>
      <c r="CK291" s="46">
        <f>NPV((1+CK$3)^(1/12)-1,$CB$6:$CB291)+$CB$5</f>
        <v>1409.6963032385702</v>
      </c>
      <c r="CL291" s="46">
        <f>NPV((1+CL$3)^(1/12)-1,$CB$6:$CB291)+$CB$5</f>
        <v>1057.2060036590874</v>
      </c>
      <c r="CM291" s="46">
        <f>NPV((1+CM$3)^(1/12)-1,$CB$6:$CB291)+$CB$5</f>
        <v>462.64886026294084</v>
      </c>
      <c r="CN291" s="46">
        <f>NPV((1+CN$3)^(1/12)-1,$CB$6:$CB291)+$CB$5</f>
        <v>462.64886026294084</v>
      </c>
    </row>
    <row r="292" spans="1:92" x14ac:dyDescent="0.25">
      <c r="A292" s="61">
        <f t="shared" si="242"/>
        <v>23.916666666666597</v>
      </c>
      <c r="B292" s="32">
        <f t="shared" si="260"/>
        <v>11</v>
      </c>
      <c r="C292" s="62">
        <f t="shared" si="261"/>
        <v>24</v>
      </c>
      <c r="D292" s="64">
        <f t="shared" si="262"/>
        <v>24.416666666666597</v>
      </c>
      <c r="E292" s="28">
        <f t="shared" si="243"/>
        <v>24</v>
      </c>
      <c r="G292" s="68">
        <f>INDEX(Others!$D$11:$E$60, MATCH(C292, Others!$A$11:$A$60, 0), MATCH(G$3, Others!$D$10:$E$10, 0))</f>
        <v>4.0690909090909333E-2</v>
      </c>
      <c r="H292" s="16">
        <f t="shared" si="285"/>
        <v>3.329265421250005E-3</v>
      </c>
      <c r="I292" s="69">
        <f t="shared" si="286"/>
        <v>0.3852309932371466</v>
      </c>
      <c r="K292" s="80" t="e">
        <f>INDEX(Mortality!$B$7:$F$32, MATCH( E292,Mortality!$A$7:$A$32, 0), MATCH( K$3,Mortality!$B$6:$F$6,0))</f>
        <v>#N/A</v>
      </c>
      <c r="L292" s="11">
        <f t="shared" si="244"/>
        <v>0</v>
      </c>
      <c r="M292" s="80">
        <f t="shared" si="263"/>
        <v>0</v>
      </c>
      <c r="N292" s="76" t="e">
        <f>INDEX(Myopia!$H:$H, MATCH(E292, Myopia!$A:$A, 0)) * Trend_Factor^(A292)</f>
        <v>#N/A</v>
      </c>
      <c r="O292" s="11">
        <f t="shared" si="245"/>
        <v>0</v>
      </c>
      <c r="P292" s="80">
        <f t="shared" si="264"/>
        <v>0</v>
      </c>
      <c r="Q292" s="76">
        <f>VLOOKUP(C292,Others!$L$10:$M$61,2)</f>
        <v>0</v>
      </c>
      <c r="R292" s="11">
        <f t="shared" si="246"/>
        <v>0</v>
      </c>
      <c r="S292" s="80">
        <f t="shared" si="265"/>
        <v>0</v>
      </c>
      <c r="T292" s="78">
        <f t="shared" si="266"/>
        <v>0</v>
      </c>
      <c r="U292" s="81">
        <f t="shared" si="267"/>
        <v>0</v>
      </c>
      <c r="V292" s="81">
        <f t="shared" si="268"/>
        <v>0</v>
      </c>
      <c r="W292" s="77">
        <f t="shared" si="247"/>
        <v>0</v>
      </c>
      <c r="X292" s="82">
        <f t="shared" si="269"/>
        <v>0</v>
      </c>
      <c r="Y292" s="82">
        <f t="shared" si="270"/>
        <v>0</v>
      </c>
      <c r="Z292" s="82">
        <f t="shared" si="271"/>
        <v>0</v>
      </c>
      <c r="AA292" s="82">
        <f t="shared" si="272"/>
        <v>0</v>
      </c>
      <c r="AC292" s="46">
        <f t="shared" si="248"/>
        <v>0</v>
      </c>
      <c r="AD292" s="15">
        <f t="shared" si="249"/>
        <v>0</v>
      </c>
      <c r="AE292" s="46">
        <f t="shared" si="273"/>
        <v>0</v>
      </c>
      <c r="AF292" s="15">
        <f t="shared" si="274"/>
        <v>0</v>
      </c>
      <c r="AG292" s="46">
        <f>SUMPRODUCT(AE293:AE$605, $I292:$I$604) / $I292</f>
        <v>0</v>
      </c>
      <c r="AI292" s="46">
        <f t="shared" si="250"/>
        <v>0</v>
      </c>
      <c r="AJ292" s="46">
        <f>IF(E292&gt;Mat_Year,0,  -SUM($AD$5:AD292))</f>
        <v>0</v>
      </c>
      <c r="AK292" s="24">
        <f t="shared" si="275"/>
        <v>0</v>
      </c>
      <c r="AL292" s="79">
        <f t="shared" si="276"/>
        <v>0</v>
      </c>
      <c r="AM292" s="24">
        <f t="shared" si="277"/>
        <v>0</v>
      </c>
      <c r="AN292" s="79">
        <f t="shared" si="278"/>
        <v>0</v>
      </c>
      <c r="AO292" s="15">
        <f t="shared" si="279"/>
        <v>0</v>
      </c>
      <c r="AP292" s="46">
        <f>SUMPRODUCT(AN293:AN$605, $I293:$I$605) / $I292</f>
        <v>0</v>
      </c>
      <c r="AR292" s="46">
        <v>0</v>
      </c>
      <c r="AS292" s="46">
        <v>0</v>
      </c>
      <c r="AT292" s="46">
        <v>0</v>
      </c>
      <c r="AU292" s="95">
        <f t="shared" si="251"/>
        <v>0</v>
      </c>
      <c r="AV292" s="47">
        <f t="shared" si="252"/>
        <v>0</v>
      </c>
      <c r="AW292" s="96">
        <f t="shared" si="287"/>
        <v>0</v>
      </c>
      <c r="AX292" s="95">
        <f t="shared" si="253"/>
        <v>0</v>
      </c>
      <c r="AY292" s="11">
        <f t="shared" si="254"/>
        <v>0</v>
      </c>
      <c r="AZ292" s="96">
        <f t="shared" si="288"/>
        <v>0</v>
      </c>
      <c r="BA292" s="95">
        <f t="shared" si="289"/>
        <v>0</v>
      </c>
      <c r="BB292" s="64">
        <f t="shared" si="290"/>
        <v>0</v>
      </c>
      <c r="BC292" s="95">
        <f t="shared" si="291"/>
        <v>0</v>
      </c>
      <c r="BD292" s="96">
        <f t="shared" si="292"/>
        <v>0</v>
      </c>
      <c r="BE292" s="96">
        <f t="shared" si="293"/>
        <v>0</v>
      </c>
      <c r="BF292" s="96">
        <f t="shared" si="294"/>
        <v>0</v>
      </c>
      <c r="BG292" s="15">
        <f t="shared" si="280"/>
        <v>0</v>
      </c>
      <c r="BH292" s="46">
        <f>(SUMPRODUCT(BE293:BE$605,$I292:$I$604)+SUMPRODUCT(BF293:BF$605,$I293:$I$605)) / $I292</f>
        <v>0</v>
      </c>
      <c r="BJ292" s="46">
        <f t="shared" si="295"/>
        <v>0</v>
      </c>
      <c r="BK292" s="46">
        <f t="shared" si="296"/>
        <v>0</v>
      </c>
      <c r="BM292" s="49">
        <f t="shared" si="281"/>
        <v>0</v>
      </c>
      <c r="BN292" s="46">
        <f t="shared" si="297"/>
        <v>0</v>
      </c>
      <c r="BP292" s="46">
        <f>Reserve!BX292</f>
        <v>0</v>
      </c>
      <c r="BQ292" s="46">
        <f t="shared" si="255"/>
        <v>0</v>
      </c>
      <c r="BR292" s="15">
        <f t="shared" si="282"/>
        <v>0</v>
      </c>
      <c r="BT292" s="49">
        <f t="shared" si="283"/>
        <v>0</v>
      </c>
      <c r="BU292" s="46">
        <f t="shared" si="256"/>
        <v>0</v>
      </c>
      <c r="BV292" s="46">
        <f>SUMPRODUCT(BU293:BU$605, $I293:$I$605) / $I292</f>
        <v>0</v>
      </c>
      <c r="BX292" s="46">
        <f>-BZ292*Others!$Q$43</f>
        <v>0</v>
      </c>
      <c r="BZ292" s="50">
        <f t="shared" si="241"/>
        <v>0</v>
      </c>
      <c r="CA292" s="46">
        <f t="shared" si="284"/>
        <v>0</v>
      </c>
      <c r="CB292" s="46">
        <f t="shared" si="257"/>
        <v>0</v>
      </c>
      <c r="CD292" s="46">
        <f>SUMPRODUCT(BZ293:BZ$605, $I293:$I$605) / $I292</f>
        <v>0</v>
      </c>
      <c r="CE292" s="46">
        <f>SUMPRODUCT(CA293:CA$605, $I293:$I$605) / $I292</f>
        <v>0</v>
      </c>
      <c r="CF292" s="46">
        <f>SUMPRODUCT(CB293:CB$605, $I293:$I$605) / $I292</f>
        <v>0</v>
      </c>
      <c r="CH292" s="46">
        <f t="shared" si="258"/>
        <v>0</v>
      </c>
      <c r="CI292" s="46">
        <f t="shared" si="259"/>
        <v>0</v>
      </c>
      <c r="CK292" s="46">
        <f>NPV((1+CK$3)^(1/12)-1,$CB$6:$CB292)+$CB$5</f>
        <v>1409.6963032385702</v>
      </c>
      <c r="CL292" s="46">
        <f>NPV((1+CL$3)^(1/12)-1,$CB$6:$CB292)+$CB$5</f>
        <v>1057.2060036590874</v>
      </c>
      <c r="CM292" s="46">
        <f>NPV((1+CM$3)^(1/12)-1,$CB$6:$CB292)+$CB$5</f>
        <v>462.64886026294084</v>
      </c>
      <c r="CN292" s="46">
        <f>NPV((1+CN$3)^(1/12)-1,$CB$6:$CB292)+$CB$5</f>
        <v>462.64886026294084</v>
      </c>
    </row>
    <row r="293" spans="1:92" x14ac:dyDescent="0.25">
      <c r="A293" s="61">
        <f t="shared" si="242"/>
        <v>23.999999999999929</v>
      </c>
      <c r="B293" s="32">
        <f t="shared" si="260"/>
        <v>12</v>
      </c>
      <c r="C293" s="62">
        <f t="shared" si="261"/>
        <v>24</v>
      </c>
      <c r="D293" s="64">
        <f t="shared" si="262"/>
        <v>24.499999999999929</v>
      </c>
      <c r="E293" s="28">
        <f t="shared" si="243"/>
        <v>24</v>
      </c>
      <c r="G293" s="68">
        <f>INDEX(Others!$D$11:$E$60, MATCH(C293, Others!$A$11:$A$60, 0), MATCH(G$3, Others!$D$10:$E$10, 0))</f>
        <v>4.0690909090909333E-2</v>
      </c>
      <c r="H293" s="16">
        <f t="shared" si="285"/>
        <v>3.329265421250005E-3</v>
      </c>
      <c r="I293" s="69">
        <f t="shared" si="286"/>
        <v>0.38395271274720222</v>
      </c>
      <c r="K293" s="80" t="e">
        <f>INDEX(Mortality!$B$7:$F$32, MATCH( E293,Mortality!$A$7:$A$32, 0), MATCH( K$3,Mortality!$B$6:$F$6,0))</f>
        <v>#N/A</v>
      </c>
      <c r="L293" s="11">
        <f t="shared" si="244"/>
        <v>0</v>
      </c>
      <c r="M293" s="80">
        <f t="shared" si="263"/>
        <v>0</v>
      </c>
      <c r="N293" s="76" t="e">
        <f>INDEX(Myopia!$H:$H, MATCH(E293, Myopia!$A:$A, 0)) * Trend_Factor^(A293)</f>
        <v>#N/A</v>
      </c>
      <c r="O293" s="11">
        <f t="shared" si="245"/>
        <v>0</v>
      </c>
      <c r="P293" s="80">
        <f t="shared" si="264"/>
        <v>0</v>
      </c>
      <c r="Q293" s="76">
        <f>VLOOKUP(C293,Others!$L$10:$M$61,2)</f>
        <v>0</v>
      </c>
      <c r="R293" s="11">
        <f t="shared" si="246"/>
        <v>0</v>
      </c>
      <c r="S293" s="80">
        <f t="shared" si="265"/>
        <v>0</v>
      </c>
      <c r="T293" s="78">
        <f t="shared" si="266"/>
        <v>0</v>
      </c>
      <c r="U293" s="81">
        <f t="shared" si="267"/>
        <v>0</v>
      </c>
      <c r="V293" s="81">
        <f t="shared" si="268"/>
        <v>0</v>
      </c>
      <c r="W293" s="77">
        <f t="shared" si="247"/>
        <v>0</v>
      </c>
      <c r="X293" s="82">
        <f t="shared" si="269"/>
        <v>0</v>
      </c>
      <c r="Y293" s="82">
        <f t="shared" si="270"/>
        <v>0</v>
      </c>
      <c r="Z293" s="82">
        <f t="shared" si="271"/>
        <v>0</v>
      </c>
      <c r="AA293" s="82">
        <f t="shared" si="272"/>
        <v>0</v>
      </c>
      <c r="AC293" s="46">
        <f t="shared" si="248"/>
        <v>0</v>
      </c>
      <c r="AD293" s="15">
        <f t="shared" si="249"/>
        <v>0</v>
      </c>
      <c r="AE293" s="46">
        <f t="shared" si="273"/>
        <v>0</v>
      </c>
      <c r="AF293" s="15">
        <f t="shared" si="274"/>
        <v>0</v>
      </c>
      <c r="AG293" s="46">
        <f>SUMPRODUCT(AE294:AE$605, $I293:$I$604) / $I293</f>
        <v>0</v>
      </c>
      <c r="AI293" s="46">
        <f t="shared" si="250"/>
        <v>0</v>
      </c>
      <c r="AJ293" s="46">
        <f>IF(E293&gt;Mat_Year,0,  -SUM($AD$5:AD293))</f>
        <v>0</v>
      </c>
      <c r="AK293" s="24">
        <f t="shared" si="275"/>
        <v>0</v>
      </c>
      <c r="AL293" s="79">
        <f t="shared" si="276"/>
        <v>0</v>
      </c>
      <c r="AM293" s="24">
        <f t="shared" si="277"/>
        <v>0</v>
      </c>
      <c r="AN293" s="79">
        <f t="shared" si="278"/>
        <v>0</v>
      </c>
      <c r="AO293" s="15">
        <f t="shared" si="279"/>
        <v>0</v>
      </c>
      <c r="AP293" s="46">
        <f>SUMPRODUCT(AN294:AN$605, $I294:$I$605) / $I293</f>
        <v>0</v>
      </c>
      <c r="AR293" s="46">
        <v>0</v>
      </c>
      <c r="AS293" s="46">
        <v>0</v>
      </c>
      <c r="AT293" s="46">
        <v>0</v>
      </c>
      <c r="AU293" s="95">
        <f t="shared" si="251"/>
        <v>0</v>
      </c>
      <c r="AV293" s="47">
        <f t="shared" si="252"/>
        <v>0</v>
      </c>
      <c r="AW293" s="96">
        <f t="shared" si="287"/>
        <v>0</v>
      </c>
      <c r="AX293" s="95">
        <f t="shared" si="253"/>
        <v>0</v>
      </c>
      <c r="AY293" s="11">
        <f t="shared" si="254"/>
        <v>0</v>
      </c>
      <c r="AZ293" s="96">
        <f t="shared" si="288"/>
        <v>0</v>
      </c>
      <c r="BA293" s="95">
        <f t="shared" si="289"/>
        <v>0</v>
      </c>
      <c r="BB293" s="64">
        <f t="shared" si="290"/>
        <v>0</v>
      </c>
      <c r="BC293" s="95">
        <f t="shared" si="291"/>
        <v>0</v>
      </c>
      <c r="BD293" s="96">
        <f t="shared" si="292"/>
        <v>0</v>
      </c>
      <c r="BE293" s="96">
        <f t="shared" si="293"/>
        <v>0</v>
      </c>
      <c r="BF293" s="96">
        <f t="shared" si="294"/>
        <v>0</v>
      </c>
      <c r="BG293" s="15">
        <f t="shared" si="280"/>
        <v>0</v>
      </c>
      <c r="BH293" s="46">
        <f>(SUMPRODUCT(BE294:BE$605,$I293:$I$604)+SUMPRODUCT(BF294:BF$605,$I294:$I$605)) / $I293</f>
        <v>0</v>
      </c>
      <c r="BJ293" s="46">
        <f t="shared" si="295"/>
        <v>0</v>
      </c>
      <c r="BK293" s="46">
        <f t="shared" si="296"/>
        <v>0</v>
      </c>
      <c r="BM293" s="49">
        <f t="shared" si="281"/>
        <v>0</v>
      </c>
      <c r="BN293" s="46">
        <f t="shared" si="297"/>
        <v>0</v>
      </c>
      <c r="BP293" s="46">
        <f>Reserve!BX293</f>
        <v>0</v>
      </c>
      <c r="BQ293" s="46">
        <f t="shared" si="255"/>
        <v>0</v>
      </c>
      <c r="BR293" s="15">
        <f t="shared" si="282"/>
        <v>0</v>
      </c>
      <c r="BT293" s="49">
        <f t="shared" si="283"/>
        <v>0</v>
      </c>
      <c r="BU293" s="46">
        <f t="shared" si="256"/>
        <v>0</v>
      </c>
      <c r="BV293" s="46">
        <f>SUMPRODUCT(BU294:BU$605, $I294:$I$605) / $I293</f>
        <v>0</v>
      </c>
      <c r="BX293" s="46">
        <f>-BZ293*Others!$Q$43</f>
        <v>0</v>
      </c>
      <c r="BZ293" s="50">
        <f t="shared" si="241"/>
        <v>0</v>
      </c>
      <c r="CA293" s="46">
        <f t="shared" si="284"/>
        <v>0</v>
      </c>
      <c r="CB293" s="46">
        <f t="shared" si="257"/>
        <v>0</v>
      </c>
      <c r="CD293" s="46">
        <f>SUMPRODUCT(BZ294:BZ$605, $I294:$I$605) / $I293</f>
        <v>0</v>
      </c>
      <c r="CE293" s="46">
        <f>SUMPRODUCT(CA294:CA$605, $I294:$I$605) / $I293</f>
        <v>0</v>
      </c>
      <c r="CF293" s="46">
        <f>SUMPRODUCT(CB294:CB$605, $I294:$I$605) / $I293</f>
        <v>0</v>
      </c>
      <c r="CH293" s="46">
        <f t="shared" si="258"/>
        <v>0</v>
      </c>
      <c r="CI293" s="46">
        <f t="shared" si="259"/>
        <v>0</v>
      </c>
      <c r="CK293" s="46">
        <f>NPV((1+CK$3)^(1/12)-1,$CB$6:$CB293)+$CB$5</f>
        <v>1409.6963032385702</v>
      </c>
      <c r="CL293" s="46">
        <f>NPV((1+CL$3)^(1/12)-1,$CB$6:$CB293)+$CB$5</f>
        <v>1057.2060036590874</v>
      </c>
      <c r="CM293" s="46">
        <f>NPV((1+CM$3)^(1/12)-1,$CB$6:$CB293)+$CB$5</f>
        <v>462.64886026294084</v>
      </c>
      <c r="CN293" s="46">
        <f>NPV((1+CN$3)^(1/12)-1,$CB$6:$CB293)+$CB$5</f>
        <v>462.64886026294084</v>
      </c>
    </row>
    <row r="294" spans="1:92" x14ac:dyDescent="0.25">
      <c r="A294" s="61">
        <f t="shared" si="242"/>
        <v>24.083333333333261</v>
      </c>
      <c r="B294" s="32">
        <f t="shared" si="260"/>
        <v>1</v>
      </c>
      <c r="C294" s="62">
        <f t="shared" si="261"/>
        <v>25</v>
      </c>
      <c r="D294" s="64">
        <f t="shared" si="262"/>
        <v>24.583333333333261</v>
      </c>
      <c r="E294" s="28">
        <f t="shared" si="243"/>
        <v>24</v>
      </c>
      <c r="G294" s="68">
        <f>INDEX(Others!$D$11:$E$60, MATCH(C294, Others!$A$11:$A$60, 0), MATCH(G$3, Others!$D$10:$E$10, 0))</f>
        <v>4.0690909090909111E-2</v>
      </c>
      <c r="H294" s="16">
        <f t="shared" si="285"/>
        <v>3.329265421250005E-3</v>
      </c>
      <c r="I294" s="69">
        <f t="shared" si="286"/>
        <v>0.38267867387083426</v>
      </c>
      <c r="K294" s="80" t="e">
        <f>INDEX(Mortality!$B$7:$F$32, MATCH( E294,Mortality!$A$7:$A$32, 0), MATCH( K$3,Mortality!$B$6:$F$6,0))</f>
        <v>#N/A</v>
      </c>
      <c r="L294" s="11">
        <f t="shared" si="244"/>
        <v>0</v>
      </c>
      <c r="M294" s="80">
        <f t="shared" si="263"/>
        <v>0</v>
      </c>
      <c r="N294" s="76" t="e">
        <f>INDEX(Myopia!$H:$H, MATCH(E294, Myopia!$A:$A, 0)) * Trend_Factor^(A294)</f>
        <v>#N/A</v>
      </c>
      <c r="O294" s="11">
        <f t="shared" si="245"/>
        <v>0</v>
      </c>
      <c r="P294" s="80">
        <f t="shared" si="264"/>
        <v>0</v>
      </c>
      <c r="Q294" s="76">
        <f>VLOOKUP(C294,Others!$L$10:$M$61,2)</f>
        <v>0</v>
      </c>
      <c r="R294" s="11">
        <f t="shared" si="246"/>
        <v>0</v>
      </c>
      <c r="S294" s="80">
        <f t="shared" si="265"/>
        <v>0</v>
      </c>
      <c r="T294" s="78">
        <f t="shared" si="266"/>
        <v>0</v>
      </c>
      <c r="U294" s="81">
        <f t="shared" si="267"/>
        <v>0</v>
      </c>
      <c r="V294" s="81">
        <f t="shared" si="268"/>
        <v>0</v>
      </c>
      <c r="W294" s="77">
        <f t="shared" si="247"/>
        <v>0</v>
      </c>
      <c r="X294" s="82">
        <f t="shared" si="269"/>
        <v>0</v>
      </c>
      <c r="Y294" s="82">
        <f t="shared" si="270"/>
        <v>0</v>
      </c>
      <c r="Z294" s="82">
        <f t="shared" si="271"/>
        <v>0</v>
      </c>
      <c r="AA294" s="82">
        <f t="shared" si="272"/>
        <v>0</v>
      </c>
      <c r="AC294" s="46">
        <f t="shared" si="248"/>
        <v>0</v>
      </c>
      <c r="AD294" s="15">
        <f t="shared" si="249"/>
        <v>0</v>
      </c>
      <c r="AE294" s="46">
        <f t="shared" si="273"/>
        <v>0</v>
      </c>
      <c r="AF294" s="15">
        <f t="shared" si="274"/>
        <v>0</v>
      </c>
      <c r="AG294" s="46">
        <f>SUMPRODUCT(AE295:AE$605, $I294:$I$604) / $I294</f>
        <v>0</v>
      </c>
      <c r="AI294" s="46">
        <f t="shared" si="250"/>
        <v>0</v>
      </c>
      <c r="AJ294" s="46">
        <f>IF(E294&gt;Mat_Year,0,  -SUM($AD$5:AD294))</f>
        <v>0</v>
      </c>
      <c r="AK294" s="24">
        <f t="shared" si="275"/>
        <v>0</v>
      </c>
      <c r="AL294" s="79">
        <f t="shared" si="276"/>
        <v>0</v>
      </c>
      <c r="AM294" s="24">
        <f t="shared" si="277"/>
        <v>0</v>
      </c>
      <c r="AN294" s="79">
        <f t="shared" si="278"/>
        <v>0</v>
      </c>
      <c r="AO294" s="15">
        <f t="shared" si="279"/>
        <v>0</v>
      </c>
      <c r="AP294" s="46">
        <f>SUMPRODUCT(AN295:AN$605, $I295:$I$605) / $I294</f>
        <v>0</v>
      </c>
      <c r="AR294" s="46">
        <v>0</v>
      </c>
      <c r="AS294" s="46">
        <v>0</v>
      </c>
      <c r="AT294" s="46">
        <v>0</v>
      </c>
      <c r="AU294" s="95">
        <f t="shared" si="251"/>
        <v>0</v>
      </c>
      <c r="AV294" s="47">
        <f t="shared" si="252"/>
        <v>0</v>
      </c>
      <c r="AW294" s="96">
        <f t="shared" si="287"/>
        <v>0</v>
      </c>
      <c r="AX294" s="95">
        <f t="shared" si="253"/>
        <v>0</v>
      </c>
      <c r="AY294" s="11">
        <f t="shared" si="254"/>
        <v>0</v>
      </c>
      <c r="AZ294" s="96">
        <f t="shared" si="288"/>
        <v>0</v>
      </c>
      <c r="BA294" s="95">
        <f t="shared" si="289"/>
        <v>0</v>
      </c>
      <c r="BB294" s="64">
        <f t="shared" si="290"/>
        <v>0</v>
      </c>
      <c r="BC294" s="95">
        <f t="shared" si="291"/>
        <v>0</v>
      </c>
      <c r="BD294" s="96">
        <f t="shared" si="292"/>
        <v>0</v>
      </c>
      <c r="BE294" s="96">
        <f t="shared" si="293"/>
        <v>0</v>
      </c>
      <c r="BF294" s="96">
        <f t="shared" si="294"/>
        <v>0</v>
      </c>
      <c r="BG294" s="15">
        <f t="shared" si="280"/>
        <v>0</v>
      </c>
      <c r="BH294" s="46">
        <f>(SUMPRODUCT(BE295:BE$605,$I294:$I$604)+SUMPRODUCT(BF295:BF$605,$I295:$I$605)) / $I294</f>
        <v>0</v>
      </c>
      <c r="BJ294" s="46">
        <f t="shared" si="295"/>
        <v>0</v>
      </c>
      <c r="BK294" s="46">
        <f t="shared" si="296"/>
        <v>0</v>
      </c>
      <c r="BM294" s="49">
        <f t="shared" si="281"/>
        <v>0</v>
      </c>
      <c r="BN294" s="46">
        <f t="shared" si="297"/>
        <v>0</v>
      </c>
      <c r="BP294" s="46">
        <f>Reserve!BX294</f>
        <v>0</v>
      </c>
      <c r="BQ294" s="46">
        <f t="shared" si="255"/>
        <v>0</v>
      </c>
      <c r="BR294" s="15">
        <f t="shared" si="282"/>
        <v>0</v>
      </c>
      <c r="BT294" s="49">
        <f t="shared" si="283"/>
        <v>0</v>
      </c>
      <c r="BU294" s="46">
        <f t="shared" si="256"/>
        <v>0</v>
      </c>
      <c r="BV294" s="46">
        <f>SUMPRODUCT(BU295:BU$605, $I295:$I$605) / $I294</f>
        <v>0</v>
      </c>
      <c r="BX294" s="46">
        <f>-BZ294*Others!$Q$43</f>
        <v>0</v>
      </c>
      <c r="BZ294" s="50">
        <f t="shared" si="241"/>
        <v>0</v>
      </c>
      <c r="CA294" s="46">
        <f t="shared" si="284"/>
        <v>0</v>
      </c>
      <c r="CB294" s="46">
        <f t="shared" si="257"/>
        <v>0</v>
      </c>
      <c r="CD294" s="46">
        <f>SUMPRODUCT(BZ295:BZ$605, $I295:$I$605) / $I294</f>
        <v>0</v>
      </c>
      <c r="CE294" s="46">
        <f>SUMPRODUCT(CA295:CA$605, $I295:$I$605) / $I294</f>
        <v>0</v>
      </c>
      <c r="CF294" s="46">
        <f>SUMPRODUCT(CB295:CB$605, $I295:$I$605) / $I294</f>
        <v>0</v>
      </c>
      <c r="CH294" s="46">
        <f t="shared" si="258"/>
        <v>0</v>
      </c>
      <c r="CI294" s="46">
        <f t="shared" si="259"/>
        <v>0</v>
      </c>
      <c r="CK294" s="46">
        <f>NPV((1+CK$3)^(1/12)-1,$CB$6:$CB294)+$CB$5</f>
        <v>1409.6963032385702</v>
      </c>
      <c r="CL294" s="46">
        <f>NPV((1+CL$3)^(1/12)-1,$CB$6:$CB294)+$CB$5</f>
        <v>1057.2060036590874</v>
      </c>
      <c r="CM294" s="46">
        <f>NPV((1+CM$3)^(1/12)-1,$CB$6:$CB294)+$CB$5</f>
        <v>462.64886026294084</v>
      </c>
      <c r="CN294" s="46">
        <f>NPV((1+CN$3)^(1/12)-1,$CB$6:$CB294)+$CB$5</f>
        <v>462.64886026294084</v>
      </c>
    </row>
    <row r="295" spans="1:92" x14ac:dyDescent="0.25">
      <c r="A295" s="61">
        <f t="shared" si="242"/>
        <v>24.166666666666593</v>
      </c>
      <c r="B295" s="32">
        <f t="shared" si="260"/>
        <v>2</v>
      </c>
      <c r="C295" s="62">
        <f t="shared" si="261"/>
        <v>25</v>
      </c>
      <c r="D295" s="64">
        <f t="shared" si="262"/>
        <v>24.666666666666593</v>
      </c>
      <c r="E295" s="28">
        <f t="shared" si="243"/>
        <v>24</v>
      </c>
      <c r="G295" s="68">
        <f>INDEX(Others!$D$11:$E$60, MATCH(C295, Others!$A$11:$A$60, 0), MATCH(G$3, Others!$D$10:$E$10, 0))</f>
        <v>4.0690909090909111E-2</v>
      </c>
      <c r="H295" s="16">
        <f t="shared" si="285"/>
        <v>3.329265421250005E-3</v>
      </c>
      <c r="I295" s="69">
        <f t="shared" si="286"/>
        <v>0.38140886253344336</v>
      </c>
      <c r="K295" s="80" t="e">
        <f>INDEX(Mortality!$B$7:$F$32, MATCH( E295,Mortality!$A$7:$A$32, 0), MATCH( K$3,Mortality!$B$6:$F$6,0))</f>
        <v>#N/A</v>
      </c>
      <c r="L295" s="11">
        <f t="shared" si="244"/>
        <v>0</v>
      </c>
      <c r="M295" s="80">
        <f t="shared" si="263"/>
        <v>0</v>
      </c>
      <c r="N295" s="76" t="e">
        <f>INDEX(Myopia!$H:$H, MATCH(E295, Myopia!$A:$A, 0)) * Trend_Factor^(A295)</f>
        <v>#N/A</v>
      </c>
      <c r="O295" s="11">
        <f t="shared" si="245"/>
        <v>0</v>
      </c>
      <c r="P295" s="80">
        <f t="shared" si="264"/>
        <v>0</v>
      </c>
      <c r="Q295" s="76">
        <f>VLOOKUP(C295,Others!$L$10:$M$61,2)</f>
        <v>0</v>
      </c>
      <c r="R295" s="11">
        <f t="shared" si="246"/>
        <v>0</v>
      </c>
      <c r="S295" s="80">
        <f t="shared" si="265"/>
        <v>0</v>
      </c>
      <c r="T295" s="78">
        <f t="shared" si="266"/>
        <v>0</v>
      </c>
      <c r="U295" s="81">
        <f t="shared" si="267"/>
        <v>0</v>
      </c>
      <c r="V295" s="81">
        <f t="shared" si="268"/>
        <v>0</v>
      </c>
      <c r="W295" s="77">
        <f t="shared" si="247"/>
        <v>0</v>
      </c>
      <c r="X295" s="82">
        <f t="shared" si="269"/>
        <v>0</v>
      </c>
      <c r="Y295" s="82">
        <f t="shared" si="270"/>
        <v>0</v>
      </c>
      <c r="Z295" s="82">
        <f t="shared" si="271"/>
        <v>0</v>
      </c>
      <c r="AA295" s="82">
        <f t="shared" si="272"/>
        <v>0</v>
      </c>
      <c r="AC295" s="46">
        <f t="shared" si="248"/>
        <v>0</v>
      </c>
      <c r="AD295" s="15">
        <f t="shared" si="249"/>
        <v>0</v>
      </c>
      <c r="AE295" s="46">
        <f t="shared" si="273"/>
        <v>0</v>
      </c>
      <c r="AF295" s="15">
        <f t="shared" si="274"/>
        <v>0</v>
      </c>
      <c r="AG295" s="46">
        <f>SUMPRODUCT(AE296:AE$605, $I295:$I$604) / $I295</f>
        <v>0</v>
      </c>
      <c r="AI295" s="46">
        <f t="shared" si="250"/>
        <v>0</v>
      </c>
      <c r="AJ295" s="46">
        <f>IF(E295&gt;Mat_Year,0,  -SUM($AD$5:AD295))</f>
        <v>0</v>
      </c>
      <c r="AK295" s="24">
        <f t="shared" si="275"/>
        <v>0</v>
      </c>
      <c r="AL295" s="79">
        <f t="shared" si="276"/>
        <v>0</v>
      </c>
      <c r="AM295" s="24">
        <f t="shared" si="277"/>
        <v>0</v>
      </c>
      <c r="AN295" s="79">
        <f t="shared" si="278"/>
        <v>0</v>
      </c>
      <c r="AO295" s="15">
        <f t="shared" si="279"/>
        <v>0</v>
      </c>
      <c r="AP295" s="46">
        <f>SUMPRODUCT(AN296:AN$605, $I296:$I$605) / $I295</f>
        <v>0</v>
      </c>
      <c r="AR295" s="46">
        <v>0</v>
      </c>
      <c r="AS295" s="46">
        <v>0</v>
      </c>
      <c r="AT295" s="46">
        <v>0</v>
      </c>
      <c r="AU295" s="95">
        <f t="shared" si="251"/>
        <v>0</v>
      </c>
      <c r="AV295" s="47">
        <f t="shared" si="252"/>
        <v>0</v>
      </c>
      <c r="AW295" s="96">
        <f t="shared" si="287"/>
        <v>0</v>
      </c>
      <c r="AX295" s="95">
        <f t="shared" si="253"/>
        <v>0</v>
      </c>
      <c r="AY295" s="11">
        <f t="shared" si="254"/>
        <v>0</v>
      </c>
      <c r="AZ295" s="96">
        <f t="shared" si="288"/>
        <v>0</v>
      </c>
      <c r="BA295" s="95">
        <f t="shared" si="289"/>
        <v>0</v>
      </c>
      <c r="BB295" s="64">
        <f t="shared" si="290"/>
        <v>0</v>
      </c>
      <c r="BC295" s="95">
        <f t="shared" si="291"/>
        <v>0</v>
      </c>
      <c r="BD295" s="96">
        <f t="shared" si="292"/>
        <v>0</v>
      </c>
      <c r="BE295" s="96">
        <f t="shared" si="293"/>
        <v>0</v>
      </c>
      <c r="BF295" s="96">
        <f t="shared" si="294"/>
        <v>0</v>
      </c>
      <c r="BG295" s="15">
        <f t="shared" si="280"/>
        <v>0</v>
      </c>
      <c r="BH295" s="46">
        <f>(SUMPRODUCT(BE296:BE$605,$I295:$I$604)+SUMPRODUCT(BF296:BF$605,$I296:$I$605)) / $I295</f>
        <v>0</v>
      </c>
      <c r="BJ295" s="46">
        <f t="shared" si="295"/>
        <v>0</v>
      </c>
      <c r="BK295" s="46">
        <f t="shared" si="296"/>
        <v>0</v>
      </c>
      <c r="BM295" s="49">
        <f t="shared" si="281"/>
        <v>0</v>
      </c>
      <c r="BN295" s="46">
        <f t="shared" si="297"/>
        <v>0</v>
      </c>
      <c r="BP295" s="46">
        <f>Reserve!BX295</f>
        <v>0</v>
      </c>
      <c r="BQ295" s="46">
        <f t="shared" si="255"/>
        <v>0</v>
      </c>
      <c r="BR295" s="15">
        <f t="shared" si="282"/>
        <v>0</v>
      </c>
      <c r="BT295" s="49">
        <f t="shared" si="283"/>
        <v>0</v>
      </c>
      <c r="BU295" s="46">
        <f t="shared" si="256"/>
        <v>0</v>
      </c>
      <c r="BV295" s="46">
        <f>SUMPRODUCT(BU296:BU$605, $I296:$I$605) / $I295</f>
        <v>0</v>
      </c>
      <c r="BX295" s="46">
        <f>-BZ295*Others!$Q$43</f>
        <v>0</v>
      </c>
      <c r="BZ295" s="50">
        <f t="shared" si="241"/>
        <v>0</v>
      </c>
      <c r="CA295" s="46">
        <f t="shared" si="284"/>
        <v>0</v>
      </c>
      <c r="CB295" s="46">
        <f t="shared" si="257"/>
        <v>0</v>
      </c>
      <c r="CD295" s="46">
        <f>SUMPRODUCT(BZ296:BZ$605, $I296:$I$605) / $I295</f>
        <v>0</v>
      </c>
      <c r="CE295" s="46">
        <f>SUMPRODUCT(CA296:CA$605, $I296:$I$605) / $I295</f>
        <v>0</v>
      </c>
      <c r="CF295" s="46">
        <f>SUMPRODUCT(CB296:CB$605, $I296:$I$605) / $I295</f>
        <v>0</v>
      </c>
      <c r="CH295" s="46">
        <f t="shared" si="258"/>
        <v>0</v>
      </c>
      <c r="CI295" s="46">
        <f t="shared" si="259"/>
        <v>0</v>
      </c>
      <c r="CK295" s="46">
        <f>NPV((1+CK$3)^(1/12)-1,$CB$6:$CB295)+$CB$5</f>
        <v>1409.6963032385702</v>
      </c>
      <c r="CL295" s="46">
        <f>NPV((1+CL$3)^(1/12)-1,$CB$6:$CB295)+$CB$5</f>
        <v>1057.2060036590874</v>
      </c>
      <c r="CM295" s="46">
        <f>NPV((1+CM$3)^(1/12)-1,$CB$6:$CB295)+$CB$5</f>
        <v>462.64886026294084</v>
      </c>
      <c r="CN295" s="46">
        <f>NPV((1+CN$3)^(1/12)-1,$CB$6:$CB295)+$CB$5</f>
        <v>462.64886026294084</v>
      </c>
    </row>
    <row r="296" spans="1:92" x14ac:dyDescent="0.25">
      <c r="A296" s="61">
        <f t="shared" si="242"/>
        <v>24.249999999999925</v>
      </c>
      <c r="B296" s="32">
        <f t="shared" si="260"/>
        <v>3</v>
      </c>
      <c r="C296" s="62">
        <f t="shared" si="261"/>
        <v>25</v>
      </c>
      <c r="D296" s="64">
        <f t="shared" si="262"/>
        <v>24.749999999999925</v>
      </c>
      <c r="E296" s="28">
        <f t="shared" si="243"/>
        <v>24</v>
      </c>
      <c r="G296" s="68">
        <f>INDEX(Others!$D$11:$E$60, MATCH(C296, Others!$A$11:$A$60, 0), MATCH(G$3, Others!$D$10:$E$10, 0))</f>
        <v>4.0690909090909111E-2</v>
      </c>
      <c r="H296" s="16">
        <f t="shared" si="285"/>
        <v>3.329265421250005E-3</v>
      </c>
      <c r="I296" s="69">
        <f t="shared" si="286"/>
        <v>0.38014326470713283</v>
      </c>
      <c r="K296" s="80" t="e">
        <f>INDEX(Mortality!$B$7:$F$32, MATCH( E296,Mortality!$A$7:$A$32, 0), MATCH( K$3,Mortality!$B$6:$F$6,0))</f>
        <v>#N/A</v>
      </c>
      <c r="L296" s="11">
        <f t="shared" si="244"/>
        <v>0</v>
      </c>
      <c r="M296" s="80">
        <f t="shared" si="263"/>
        <v>0</v>
      </c>
      <c r="N296" s="76" t="e">
        <f>INDEX(Myopia!$H:$H, MATCH(E296, Myopia!$A:$A, 0)) * Trend_Factor^(A296)</f>
        <v>#N/A</v>
      </c>
      <c r="O296" s="11">
        <f t="shared" si="245"/>
        <v>0</v>
      </c>
      <c r="P296" s="80">
        <f t="shared" si="264"/>
        <v>0</v>
      </c>
      <c r="Q296" s="76">
        <f>VLOOKUP(C296,Others!$L$10:$M$61,2)</f>
        <v>0</v>
      </c>
      <c r="R296" s="11">
        <f t="shared" si="246"/>
        <v>0</v>
      </c>
      <c r="S296" s="80">
        <f t="shared" si="265"/>
        <v>0</v>
      </c>
      <c r="T296" s="78">
        <f t="shared" si="266"/>
        <v>0</v>
      </c>
      <c r="U296" s="81">
        <f t="shared" si="267"/>
        <v>0</v>
      </c>
      <c r="V296" s="81">
        <f t="shared" si="268"/>
        <v>0</v>
      </c>
      <c r="W296" s="77">
        <f t="shared" si="247"/>
        <v>0</v>
      </c>
      <c r="X296" s="82">
        <f t="shared" si="269"/>
        <v>0</v>
      </c>
      <c r="Y296" s="82">
        <f t="shared" si="270"/>
        <v>0</v>
      </c>
      <c r="Z296" s="82">
        <f t="shared" si="271"/>
        <v>0</v>
      </c>
      <c r="AA296" s="82">
        <f t="shared" si="272"/>
        <v>0</v>
      </c>
      <c r="AC296" s="46">
        <f t="shared" si="248"/>
        <v>0</v>
      </c>
      <c r="AD296" s="15">
        <f t="shared" si="249"/>
        <v>0</v>
      </c>
      <c r="AE296" s="46">
        <f t="shared" si="273"/>
        <v>0</v>
      </c>
      <c r="AF296" s="15">
        <f t="shared" si="274"/>
        <v>0</v>
      </c>
      <c r="AG296" s="46">
        <f>SUMPRODUCT(AE297:AE$605, $I296:$I$604) / $I296</f>
        <v>0</v>
      </c>
      <c r="AI296" s="46">
        <f t="shared" si="250"/>
        <v>0</v>
      </c>
      <c r="AJ296" s="46">
        <f>IF(E296&gt;Mat_Year,0,  -SUM($AD$5:AD296))</f>
        <v>0</v>
      </c>
      <c r="AK296" s="24">
        <f t="shared" si="275"/>
        <v>0</v>
      </c>
      <c r="AL296" s="79">
        <f t="shared" si="276"/>
        <v>0</v>
      </c>
      <c r="AM296" s="24">
        <f t="shared" si="277"/>
        <v>0</v>
      </c>
      <c r="AN296" s="79">
        <f t="shared" si="278"/>
        <v>0</v>
      </c>
      <c r="AO296" s="15">
        <f t="shared" si="279"/>
        <v>0</v>
      </c>
      <c r="AP296" s="46">
        <f>SUMPRODUCT(AN297:AN$605, $I297:$I$605) / $I296</f>
        <v>0</v>
      </c>
      <c r="AR296" s="46">
        <v>0</v>
      </c>
      <c r="AS296" s="46">
        <v>0</v>
      </c>
      <c r="AT296" s="46">
        <v>0</v>
      </c>
      <c r="AU296" s="95">
        <f t="shared" si="251"/>
        <v>0</v>
      </c>
      <c r="AV296" s="47">
        <f t="shared" si="252"/>
        <v>0</v>
      </c>
      <c r="AW296" s="96">
        <f t="shared" si="287"/>
        <v>0</v>
      </c>
      <c r="AX296" s="95">
        <f t="shared" si="253"/>
        <v>0</v>
      </c>
      <c r="AY296" s="11">
        <f t="shared" si="254"/>
        <v>0</v>
      </c>
      <c r="AZ296" s="96">
        <f t="shared" si="288"/>
        <v>0</v>
      </c>
      <c r="BA296" s="95">
        <f t="shared" si="289"/>
        <v>0</v>
      </c>
      <c r="BB296" s="64">
        <f t="shared" si="290"/>
        <v>0</v>
      </c>
      <c r="BC296" s="95">
        <f t="shared" si="291"/>
        <v>0</v>
      </c>
      <c r="BD296" s="96">
        <f t="shared" si="292"/>
        <v>0</v>
      </c>
      <c r="BE296" s="96">
        <f t="shared" si="293"/>
        <v>0</v>
      </c>
      <c r="BF296" s="96">
        <f t="shared" si="294"/>
        <v>0</v>
      </c>
      <c r="BG296" s="15">
        <f t="shared" si="280"/>
        <v>0</v>
      </c>
      <c r="BH296" s="46">
        <f>(SUMPRODUCT(BE297:BE$605,$I296:$I$604)+SUMPRODUCT(BF297:BF$605,$I297:$I$605)) / $I296</f>
        <v>0</v>
      </c>
      <c r="BJ296" s="46">
        <f t="shared" si="295"/>
        <v>0</v>
      </c>
      <c r="BK296" s="46">
        <f t="shared" si="296"/>
        <v>0</v>
      </c>
      <c r="BM296" s="49">
        <f t="shared" si="281"/>
        <v>0</v>
      </c>
      <c r="BN296" s="46">
        <f t="shared" si="297"/>
        <v>0</v>
      </c>
      <c r="BP296" s="46">
        <f>Reserve!BX296</f>
        <v>0</v>
      </c>
      <c r="BQ296" s="46">
        <f t="shared" si="255"/>
        <v>0</v>
      </c>
      <c r="BR296" s="15">
        <f t="shared" si="282"/>
        <v>0</v>
      </c>
      <c r="BT296" s="49">
        <f t="shared" si="283"/>
        <v>0</v>
      </c>
      <c r="BU296" s="46">
        <f t="shared" si="256"/>
        <v>0</v>
      </c>
      <c r="BV296" s="46">
        <f>SUMPRODUCT(BU297:BU$605, $I297:$I$605) / $I296</f>
        <v>0</v>
      </c>
      <c r="BX296" s="46">
        <f>-BZ296*Others!$Q$43</f>
        <v>0</v>
      </c>
      <c r="BZ296" s="50">
        <f t="shared" si="241"/>
        <v>0</v>
      </c>
      <c r="CA296" s="46">
        <f t="shared" si="284"/>
        <v>0</v>
      </c>
      <c r="CB296" s="46">
        <f t="shared" si="257"/>
        <v>0</v>
      </c>
      <c r="CD296" s="46">
        <f>SUMPRODUCT(BZ297:BZ$605, $I297:$I$605) / $I296</f>
        <v>0</v>
      </c>
      <c r="CE296" s="46">
        <f>SUMPRODUCT(CA297:CA$605, $I297:$I$605) / $I296</f>
        <v>0</v>
      </c>
      <c r="CF296" s="46">
        <f>SUMPRODUCT(CB297:CB$605, $I297:$I$605) / $I296</f>
        <v>0</v>
      </c>
      <c r="CH296" s="46">
        <f t="shared" si="258"/>
        <v>0</v>
      </c>
      <c r="CI296" s="46">
        <f t="shared" si="259"/>
        <v>0</v>
      </c>
      <c r="CK296" s="46">
        <f>NPV((1+CK$3)^(1/12)-1,$CB$6:$CB296)+$CB$5</f>
        <v>1409.6963032385702</v>
      </c>
      <c r="CL296" s="46">
        <f>NPV((1+CL$3)^(1/12)-1,$CB$6:$CB296)+$CB$5</f>
        <v>1057.2060036590874</v>
      </c>
      <c r="CM296" s="46">
        <f>NPV((1+CM$3)^(1/12)-1,$CB$6:$CB296)+$CB$5</f>
        <v>462.64886026294084</v>
      </c>
      <c r="CN296" s="46">
        <f>NPV((1+CN$3)^(1/12)-1,$CB$6:$CB296)+$CB$5</f>
        <v>462.64886026294084</v>
      </c>
    </row>
    <row r="297" spans="1:92" x14ac:dyDescent="0.25">
      <c r="A297" s="61">
        <f t="shared" si="242"/>
        <v>24.333333333333258</v>
      </c>
      <c r="B297" s="32">
        <f t="shared" si="260"/>
        <v>4</v>
      </c>
      <c r="C297" s="62">
        <f t="shared" si="261"/>
        <v>25</v>
      </c>
      <c r="D297" s="64">
        <f t="shared" si="262"/>
        <v>24.833333333333258</v>
      </c>
      <c r="E297" s="28">
        <f t="shared" si="243"/>
        <v>24</v>
      </c>
      <c r="G297" s="68">
        <f>INDEX(Others!$D$11:$E$60, MATCH(C297, Others!$A$11:$A$60, 0), MATCH(G$3, Others!$D$10:$E$10, 0))</f>
        <v>4.0690909090909111E-2</v>
      </c>
      <c r="H297" s="16">
        <f t="shared" si="285"/>
        <v>3.329265421250005E-3</v>
      </c>
      <c r="I297" s="69">
        <f t="shared" si="286"/>
        <v>0.37888186641055349</v>
      </c>
      <c r="K297" s="80" t="e">
        <f>INDEX(Mortality!$B$7:$F$32, MATCH( E297,Mortality!$A$7:$A$32, 0), MATCH( K$3,Mortality!$B$6:$F$6,0))</f>
        <v>#N/A</v>
      </c>
      <c r="L297" s="11">
        <f t="shared" si="244"/>
        <v>0</v>
      </c>
      <c r="M297" s="80">
        <f t="shared" si="263"/>
        <v>0</v>
      </c>
      <c r="N297" s="76" t="e">
        <f>INDEX(Myopia!$H:$H, MATCH(E297, Myopia!$A:$A, 0)) * Trend_Factor^(A297)</f>
        <v>#N/A</v>
      </c>
      <c r="O297" s="11">
        <f t="shared" si="245"/>
        <v>0</v>
      </c>
      <c r="P297" s="80">
        <f t="shared" si="264"/>
        <v>0</v>
      </c>
      <c r="Q297" s="76">
        <f>VLOOKUP(C297,Others!$L$10:$M$61,2)</f>
        <v>0</v>
      </c>
      <c r="R297" s="11">
        <f t="shared" si="246"/>
        <v>0</v>
      </c>
      <c r="S297" s="80">
        <f t="shared" si="265"/>
        <v>0</v>
      </c>
      <c r="T297" s="78">
        <f t="shared" si="266"/>
        <v>0</v>
      </c>
      <c r="U297" s="81">
        <f t="shared" si="267"/>
        <v>0</v>
      </c>
      <c r="V297" s="81">
        <f t="shared" si="268"/>
        <v>0</v>
      </c>
      <c r="W297" s="77">
        <f t="shared" si="247"/>
        <v>0</v>
      </c>
      <c r="X297" s="82">
        <f t="shared" si="269"/>
        <v>0</v>
      </c>
      <c r="Y297" s="82">
        <f t="shared" si="270"/>
        <v>0</v>
      </c>
      <c r="Z297" s="82">
        <f t="shared" si="271"/>
        <v>0</v>
      </c>
      <c r="AA297" s="82">
        <f t="shared" si="272"/>
        <v>0</v>
      </c>
      <c r="AC297" s="46">
        <f t="shared" si="248"/>
        <v>0</v>
      </c>
      <c r="AD297" s="15">
        <f t="shared" si="249"/>
        <v>0</v>
      </c>
      <c r="AE297" s="46">
        <f t="shared" si="273"/>
        <v>0</v>
      </c>
      <c r="AF297" s="15">
        <f t="shared" si="274"/>
        <v>0</v>
      </c>
      <c r="AG297" s="46">
        <f>SUMPRODUCT(AE298:AE$605, $I297:$I$604) / $I297</f>
        <v>0</v>
      </c>
      <c r="AI297" s="46">
        <f t="shared" si="250"/>
        <v>0</v>
      </c>
      <c r="AJ297" s="46">
        <f>IF(E297&gt;Mat_Year,0,  -SUM($AD$5:AD297))</f>
        <v>0</v>
      </c>
      <c r="AK297" s="24">
        <f t="shared" si="275"/>
        <v>0</v>
      </c>
      <c r="AL297" s="79">
        <f t="shared" si="276"/>
        <v>0</v>
      </c>
      <c r="AM297" s="24">
        <f t="shared" si="277"/>
        <v>0</v>
      </c>
      <c r="AN297" s="79">
        <f t="shared" si="278"/>
        <v>0</v>
      </c>
      <c r="AO297" s="15">
        <f t="shared" si="279"/>
        <v>0</v>
      </c>
      <c r="AP297" s="46">
        <f>SUMPRODUCT(AN298:AN$605, $I298:$I$605) / $I297</f>
        <v>0</v>
      </c>
      <c r="AR297" s="46">
        <v>0</v>
      </c>
      <c r="AS297" s="46">
        <v>0</v>
      </c>
      <c r="AT297" s="46">
        <v>0</v>
      </c>
      <c r="AU297" s="95">
        <f t="shared" si="251"/>
        <v>0</v>
      </c>
      <c r="AV297" s="47">
        <f t="shared" si="252"/>
        <v>0</v>
      </c>
      <c r="AW297" s="96">
        <f t="shared" si="287"/>
        <v>0</v>
      </c>
      <c r="AX297" s="95">
        <f t="shared" si="253"/>
        <v>0</v>
      </c>
      <c r="AY297" s="11">
        <f t="shared" si="254"/>
        <v>0</v>
      </c>
      <c r="AZ297" s="96">
        <f t="shared" si="288"/>
        <v>0</v>
      </c>
      <c r="BA297" s="95">
        <f t="shared" si="289"/>
        <v>0</v>
      </c>
      <c r="BB297" s="64">
        <f t="shared" si="290"/>
        <v>0</v>
      </c>
      <c r="BC297" s="95">
        <f t="shared" si="291"/>
        <v>0</v>
      </c>
      <c r="BD297" s="96">
        <f t="shared" si="292"/>
        <v>0</v>
      </c>
      <c r="BE297" s="96">
        <f t="shared" si="293"/>
        <v>0</v>
      </c>
      <c r="BF297" s="96">
        <f t="shared" si="294"/>
        <v>0</v>
      </c>
      <c r="BG297" s="15">
        <f t="shared" si="280"/>
        <v>0</v>
      </c>
      <c r="BH297" s="46">
        <f>(SUMPRODUCT(BE298:BE$605,$I297:$I$604)+SUMPRODUCT(BF298:BF$605,$I298:$I$605)) / $I297</f>
        <v>0</v>
      </c>
      <c r="BJ297" s="46">
        <f t="shared" si="295"/>
        <v>0</v>
      </c>
      <c r="BK297" s="46">
        <f t="shared" si="296"/>
        <v>0</v>
      </c>
      <c r="BM297" s="49">
        <f t="shared" si="281"/>
        <v>0</v>
      </c>
      <c r="BN297" s="46">
        <f t="shared" si="297"/>
        <v>0</v>
      </c>
      <c r="BP297" s="46">
        <f>Reserve!BX297</f>
        <v>0</v>
      </c>
      <c r="BQ297" s="46">
        <f t="shared" si="255"/>
        <v>0</v>
      </c>
      <c r="BR297" s="15">
        <f t="shared" si="282"/>
        <v>0</v>
      </c>
      <c r="BT297" s="49">
        <f t="shared" si="283"/>
        <v>0</v>
      </c>
      <c r="BU297" s="46">
        <f t="shared" si="256"/>
        <v>0</v>
      </c>
      <c r="BV297" s="46">
        <f>SUMPRODUCT(BU298:BU$605, $I298:$I$605) / $I297</f>
        <v>0</v>
      </c>
      <c r="BX297" s="46">
        <f>-BZ297*Others!$Q$43</f>
        <v>0</v>
      </c>
      <c r="BZ297" s="50">
        <f t="shared" si="241"/>
        <v>0</v>
      </c>
      <c r="CA297" s="46">
        <f t="shared" si="284"/>
        <v>0</v>
      </c>
      <c r="CB297" s="46">
        <f t="shared" si="257"/>
        <v>0</v>
      </c>
      <c r="CD297" s="46">
        <f>SUMPRODUCT(BZ298:BZ$605, $I298:$I$605) / $I297</f>
        <v>0</v>
      </c>
      <c r="CE297" s="46">
        <f>SUMPRODUCT(CA298:CA$605, $I298:$I$605) / $I297</f>
        <v>0</v>
      </c>
      <c r="CF297" s="46">
        <f>SUMPRODUCT(CB298:CB$605, $I298:$I$605) / $I297</f>
        <v>0</v>
      </c>
      <c r="CH297" s="46">
        <f t="shared" si="258"/>
        <v>0</v>
      </c>
      <c r="CI297" s="46">
        <f t="shared" si="259"/>
        <v>0</v>
      </c>
      <c r="CK297" s="46">
        <f>NPV((1+CK$3)^(1/12)-1,$CB$6:$CB297)+$CB$5</f>
        <v>1409.6963032385702</v>
      </c>
      <c r="CL297" s="46">
        <f>NPV((1+CL$3)^(1/12)-1,$CB$6:$CB297)+$CB$5</f>
        <v>1057.2060036590874</v>
      </c>
      <c r="CM297" s="46">
        <f>NPV((1+CM$3)^(1/12)-1,$CB$6:$CB297)+$CB$5</f>
        <v>462.64886026294084</v>
      </c>
      <c r="CN297" s="46">
        <f>NPV((1+CN$3)^(1/12)-1,$CB$6:$CB297)+$CB$5</f>
        <v>462.64886026294084</v>
      </c>
    </row>
    <row r="298" spans="1:92" x14ac:dyDescent="0.25">
      <c r="A298" s="61">
        <f t="shared" si="242"/>
        <v>24.41666666666659</v>
      </c>
      <c r="B298" s="32">
        <f t="shared" si="260"/>
        <v>5</v>
      </c>
      <c r="C298" s="62">
        <f t="shared" si="261"/>
        <v>25</v>
      </c>
      <c r="D298" s="64">
        <f t="shared" si="262"/>
        <v>24.91666666666659</v>
      </c>
      <c r="E298" s="28">
        <f t="shared" si="243"/>
        <v>24</v>
      </c>
      <c r="G298" s="68">
        <f>INDEX(Others!$D$11:$E$60, MATCH(C298, Others!$A$11:$A$60, 0), MATCH(G$3, Others!$D$10:$E$10, 0))</f>
        <v>4.0690909090909111E-2</v>
      </c>
      <c r="H298" s="16">
        <f t="shared" si="285"/>
        <v>3.329265421250005E-3</v>
      </c>
      <c r="I298" s="69">
        <f t="shared" si="286"/>
        <v>0.37762465370874942</v>
      </c>
      <c r="K298" s="80" t="e">
        <f>INDEX(Mortality!$B$7:$F$32, MATCH( E298,Mortality!$A$7:$A$32, 0), MATCH( K$3,Mortality!$B$6:$F$6,0))</f>
        <v>#N/A</v>
      </c>
      <c r="L298" s="11">
        <f t="shared" si="244"/>
        <v>0</v>
      </c>
      <c r="M298" s="80">
        <f t="shared" si="263"/>
        <v>0</v>
      </c>
      <c r="N298" s="76" t="e">
        <f>INDEX(Myopia!$H:$H, MATCH(E298, Myopia!$A:$A, 0)) * Trend_Factor^(A298)</f>
        <v>#N/A</v>
      </c>
      <c r="O298" s="11">
        <f t="shared" si="245"/>
        <v>0</v>
      </c>
      <c r="P298" s="80">
        <f t="shared" si="264"/>
        <v>0</v>
      </c>
      <c r="Q298" s="76">
        <f>VLOOKUP(C298,Others!$L$10:$M$61,2)</f>
        <v>0</v>
      </c>
      <c r="R298" s="11">
        <f t="shared" si="246"/>
        <v>0</v>
      </c>
      <c r="S298" s="80">
        <f t="shared" si="265"/>
        <v>0</v>
      </c>
      <c r="T298" s="78">
        <f t="shared" si="266"/>
        <v>0</v>
      </c>
      <c r="U298" s="81">
        <f t="shared" si="267"/>
        <v>0</v>
      </c>
      <c r="V298" s="81">
        <f t="shared" si="268"/>
        <v>0</v>
      </c>
      <c r="W298" s="77">
        <f t="shared" si="247"/>
        <v>0</v>
      </c>
      <c r="X298" s="82">
        <f t="shared" si="269"/>
        <v>0</v>
      </c>
      <c r="Y298" s="82">
        <f t="shared" si="270"/>
        <v>0</v>
      </c>
      <c r="Z298" s="82">
        <f t="shared" si="271"/>
        <v>0</v>
      </c>
      <c r="AA298" s="82">
        <f t="shared" si="272"/>
        <v>0</v>
      </c>
      <c r="AC298" s="46">
        <f t="shared" si="248"/>
        <v>0</v>
      </c>
      <c r="AD298" s="15">
        <f t="shared" si="249"/>
        <v>0</v>
      </c>
      <c r="AE298" s="46">
        <f t="shared" si="273"/>
        <v>0</v>
      </c>
      <c r="AF298" s="15">
        <f t="shared" si="274"/>
        <v>0</v>
      </c>
      <c r="AG298" s="46">
        <f>SUMPRODUCT(AE299:AE$605, $I298:$I$604) / $I298</f>
        <v>0</v>
      </c>
      <c r="AI298" s="46">
        <f t="shared" si="250"/>
        <v>0</v>
      </c>
      <c r="AJ298" s="46">
        <f>IF(E298&gt;Mat_Year,0,  -SUM($AD$5:AD298))</f>
        <v>0</v>
      </c>
      <c r="AK298" s="24">
        <f t="shared" si="275"/>
        <v>0</v>
      </c>
      <c r="AL298" s="79">
        <f t="shared" si="276"/>
        <v>0</v>
      </c>
      <c r="AM298" s="24">
        <f t="shared" si="277"/>
        <v>0</v>
      </c>
      <c r="AN298" s="79">
        <f t="shared" si="278"/>
        <v>0</v>
      </c>
      <c r="AO298" s="15">
        <f t="shared" si="279"/>
        <v>0</v>
      </c>
      <c r="AP298" s="46">
        <f>SUMPRODUCT(AN299:AN$605, $I299:$I$605) / $I298</f>
        <v>0</v>
      </c>
      <c r="AR298" s="46">
        <v>0</v>
      </c>
      <c r="AS298" s="46">
        <v>0</v>
      </c>
      <c r="AT298" s="46">
        <v>0</v>
      </c>
      <c r="AU298" s="95">
        <f t="shared" si="251"/>
        <v>0</v>
      </c>
      <c r="AV298" s="47">
        <f t="shared" si="252"/>
        <v>0</v>
      </c>
      <c r="AW298" s="96">
        <f t="shared" si="287"/>
        <v>0</v>
      </c>
      <c r="AX298" s="95">
        <f t="shared" si="253"/>
        <v>0</v>
      </c>
      <c r="AY298" s="11">
        <f t="shared" si="254"/>
        <v>0</v>
      </c>
      <c r="AZ298" s="96">
        <f t="shared" si="288"/>
        <v>0</v>
      </c>
      <c r="BA298" s="95">
        <f t="shared" si="289"/>
        <v>0</v>
      </c>
      <c r="BB298" s="64">
        <f t="shared" si="290"/>
        <v>0</v>
      </c>
      <c r="BC298" s="95">
        <f t="shared" si="291"/>
        <v>0</v>
      </c>
      <c r="BD298" s="96">
        <f t="shared" si="292"/>
        <v>0</v>
      </c>
      <c r="BE298" s="96">
        <f t="shared" si="293"/>
        <v>0</v>
      </c>
      <c r="BF298" s="96">
        <f t="shared" si="294"/>
        <v>0</v>
      </c>
      <c r="BG298" s="15">
        <f t="shared" si="280"/>
        <v>0</v>
      </c>
      <c r="BH298" s="46">
        <f>(SUMPRODUCT(BE299:BE$605,$I298:$I$604)+SUMPRODUCT(BF299:BF$605,$I299:$I$605)) / $I298</f>
        <v>0</v>
      </c>
      <c r="BJ298" s="46">
        <f t="shared" si="295"/>
        <v>0</v>
      </c>
      <c r="BK298" s="46">
        <f t="shared" si="296"/>
        <v>0</v>
      </c>
      <c r="BM298" s="49">
        <f t="shared" si="281"/>
        <v>0</v>
      </c>
      <c r="BN298" s="46">
        <f t="shared" si="297"/>
        <v>0</v>
      </c>
      <c r="BP298" s="46">
        <f>Reserve!BX298</f>
        <v>0</v>
      </c>
      <c r="BQ298" s="46">
        <f t="shared" si="255"/>
        <v>0</v>
      </c>
      <c r="BR298" s="15">
        <f t="shared" si="282"/>
        <v>0</v>
      </c>
      <c r="BT298" s="49">
        <f t="shared" si="283"/>
        <v>0</v>
      </c>
      <c r="BU298" s="46">
        <f t="shared" si="256"/>
        <v>0</v>
      </c>
      <c r="BV298" s="46">
        <f>SUMPRODUCT(BU299:BU$605, $I299:$I$605) / $I298</f>
        <v>0</v>
      </c>
      <c r="BX298" s="46">
        <f>-BZ298*Others!$Q$43</f>
        <v>0</v>
      </c>
      <c r="BZ298" s="50">
        <f t="shared" si="241"/>
        <v>0</v>
      </c>
      <c r="CA298" s="46">
        <f t="shared" si="284"/>
        <v>0</v>
      </c>
      <c r="CB298" s="46">
        <f t="shared" si="257"/>
        <v>0</v>
      </c>
      <c r="CD298" s="46">
        <f>SUMPRODUCT(BZ299:BZ$605, $I299:$I$605) / $I298</f>
        <v>0</v>
      </c>
      <c r="CE298" s="46">
        <f>SUMPRODUCT(CA299:CA$605, $I299:$I$605) / $I298</f>
        <v>0</v>
      </c>
      <c r="CF298" s="46">
        <f>SUMPRODUCT(CB299:CB$605, $I299:$I$605) / $I298</f>
        <v>0</v>
      </c>
      <c r="CH298" s="46">
        <f t="shared" si="258"/>
        <v>0</v>
      </c>
      <c r="CI298" s="46">
        <f t="shared" si="259"/>
        <v>0</v>
      </c>
      <c r="CK298" s="46">
        <f>NPV((1+CK$3)^(1/12)-1,$CB$6:$CB298)+$CB$5</f>
        <v>1409.6963032385702</v>
      </c>
      <c r="CL298" s="46">
        <f>NPV((1+CL$3)^(1/12)-1,$CB$6:$CB298)+$CB$5</f>
        <v>1057.2060036590874</v>
      </c>
      <c r="CM298" s="46">
        <f>NPV((1+CM$3)^(1/12)-1,$CB$6:$CB298)+$CB$5</f>
        <v>462.64886026294084</v>
      </c>
      <c r="CN298" s="46">
        <f>NPV((1+CN$3)^(1/12)-1,$CB$6:$CB298)+$CB$5</f>
        <v>462.64886026294084</v>
      </c>
    </row>
    <row r="299" spans="1:92" x14ac:dyDescent="0.25">
      <c r="A299" s="61">
        <f t="shared" si="242"/>
        <v>24.499999999999922</v>
      </c>
      <c r="B299" s="32">
        <f t="shared" si="260"/>
        <v>6</v>
      </c>
      <c r="C299" s="62">
        <f t="shared" si="261"/>
        <v>25</v>
      </c>
      <c r="D299" s="64">
        <f t="shared" si="262"/>
        <v>24.999999999999922</v>
      </c>
      <c r="E299" s="28">
        <f t="shared" si="243"/>
        <v>25</v>
      </c>
      <c r="G299" s="68">
        <f>INDEX(Others!$D$11:$E$60, MATCH(C299, Others!$A$11:$A$60, 0), MATCH(G$3, Others!$D$10:$E$10, 0))</f>
        <v>4.0690909090909111E-2</v>
      </c>
      <c r="H299" s="16">
        <f t="shared" si="285"/>
        <v>3.329265421250005E-3</v>
      </c>
      <c r="I299" s="69">
        <f t="shared" si="286"/>
        <v>0.3763716127130039</v>
      </c>
      <c r="K299" s="80" t="e">
        <f>INDEX(Mortality!$B$7:$F$32, MATCH( E299,Mortality!$A$7:$A$32, 0), MATCH( K$3,Mortality!$B$6:$F$6,0))</f>
        <v>#N/A</v>
      </c>
      <c r="L299" s="11">
        <f t="shared" si="244"/>
        <v>0</v>
      </c>
      <c r="M299" s="80">
        <f t="shared" si="263"/>
        <v>0</v>
      </c>
      <c r="N299" s="76" t="e">
        <f>INDEX(Myopia!$H:$H, MATCH(E299, Myopia!$A:$A, 0)) * Trend_Factor^(A299)</f>
        <v>#N/A</v>
      </c>
      <c r="O299" s="11">
        <f t="shared" si="245"/>
        <v>0</v>
      </c>
      <c r="P299" s="80">
        <f t="shared" si="264"/>
        <v>0</v>
      </c>
      <c r="Q299" s="76">
        <f>VLOOKUP(C299,Others!$L$10:$M$61,2)</f>
        <v>0</v>
      </c>
      <c r="R299" s="11">
        <f t="shared" si="246"/>
        <v>0</v>
      </c>
      <c r="S299" s="80">
        <f t="shared" si="265"/>
        <v>0</v>
      </c>
      <c r="T299" s="78">
        <f t="shared" si="266"/>
        <v>0</v>
      </c>
      <c r="U299" s="81">
        <f t="shared" si="267"/>
        <v>0</v>
      </c>
      <c r="V299" s="81">
        <f t="shared" si="268"/>
        <v>0</v>
      </c>
      <c r="W299" s="77">
        <f t="shared" si="247"/>
        <v>0</v>
      </c>
      <c r="X299" s="82">
        <f t="shared" si="269"/>
        <v>0</v>
      </c>
      <c r="Y299" s="82">
        <f t="shared" si="270"/>
        <v>0</v>
      </c>
      <c r="Z299" s="82">
        <f t="shared" si="271"/>
        <v>0</v>
      </c>
      <c r="AA299" s="82">
        <f t="shared" si="272"/>
        <v>0</v>
      </c>
      <c r="AC299" s="46">
        <f t="shared" si="248"/>
        <v>0</v>
      </c>
      <c r="AD299" s="15">
        <f t="shared" si="249"/>
        <v>0</v>
      </c>
      <c r="AE299" s="46">
        <f t="shared" si="273"/>
        <v>0</v>
      </c>
      <c r="AF299" s="15">
        <f t="shared" si="274"/>
        <v>0</v>
      </c>
      <c r="AG299" s="46">
        <f>SUMPRODUCT(AE300:AE$605, $I299:$I$604) / $I299</f>
        <v>0</v>
      </c>
      <c r="AI299" s="46">
        <f t="shared" si="250"/>
        <v>0</v>
      </c>
      <c r="AJ299" s="46">
        <f>IF(E299&gt;Mat_Year,0,  -SUM($AD$5:AD299))</f>
        <v>0</v>
      </c>
      <c r="AK299" s="24">
        <f t="shared" si="275"/>
        <v>0</v>
      </c>
      <c r="AL299" s="79">
        <f t="shared" si="276"/>
        <v>0</v>
      </c>
      <c r="AM299" s="24">
        <f t="shared" si="277"/>
        <v>0</v>
      </c>
      <c r="AN299" s="79">
        <f t="shared" si="278"/>
        <v>0</v>
      </c>
      <c r="AO299" s="15">
        <f t="shared" si="279"/>
        <v>0</v>
      </c>
      <c r="AP299" s="46">
        <f>SUMPRODUCT(AN300:AN$605, $I300:$I$605) / $I299</f>
        <v>0</v>
      </c>
      <c r="AR299" s="46">
        <v>0</v>
      </c>
      <c r="AS299" s="46">
        <v>0</v>
      </c>
      <c r="AT299" s="46">
        <v>0</v>
      </c>
      <c r="AU299" s="95">
        <f t="shared" si="251"/>
        <v>0</v>
      </c>
      <c r="AV299" s="47">
        <f t="shared" si="252"/>
        <v>0</v>
      </c>
      <c r="AW299" s="96">
        <f t="shared" si="287"/>
        <v>0</v>
      </c>
      <c r="AX299" s="95">
        <f t="shared" si="253"/>
        <v>0</v>
      </c>
      <c r="AY299" s="11">
        <f t="shared" si="254"/>
        <v>0</v>
      </c>
      <c r="AZ299" s="96">
        <f t="shared" si="288"/>
        <v>0</v>
      </c>
      <c r="BA299" s="95">
        <f t="shared" si="289"/>
        <v>0</v>
      </c>
      <c r="BB299" s="64">
        <f t="shared" si="290"/>
        <v>0</v>
      </c>
      <c r="BC299" s="95">
        <f t="shared" si="291"/>
        <v>0</v>
      </c>
      <c r="BD299" s="96">
        <f t="shared" si="292"/>
        <v>0</v>
      </c>
      <c r="BE299" s="96">
        <f t="shared" si="293"/>
        <v>0</v>
      </c>
      <c r="BF299" s="96">
        <f t="shared" si="294"/>
        <v>0</v>
      </c>
      <c r="BG299" s="15">
        <f t="shared" si="280"/>
        <v>0</v>
      </c>
      <c r="BH299" s="46">
        <f>(SUMPRODUCT(BE300:BE$605,$I299:$I$604)+SUMPRODUCT(BF300:BF$605,$I300:$I$605)) / $I299</f>
        <v>0</v>
      </c>
      <c r="BJ299" s="46">
        <f t="shared" si="295"/>
        <v>0</v>
      </c>
      <c r="BK299" s="46">
        <f t="shared" si="296"/>
        <v>0</v>
      </c>
      <c r="BM299" s="49">
        <f t="shared" si="281"/>
        <v>0</v>
      </c>
      <c r="BN299" s="46">
        <f t="shared" si="297"/>
        <v>0</v>
      </c>
      <c r="BP299" s="46">
        <f>Reserve!BX299</f>
        <v>0</v>
      </c>
      <c r="BQ299" s="46">
        <f t="shared" si="255"/>
        <v>0</v>
      </c>
      <c r="BR299" s="15">
        <f t="shared" si="282"/>
        <v>0</v>
      </c>
      <c r="BT299" s="49">
        <f t="shared" si="283"/>
        <v>0</v>
      </c>
      <c r="BU299" s="46">
        <f t="shared" si="256"/>
        <v>0</v>
      </c>
      <c r="BV299" s="46">
        <f>SUMPRODUCT(BU300:BU$605, $I300:$I$605) / $I299</f>
        <v>0</v>
      </c>
      <c r="BX299" s="46">
        <f>-BZ299*Others!$Q$43</f>
        <v>0</v>
      </c>
      <c r="BZ299" s="50">
        <f t="shared" si="241"/>
        <v>0</v>
      </c>
      <c r="CA299" s="46">
        <f t="shared" si="284"/>
        <v>0</v>
      </c>
      <c r="CB299" s="46">
        <f t="shared" si="257"/>
        <v>0</v>
      </c>
      <c r="CD299" s="46">
        <f>SUMPRODUCT(BZ300:BZ$605, $I300:$I$605) / $I299</f>
        <v>0</v>
      </c>
      <c r="CE299" s="46">
        <f>SUMPRODUCT(CA300:CA$605, $I300:$I$605) / $I299</f>
        <v>0</v>
      </c>
      <c r="CF299" s="46">
        <f>SUMPRODUCT(CB300:CB$605, $I300:$I$605) / $I299</f>
        <v>0</v>
      </c>
      <c r="CH299" s="46">
        <f t="shared" si="258"/>
        <v>0</v>
      </c>
      <c r="CI299" s="46">
        <f t="shared" si="259"/>
        <v>0</v>
      </c>
      <c r="CK299" s="46">
        <f>NPV((1+CK$3)^(1/12)-1,$CB$6:$CB299)+$CB$5</f>
        <v>1409.6963032385702</v>
      </c>
      <c r="CL299" s="46">
        <f>NPV((1+CL$3)^(1/12)-1,$CB$6:$CB299)+$CB$5</f>
        <v>1057.2060036590874</v>
      </c>
      <c r="CM299" s="46">
        <f>NPV((1+CM$3)^(1/12)-1,$CB$6:$CB299)+$CB$5</f>
        <v>462.64886026294084</v>
      </c>
      <c r="CN299" s="46">
        <f>NPV((1+CN$3)^(1/12)-1,$CB$6:$CB299)+$CB$5</f>
        <v>462.64886026294084</v>
      </c>
    </row>
    <row r="300" spans="1:92" x14ac:dyDescent="0.25">
      <c r="A300" s="61">
        <f t="shared" si="242"/>
        <v>24.583333333333254</v>
      </c>
      <c r="B300" s="32">
        <f t="shared" si="260"/>
        <v>7</v>
      </c>
      <c r="C300" s="62">
        <f t="shared" si="261"/>
        <v>25</v>
      </c>
      <c r="D300" s="64">
        <f t="shared" si="262"/>
        <v>25.083333333333254</v>
      </c>
      <c r="E300" s="28">
        <f t="shared" si="243"/>
        <v>25</v>
      </c>
      <c r="G300" s="68">
        <f>INDEX(Others!$D$11:$E$60, MATCH(C300, Others!$A$11:$A$60, 0), MATCH(G$3, Others!$D$10:$E$10, 0))</f>
        <v>4.0690909090909111E-2</v>
      </c>
      <c r="H300" s="16">
        <f t="shared" si="285"/>
        <v>3.329265421250005E-3</v>
      </c>
      <c r="I300" s="69">
        <f t="shared" si="286"/>
        <v>0.37512272958068599</v>
      </c>
      <c r="K300" s="80" t="e">
        <f>INDEX(Mortality!$B$7:$F$32, MATCH( E300,Mortality!$A$7:$A$32, 0), MATCH( K$3,Mortality!$B$6:$F$6,0))</f>
        <v>#N/A</v>
      </c>
      <c r="L300" s="11">
        <f t="shared" si="244"/>
        <v>0</v>
      </c>
      <c r="M300" s="80">
        <f t="shared" si="263"/>
        <v>0</v>
      </c>
      <c r="N300" s="76" t="e">
        <f>INDEX(Myopia!$H:$H, MATCH(E300, Myopia!$A:$A, 0)) * Trend_Factor^(A300)</f>
        <v>#N/A</v>
      </c>
      <c r="O300" s="11">
        <f t="shared" si="245"/>
        <v>0</v>
      </c>
      <c r="P300" s="80">
        <f t="shared" si="264"/>
        <v>0</v>
      </c>
      <c r="Q300" s="76">
        <f>VLOOKUP(C300,Others!$L$10:$M$61,2)</f>
        <v>0</v>
      </c>
      <c r="R300" s="11">
        <f t="shared" si="246"/>
        <v>0</v>
      </c>
      <c r="S300" s="80">
        <f t="shared" si="265"/>
        <v>0</v>
      </c>
      <c r="T300" s="78">
        <f t="shared" si="266"/>
        <v>0</v>
      </c>
      <c r="U300" s="81">
        <f t="shared" si="267"/>
        <v>0</v>
      </c>
      <c r="V300" s="81">
        <f t="shared" si="268"/>
        <v>0</v>
      </c>
      <c r="W300" s="77">
        <f t="shared" si="247"/>
        <v>0</v>
      </c>
      <c r="X300" s="82">
        <f t="shared" si="269"/>
        <v>0</v>
      </c>
      <c r="Y300" s="82">
        <f t="shared" si="270"/>
        <v>0</v>
      </c>
      <c r="Z300" s="82">
        <f t="shared" si="271"/>
        <v>0</v>
      </c>
      <c r="AA300" s="82">
        <f t="shared" si="272"/>
        <v>0</v>
      </c>
      <c r="AC300" s="46">
        <f t="shared" si="248"/>
        <v>0</v>
      </c>
      <c r="AD300" s="15">
        <f t="shared" si="249"/>
        <v>0</v>
      </c>
      <c r="AE300" s="46">
        <f t="shared" si="273"/>
        <v>0</v>
      </c>
      <c r="AF300" s="15">
        <f t="shared" si="274"/>
        <v>0</v>
      </c>
      <c r="AG300" s="46">
        <f>SUMPRODUCT(AE301:AE$605, $I300:$I$604) / $I300</f>
        <v>0</v>
      </c>
      <c r="AI300" s="46">
        <f t="shared" si="250"/>
        <v>0</v>
      </c>
      <c r="AJ300" s="46">
        <f>IF(E300&gt;Mat_Year,0,  -SUM($AD$5:AD300))</f>
        <v>0</v>
      </c>
      <c r="AK300" s="24">
        <f t="shared" si="275"/>
        <v>0</v>
      </c>
      <c r="AL300" s="79">
        <f t="shared" si="276"/>
        <v>0</v>
      </c>
      <c r="AM300" s="24">
        <f t="shared" si="277"/>
        <v>0</v>
      </c>
      <c r="AN300" s="79">
        <f t="shared" si="278"/>
        <v>0</v>
      </c>
      <c r="AO300" s="15">
        <f t="shared" si="279"/>
        <v>0</v>
      </c>
      <c r="AP300" s="46">
        <f>SUMPRODUCT(AN301:AN$605, $I301:$I$605) / $I300</f>
        <v>0</v>
      </c>
      <c r="AR300" s="46">
        <v>0</v>
      </c>
      <c r="AS300" s="46">
        <v>0</v>
      </c>
      <c r="AT300" s="46">
        <v>0</v>
      </c>
      <c r="AU300" s="95">
        <f t="shared" si="251"/>
        <v>0</v>
      </c>
      <c r="AV300" s="47">
        <f t="shared" si="252"/>
        <v>0</v>
      </c>
      <c r="AW300" s="96">
        <f t="shared" si="287"/>
        <v>0</v>
      </c>
      <c r="AX300" s="95">
        <f t="shared" si="253"/>
        <v>0</v>
      </c>
      <c r="AY300" s="11">
        <f t="shared" si="254"/>
        <v>0</v>
      </c>
      <c r="AZ300" s="96">
        <f t="shared" si="288"/>
        <v>0</v>
      </c>
      <c r="BA300" s="95">
        <f t="shared" si="289"/>
        <v>0</v>
      </c>
      <c r="BB300" s="64">
        <f t="shared" si="290"/>
        <v>0</v>
      </c>
      <c r="BC300" s="95">
        <f t="shared" si="291"/>
        <v>0</v>
      </c>
      <c r="BD300" s="96">
        <f t="shared" si="292"/>
        <v>0</v>
      </c>
      <c r="BE300" s="96">
        <f t="shared" si="293"/>
        <v>0</v>
      </c>
      <c r="BF300" s="96">
        <f t="shared" si="294"/>
        <v>0</v>
      </c>
      <c r="BG300" s="15">
        <f t="shared" si="280"/>
        <v>0</v>
      </c>
      <c r="BH300" s="46">
        <f>(SUMPRODUCT(BE301:BE$605,$I300:$I$604)+SUMPRODUCT(BF301:BF$605,$I301:$I$605)) / $I300</f>
        <v>0</v>
      </c>
      <c r="BJ300" s="46">
        <f t="shared" si="295"/>
        <v>0</v>
      </c>
      <c r="BK300" s="46">
        <f t="shared" si="296"/>
        <v>0</v>
      </c>
      <c r="BM300" s="49">
        <f t="shared" si="281"/>
        <v>0</v>
      </c>
      <c r="BN300" s="46">
        <f t="shared" si="297"/>
        <v>0</v>
      </c>
      <c r="BP300" s="46">
        <f>Reserve!BX300</f>
        <v>0</v>
      </c>
      <c r="BQ300" s="46">
        <f t="shared" si="255"/>
        <v>0</v>
      </c>
      <c r="BR300" s="15">
        <f t="shared" si="282"/>
        <v>0</v>
      </c>
      <c r="BT300" s="49">
        <f t="shared" si="283"/>
        <v>0</v>
      </c>
      <c r="BU300" s="46">
        <f t="shared" si="256"/>
        <v>0</v>
      </c>
      <c r="BV300" s="46">
        <f>SUMPRODUCT(BU301:BU$605, $I301:$I$605) / $I300</f>
        <v>0</v>
      </c>
      <c r="BX300" s="46">
        <f>-BZ300*Others!$Q$43</f>
        <v>0</v>
      </c>
      <c r="BZ300" s="50">
        <f t="shared" si="241"/>
        <v>0</v>
      </c>
      <c r="CA300" s="46">
        <f t="shared" si="284"/>
        <v>0</v>
      </c>
      <c r="CB300" s="46">
        <f t="shared" si="257"/>
        <v>0</v>
      </c>
      <c r="CD300" s="46">
        <f>SUMPRODUCT(BZ301:BZ$605, $I301:$I$605) / $I300</f>
        <v>0</v>
      </c>
      <c r="CE300" s="46">
        <f>SUMPRODUCT(CA301:CA$605, $I301:$I$605) / $I300</f>
        <v>0</v>
      </c>
      <c r="CF300" s="46">
        <f>SUMPRODUCT(CB301:CB$605, $I301:$I$605) / $I300</f>
        <v>0</v>
      </c>
      <c r="CH300" s="46">
        <f t="shared" si="258"/>
        <v>0</v>
      </c>
      <c r="CI300" s="46">
        <f t="shared" si="259"/>
        <v>0</v>
      </c>
      <c r="CK300" s="46">
        <f>NPV((1+CK$3)^(1/12)-1,$CB$6:$CB300)+$CB$5</f>
        <v>1409.6963032385702</v>
      </c>
      <c r="CL300" s="46">
        <f>NPV((1+CL$3)^(1/12)-1,$CB$6:$CB300)+$CB$5</f>
        <v>1057.2060036590874</v>
      </c>
      <c r="CM300" s="46">
        <f>NPV((1+CM$3)^(1/12)-1,$CB$6:$CB300)+$CB$5</f>
        <v>462.64886026294084</v>
      </c>
      <c r="CN300" s="46">
        <f>NPV((1+CN$3)^(1/12)-1,$CB$6:$CB300)+$CB$5</f>
        <v>462.64886026294084</v>
      </c>
    </row>
    <row r="301" spans="1:92" x14ac:dyDescent="0.25">
      <c r="A301" s="61">
        <f t="shared" si="242"/>
        <v>24.666666666666586</v>
      </c>
      <c r="B301" s="32">
        <f t="shared" si="260"/>
        <v>8</v>
      </c>
      <c r="C301" s="62">
        <f t="shared" si="261"/>
        <v>25</v>
      </c>
      <c r="D301" s="64">
        <f t="shared" si="262"/>
        <v>25.166666666666586</v>
      </c>
      <c r="E301" s="28">
        <f t="shared" si="243"/>
        <v>25</v>
      </c>
      <c r="G301" s="68">
        <f>INDEX(Others!$D$11:$E$60, MATCH(C301, Others!$A$11:$A$60, 0), MATCH(G$3, Others!$D$10:$E$10, 0))</f>
        <v>4.0690909090909111E-2</v>
      </c>
      <c r="H301" s="16">
        <f t="shared" si="285"/>
        <v>3.329265421250005E-3</v>
      </c>
      <c r="I301" s="69">
        <f t="shared" si="286"/>
        <v>0.37387799051509762</v>
      </c>
      <c r="K301" s="80" t="e">
        <f>INDEX(Mortality!$B$7:$F$32, MATCH( E301,Mortality!$A$7:$A$32, 0), MATCH( K$3,Mortality!$B$6:$F$6,0))</f>
        <v>#N/A</v>
      </c>
      <c r="L301" s="11">
        <f t="shared" si="244"/>
        <v>0</v>
      </c>
      <c r="M301" s="80">
        <f t="shared" si="263"/>
        <v>0</v>
      </c>
      <c r="N301" s="76" t="e">
        <f>INDEX(Myopia!$H:$H, MATCH(E301, Myopia!$A:$A, 0)) * Trend_Factor^(A301)</f>
        <v>#N/A</v>
      </c>
      <c r="O301" s="11">
        <f t="shared" si="245"/>
        <v>0</v>
      </c>
      <c r="P301" s="80">
        <f t="shared" si="264"/>
        <v>0</v>
      </c>
      <c r="Q301" s="76">
        <f>VLOOKUP(C301,Others!$L$10:$M$61,2)</f>
        <v>0</v>
      </c>
      <c r="R301" s="11">
        <f t="shared" si="246"/>
        <v>0</v>
      </c>
      <c r="S301" s="80">
        <f t="shared" si="265"/>
        <v>0</v>
      </c>
      <c r="T301" s="78">
        <f t="shared" si="266"/>
        <v>0</v>
      </c>
      <c r="U301" s="81">
        <f t="shared" si="267"/>
        <v>0</v>
      </c>
      <c r="V301" s="81">
        <f t="shared" si="268"/>
        <v>0</v>
      </c>
      <c r="W301" s="77">
        <f t="shared" si="247"/>
        <v>0</v>
      </c>
      <c r="X301" s="82">
        <f t="shared" si="269"/>
        <v>0</v>
      </c>
      <c r="Y301" s="82">
        <f t="shared" si="270"/>
        <v>0</v>
      </c>
      <c r="Z301" s="82">
        <f t="shared" si="271"/>
        <v>0</v>
      </c>
      <c r="AA301" s="82">
        <f t="shared" si="272"/>
        <v>0</v>
      </c>
      <c r="AC301" s="46">
        <f t="shared" si="248"/>
        <v>0</v>
      </c>
      <c r="AD301" s="15">
        <f t="shared" si="249"/>
        <v>0</v>
      </c>
      <c r="AE301" s="46">
        <f t="shared" si="273"/>
        <v>0</v>
      </c>
      <c r="AF301" s="15">
        <f t="shared" si="274"/>
        <v>0</v>
      </c>
      <c r="AG301" s="46">
        <f>SUMPRODUCT(AE302:AE$605, $I301:$I$604) / $I301</f>
        <v>0</v>
      </c>
      <c r="AI301" s="46">
        <f t="shared" si="250"/>
        <v>0</v>
      </c>
      <c r="AJ301" s="46">
        <f>IF(E301&gt;Mat_Year,0,  -SUM($AD$5:AD301))</f>
        <v>0</v>
      </c>
      <c r="AK301" s="24">
        <f t="shared" si="275"/>
        <v>0</v>
      </c>
      <c r="AL301" s="79">
        <f t="shared" si="276"/>
        <v>0</v>
      </c>
      <c r="AM301" s="24">
        <f t="shared" si="277"/>
        <v>0</v>
      </c>
      <c r="AN301" s="79">
        <f t="shared" si="278"/>
        <v>0</v>
      </c>
      <c r="AO301" s="15">
        <f t="shared" si="279"/>
        <v>0</v>
      </c>
      <c r="AP301" s="46">
        <f>SUMPRODUCT(AN302:AN$605, $I302:$I$605) / $I301</f>
        <v>0</v>
      </c>
      <c r="AR301" s="46">
        <v>0</v>
      </c>
      <c r="AS301" s="46">
        <v>0</v>
      </c>
      <c r="AT301" s="46">
        <v>0</v>
      </c>
      <c r="AU301" s="95">
        <f t="shared" si="251"/>
        <v>0</v>
      </c>
      <c r="AV301" s="47">
        <f t="shared" si="252"/>
        <v>0</v>
      </c>
      <c r="AW301" s="96">
        <f t="shared" si="287"/>
        <v>0</v>
      </c>
      <c r="AX301" s="95">
        <f t="shared" si="253"/>
        <v>0</v>
      </c>
      <c r="AY301" s="11">
        <f t="shared" si="254"/>
        <v>0</v>
      </c>
      <c r="AZ301" s="96">
        <f t="shared" si="288"/>
        <v>0</v>
      </c>
      <c r="BA301" s="95">
        <f t="shared" si="289"/>
        <v>0</v>
      </c>
      <c r="BB301" s="64">
        <f t="shared" si="290"/>
        <v>0</v>
      </c>
      <c r="BC301" s="95">
        <f t="shared" si="291"/>
        <v>0</v>
      </c>
      <c r="BD301" s="96">
        <f t="shared" si="292"/>
        <v>0</v>
      </c>
      <c r="BE301" s="96">
        <f t="shared" si="293"/>
        <v>0</v>
      </c>
      <c r="BF301" s="96">
        <f t="shared" si="294"/>
        <v>0</v>
      </c>
      <c r="BG301" s="15">
        <f t="shared" si="280"/>
        <v>0</v>
      </c>
      <c r="BH301" s="46">
        <f>(SUMPRODUCT(BE302:BE$605,$I301:$I$604)+SUMPRODUCT(BF302:BF$605,$I302:$I$605)) / $I301</f>
        <v>0</v>
      </c>
      <c r="BJ301" s="46">
        <f t="shared" si="295"/>
        <v>0</v>
      </c>
      <c r="BK301" s="46">
        <f t="shared" si="296"/>
        <v>0</v>
      </c>
      <c r="BM301" s="49">
        <f t="shared" si="281"/>
        <v>0</v>
      </c>
      <c r="BN301" s="46">
        <f t="shared" si="297"/>
        <v>0</v>
      </c>
      <c r="BP301" s="46">
        <f>Reserve!BX301</f>
        <v>0</v>
      </c>
      <c r="BQ301" s="46">
        <f t="shared" si="255"/>
        <v>0</v>
      </c>
      <c r="BR301" s="15">
        <f t="shared" si="282"/>
        <v>0</v>
      </c>
      <c r="BT301" s="49">
        <f t="shared" si="283"/>
        <v>0</v>
      </c>
      <c r="BU301" s="46">
        <f t="shared" si="256"/>
        <v>0</v>
      </c>
      <c r="BV301" s="46">
        <f>SUMPRODUCT(BU302:BU$605, $I302:$I$605) / $I301</f>
        <v>0</v>
      </c>
      <c r="BX301" s="46">
        <f>-BZ301*Others!$Q$43</f>
        <v>0</v>
      </c>
      <c r="BZ301" s="50">
        <f t="shared" si="241"/>
        <v>0</v>
      </c>
      <c r="CA301" s="46">
        <f t="shared" si="284"/>
        <v>0</v>
      </c>
      <c r="CB301" s="46">
        <f t="shared" si="257"/>
        <v>0</v>
      </c>
      <c r="CD301" s="46">
        <f>SUMPRODUCT(BZ302:BZ$605, $I302:$I$605) / $I301</f>
        <v>0</v>
      </c>
      <c r="CE301" s="46">
        <f>SUMPRODUCT(CA302:CA$605, $I302:$I$605) / $I301</f>
        <v>0</v>
      </c>
      <c r="CF301" s="46">
        <f>SUMPRODUCT(CB302:CB$605, $I302:$I$605) / $I301</f>
        <v>0</v>
      </c>
      <c r="CH301" s="46">
        <f t="shared" si="258"/>
        <v>0</v>
      </c>
      <c r="CI301" s="46">
        <f t="shared" si="259"/>
        <v>0</v>
      </c>
      <c r="CK301" s="46">
        <f>NPV((1+CK$3)^(1/12)-1,$CB$6:$CB301)+$CB$5</f>
        <v>1409.6963032385702</v>
      </c>
      <c r="CL301" s="46">
        <f>NPV((1+CL$3)^(1/12)-1,$CB$6:$CB301)+$CB$5</f>
        <v>1057.2060036590874</v>
      </c>
      <c r="CM301" s="46">
        <f>NPV((1+CM$3)^(1/12)-1,$CB$6:$CB301)+$CB$5</f>
        <v>462.64886026294084</v>
      </c>
      <c r="CN301" s="46">
        <f>NPV((1+CN$3)^(1/12)-1,$CB$6:$CB301)+$CB$5</f>
        <v>462.64886026294084</v>
      </c>
    </row>
    <row r="302" spans="1:92" x14ac:dyDescent="0.25">
      <c r="A302" s="61">
        <f t="shared" si="242"/>
        <v>24.749999999999918</v>
      </c>
      <c r="B302" s="32">
        <f t="shared" si="260"/>
        <v>9</v>
      </c>
      <c r="C302" s="62">
        <f t="shared" si="261"/>
        <v>25</v>
      </c>
      <c r="D302" s="64">
        <f t="shared" si="262"/>
        <v>25.249999999999918</v>
      </c>
      <c r="E302" s="28">
        <f t="shared" si="243"/>
        <v>25</v>
      </c>
      <c r="G302" s="68">
        <f>INDEX(Others!$D$11:$E$60, MATCH(C302, Others!$A$11:$A$60, 0), MATCH(G$3, Others!$D$10:$E$10, 0))</f>
        <v>4.0690909090909111E-2</v>
      </c>
      <c r="H302" s="16">
        <f t="shared" si="285"/>
        <v>3.329265421250005E-3</v>
      </c>
      <c r="I302" s="69">
        <f t="shared" si="286"/>
        <v>0.37263738176532119</v>
      </c>
      <c r="K302" s="80" t="e">
        <f>INDEX(Mortality!$B$7:$F$32, MATCH( E302,Mortality!$A$7:$A$32, 0), MATCH( K$3,Mortality!$B$6:$F$6,0))</f>
        <v>#N/A</v>
      </c>
      <c r="L302" s="11">
        <f t="shared" si="244"/>
        <v>0</v>
      </c>
      <c r="M302" s="80">
        <f t="shared" si="263"/>
        <v>0</v>
      </c>
      <c r="N302" s="76" t="e">
        <f>INDEX(Myopia!$H:$H, MATCH(E302, Myopia!$A:$A, 0)) * Trend_Factor^(A302)</f>
        <v>#N/A</v>
      </c>
      <c r="O302" s="11">
        <f t="shared" si="245"/>
        <v>0</v>
      </c>
      <c r="P302" s="80">
        <f t="shared" si="264"/>
        <v>0</v>
      </c>
      <c r="Q302" s="76">
        <f>VLOOKUP(C302,Others!$L$10:$M$61,2)</f>
        <v>0</v>
      </c>
      <c r="R302" s="11">
        <f t="shared" si="246"/>
        <v>0</v>
      </c>
      <c r="S302" s="80">
        <f t="shared" si="265"/>
        <v>0</v>
      </c>
      <c r="T302" s="78">
        <f t="shared" si="266"/>
        <v>0</v>
      </c>
      <c r="U302" s="81">
        <f t="shared" si="267"/>
        <v>0</v>
      </c>
      <c r="V302" s="81">
        <f t="shared" si="268"/>
        <v>0</v>
      </c>
      <c r="W302" s="77">
        <f t="shared" si="247"/>
        <v>0</v>
      </c>
      <c r="X302" s="82">
        <f t="shared" si="269"/>
        <v>0</v>
      </c>
      <c r="Y302" s="82">
        <f t="shared" si="270"/>
        <v>0</v>
      </c>
      <c r="Z302" s="82">
        <f t="shared" si="271"/>
        <v>0</v>
      </c>
      <c r="AA302" s="82">
        <f t="shared" si="272"/>
        <v>0</v>
      </c>
      <c r="AC302" s="46">
        <f t="shared" si="248"/>
        <v>0</v>
      </c>
      <c r="AD302" s="15">
        <f t="shared" si="249"/>
        <v>0</v>
      </c>
      <c r="AE302" s="46">
        <f t="shared" si="273"/>
        <v>0</v>
      </c>
      <c r="AF302" s="15">
        <f t="shared" si="274"/>
        <v>0</v>
      </c>
      <c r="AG302" s="46">
        <f>SUMPRODUCT(AE303:AE$605, $I302:$I$604) / $I302</f>
        <v>0</v>
      </c>
      <c r="AI302" s="46">
        <f t="shared" si="250"/>
        <v>0</v>
      </c>
      <c r="AJ302" s="46">
        <f>IF(E302&gt;Mat_Year,0,  -SUM($AD$5:AD302))</f>
        <v>0</v>
      </c>
      <c r="AK302" s="24">
        <f t="shared" si="275"/>
        <v>0</v>
      </c>
      <c r="AL302" s="79">
        <f t="shared" si="276"/>
        <v>0</v>
      </c>
      <c r="AM302" s="24">
        <f t="shared" si="277"/>
        <v>0</v>
      </c>
      <c r="AN302" s="79">
        <f t="shared" si="278"/>
        <v>0</v>
      </c>
      <c r="AO302" s="15">
        <f t="shared" si="279"/>
        <v>0</v>
      </c>
      <c r="AP302" s="46">
        <f>SUMPRODUCT(AN303:AN$605, $I303:$I$605) / $I302</f>
        <v>0</v>
      </c>
      <c r="AR302" s="46">
        <v>0</v>
      </c>
      <c r="AS302" s="46">
        <v>0</v>
      </c>
      <c r="AT302" s="46">
        <v>0</v>
      </c>
      <c r="AU302" s="95">
        <f t="shared" si="251"/>
        <v>0</v>
      </c>
      <c r="AV302" s="47">
        <f t="shared" si="252"/>
        <v>0</v>
      </c>
      <c r="AW302" s="96">
        <f t="shared" si="287"/>
        <v>0</v>
      </c>
      <c r="AX302" s="95">
        <f t="shared" si="253"/>
        <v>0</v>
      </c>
      <c r="AY302" s="11">
        <f t="shared" si="254"/>
        <v>0</v>
      </c>
      <c r="AZ302" s="96">
        <f t="shared" si="288"/>
        <v>0</v>
      </c>
      <c r="BA302" s="95">
        <f t="shared" si="289"/>
        <v>0</v>
      </c>
      <c r="BB302" s="64">
        <f t="shared" si="290"/>
        <v>0</v>
      </c>
      <c r="BC302" s="95">
        <f t="shared" si="291"/>
        <v>0</v>
      </c>
      <c r="BD302" s="96">
        <f t="shared" si="292"/>
        <v>0</v>
      </c>
      <c r="BE302" s="96">
        <f t="shared" si="293"/>
        <v>0</v>
      </c>
      <c r="BF302" s="96">
        <f t="shared" si="294"/>
        <v>0</v>
      </c>
      <c r="BG302" s="15">
        <f t="shared" si="280"/>
        <v>0</v>
      </c>
      <c r="BH302" s="46">
        <f>(SUMPRODUCT(BE303:BE$605,$I302:$I$604)+SUMPRODUCT(BF303:BF$605,$I303:$I$605)) / $I302</f>
        <v>0</v>
      </c>
      <c r="BJ302" s="46">
        <f t="shared" si="295"/>
        <v>0</v>
      </c>
      <c r="BK302" s="46">
        <f t="shared" si="296"/>
        <v>0</v>
      </c>
      <c r="BM302" s="49">
        <f t="shared" si="281"/>
        <v>0</v>
      </c>
      <c r="BN302" s="46">
        <f t="shared" si="297"/>
        <v>0</v>
      </c>
      <c r="BP302" s="46">
        <f>Reserve!BX302</f>
        <v>0</v>
      </c>
      <c r="BQ302" s="46">
        <f t="shared" si="255"/>
        <v>0</v>
      </c>
      <c r="BR302" s="15">
        <f t="shared" si="282"/>
        <v>0</v>
      </c>
      <c r="BT302" s="49">
        <f t="shared" si="283"/>
        <v>0</v>
      </c>
      <c r="BU302" s="46">
        <f t="shared" si="256"/>
        <v>0</v>
      </c>
      <c r="BV302" s="46">
        <f>SUMPRODUCT(BU303:BU$605, $I303:$I$605) / $I302</f>
        <v>0</v>
      </c>
      <c r="BX302" s="46">
        <f>-BZ302*Others!$Q$43</f>
        <v>0</v>
      </c>
      <c r="BZ302" s="50">
        <f t="shared" si="241"/>
        <v>0</v>
      </c>
      <c r="CA302" s="46">
        <f t="shared" si="284"/>
        <v>0</v>
      </c>
      <c r="CB302" s="46">
        <f t="shared" si="257"/>
        <v>0</v>
      </c>
      <c r="CD302" s="46">
        <f>SUMPRODUCT(BZ303:BZ$605, $I303:$I$605) / $I302</f>
        <v>0</v>
      </c>
      <c r="CE302" s="46">
        <f>SUMPRODUCT(CA303:CA$605, $I303:$I$605) / $I302</f>
        <v>0</v>
      </c>
      <c r="CF302" s="46">
        <f>SUMPRODUCT(CB303:CB$605, $I303:$I$605) / $I302</f>
        <v>0</v>
      </c>
      <c r="CH302" s="46">
        <f t="shared" si="258"/>
        <v>0</v>
      </c>
      <c r="CI302" s="46">
        <f t="shared" si="259"/>
        <v>0</v>
      </c>
      <c r="CK302" s="46">
        <f>NPV((1+CK$3)^(1/12)-1,$CB$6:$CB302)+$CB$5</f>
        <v>1409.6963032385702</v>
      </c>
      <c r="CL302" s="46">
        <f>NPV((1+CL$3)^(1/12)-1,$CB$6:$CB302)+$CB$5</f>
        <v>1057.2060036590874</v>
      </c>
      <c r="CM302" s="46">
        <f>NPV((1+CM$3)^(1/12)-1,$CB$6:$CB302)+$CB$5</f>
        <v>462.64886026294084</v>
      </c>
      <c r="CN302" s="46">
        <f>NPV((1+CN$3)^(1/12)-1,$CB$6:$CB302)+$CB$5</f>
        <v>462.64886026294084</v>
      </c>
    </row>
    <row r="303" spans="1:92" x14ac:dyDescent="0.25">
      <c r="A303" s="61">
        <f t="shared" si="242"/>
        <v>24.83333333333325</v>
      </c>
      <c r="B303" s="32">
        <f t="shared" si="260"/>
        <v>10</v>
      </c>
      <c r="C303" s="62">
        <f t="shared" si="261"/>
        <v>25</v>
      </c>
      <c r="D303" s="64">
        <f t="shared" si="262"/>
        <v>25.33333333333325</v>
      </c>
      <c r="E303" s="28">
        <f t="shared" si="243"/>
        <v>25</v>
      </c>
      <c r="G303" s="68">
        <f>INDEX(Others!$D$11:$E$60, MATCH(C303, Others!$A$11:$A$60, 0), MATCH(G$3, Others!$D$10:$E$10, 0))</f>
        <v>4.0690909090909111E-2</v>
      </c>
      <c r="H303" s="16">
        <f t="shared" si="285"/>
        <v>3.329265421250005E-3</v>
      </c>
      <c r="I303" s="69">
        <f t="shared" si="286"/>
        <v>0.37140088962606765</v>
      </c>
      <c r="K303" s="80" t="e">
        <f>INDEX(Mortality!$B$7:$F$32, MATCH( E303,Mortality!$A$7:$A$32, 0), MATCH( K$3,Mortality!$B$6:$F$6,0))</f>
        <v>#N/A</v>
      </c>
      <c r="L303" s="11">
        <f t="shared" si="244"/>
        <v>0</v>
      </c>
      <c r="M303" s="80">
        <f t="shared" si="263"/>
        <v>0</v>
      </c>
      <c r="N303" s="76" t="e">
        <f>INDEX(Myopia!$H:$H, MATCH(E303, Myopia!$A:$A, 0)) * Trend_Factor^(A303)</f>
        <v>#N/A</v>
      </c>
      <c r="O303" s="11">
        <f t="shared" si="245"/>
        <v>0</v>
      </c>
      <c r="P303" s="80">
        <f t="shared" si="264"/>
        <v>0</v>
      </c>
      <c r="Q303" s="76">
        <f>VLOOKUP(C303,Others!$L$10:$M$61,2)</f>
        <v>0</v>
      </c>
      <c r="R303" s="11">
        <f t="shared" si="246"/>
        <v>0</v>
      </c>
      <c r="S303" s="80">
        <f t="shared" si="265"/>
        <v>0</v>
      </c>
      <c r="T303" s="78">
        <f t="shared" si="266"/>
        <v>0</v>
      </c>
      <c r="U303" s="81">
        <f t="shared" si="267"/>
        <v>0</v>
      </c>
      <c r="V303" s="81">
        <f t="shared" si="268"/>
        <v>0</v>
      </c>
      <c r="W303" s="77">
        <f t="shared" si="247"/>
        <v>0</v>
      </c>
      <c r="X303" s="82">
        <f t="shared" si="269"/>
        <v>0</v>
      </c>
      <c r="Y303" s="82">
        <f t="shared" si="270"/>
        <v>0</v>
      </c>
      <c r="Z303" s="82">
        <f t="shared" si="271"/>
        <v>0</v>
      </c>
      <c r="AA303" s="82">
        <f t="shared" si="272"/>
        <v>0</v>
      </c>
      <c r="AC303" s="46">
        <f t="shared" si="248"/>
        <v>0</v>
      </c>
      <c r="AD303" s="15">
        <f t="shared" si="249"/>
        <v>0</v>
      </c>
      <c r="AE303" s="46">
        <f t="shared" si="273"/>
        <v>0</v>
      </c>
      <c r="AF303" s="15">
        <f t="shared" si="274"/>
        <v>0</v>
      </c>
      <c r="AG303" s="46">
        <f>SUMPRODUCT(AE304:AE$605, $I303:$I$604) / $I303</f>
        <v>0</v>
      </c>
      <c r="AI303" s="46">
        <f t="shared" si="250"/>
        <v>0</v>
      </c>
      <c r="AJ303" s="46">
        <f>IF(E303&gt;Mat_Year,0,  -SUM($AD$5:AD303))</f>
        <v>0</v>
      </c>
      <c r="AK303" s="24">
        <f t="shared" si="275"/>
        <v>0</v>
      </c>
      <c r="AL303" s="79">
        <f t="shared" si="276"/>
        <v>0</v>
      </c>
      <c r="AM303" s="24">
        <f t="shared" si="277"/>
        <v>0</v>
      </c>
      <c r="AN303" s="79">
        <f t="shared" si="278"/>
        <v>0</v>
      </c>
      <c r="AO303" s="15">
        <f t="shared" si="279"/>
        <v>0</v>
      </c>
      <c r="AP303" s="46">
        <f>SUMPRODUCT(AN304:AN$605, $I304:$I$605) / $I303</f>
        <v>0</v>
      </c>
      <c r="AR303" s="46">
        <v>0</v>
      </c>
      <c r="AS303" s="46">
        <v>0</v>
      </c>
      <c r="AT303" s="46">
        <v>0</v>
      </c>
      <c r="AU303" s="95">
        <f t="shared" si="251"/>
        <v>0</v>
      </c>
      <c r="AV303" s="47">
        <f t="shared" si="252"/>
        <v>0</v>
      </c>
      <c r="AW303" s="96">
        <f t="shared" si="287"/>
        <v>0</v>
      </c>
      <c r="AX303" s="95">
        <f t="shared" si="253"/>
        <v>0</v>
      </c>
      <c r="AY303" s="11">
        <f t="shared" si="254"/>
        <v>0</v>
      </c>
      <c r="AZ303" s="96">
        <f t="shared" si="288"/>
        <v>0</v>
      </c>
      <c r="BA303" s="95">
        <f t="shared" si="289"/>
        <v>0</v>
      </c>
      <c r="BB303" s="64">
        <f t="shared" si="290"/>
        <v>0</v>
      </c>
      <c r="BC303" s="95">
        <f t="shared" si="291"/>
        <v>0</v>
      </c>
      <c r="BD303" s="96">
        <f t="shared" si="292"/>
        <v>0</v>
      </c>
      <c r="BE303" s="96">
        <f t="shared" si="293"/>
        <v>0</v>
      </c>
      <c r="BF303" s="96">
        <f t="shared" si="294"/>
        <v>0</v>
      </c>
      <c r="BG303" s="15">
        <f t="shared" si="280"/>
        <v>0</v>
      </c>
      <c r="BH303" s="46">
        <f>(SUMPRODUCT(BE304:BE$605,$I303:$I$604)+SUMPRODUCT(BF304:BF$605,$I304:$I$605)) / $I303</f>
        <v>0</v>
      </c>
      <c r="BJ303" s="46">
        <f t="shared" si="295"/>
        <v>0</v>
      </c>
      <c r="BK303" s="46">
        <f t="shared" si="296"/>
        <v>0</v>
      </c>
      <c r="BM303" s="49">
        <f t="shared" si="281"/>
        <v>0</v>
      </c>
      <c r="BN303" s="46">
        <f t="shared" si="297"/>
        <v>0</v>
      </c>
      <c r="BP303" s="46">
        <f>Reserve!BX303</f>
        <v>0</v>
      </c>
      <c r="BQ303" s="46">
        <f t="shared" si="255"/>
        <v>0</v>
      </c>
      <c r="BR303" s="15">
        <f t="shared" si="282"/>
        <v>0</v>
      </c>
      <c r="BT303" s="49">
        <f t="shared" si="283"/>
        <v>0</v>
      </c>
      <c r="BU303" s="46">
        <f t="shared" si="256"/>
        <v>0</v>
      </c>
      <c r="BV303" s="46">
        <f>SUMPRODUCT(BU304:BU$605, $I304:$I$605) / $I303</f>
        <v>0</v>
      </c>
      <c r="BX303" s="46">
        <f>-BZ303*Others!$Q$43</f>
        <v>0</v>
      </c>
      <c r="BZ303" s="50">
        <f t="shared" si="241"/>
        <v>0</v>
      </c>
      <c r="CA303" s="46">
        <f t="shared" si="284"/>
        <v>0</v>
      </c>
      <c r="CB303" s="46">
        <f t="shared" si="257"/>
        <v>0</v>
      </c>
      <c r="CD303" s="46">
        <f>SUMPRODUCT(BZ304:BZ$605, $I304:$I$605) / $I303</f>
        <v>0</v>
      </c>
      <c r="CE303" s="46">
        <f>SUMPRODUCT(CA304:CA$605, $I304:$I$605) / $I303</f>
        <v>0</v>
      </c>
      <c r="CF303" s="46">
        <f>SUMPRODUCT(CB304:CB$605, $I304:$I$605) / $I303</f>
        <v>0</v>
      </c>
      <c r="CH303" s="46">
        <f t="shared" si="258"/>
        <v>0</v>
      </c>
      <c r="CI303" s="46">
        <f t="shared" si="259"/>
        <v>0</v>
      </c>
      <c r="CK303" s="46">
        <f>NPV((1+CK$3)^(1/12)-1,$CB$6:$CB303)+$CB$5</f>
        <v>1409.6963032385702</v>
      </c>
      <c r="CL303" s="46">
        <f>NPV((1+CL$3)^(1/12)-1,$CB$6:$CB303)+$CB$5</f>
        <v>1057.2060036590874</v>
      </c>
      <c r="CM303" s="46">
        <f>NPV((1+CM$3)^(1/12)-1,$CB$6:$CB303)+$CB$5</f>
        <v>462.64886026294084</v>
      </c>
      <c r="CN303" s="46">
        <f>NPV((1+CN$3)^(1/12)-1,$CB$6:$CB303)+$CB$5</f>
        <v>462.64886026294084</v>
      </c>
    </row>
    <row r="304" spans="1:92" x14ac:dyDescent="0.25">
      <c r="A304" s="61">
        <f t="shared" si="242"/>
        <v>24.916666666666583</v>
      </c>
      <c r="B304" s="32">
        <f t="shared" si="260"/>
        <v>11</v>
      </c>
      <c r="C304" s="62">
        <f t="shared" si="261"/>
        <v>25</v>
      </c>
      <c r="D304" s="64">
        <f t="shared" si="262"/>
        <v>25.416666666666583</v>
      </c>
      <c r="E304" s="28">
        <f t="shared" si="243"/>
        <v>25</v>
      </c>
      <c r="G304" s="68">
        <f>INDEX(Others!$D$11:$E$60, MATCH(C304, Others!$A$11:$A$60, 0), MATCH(G$3, Others!$D$10:$E$10, 0))</f>
        <v>4.0690909090909111E-2</v>
      </c>
      <c r="H304" s="16">
        <f t="shared" si="285"/>
        <v>3.329265421250005E-3</v>
      </c>
      <c r="I304" s="69">
        <f t="shared" si="286"/>
        <v>0.37016850043752503</v>
      </c>
      <c r="K304" s="80" t="e">
        <f>INDEX(Mortality!$B$7:$F$32, MATCH( E304,Mortality!$A$7:$A$32, 0), MATCH( K$3,Mortality!$B$6:$F$6,0))</f>
        <v>#N/A</v>
      </c>
      <c r="L304" s="11">
        <f t="shared" si="244"/>
        <v>0</v>
      </c>
      <c r="M304" s="80">
        <f t="shared" si="263"/>
        <v>0</v>
      </c>
      <c r="N304" s="76" t="e">
        <f>INDEX(Myopia!$H:$H, MATCH(E304, Myopia!$A:$A, 0)) * Trend_Factor^(A304)</f>
        <v>#N/A</v>
      </c>
      <c r="O304" s="11">
        <f t="shared" si="245"/>
        <v>0</v>
      </c>
      <c r="P304" s="80">
        <f t="shared" si="264"/>
        <v>0</v>
      </c>
      <c r="Q304" s="76">
        <f>VLOOKUP(C304,Others!$L$10:$M$61,2)</f>
        <v>0</v>
      </c>
      <c r="R304" s="11">
        <f t="shared" si="246"/>
        <v>0</v>
      </c>
      <c r="S304" s="80">
        <f t="shared" si="265"/>
        <v>0</v>
      </c>
      <c r="T304" s="78">
        <f t="shared" si="266"/>
        <v>0</v>
      </c>
      <c r="U304" s="81">
        <f t="shared" si="267"/>
        <v>0</v>
      </c>
      <c r="V304" s="81">
        <f t="shared" si="268"/>
        <v>0</v>
      </c>
      <c r="W304" s="77">
        <f t="shared" si="247"/>
        <v>0</v>
      </c>
      <c r="X304" s="82">
        <f t="shared" si="269"/>
        <v>0</v>
      </c>
      <c r="Y304" s="82">
        <f t="shared" si="270"/>
        <v>0</v>
      </c>
      <c r="Z304" s="82">
        <f t="shared" si="271"/>
        <v>0</v>
      </c>
      <c r="AA304" s="82">
        <f t="shared" si="272"/>
        <v>0</v>
      </c>
      <c r="AC304" s="46">
        <f t="shared" si="248"/>
        <v>0</v>
      </c>
      <c r="AD304" s="15">
        <f t="shared" si="249"/>
        <v>0</v>
      </c>
      <c r="AE304" s="46">
        <f t="shared" si="273"/>
        <v>0</v>
      </c>
      <c r="AF304" s="15">
        <f t="shared" si="274"/>
        <v>0</v>
      </c>
      <c r="AG304" s="46">
        <f>SUMPRODUCT(AE305:AE$605, $I304:$I$604) / $I304</f>
        <v>0</v>
      </c>
      <c r="AI304" s="46">
        <f t="shared" si="250"/>
        <v>0</v>
      </c>
      <c r="AJ304" s="46">
        <f>IF(E304&gt;Mat_Year,0,  -SUM($AD$5:AD304))</f>
        <v>0</v>
      </c>
      <c r="AK304" s="24">
        <f t="shared" si="275"/>
        <v>0</v>
      </c>
      <c r="AL304" s="79">
        <f t="shared" si="276"/>
        <v>0</v>
      </c>
      <c r="AM304" s="24">
        <f t="shared" si="277"/>
        <v>0</v>
      </c>
      <c r="AN304" s="79">
        <f t="shared" si="278"/>
        <v>0</v>
      </c>
      <c r="AO304" s="15">
        <f t="shared" si="279"/>
        <v>0</v>
      </c>
      <c r="AP304" s="46">
        <f>SUMPRODUCT(AN305:AN$605, $I305:$I$605) / $I304</f>
        <v>0</v>
      </c>
      <c r="AR304" s="46">
        <v>0</v>
      </c>
      <c r="AS304" s="46">
        <v>0</v>
      </c>
      <c r="AT304" s="46">
        <v>0</v>
      </c>
      <c r="AU304" s="95">
        <f t="shared" si="251"/>
        <v>0</v>
      </c>
      <c r="AV304" s="47">
        <f t="shared" si="252"/>
        <v>0</v>
      </c>
      <c r="AW304" s="96">
        <f t="shared" si="287"/>
        <v>0</v>
      </c>
      <c r="AX304" s="95">
        <f t="shared" si="253"/>
        <v>0</v>
      </c>
      <c r="AY304" s="11">
        <f t="shared" si="254"/>
        <v>0</v>
      </c>
      <c r="AZ304" s="96">
        <f t="shared" si="288"/>
        <v>0</v>
      </c>
      <c r="BA304" s="95">
        <f t="shared" si="289"/>
        <v>0</v>
      </c>
      <c r="BB304" s="64">
        <f t="shared" si="290"/>
        <v>0</v>
      </c>
      <c r="BC304" s="95">
        <f t="shared" si="291"/>
        <v>0</v>
      </c>
      <c r="BD304" s="96">
        <f t="shared" si="292"/>
        <v>0</v>
      </c>
      <c r="BE304" s="96">
        <f t="shared" si="293"/>
        <v>0</v>
      </c>
      <c r="BF304" s="96">
        <f t="shared" si="294"/>
        <v>0</v>
      </c>
      <c r="BG304" s="15">
        <f t="shared" si="280"/>
        <v>0</v>
      </c>
      <c r="BH304" s="46">
        <f>(SUMPRODUCT(BE305:BE$605,$I304:$I$604)+SUMPRODUCT(BF305:BF$605,$I305:$I$605)) / $I304</f>
        <v>0</v>
      </c>
      <c r="BJ304" s="46">
        <f t="shared" si="295"/>
        <v>0</v>
      </c>
      <c r="BK304" s="46">
        <f t="shared" si="296"/>
        <v>0</v>
      </c>
      <c r="BM304" s="49">
        <f t="shared" si="281"/>
        <v>0</v>
      </c>
      <c r="BN304" s="46">
        <f t="shared" si="297"/>
        <v>0</v>
      </c>
      <c r="BP304" s="46">
        <f>Reserve!BX304</f>
        <v>0</v>
      </c>
      <c r="BQ304" s="46">
        <f t="shared" si="255"/>
        <v>0</v>
      </c>
      <c r="BR304" s="15">
        <f t="shared" si="282"/>
        <v>0</v>
      </c>
      <c r="BT304" s="49">
        <f t="shared" si="283"/>
        <v>0</v>
      </c>
      <c r="BU304" s="46">
        <f t="shared" si="256"/>
        <v>0</v>
      </c>
      <c r="BV304" s="46">
        <f>SUMPRODUCT(BU305:BU$605, $I305:$I$605) / $I304</f>
        <v>0</v>
      </c>
      <c r="BX304" s="46">
        <f>-BZ304*Others!$Q$43</f>
        <v>0</v>
      </c>
      <c r="BZ304" s="50">
        <f t="shared" si="241"/>
        <v>0</v>
      </c>
      <c r="CA304" s="46">
        <f t="shared" si="284"/>
        <v>0</v>
      </c>
      <c r="CB304" s="46">
        <f t="shared" si="257"/>
        <v>0</v>
      </c>
      <c r="CD304" s="46">
        <f>SUMPRODUCT(BZ305:BZ$605, $I305:$I$605) / $I304</f>
        <v>0</v>
      </c>
      <c r="CE304" s="46">
        <f>SUMPRODUCT(CA305:CA$605, $I305:$I$605) / $I304</f>
        <v>0</v>
      </c>
      <c r="CF304" s="46">
        <f>SUMPRODUCT(CB305:CB$605, $I305:$I$605) / $I304</f>
        <v>0</v>
      </c>
      <c r="CH304" s="46">
        <f t="shared" si="258"/>
        <v>0</v>
      </c>
      <c r="CI304" s="46">
        <f t="shared" si="259"/>
        <v>0</v>
      </c>
      <c r="CK304" s="46">
        <f>NPV((1+CK$3)^(1/12)-1,$CB$6:$CB304)+$CB$5</f>
        <v>1409.6963032385702</v>
      </c>
      <c r="CL304" s="46">
        <f>NPV((1+CL$3)^(1/12)-1,$CB$6:$CB304)+$CB$5</f>
        <v>1057.2060036590874</v>
      </c>
      <c r="CM304" s="46">
        <f>NPV((1+CM$3)^(1/12)-1,$CB$6:$CB304)+$CB$5</f>
        <v>462.64886026294084</v>
      </c>
      <c r="CN304" s="46">
        <f>NPV((1+CN$3)^(1/12)-1,$CB$6:$CB304)+$CB$5</f>
        <v>462.64886026294084</v>
      </c>
    </row>
    <row r="305" spans="1:92" x14ac:dyDescent="0.25">
      <c r="A305" s="61">
        <f t="shared" si="242"/>
        <v>24.999999999999915</v>
      </c>
      <c r="B305" s="32">
        <f t="shared" si="260"/>
        <v>12</v>
      </c>
      <c r="C305" s="62">
        <f t="shared" si="261"/>
        <v>25</v>
      </c>
      <c r="D305" s="64">
        <f t="shared" si="262"/>
        <v>25.499999999999915</v>
      </c>
      <c r="E305" s="28">
        <f t="shared" si="243"/>
        <v>25</v>
      </c>
      <c r="G305" s="68">
        <f>INDEX(Others!$D$11:$E$60, MATCH(C305, Others!$A$11:$A$60, 0), MATCH(G$3, Others!$D$10:$E$10, 0))</f>
        <v>4.0690909090909111E-2</v>
      </c>
      <c r="H305" s="16">
        <f t="shared" si="285"/>
        <v>3.329265421250005E-3</v>
      </c>
      <c r="I305" s="69">
        <f t="shared" si="286"/>
        <v>0.36894020058520766</v>
      </c>
      <c r="K305" s="80" t="e">
        <f>INDEX(Mortality!$B$7:$F$32, MATCH( E305,Mortality!$A$7:$A$32, 0), MATCH( K$3,Mortality!$B$6:$F$6,0))</f>
        <v>#N/A</v>
      </c>
      <c r="L305" s="11">
        <f t="shared" si="244"/>
        <v>0</v>
      </c>
      <c r="M305" s="80">
        <f t="shared" si="263"/>
        <v>0</v>
      </c>
      <c r="N305" s="76" t="e">
        <f>INDEX(Myopia!$H:$H, MATCH(E305, Myopia!$A:$A, 0)) * Trend_Factor^(A305)</f>
        <v>#N/A</v>
      </c>
      <c r="O305" s="11">
        <f t="shared" si="245"/>
        <v>0</v>
      </c>
      <c r="P305" s="80">
        <f t="shared" si="264"/>
        <v>0</v>
      </c>
      <c r="Q305" s="76">
        <f>VLOOKUP(C305,Others!$L$10:$M$61,2)</f>
        <v>0</v>
      </c>
      <c r="R305" s="11">
        <f t="shared" si="246"/>
        <v>0</v>
      </c>
      <c r="S305" s="80">
        <f t="shared" si="265"/>
        <v>0</v>
      </c>
      <c r="T305" s="78">
        <f t="shared" si="266"/>
        <v>0</v>
      </c>
      <c r="U305" s="81">
        <f t="shared" si="267"/>
        <v>0</v>
      </c>
      <c r="V305" s="81">
        <f t="shared" si="268"/>
        <v>0</v>
      </c>
      <c r="W305" s="77">
        <f t="shared" si="247"/>
        <v>0</v>
      </c>
      <c r="X305" s="82">
        <f t="shared" si="269"/>
        <v>0</v>
      </c>
      <c r="Y305" s="82">
        <f t="shared" si="270"/>
        <v>0</v>
      </c>
      <c r="Z305" s="82">
        <f t="shared" si="271"/>
        <v>0</v>
      </c>
      <c r="AA305" s="82">
        <f t="shared" si="272"/>
        <v>0</v>
      </c>
      <c r="AC305" s="46">
        <f t="shared" si="248"/>
        <v>0</v>
      </c>
      <c r="AD305" s="15">
        <f t="shared" si="249"/>
        <v>0</v>
      </c>
      <c r="AE305" s="46">
        <f t="shared" si="273"/>
        <v>0</v>
      </c>
      <c r="AF305" s="15">
        <f t="shared" si="274"/>
        <v>0</v>
      </c>
      <c r="AG305" s="46">
        <f>SUMPRODUCT(AE306:AE$605, $I305:$I$604) / $I305</f>
        <v>0</v>
      </c>
      <c r="AI305" s="46">
        <f t="shared" si="250"/>
        <v>0</v>
      </c>
      <c r="AJ305" s="46">
        <f>IF(E305&gt;Mat_Year,0,  -SUM($AD$5:AD305))</f>
        <v>0</v>
      </c>
      <c r="AK305" s="24">
        <f t="shared" si="275"/>
        <v>0</v>
      </c>
      <c r="AL305" s="79">
        <f t="shared" si="276"/>
        <v>0</v>
      </c>
      <c r="AM305" s="24">
        <f t="shared" si="277"/>
        <v>0</v>
      </c>
      <c r="AN305" s="79">
        <f t="shared" si="278"/>
        <v>0</v>
      </c>
      <c r="AO305" s="15">
        <f t="shared" si="279"/>
        <v>0</v>
      </c>
      <c r="AP305" s="46">
        <f>SUMPRODUCT(AN306:AN$605, $I306:$I$605) / $I305</f>
        <v>0</v>
      </c>
      <c r="AR305" s="46">
        <v>0</v>
      </c>
      <c r="AS305" s="46">
        <v>0</v>
      </c>
      <c r="AT305" s="46">
        <v>0</v>
      </c>
      <c r="AU305" s="95">
        <f t="shared" si="251"/>
        <v>0</v>
      </c>
      <c r="AV305" s="47">
        <f t="shared" si="252"/>
        <v>0</v>
      </c>
      <c r="AW305" s="96">
        <f t="shared" si="287"/>
        <v>0</v>
      </c>
      <c r="AX305" s="95">
        <f t="shared" si="253"/>
        <v>0</v>
      </c>
      <c r="AY305" s="11">
        <f t="shared" si="254"/>
        <v>0</v>
      </c>
      <c r="AZ305" s="96">
        <f t="shared" si="288"/>
        <v>0</v>
      </c>
      <c r="BA305" s="95">
        <f t="shared" si="289"/>
        <v>0</v>
      </c>
      <c r="BB305" s="64">
        <f t="shared" si="290"/>
        <v>0</v>
      </c>
      <c r="BC305" s="95">
        <f t="shared" si="291"/>
        <v>0</v>
      </c>
      <c r="BD305" s="96">
        <f t="shared" si="292"/>
        <v>0</v>
      </c>
      <c r="BE305" s="96">
        <f t="shared" si="293"/>
        <v>0</v>
      </c>
      <c r="BF305" s="96">
        <f t="shared" si="294"/>
        <v>0</v>
      </c>
      <c r="BG305" s="15">
        <f t="shared" si="280"/>
        <v>0</v>
      </c>
      <c r="BH305" s="46">
        <f>(SUMPRODUCT(BE306:BE$605,$I305:$I$604)+SUMPRODUCT(BF306:BF$605,$I306:$I$605)) / $I305</f>
        <v>0</v>
      </c>
      <c r="BJ305" s="46">
        <f t="shared" si="295"/>
        <v>0</v>
      </c>
      <c r="BK305" s="46">
        <f t="shared" si="296"/>
        <v>0</v>
      </c>
      <c r="BM305" s="49">
        <f t="shared" si="281"/>
        <v>0</v>
      </c>
      <c r="BN305" s="46">
        <f t="shared" si="297"/>
        <v>0</v>
      </c>
      <c r="BP305" s="46">
        <f>Reserve!BX305</f>
        <v>0</v>
      </c>
      <c r="BQ305" s="46">
        <f t="shared" si="255"/>
        <v>0</v>
      </c>
      <c r="BR305" s="15">
        <f t="shared" si="282"/>
        <v>0</v>
      </c>
      <c r="BT305" s="49">
        <f t="shared" si="283"/>
        <v>0</v>
      </c>
      <c r="BU305" s="46">
        <f t="shared" si="256"/>
        <v>0</v>
      </c>
      <c r="BV305" s="46">
        <f>SUMPRODUCT(BU306:BU$605, $I306:$I$605) / $I305</f>
        <v>0</v>
      </c>
      <c r="BX305" s="46">
        <f>-BZ305*Others!$Q$43</f>
        <v>0</v>
      </c>
      <c r="BZ305" s="50">
        <f t="shared" si="241"/>
        <v>0</v>
      </c>
      <c r="CA305" s="46">
        <f t="shared" si="284"/>
        <v>0</v>
      </c>
      <c r="CB305" s="46">
        <f t="shared" si="257"/>
        <v>0</v>
      </c>
      <c r="CD305" s="46">
        <f>SUMPRODUCT(BZ306:BZ$605, $I306:$I$605) / $I305</f>
        <v>0</v>
      </c>
      <c r="CE305" s="46">
        <f>SUMPRODUCT(CA306:CA$605, $I306:$I$605) / $I305</f>
        <v>0</v>
      </c>
      <c r="CF305" s="46">
        <f>SUMPRODUCT(CB306:CB$605, $I306:$I$605) / $I305</f>
        <v>0</v>
      </c>
      <c r="CH305" s="46">
        <f t="shared" si="258"/>
        <v>0</v>
      </c>
      <c r="CI305" s="46">
        <f t="shared" si="259"/>
        <v>0</v>
      </c>
      <c r="CK305" s="46">
        <f>NPV((1+CK$3)^(1/12)-1,$CB$6:$CB305)+$CB$5</f>
        <v>1409.6963032385702</v>
      </c>
      <c r="CL305" s="46">
        <f>NPV((1+CL$3)^(1/12)-1,$CB$6:$CB305)+$CB$5</f>
        <v>1057.2060036590874</v>
      </c>
      <c r="CM305" s="46">
        <f>NPV((1+CM$3)^(1/12)-1,$CB$6:$CB305)+$CB$5</f>
        <v>462.64886026294084</v>
      </c>
      <c r="CN305" s="46">
        <f>NPV((1+CN$3)^(1/12)-1,$CB$6:$CB305)+$CB$5</f>
        <v>462.64886026294084</v>
      </c>
    </row>
    <row r="306" spans="1:92" x14ac:dyDescent="0.25">
      <c r="A306" s="61">
        <f t="shared" si="242"/>
        <v>25.083333333333247</v>
      </c>
      <c r="B306" s="32">
        <f t="shared" si="260"/>
        <v>1</v>
      </c>
      <c r="C306" s="62">
        <f t="shared" si="261"/>
        <v>26</v>
      </c>
      <c r="D306" s="64">
        <f t="shared" si="262"/>
        <v>25.583333333333247</v>
      </c>
      <c r="E306" s="28">
        <f t="shared" si="243"/>
        <v>25</v>
      </c>
      <c r="G306" s="68">
        <f>INDEX(Others!$D$11:$E$60, MATCH(C306, Others!$A$11:$A$60, 0), MATCH(G$3, Others!$D$10:$E$10, 0))</f>
        <v>4.0690909090908889E-2</v>
      </c>
      <c r="H306" s="16">
        <f t="shared" si="285"/>
        <v>3.329265421250005E-3</v>
      </c>
      <c r="I306" s="69">
        <f t="shared" si="286"/>
        <v>0.3677159764998057</v>
      </c>
      <c r="K306" s="80" t="e">
        <f>INDEX(Mortality!$B$7:$F$32, MATCH( E306,Mortality!$A$7:$A$32, 0), MATCH( K$3,Mortality!$B$6:$F$6,0))</f>
        <v>#N/A</v>
      </c>
      <c r="L306" s="11">
        <f t="shared" si="244"/>
        <v>0</v>
      </c>
      <c r="M306" s="80">
        <f t="shared" si="263"/>
        <v>0</v>
      </c>
      <c r="N306" s="76" t="e">
        <f>INDEX(Myopia!$H:$H, MATCH(E306, Myopia!$A:$A, 0)) * Trend_Factor^(A306)</f>
        <v>#N/A</v>
      </c>
      <c r="O306" s="11">
        <f t="shared" si="245"/>
        <v>0</v>
      </c>
      <c r="P306" s="80">
        <f t="shared" si="264"/>
        <v>0</v>
      </c>
      <c r="Q306" s="76">
        <f>VLOOKUP(C306,Others!$L$10:$M$61,2)</f>
        <v>0</v>
      </c>
      <c r="R306" s="11">
        <f t="shared" si="246"/>
        <v>0</v>
      </c>
      <c r="S306" s="80">
        <f t="shared" si="265"/>
        <v>0</v>
      </c>
      <c r="T306" s="78">
        <f t="shared" si="266"/>
        <v>0</v>
      </c>
      <c r="U306" s="81">
        <f t="shared" si="267"/>
        <v>0</v>
      </c>
      <c r="V306" s="81">
        <f t="shared" si="268"/>
        <v>0</v>
      </c>
      <c r="W306" s="77">
        <f t="shared" si="247"/>
        <v>0</v>
      </c>
      <c r="X306" s="82">
        <f t="shared" si="269"/>
        <v>0</v>
      </c>
      <c r="Y306" s="82">
        <f t="shared" si="270"/>
        <v>0</v>
      </c>
      <c r="Z306" s="82">
        <f t="shared" si="271"/>
        <v>0</v>
      </c>
      <c r="AA306" s="82">
        <f t="shared" si="272"/>
        <v>0</v>
      </c>
      <c r="AC306" s="46">
        <f t="shared" si="248"/>
        <v>0</v>
      </c>
      <c r="AD306" s="15">
        <f t="shared" si="249"/>
        <v>0</v>
      </c>
      <c r="AE306" s="46">
        <f t="shared" si="273"/>
        <v>0</v>
      </c>
      <c r="AF306" s="15">
        <f t="shared" si="274"/>
        <v>0</v>
      </c>
      <c r="AG306" s="46">
        <f>SUMPRODUCT(AE307:AE$605, $I306:$I$604) / $I306</f>
        <v>0</v>
      </c>
      <c r="AI306" s="46">
        <f t="shared" si="250"/>
        <v>0</v>
      </c>
      <c r="AJ306" s="46">
        <f>IF(E306&gt;Mat_Year,0,  -SUM($AD$5:AD306))</f>
        <v>0</v>
      </c>
      <c r="AK306" s="24">
        <f t="shared" si="275"/>
        <v>0</v>
      </c>
      <c r="AL306" s="79">
        <f t="shared" si="276"/>
        <v>0</v>
      </c>
      <c r="AM306" s="24">
        <f t="shared" si="277"/>
        <v>0</v>
      </c>
      <c r="AN306" s="79">
        <f t="shared" si="278"/>
        <v>0</v>
      </c>
      <c r="AO306" s="15">
        <f t="shared" si="279"/>
        <v>0</v>
      </c>
      <c r="AP306" s="46">
        <f>SUMPRODUCT(AN307:AN$605, $I307:$I$605) / $I306</f>
        <v>0</v>
      </c>
      <c r="AR306" s="46">
        <v>0</v>
      </c>
      <c r="AS306" s="46">
        <v>0</v>
      </c>
      <c r="AT306" s="46">
        <v>0</v>
      </c>
      <c r="AU306" s="95">
        <f t="shared" si="251"/>
        <v>0</v>
      </c>
      <c r="AV306" s="47">
        <f t="shared" si="252"/>
        <v>0</v>
      </c>
      <c r="AW306" s="96">
        <f t="shared" si="287"/>
        <v>0</v>
      </c>
      <c r="AX306" s="95">
        <f t="shared" si="253"/>
        <v>0</v>
      </c>
      <c r="AY306" s="11">
        <f t="shared" si="254"/>
        <v>0</v>
      </c>
      <c r="AZ306" s="96">
        <f t="shared" si="288"/>
        <v>0</v>
      </c>
      <c r="BA306" s="95">
        <f t="shared" si="289"/>
        <v>0</v>
      </c>
      <c r="BB306" s="64">
        <f t="shared" si="290"/>
        <v>0</v>
      </c>
      <c r="BC306" s="95">
        <f t="shared" si="291"/>
        <v>0</v>
      </c>
      <c r="BD306" s="96">
        <f t="shared" si="292"/>
        <v>0</v>
      </c>
      <c r="BE306" s="96">
        <f t="shared" si="293"/>
        <v>0</v>
      </c>
      <c r="BF306" s="96">
        <f t="shared" si="294"/>
        <v>0</v>
      </c>
      <c r="BG306" s="15">
        <f t="shared" si="280"/>
        <v>0</v>
      </c>
      <c r="BH306" s="46">
        <f>(SUMPRODUCT(BE307:BE$605,$I306:$I$604)+SUMPRODUCT(BF307:BF$605,$I307:$I$605)) / $I306</f>
        <v>0</v>
      </c>
      <c r="BJ306" s="46">
        <f t="shared" si="295"/>
        <v>0</v>
      </c>
      <c r="BK306" s="46">
        <f t="shared" si="296"/>
        <v>0</v>
      </c>
      <c r="BM306" s="49">
        <f t="shared" si="281"/>
        <v>0</v>
      </c>
      <c r="BN306" s="46">
        <f t="shared" si="297"/>
        <v>0</v>
      </c>
      <c r="BP306" s="46">
        <f>Reserve!BX306</f>
        <v>0</v>
      </c>
      <c r="BQ306" s="46">
        <f t="shared" si="255"/>
        <v>0</v>
      </c>
      <c r="BR306" s="15">
        <f t="shared" si="282"/>
        <v>0</v>
      </c>
      <c r="BT306" s="49">
        <f t="shared" si="283"/>
        <v>0</v>
      </c>
      <c r="BU306" s="46">
        <f t="shared" si="256"/>
        <v>0</v>
      </c>
      <c r="BV306" s="46">
        <f>SUMPRODUCT(BU307:BU$605, $I307:$I$605) / $I306</f>
        <v>0</v>
      </c>
      <c r="BX306" s="46">
        <f>-BZ306*Others!$Q$43</f>
        <v>0</v>
      </c>
      <c r="BZ306" s="50">
        <f t="shared" si="241"/>
        <v>0</v>
      </c>
      <c r="CA306" s="46">
        <f t="shared" si="284"/>
        <v>0</v>
      </c>
      <c r="CB306" s="46">
        <f t="shared" si="257"/>
        <v>0</v>
      </c>
      <c r="CD306" s="46">
        <f>SUMPRODUCT(BZ307:BZ$605, $I307:$I$605) / $I306</f>
        <v>0</v>
      </c>
      <c r="CE306" s="46">
        <f>SUMPRODUCT(CA307:CA$605, $I307:$I$605) / $I306</f>
        <v>0</v>
      </c>
      <c r="CF306" s="46">
        <f>SUMPRODUCT(CB307:CB$605, $I307:$I$605) / $I306</f>
        <v>0</v>
      </c>
      <c r="CH306" s="46">
        <f t="shared" si="258"/>
        <v>0</v>
      </c>
      <c r="CI306" s="46">
        <f t="shared" si="259"/>
        <v>0</v>
      </c>
      <c r="CK306" s="46">
        <f>NPV((1+CK$3)^(1/12)-1,$CB$6:$CB306)+$CB$5</f>
        <v>1409.6963032385702</v>
      </c>
      <c r="CL306" s="46">
        <f>NPV((1+CL$3)^(1/12)-1,$CB$6:$CB306)+$CB$5</f>
        <v>1057.2060036590874</v>
      </c>
      <c r="CM306" s="46">
        <f>NPV((1+CM$3)^(1/12)-1,$CB$6:$CB306)+$CB$5</f>
        <v>462.64886026294084</v>
      </c>
      <c r="CN306" s="46">
        <f>NPV((1+CN$3)^(1/12)-1,$CB$6:$CB306)+$CB$5</f>
        <v>462.64886026294084</v>
      </c>
    </row>
    <row r="307" spans="1:92" x14ac:dyDescent="0.25">
      <c r="A307" s="61">
        <f t="shared" si="242"/>
        <v>25.166666666666579</v>
      </c>
      <c r="B307" s="32">
        <f t="shared" si="260"/>
        <v>2</v>
      </c>
      <c r="C307" s="62">
        <f t="shared" si="261"/>
        <v>26</v>
      </c>
      <c r="D307" s="64">
        <f t="shared" si="262"/>
        <v>25.666666666666579</v>
      </c>
      <c r="E307" s="28">
        <f t="shared" si="243"/>
        <v>25</v>
      </c>
      <c r="G307" s="68">
        <f>INDEX(Others!$D$11:$E$60, MATCH(C307, Others!$A$11:$A$60, 0), MATCH(G$3, Others!$D$10:$E$10, 0))</f>
        <v>4.0690909090908889E-2</v>
      </c>
      <c r="H307" s="16">
        <f t="shared" si="285"/>
        <v>3.329265421250005E-3</v>
      </c>
      <c r="I307" s="69">
        <f t="shared" si="286"/>
        <v>0.36649581465703518</v>
      </c>
      <c r="K307" s="80" t="e">
        <f>INDEX(Mortality!$B$7:$F$32, MATCH( E307,Mortality!$A$7:$A$32, 0), MATCH( K$3,Mortality!$B$6:$F$6,0))</f>
        <v>#N/A</v>
      </c>
      <c r="L307" s="11">
        <f t="shared" si="244"/>
        <v>0</v>
      </c>
      <c r="M307" s="80">
        <f t="shared" si="263"/>
        <v>0</v>
      </c>
      <c r="N307" s="76" t="e">
        <f>INDEX(Myopia!$H:$H, MATCH(E307, Myopia!$A:$A, 0)) * Trend_Factor^(A307)</f>
        <v>#N/A</v>
      </c>
      <c r="O307" s="11">
        <f t="shared" si="245"/>
        <v>0</v>
      </c>
      <c r="P307" s="80">
        <f t="shared" si="264"/>
        <v>0</v>
      </c>
      <c r="Q307" s="76">
        <f>VLOOKUP(C307,Others!$L$10:$M$61,2)</f>
        <v>0</v>
      </c>
      <c r="R307" s="11">
        <f t="shared" si="246"/>
        <v>0</v>
      </c>
      <c r="S307" s="80">
        <f t="shared" si="265"/>
        <v>0</v>
      </c>
      <c r="T307" s="78">
        <f t="shared" si="266"/>
        <v>0</v>
      </c>
      <c r="U307" s="81">
        <f t="shared" si="267"/>
        <v>0</v>
      </c>
      <c r="V307" s="81">
        <f t="shared" si="268"/>
        <v>0</v>
      </c>
      <c r="W307" s="77">
        <f t="shared" si="247"/>
        <v>0</v>
      </c>
      <c r="X307" s="82">
        <f t="shared" si="269"/>
        <v>0</v>
      </c>
      <c r="Y307" s="82">
        <f t="shared" si="270"/>
        <v>0</v>
      </c>
      <c r="Z307" s="82">
        <f t="shared" si="271"/>
        <v>0</v>
      </c>
      <c r="AA307" s="82">
        <f t="shared" si="272"/>
        <v>0</v>
      </c>
      <c r="AC307" s="46">
        <f t="shared" si="248"/>
        <v>0</v>
      </c>
      <c r="AD307" s="15">
        <f t="shared" si="249"/>
        <v>0</v>
      </c>
      <c r="AE307" s="46">
        <f t="shared" si="273"/>
        <v>0</v>
      </c>
      <c r="AF307" s="15">
        <f t="shared" si="274"/>
        <v>0</v>
      </c>
      <c r="AG307" s="46">
        <f>SUMPRODUCT(AE308:AE$605, $I307:$I$604) / $I307</f>
        <v>0</v>
      </c>
      <c r="AI307" s="46">
        <f t="shared" si="250"/>
        <v>0</v>
      </c>
      <c r="AJ307" s="46">
        <f>IF(E307&gt;Mat_Year,0,  -SUM($AD$5:AD307))</f>
        <v>0</v>
      </c>
      <c r="AK307" s="24">
        <f t="shared" si="275"/>
        <v>0</v>
      </c>
      <c r="AL307" s="79">
        <f t="shared" si="276"/>
        <v>0</v>
      </c>
      <c r="AM307" s="24">
        <f t="shared" si="277"/>
        <v>0</v>
      </c>
      <c r="AN307" s="79">
        <f t="shared" si="278"/>
        <v>0</v>
      </c>
      <c r="AO307" s="15">
        <f t="shared" si="279"/>
        <v>0</v>
      </c>
      <c r="AP307" s="46">
        <f>SUMPRODUCT(AN308:AN$605, $I308:$I$605) / $I307</f>
        <v>0</v>
      </c>
      <c r="AR307" s="46">
        <v>0</v>
      </c>
      <c r="AS307" s="46">
        <v>0</v>
      </c>
      <c r="AT307" s="46">
        <v>0</v>
      </c>
      <c r="AU307" s="95">
        <f t="shared" si="251"/>
        <v>0</v>
      </c>
      <c r="AV307" s="47">
        <f t="shared" si="252"/>
        <v>0</v>
      </c>
      <c r="AW307" s="96">
        <f t="shared" si="287"/>
        <v>0</v>
      </c>
      <c r="AX307" s="95">
        <f t="shared" si="253"/>
        <v>0</v>
      </c>
      <c r="AY307" s="11">
        <f t="shared" si="254"/>
        <v>0</v>
      </c>
      <c r="AZ307" s="96">
        <f t="shared" si="288"/>
        <v>0</v>
      </c>
      <c r="BA307" s="95">
        <f t="shared" si="289"/>
        <v>0</v>
      </c>
      <c r="BB307" s="64">
        <f t="shared" si="290"/>
        <v>0</v>
      </c>
      <c r="BC307" s="95">
        <f t="shared" si="291"/>
        <v>0</v>
      </c>
      <c r="BD307" s="96">
        <f t="shared" si="292"/>
        <v>0</v>
      </c>
      <c r="BE307" s="96">
        <f t="shared" si="293"/>
        <v>0</v>
      </c>
      <c r="BF307" s="96">
        <f t="shared" si="294"/>
        <v>0</v>
      </c>
      <c r="BG307" s="15">
        <f t="shared" si="280"/>
        <v>0</v>
      </c>
      <c r="BH307" s="46">
        <f>(SUMPRODUCT(BE308:BE$605,$I307:$I$604)+SUMPRODUCT(BF308:BF$605,$I308:$I$605)) / $I307</f>
        <v>0</v>
      </c>
      <c r="BJ307" s="46">
        <f t="shared" si="295"/>
        <v>0</v>
      </c>
      <c r="BK307" s="46">
        <f t="shared" si="296"/>
        <v>0</v>
      </c>
      <c r="BM307" s="49">
        <f t="shared" si="281"/>
        <v>0</v>
      </c>
      <c r="BN307" s="46">
        <f t="shared" si="297"/>
        <v>0</v>
      </c>
      <c r="BP307" s="46">
        <f>Reserve!BX307</f>
        <v>0</v>
      </c>
      <c r="BQ307" s="46">
        <f t="shared" si="255"/>
        <v>0</v>
      </c>
      <c r="BR307" s="15">
        <f t="shared" si="282"/>
        <v>0</v>
      </c>
      <c r="BT307" s="49">
        <f t="shared" si="283"/>
        <v>0</v>
      </c>
      <c r="BU307" s="46">
        <f t="shared" si="256"/>
        <v>0</v>
      </c>
      <c r="BV307" s="46">
        <f>SUMPRODUCT(BU308:BU$605, $I308:$I$605) / $I307</f>
        <v>0</v>
      </c>
      <c r="BX307" s="46">
        <f>-BZ307*Others!$Q$43</f>
        <v>0</v>
      </c>
      <c r="BZ307" s="50">
        <f t="shared" si="241"/>
        <v>0</v>
      </c>
      <c r="CA307" s="46">
        <f t="shared" si="284"/>
        <v>0</v>
      </c>
      <c r="CB307" s="46">
        <f t="shared" si="257"/>
        <v>0</v>
      </c>
      <c r="CD307" s="46">
        <f>SUMPRODUCT(BZ308:BZ$605, $I308:$I$605) / $I307</f>
        <v>0</v>
      </c>
      <c r="CE307" s="46">
        <f>SUMPRODUCT(CA308:CA$605, $I308:$I$605) / $I307</f>
        <v>0</v>
      </c>
      <c r="CF307" s="46">
        <f>SUMPRODUCT(CB308:CB$605, $I308:$I$605) / $I307</f>
        <v>0</v>
      </c>
      <c r="CH307" s="46">
        <f t="shared" si="258"/>
        <v>0</v>
      </c>
      <c r="CI307" s="46">
        <f t="shared" si="259"/>
        <v>0</v>
      </c>
      <c r="CK307" s="46">
        <f>NPV((1+CK$3)^(1/12)-1,$CB$6:$CB307)+$CB$5</f>
        <v>1409.6963032385702</v>
      </c>
      <c r="CL307" s="46">
        <f>NPV((1+CL$3)^(1/12)-1,$CB$6:$CB307)+$CB$5</f>
        <v>1057.2060036590874</v>
      </c>
      <c r="CM307" s="46">
        <f>NPV((1+CM$3)^(1/12)-1,$CB$6:$CB307)+$CB$5</f>
        <v>462.64886026294084</v>
      </c>
      <c r="CN307" s="46">
        <f>NPV((1+CN$3)^(1/12)-1,$CB$6:$CB307)+$CB$5</f>
        <v>462.64886026294084</v>
      </c>
    </row>
    <row r="308" spans="1:92" x14ac:dyDescent="0.25">
      <c r="A308" s="61">
        <f t="shared" si="242"/>
        <v>25.249999999999911</v>
      </c>
      <c r="B308" s="32">
        <f t="shared" si="260"/>
        <v>3</v>
      </c>
      <c r="C308" s="62">
        <f t="shared" si="261"/>
        <v>26</v>
      </c>
      <c r="D308" s="64">
        <f t="shared" si="262"/>
        <v>25.749999999999911</v>
      </c>
      <c r="E308" s="28">
        <f t="shared" si="243"/>
        <v>25</v>
      </c>
      <c r="G308" s="68">
        <f>INDEX(Others!$D$11:$E$60, MATCH(C308, Others!$A$11:$A$60, 0), MATCH(G$3, Others!$D$10:$E$10, 0))</f>
        <v>4.0690909090908889E-2</v>
      </c>
      <c r="H308" s="16">
        <f t="shared" si="285"/>
        <v>3.329265421250005E-3</v>
      </c>
      <c r="I308" s="69">
        <f t="shared" si="286"/>
        <v>0.36527970157748874</v>
      </c>
      <c r="K308" s="80" t="e">
        <f>INDEX(Mortality!$B$7:$F$32, MATCH( E308,Mortality!$A$7:$A$32, 0), MATCH( K$3,Mortality!$B$6:$F$6,0))</f>
        <v>#N/A</v>
      </c>
      <c r="L308" s="11">
        <f t="shared" si="244"/>
        <v>0</v>
      </c>
      <c r="M308" s="80">
        <f t="shared" si="263"/>
        <v>0</v>
      </c>
      <c r="N308" s="76" t="e">
        <f>INDEX(Myopia!$H:$H, MATCH(E308, Myopia!$A:$A, 0)) * Trend_Factor^(A308)</f>
        <v>#N/A</v>
      </c>
      <c r="O308" s="11">
        <f t="shared" si="245"/>
        <v>0</v>
      </c>
      <c r="P308" s="80">
        <f t="shared" si="264"/>
        <v>0</v>
      </c>
      <c r="Q308" s="76">
        <f>VLOOKUP(C308,Others!$L$10:$M$61,2)</f>
        <v>0</v>
      </c>
      <c r="R308" s="11">
        <f t="shared" si="246"/>
        <v>0</v>
      </c>
      <c r="S308" s="80">
        <f t="shared" si="265"/>
        <v>0</v>
      </c>
      <c r="T308" s="78">
        <f t="shared" si="266"/>
        <v>0</v>
      </c>
      <c r="U308" s="81">
        <f t="shared" si="267"/>
        <v>0</v>
      </c>
      <c r="V308" s="81">
        <f t="shared" si="268"/>
        <v>0</v>
      </c>
      <c r="W308" s="77">
        <f t="shared" si="247"/>
        <v>0</v>
      </c>
      <c r="X308" s="82">
        <f t="shared" si="269"/>
        <v>0</v>
      </c>
      <c r="Y308" s="82">
        <f t="shared" si="270"/>
        <v>0</v>
      </c>
      <c r="Z308" s="82">
        <f t="shared" si="271"/>
        <v>0</v>
      </c>
      <c r="AA308" s="82">
        <f t="shared" si="272"/>
        <v>0</v>
      </c>
      <c r="AC308" s="46">
        <f t="shared" si="248"/>
        <v>0</v>
      </c>
      <c r="AD308" s="15">
        <f t="shared" si="249"/>
        <v>0</v>
      </c>
      <c r="AE308" s="46">
        <f t="shared" si="273"/>
        <v>0</v>
      </c>
      <c r="AF308" s="15">
        <f t="shared" si="274"/>
        <v>0</v>
      </c>
      <c r="AG308" s="46">
        <f>SUMPRODUCT(AE309:AE$605, $I308:$I$604) / $I308</f>
        <v>0</v>
      </c>
      <c r="AI308" s="46">
        <f t="shared" si="250"/>
        <v>0</v>
      </c>
      <c r="AJ308" s="46">
        <f>IF(E308&gt;Mat_Year,0,  -SUM($AD$5:AD308))</f>
        <v>0</v>
      </c>
      <c r="AK308" s="24">
        <f t="shared" si="275"/>
        <v>0</v>
      </c>
      <c r="AL308" s="79">
        <f t="shared" si="276"/>
        <v>0</v>
      </c>
      <c r="AM308" s="24">
        <f t="shared" si="277"/>
        <v>0</v>
      </c>
      <c r="AN308" s="79">
        <f t="shared" si="278"/>
        <v>0</v>
      </c>
      <c r="AO308" s="15">
        <f t="shared" si="279"/>
        <v>0</v>
      </c>
      <c r="AP308" s="46">
        <f>SUMPRODUCT(AN309:AN$605, $I309:$I$605) / $I308</f>
        <v>0</v>
      </c>
      <c r="AR308" s="46">
        <v>0</v>
      </c>
      <c r="AS308" s="46">
        <v>0</v>
      </c>
      <c r="AT308" s="46">
        <v>0</v>
      </c>
      <c r="AU308" s="95">
        <f t="shared" si="251"/>
        <v>0</v>
      </c>
      <c r="AV308" s="47">
        <f t="shared" si="252"/>
        <v>0</v>
      </c>
      <c r="AW308" s="96">
        <f t="shared" si="287"/>
        <v>0</v>
      </c>
      <c r="AX308" s="95">
        <f t="shared" si="253"/>
        <v>0</v>
      </c>
      <c r="AY308" s="11">
        <f t="shared" si="254"/>
        <v>0</v>
      </c>
      <c r="AZ308" s="96">
        <f t="shared" si="288"/>
        <v>0</v>
      </c>
      <c r="BA308" s="95">
        <f t="shared" si="289"/>
        <v>0</v>
      </c>
      <c r="BB308" s="64">
        <f t="shared" si="290"/>
        <v>0</v>
      </c>
      <c r="BC308" s="95">
        <f t="shared" si="291"/>
        <v>0</v>
      </c>
      <c r="BD308" s="96">
        <f t="shared" si="292"/>
        <v>0</v>
      </c>
      <c r="BE308" s="96">
        <f t="shared" si="293"/>
        <v>0</v>
      </c>
      <c r="BF308" s="96">
        <f t="shared" si="294"/>
        <v>0</v>
      </c>
      <c r="BG308" s="15">
        <f t="shared" si="280"/>
        <v>0</v>
      </c>
      <c r="BH308" s="46">
        <f>(SUMPRODUCT(BE309:BE$605,$I308:$I$604)+SUMPRODUCT(BF309:BF$605,$I309:$I$605)) / $I308</f>
        <v>0</v>
      </c>
      <c r="BJ308" s="46">
        <f t="shared" si="295"/>
        <v>0</v>
      </c>
      <c r="BK308" s="46">
        <f t="shared" si="296"/>
        <v>0</v>
      </c>
      <c r="BM308" s="49">
        <f t="shared" si="281"/>
        <v>0</v>
      </c>
      <c r="BN308" s="46">
        <f t="shared" si="297"/>
        <v>0</v>
      </c>
      <c r="BP308" s="46">
        <f>Reserve!BX308</f>
        <v>0</v>
      </c>
      <c r="BQ308" s="46">
        <f t="shared" si="255"/>
        <v>0</v>
      </c>
      <c r="BR308" s="15">
        <f t="shared" si="282"/>
        <v>0</v>
      </c>
      <c r="BT308" s="49">
        <f t="shared" si="283"/>
        <v>0</v>
      </c>
      <c r="BU308" s="46">
        <f t="shared" si="256"/>
        <v>0</v>
      </c>
      <c r="BV308" s="46">
        <f>SUMPRODUCT(BU309:BU$605, $I309:$I$605) / $I308</f>
        <v>0</v>
      </c>
      <c r="BX308" s="46">
        <f>-BZ308*Others!$Q$43</f>
        <v>0</v>
      </c>
      <c r="BZ308" s="50">
        <f t="shared" si="241"/>
        <v>0</v>
      </c>
      <c r="CA308" s="46">
        <f t="shared" si="284"/>
        <v>0</v>
      </c>
      <c r="CB308" s="46">
        <f t="shared" si="257"/>
        <v>0</v>
      </c>
      <c r="CD308" s="46">
        <f>SUMPRODUCT(BZ309:BZ$605, $I309:$I$605) / $I308</f>
        <v>0</v>
      </c>
      <c r="CE308" s="46">
        <f>SUMPRODUCT(CA309:CA$605, $I309:$I$605) / $I308</f>
        <v>0</v>
      </c>
      <c r="CF308" s="46">
        <f>SUMPRODUCT(CB309:CB$605, $I309:$I$605) / $I308</f>
        <v>0</v>
      </c>
      <c r="CH308" s="46">
        <f t="shared" si="258"/>
        <v>0</v>
      </c>
      <c r="CI308" s="46">
        <f t="shared" si="259"/>
        <v>0</v>
      </c>
      <c r="CK308" s="46">
        <f>NPV((1+CK$3)^(1/12)-1,$CB$6:$CB308)+$CB$5</f>
        <v>1409.6963032385702</v>
      </c>
      <c r="CL308" s="46">
        <f>NPV((1+CL$3)^(1/12)-1,$CB$6:$CB308)+$CB$5</f>
        <v>1057.2060036590874</v>
      </c>
      <c r="CM308" s="46">
        <f>NPV((1+CM$3)^(1/12)-1,$CB$6:$CB308)+$CB$5</f>
        <v>462.64886026294084</v>
      </c>
      <c r="CN308" s="46">
        <f>NPV((1+CN$3)^(1/12)-1,$CB$6:$CB308)+$CB$5</f>
        <v>462.64886026294084</v>
      </c>
    </row>
    <row r="309" spans="1:92" x14ac:dyDescent="0.25">
      <c r="A309" s="61">
        <f t="shared" si="242"/>
        <v>25.333333333333243</v>
      </c>
      <c r="B309" s="32">
        <f t="shared" si="260"/>
        <v>4</v>
      </c>
      <c r="C309" s="62">
        <f t="shared" si="261"/>
        <v>26</v>
      </c>
      <c r="D309" s="64">
        <f t="shared" si="262"/>
        <v>25.833333333333243</v>
      </c>
      <c r="E309" s="28">
        <f t="shared" si="243"/>
        <v>25</v>
      </c>
      <c r="G309" s="68">
        <f>INDEX(Others!$D$11:$E$60, MATCH(C309, Others!$A$11:$A$60, 0), MATCH(G$3, Others!$D$10:$E$10, 0))</f>
        <v>4.0690909090908889E-2</v>
      </c>
      <c r="H309" s="16">
        <f t="shared" si="285"/>
        <v>3.329265421250005E-3</v>
      </c>
      <c r="I309" s="69">
        <f t="shared" si="286"/>
        <v>0.36406762382648655</v>
      </c>
      <c r="K309" s="80" t="e">
        <f>INDEX(Mortality!$B$7:$F$32, MATCH( E309,Mortality!$A$7:$A$32, 0), MATCH( K$3,Mortality!$B$6:$F$6,0))</f>
        <v>#N/A</v>
      </c>
      <c r="L309" s="11">
        <f t="shared" si="244"/>
        <v>0</v>
      </c>
      <c r="M309" s="80">
        <f t="shared" si="263"/>
        <v>0</v>
      </c>
      <c r="N309" s="76" t="e">
        <f>INDEX(Myopia!$H:$H, MATCH(E309, Myopia!$A:$A, 0)) * Trend_Factor^(A309)</f>
        <v>#N/A</v>
      </c>
      <c r="O309" s="11">
        <f t="shared" si="245"/>
        <v>0</v>
      </c>
      <c r="P309" s="80">
        <f t="shared" si="264"/>
        <v>0</v>
      </c>
      <c r="Q309" s="76">
        <f>VLOOKUP(C309,Others!$L$10:$M$61,2)</f>
        <v>0</v>
      </c>
      <c r="R309" s="11">
        <f t="shared" si="246"/>
        <v>0</v>
      </c>
      <c r="S309" s="80">
        <f t="shared" si="265"/>
        <v>0</v>
      </c>
      <c r="T309" s="78">
        <f t="shared" si="266"/>
        <v>0</v>
      </c>
      <c r="U309" s="81">
        <f t="shared" si="267"/>
        <v>0</v>
      </c>
      <c r="V309" s="81">
        <f t="shared" si="268"/>
        <v>0</v>
      </c>
      <c r="W309" s="77">
        <f t="shared" si="247"/>
        <v>0</v>
      </c>
      <c r="X309" s="82">
        <f t="shared" si="269"/>
        <v>0</v>
      </c>
      <c r="Y309" s="82">
        <f t="shared" si="270"/>
        <v>0</v>
      </c>
      <c r="Z309" s="82">
        <f t="shared" si="271"/>
        <v>0</v>
      </c>
      <c r="AA309" s="82">
        <f t="shared" si="272"/>
        <v>0</v>
      </c>
      <c r="AC309" s="46">
        <f t="shared" si="248"/>
        <v>0</v>
      </c>
      <c r="AD309" s="15">
        <f t="shared" si="249"/>
        <v>0</v>
      </c>
      <c r="AE309" s="46">
        <f t="shared" si="273"/>
        <v>0</v>
      </c>
      <c r="AF309" s="15">
        <f t="shared" si="274"/>
        <v>0</v>
      </c>
      <c r="AG309" s="46">
        <f>SUMPRODUCT(AE310:AE$605, $I309:$I$604) / $I309</f>
        <v>0</v>
      </c>
      <c r="AI309" s="46">
        <f t="shared" si="250"/>
        <v>0</v>
      </c>
      <c r="AJ309" s="46">
        <f>IF(E309&gt;Mat_Year,0,  -SUM($AD$5:AD309))</f>
        <v>0</v>
      </c>
      <c r="AK309" s="24">
        <f t="shared" si="275"/>
        <v>0</v>
      </c>
      <c r="AL309" s="79">
        <f t="shared" si="276"/>
        <v>0</v>
      </c>
      <c r="AM309" s="24">
        <f t="shared" si="277"/>
        <v>0</v>
      </c>
      <c r="AN309" s="79">
        <f t="shared" si="278"/>
        <v>0</v>
      </c>
      <c r="AO309" s="15">
        <f t="shared" si="279"/>
        <v>0</v>
      </c>
      <c r="AP309" s="46">
        <f>SUMPRODUCT(AN310:AN$605, $I310:$I$605) / $I309</f>
        <v>0</v>
      </c>
      <c r="AR309" s="46">
        <v>0</v>
      </c>
      <c r="AS309" s="46">
        <v>0</v>
      </c>
      <c r="AT309" s="46">
        <v>0</v>
      </c>
      <c r="AU309" s="95">
        <f t="shared" si="251"/>
        <v>0</v>
      </c>
      <c r="AV309" s="47">
        <f t="shared" si="252"/>
        <v>0</v>
      </c>
      <c r="AW309" s="96">
        <f t="shared" si="287"/>
        <v>0</v>
      </c>
      <c r="AX309" s="95">
        <f t="shared" si="253"/>
        <v>0</v>
      </c>
      <c r="AY309" s="11">
        <f t="shared" si="254"/>
        <v>0</v>
      </c>
      <c r="AZ309" s="96">
        <f t="shared" si="288"/>
        <v>0</v>
      </c>
      <c r="BA309" s="95">
        <f t="shared" si="289"/>
        <v>0</v>
      </c>
      <c r="BB309" s="64">
        <f t="shared" si="290"/>
        <v>0</v>
      </c>
      <c r="BC309" s="95">
        <f t="shared" si="291"/>
        <v>0</v>
      </c>
      <c r="BD309" s="96">
        <f t="shared" si="292"/>
        <v>0</v>
      </c>
      <c r="BE309" s="96">
        <f t="shared" si="293"/>
        <v>0</v>
      </c>
      <c r="BF309" s="96">
        <f t="shared" si="294"/>
        <v>0</v>
      </c>
      <c r="BG309" s="15">
        <f t="shared" si="280"/>
        <v>0</v>
      </c>
      <c r="BH309" s="46">
        <f>(SUMPRODUCT(BE310:BE$605,$I309:$I$604)+SUMPRODUCT(BF310:BF$605,$I310:$I$605)) / $I309</f>
        <v>0</v>
      </c>
      <c r="BJ309" s="46">
        <f t="shared" si="295"/>
        <v>0</v>
      </c>
      <c r="BK309" s="46">
        <f t="shared" si="296"/>
        <v>0</v>
      </c>
      <c r="BM309" s="49">
        <f t="shared" si="281"/>
        <v>0</v>
      </c>
      <c r="BN309" s="46">
        <f t="shared" si="297"/>
        <v>0</v>
      </c>
      <c r="BP309" s="46">
        <f>Reserve!BX309</f>
        <v>0</v>
      </c>
      <c r="BQ309" s="46">
        <f t="shared" si="255"/>
        <v>0</v>
      </c>
      <c r="BR309" s="15">
        <f t="shared" si="282"/>
        <v>0</v>
      </c>
      <c r="BT309" s="49">
        <f t="shared" si="283"/>
        <v>0</v>
      </c>
      <c r="BU309" s="46">
        <f t="shared" si="256"/>
        <v>0</v>
      </c>
      <c r="BV309" s="46">
        <f>SUMPRODUCT(BU310:BU$605, $I310:$I$605) / $I309</f>
        <v>0</v>
      </c>
      <c r="BX309" s="46">
        <f>-BZ309*Others!$Q$43</f>
        <v>0</v>
      </c>
      <c r="BZ309" s="50">
        <f t="shared" si="241"/>
        <v>0</v>
      </c>
      <c r="CA309" s="46">
        <f t="shared" si="284"/>
        <v>0</v>
      </c>
      <c r="CB309" s="46">
        <f t="shared" si="257"/>
        <v>0</v>
      </c>
      <c r="CD309" s="46">
        <f>SUMPRODUCT(BZ310:BZ$605, $I310:$I$605) / $I309</f>
        <v>0</v>
      </c>
      <c r="CE309" s="46">
        <f>SUMPRODUCT(CA310:CA$605, $I310:$I$605) / $I309</f>
        <v>0</v>
      </c>
      <c r="CF309" s="46">
        <f>SUMPRODUCT(CB310:CB$605, $I310:$I$605) / $I309</f>
        <v>0</v>
      </c>
      <c r="CH309" s="46">
        <f t="shared" si="258"/>
        <v>0</v>
      </c>
      <c r="CI309" s="46">
        <f t="shared" si="259"/>
        <v>0</v>
      </c>
      <c r="CK309" s="46">
        <f>NPV((1+CK$3)^(1/12)-1,$CB$6:$CB309)+$CB$5</f>
        <v>1409.6963032385702</v>
      </c>
      <c r="CL309" s="46">
        <f>NPV((1+CL$3)^(1/12)-1,$CB$6:$CB309)+$CB$5</f>
        <v>1057.2060036590874</v>
      </c>
      <c r="CM309" s="46">
        <f>NPV((1+CM$3)^(1/12)-1,$CB$6:$CB309)+$CB$5</f>
        <v>462.64886026294084</v>
      </c>
      <c r="CN309" s="46">
        <f>NPV((1+CN$3)^(1/12)-1,$CB$6:$CB309)+$CB$5</f>
        <v>462.64886026294084</v>
      </c>
    </row>
    <row r="310" spans="1:92" x14ac:dyDescent="0.25">
      <c r="A310" s="61">
        <f t="shared" si="242"/>
        <v>25.416666666666575</v>
      </c>
      <c r="B310" s="32">
        <f t="shared" si="260"/>
        <v>5</v>
      </c>
      <c r="C310" s="62">
        <f t="shared" si="261"/>
        <v>26</v>
      </c>
      <c r="D310" s="64">
        <f t="shared" si="262"/>
        <v>25.916666666666575</v>
      </c>
      <c r="E310" s="28">
        <f t="shared" si="243"/>
        <v>25</v>
      </c>
      <c r="G310" s="68">
        <f>INDEX(Others!$D$11:$E$60, MATCH(C310, Others!$A$11:$A$60, 0), MATCH(G$3, Others!$D$10:$E$10, 0))</f>
        <v>4.0690909090908889E-2</v>
      </c>
      <c r="H310" s="16">
        <f t="shared" si="285"/>
        <v>3.329265421250005E-3</v>
      </c>
      <c r="I310" s="69">
        <f t="shared" si="286"/>
        <v>0.36285956801392805</v>
      </c>
      <c r="K310" s="80" t="e">
        <f>INDEX(Mortality!$B$7:$F$32, MATCH( E310,Mortality!$A$7:$A$32, 0), MATCH( K$3,Mortality!$B$6:$F$6,0))</f>
        <v>#N/A</v>
      </c>
      <c r="L310" s="11">
        <f t="shared" si="244"/>
        <v>0</v>
      </c>
      <c r="M310" s="80">
        <f t="shared" si="263"/>
        <v>0</v>
      </c>
      <c r="N310" s="76" t="e">
        <f>INDEX(Myopia!$H:$H, MATCH(E310, Myopia!$A:$A, 0)) * Trend_Factor^(A310)</f>
        <v>#N/A</v>
      </c>
      <c r="O310" s="11">
        <f t="shared" si="245"/>
        <v>0</v>
      </c>
      <c r="P310" s="80">
        <f t="shared" si="264"/>
        <v>0</v>
      </c>
      <c r="Q310" s="76">
        <f>VLOOKUP(C310,Others!$L$10:$M$61,2)</f>
        <v>0</v>
      </c>
      <c r="R310" s="11">
        <f t="shared" si="246"/>
        <v>0</v>
      </c>
      <c r="S310" s="80">
        <f t="shared" si="265"/>
        <v>0</v>
      </c>
      <c r="T310" s="78">
        <f t="shared" si="266"/>
        <v>0</v>
      </c>
      <c r="U310" s="81">
        <f t="shared" si="267"/>
        <v>0</v>
      </c>
      <c r="V310" s="81">
        <f t="shared" si="268"/>
        <v>0</v>
      </c>
      <c r="W310" s="77">
        <f t="shared" si="247"/>
        <v>0</v>
      </c>
      <c r="X310" s="82">
        <f t="shared" si="269"/>
        <v>0</v>
      </c>
      <c r="Y310" s="82">
        <f t="shared" si="270"/>
        <v>0</v>
      </c>
      <c r="Z310" s="82">
        <f t="shared" si="271"/>
        <v>0</v>
      </c>
      <c r="AA310" s="82">
        <f t="shared" si="272"/>
        <v>0</v>
      </c>
      <c r="AC310" s="46">
        <f t="shared" si="248"/>
        <v>0</v>
      </c>
      <c r="AD310" s="15">
        <f t="shared" si="249"/>
        <v>0</v>
      </c>
      <c r="AE310" s="46">
        <f t="shared" si="273"/>
        <v>0</v>
      </c>
      <c r="AF310" s="15">
        <f t="shared" si="274"/>
        <v>0</v>
      </c>
      <c r="AG310" s="46">
        <f>SUMPRODUCT(AE311:AE$605, $I310:$I$604) / $I310</f>
        <v>0</v>
      </c>
      <c r="AI310" s="46">
        <f t="shared" si="250"/>
        <v>0</v>
      </c>
      <c r="AJ310" s="46">
        <f>IF(E310&gt;Mat_Year,0,  -SUM($AD$5:AD310))</f>
        <v>0</v>
      </c>
      <c r="AK310" s="24">
        <f t="shared" si="275"/>
        <v>0</v>
      </c>
      <c r="AL310" s="79">
        <f t="shared" si="276"/>
        <v>0</v>
      </c>
      <c r="AM310" s="24">
        <f t="shared" si="277"/>
        <v>0</v>
      </c>
      <c r="AN310" s="79">
        <f t="shared" si="278"/>
        <v>0</v>
      </c>
      <c r="AO310" s="15">
        <f t="shared" si="279"/>
        <v>0</v>
      </c>
      <c r="AP310" s="46">
        <f>SUMPRODUCT(AN311:AN$605, $I311:$I$605) / $I310</f>
        <v>0</v>
      </c>
      <c r="AR310" s="46">
        <v>0</v>
      </c>
      <c r="AS310" s="46">
        <v>0</v>
      </c>
      <c r="AT310" s="46">
        <v>0</v>
      </c>
      <c r="AU310" s="95">
        <f t="shared" si="251"/>
        <v>0</v>
      </c>
      <c r="AV310" s="47">
        <f t="shared" si="252"/>
        <v>0</v>
      </c>
      <c r="AW310" s="96">
        <f t="shared" si="287"/>
        <v>0</v>
      </c>
      <c r="AX310" s="95">
        <f t="shared" si="253"/>
        <v>0</v>
      </c>
      <c r="AY310" s="11">
        <f t="shared" si="254"/>
        <v>0</v>
      </c>
      <c r="AZ310" s="96">
        <f t="shared" si="288"/>
        <v>0</v>
      </c>
      <c r="BA310" s="95">
        <f t="shared" si="289"/>
        <v>0</v>
      </c>
      <c r="BB310" s="64">
        <f t="shared" si="290"/>
        <v>0</v>
      </c>
      <c r="BC310" s="95">
        <f t="shared" si="291"/>
        <v>0</v>
      </c>
      <c r="BD310" s="96">
        <f t="shared" si="292"/>
        <v>0</v>
      </c>
      <c r="BE310" s="96">
        <f t="shared" si="293"/>
        <v>0</v>
      </c>
      <c r="BF310" s="96">
        <f t="shared" si="294"/>
        <v>0</v>
      </c>
      <c r="BG310" s="15">
        <f t="shared" si="280"/>
        <v>0</v>
      </c>
      <c r="BH310" s="46">
        <f>(SUMPRODUCT(BE311:BE$605,$I310:$I$604)+SUMPRODUCT(BF311:BF$605,$I311:$I$605)) / $I310</f>
        <v>0</v>
      </c>
      <c r="BJ310" s="46">
        <f t="shared" si="295"/>
        <v>0</v>
      </c>
      <c r="BK310" s="46">
        <f t="shared" si="296"/>
        <v>0</v>
      </c>
      <c r="BM310" s="49">
        <f t="shared" si="281"/>
        <v>0</v>
      </c>
      <c r="BN310" s="46">
        <f t="shared" si="297"/>
        <v>0</v>
      </c>
      <c r="BP310" s="46">
        <f>Reserve!BX310</f>
        <v>0</v>
      </c>
      <c r="BQ310" s="46">
        <f t="shared" si="255"/>
        <v>0</v>
      </c>
      <c r="BR310" s="15">
        <f t="shared" si="282"/>
        <v>0</v>
      </c>
      <c r="BT310" s="49">
        <f t="shared" si="283"/>
        <v>0</v>
      </c>
      <c r="BU310" s="46">
        <f t="shared" si="256"/>
        <v>0</v>
      </c>
      <c r="BV310" s="46">
        <f>SUMPRODUCT(BU311:BU$605, $I311:$I$605) / $I310</f>
        <v>0</v>
      </c>
      <c r="BX310" s="46">
        <f>-BZ310*Others!$Q$43</f>
        <v>0</v>
      </c>
      <c r="BZ310" s="50">
        <f t="shared" si="241"/>
        <v>0</v>
      </c>
      <c r="CA310" s="46">
        <f t="shared" si="284"/>
        <v>0</v>
      </c>
      <c r="CB310" s="46">
        <f t="shared" si="257"/>
        <v>0</v>
      </c>
      <c r="CD310" s="46">
        <f>SUMPRODUCT(BZ311:BZ$605, $I311:$I$605) / $I310</f>
        <v>0</v>
      </c>
      <c r="CE310" s="46">
        <f>SUMPRODUCT(CA311:CA$605, $I311:$I$605) / $I310</f>
        <v>0</v>
      </c>
      <c r="CF310" s="46">
        <f>SUMPRODUCT(CB311:CB$605, $I311:$I$605) / $I310</f>
        <v>0</v>
      </c>
      <c r="CH310" s="46">
        <f t="shared" si="258"/>
        <v>0</v>
      </c>
      <c r="CI310" s="46">
        <f t="shared" si="259"/>
        <v>0</v>
      </c>
      <c r="CK310" s="46">
        <f>NPV((1+CK$3)^(1/12)-1,$CB$6:$CB310)+$CB$5</f>
        <v>1409.6963032385702</v>
      </c>
      <c r="CL310" s="46">
        <f>NPV((1+CL$3)^(1/12)-1,$CB$6:$CB310)+$CB$5</f>
        <v>1057.2060036590874</v>
      </c>
      <c r="CM310" s="46">
        <f>NPV((1+CM$3)^(1/12)-1,$CB$6:$CB310)+$CB$5</f>
        <v>462.64886026294084</v>
      </c>
      <c r="CN310" s="46">
        <f>NPV((1+CN$3)^(1/12)-1,$CB$6:$CB310)+$CB$5</f>
        <v>462.64886026294084</v>
      </c>
    </row>
    <row r="311" spans="1:92" x14ac:dyDescent="0.25">
      <c r="A311" s="61">
        <f t="shared" si="242"/>
        <v>25.499999999999908</v>
      </c>
      <c r="B311" s="32">
        <f t="shared" si="260"/>
        <v>6</v>
      </c>
      <c r="C311" s="62">
        <f t="shared" si="261"/>
        <v>26</v>
      </c>
      <c r="D311" s="64">
        <f t="shared" si="262"/>
        <v>25.999999999999908</v>
      </c>
      <c r="E311" s="28">
        <f t="shared" si="243"/>
        <v>26</v>
      </c>
      <c r="G311" s="68">
        <f>INDEX(Others!$D$11:$E$60, MATCH(C311, Others!$A$11:$A$60, 0), MATCH(G$3, Others!$D$10:$E$10, 0))</f>
        <v>4.0690909090908889E-2</v>
      </c>
      <c r="H311" s="16">
        <f t="shared" si="285"/>
        <v>3.329265421250005E-3</v>
      </c>
      <c r="I311" s="69">
        <f t="shared" si="286"/>
        <v>0.36165552079414393</v>
      </c>
      <c r="K311" s="80" t="e">
        <f>INDEX(Mortality!$B$7:$F$32, MATCH( E311,Mortality!$A$7:$A$32, 0), MATCH( K$3,Mortality!$B$6:$F$6,0))</f>
        <v>#N/A</v>
      </c>
      <c r="L311" s="11">
        <f t="shared" si="244"/>
        <v>0</v>
      </c>
      <c r="M311" s="80">
        <f t="shared" si="263"/>
        <v>0</v>
      </c>
      <c r="N311" s="76" t="e">
        <f>INDEX(Myopia!$H:$H, MATCH(E311, Myopia!$A:$A, 0)) * Trend_Factor^(A311)</f>
        <v>#N/A</v>
      </c>
      <c r="O311" s="11">
        <f t="shared" si="245"/>
        <v>0</v>
      </c>
      <c r="P311" s="80">
        <f t="shared" si="264"/>
        <v>0</v>
      </c>
      <c r="Q311" s="76">
        <f>VLOOKUP(C311,Others!$L$10:$M$61,2)</f>
        <v>0</v>
      </c>
      <c r="R311" s="11">
        <f t="shared" si="246"/>
        <v>0</v>
      </c>
      <c r="S311" s="80">
        <f t="shared" si="265"/>
        <v>0</v>
      </c>
      <c r="T311" s="78">
        <f t="shared" si="266"/>
        <v>0</v>
      </c>
      <c r="U311" s="81">
        <f t="shared" si="267"/>
        <v>0</v>
      </c>
      <c r="V311" s="81">
        <f t="shared" si="268"/>
        <v>0</v>
      </c>
      <c r="W311" s="77">
        <f t="shared" si="247"/>
        <v>0</v>
      </c>
      <c r="X311" s="82">
        <f t="shared" si="269"/>
        <v>0</v>
      </c>
      <c r="Y311" s="82">
        <f t="shared" si="270"/>
        <v>0</v>
      </c>
      <c r="Z311" s="82">
        <f t="shared" si="271"/>
        <v>0</v>
      </c>
      <c r="AA311" s="82">
        <f t="shared" si="272"/>
        <v>0</v>
      </c>
      <c r="AC311" s="46">
        <f t="shared" si="248"/>
        <v>0</v>
      </c>
      <c r="AD311" s="15">
        <f t="shared" si="249"/>
        <v>0</v>
      </c>
      <c r="AE311" s="46">
        <f t="shared" si="273"/>
        <v>0</v>
      </c>
      <c r="AF311" s="15">
        <f t="shared" si="274"/>
        <v>0</v>
      </c>
      <c r="AG311" s="46">
        <f>SUMPRODUCT(AE312:AE$605, $I311:$I$604) / $I311</f>
        <v>0</v>
      </c>
      <c r="AI311" s="46">
        <f t="shared" si="250"/>
        <v>0</v>
      </c>
      <c r="AJ311" s="46">
        <f>IF(E311&gt;Mat_Year,0,  -SUM($AD$5:AD311))</f>
        <v>0</v>
      </c>
      <c r="AK311" s="24">
        <f t="shared" si="275"/>
        <v>0</v>
      </c>
      <c r="AL311" s="79">
        <f t="shared" si="276"/>
        <v>0</v>
      </c>
      <c r="AM311" s="24">
        <f t="shared" si="277"/>
        <v>0</v>
      </c>
      <c r="AN311" s="79">
        <f t="shared" si="278"/>
        <v>0</v>
      </c>
      <c r="AO311" s="15">
        <f t="shared" si="279"/>
        <v>0</v>
      </c>
      <c r="AP311" s="46">
        <f>SUMPRODUCT(AN312:AN$605, $I312:$I$605) / $I311</f>
        <v>0</v>
      </c>
      <c r="AR311" s="46">
        <v>0</v>
      </c>
      <c r="AS311" s="46">
        <v>0</v>
      </c>
      <c r="AT311" s="46">
        <v>0</v>
      </c>
      <c r="AU311" s="95">
        <f t="shared" si="251"/>
        <v>0</v>
      </c>
      <c r="AV311" s="47">
        <f t="shared" si="252"/>
        <v>0</v>
      </c>
      <c r="AW311" s="96">
        <f t="shared" si="287"/>
        <v>0</v>
      </c>
      <c r="AX311" s="95">
        <f t="shared" si="253"/>
        <v>0</v>
      </c>
      <c r="AY311" s="11">
        <f t="shared" si="254"/>
        <v>0</v>
      </c>
      <c r="AZ311" s="96">
        <f t="shared" si="288"/>
        <v>0</v>
      </c>
      <c r="BA311" s="95">
        <f t="shared" si="289"/>
        <v>0</v>
      </c>
      <c r="BB311" s="64">
        <f t="shared" si="290"/>
        <v>0</v>
      </c>
      <c r="BC311" s="95">
        <f t="shared" si="291"/>
        <v>0</v>
      </c>
      <c r="BD311" s="96">
        <f t="shared" si="292"/>
        <v>0</v>
      </c>
      <c r="BE311" s="96">
        <f t="shared" si="293"/>
        <v>0</v>
      </c>
      <c r="BF311" s="96">
        <f t="shared" si="294"/>
        <v>0</v>
      </c>
      <c r="BG311" s="15">
        <f t="shared" si="280"/>
        <v>0</v>
      </c>
      <c r="BH311" s="46">
        <f>(SUMPRODUCT(BE312:BE$605,$I311:$I$604)+SUMPRODUCT(BF312:BF$605,$I312:$I$605)) / $I311</f>
        <v>0</v>
      </c>
      <c r="BJ311" s="46">
        <f t="shared" si="295"/>
        <v>0</v>
      </c>
      <c r="BK311" s="46">
        <f t="shared" si="296"/>
        <v>0</v>
      </c>
      <c r="BM311" s="49">
        <f t="shared" si="281"/>
        <v>0</v>
      </c>
      <c r="BN311" s="46">
        <f t="shared" si="297"/>
        <v>0</v>
      </c>
      <c r="BP311" s="46">
        <f>Reserve!BX311</f>
        <v>0</v>
      </c>
      <c r="BQ311" s="46">
        <f t="shared" si="255"/>
        <v>0</v>
      </c>
      <c r="BR311" s="15">
        <f t="shared" si="282"/>
        <v>0</v>
      </c>
      <c r="BT311" s="49">
        <f t="shared" si="283"/>
        <v>0</v>
      </c>
      <c r="BU311" s="46">
        <f t="shared" si="256"/>
        <v>0</v>
      </c>
      <c r="BV311" s="46">
        <f>SUMPRODUCT(BU312:BU$605, $I312:$I$605) / $I311</f>
        <v>0</v>
      </c>
      <c r="BX311" s="46">
        <f>-BZ311*Others!$Q$43</f>
        <v>0</v>
      </c>
      <c r="BZ311" s="50">
        <f t="shared" si="241"/>
        <v>0</v>
      </c>
      <c r="CA311" s="46">
        <f t="shared" si="284"/>
        <v>0</v>
      </c>
      <c r="CB311" s="46">
        <f t="shared" si="257"/>
        <v>0</v>
      </c>
      <c r="CD311" s="46">
        <f>SUMPRODUCT(BZ312:BZ$605, $I312:$I$605) / $I311</f>
        <v>0</v>
      </c>
      <c r="CE311" s="46">
        <f>SUMPRODUCT(CA312:CA$605, $I312:$I$605) / $I311</f>
        <v>0</v>
      </c>
      <c r="CF311" s="46">
        <f>SUMPRODUCT(CB312:CB$605, $I312:$I$605) / $I311</f>
        <v>0</v>
      </c>
      <c r="CH311" s="46">
        <f t="shared" si="258"/>
        <v>0</v>
      </c>
      <c r="CI311" s="46">
        <f t="shared" si="259"/>
        <v>0</v>
      </c>
      <c r="CK311" s="46">
        <f>NPV((1+CK$3)^(1/12)-1,$CB$6:$CB311)+$CB$5</f>
        <v>1409.6963032385702</v>
      </c>
      <c r="CL311" s="46">
        <f>NPV((1+CL$3)^(1/12)-1,$CB$6:$CB311)+$CB$5</f>
        <v>1057.2060036590874</v>
      </c>
      <c r="CM311" s="46">
        <f>NPV((1+CM$3)^(1/12)-1,$CB$6:$CB311)+$CB$5</f>
        <v>462.64886026294084</v>
      </c>
      <c r="CN311" s="46">
        <f>NPV((1+CN$3)^(1/12)-1,$CB$6:$CB311)+$CB$5</f>
        <v>462.64886026294084</v>
      </c>
    </row>
    <row r="312" spans="1:92" x14ac:dyDescent="0.25">
      <c r="A312" s="61">
        <f t="shared" si="242"/>
        <v>25.58333333333324</v>
      </c>
      <c r="B312" s="32">
        <f t="shared" si="260"/>
        <v>7</v>
      </c>
      <c r="C312" s="62">
        <f t="shared" si="261"/>
        <v>26</v>
      </c>
      <c r="D312" s="64">
        <f t="shared" si="262"/>
        <v>26.08333333333324</v>
      </c>
      <c r="E312" s="28">
        <f t="shared" si="243"/>
        <v>26</v>
      </c>
      <c r="G312" s="68">
        <f>INDEX(Others!$D$11:$E$60, MATCH(C312, Others!$A$11:$A$60, 0), MATCH(G$3, Others!$D$10:$E$10, 0))</f>
        <v>4.0690909090908889E-2</v>
      </c>
      <c r="H312" s="16">
        <f t="shared" si="285"/>
        <v>3.329265421250005E-3</v>
      </c>
      <c r="I312" s="69">
        <f t="shared" si="286"/>
        <v>0.36045546886574875</v>
      </c>
      <c r="K312" s="80" t="e">
        <f>INDEX(Mortality!$B$7:$F$32, MATCH( E312,Mortality!$A$7:$A$32, 0), MATCH( K$3,Mortality!$B$6:$F$6,0))</f>
        <v>#N/A</v>
      </c>
      <c r="L312" s="11">
        <f t="shared" si="244"/>
        <v>0</v>
      </c>
      <c r="M312" s="80">
        <f t="shared" si="263"/>
        <v>0</v>
      </c>
      <c r="N312" s="76" t="e">
        <f>INDEX(Myopia!$H:$H, MATCH(E312, Myopia!$A:$A, 0)) * Trend_Factor^(A312)</f>
        <v>#N/A</v>
      </c>
      <c r="O312" s="11">
        <f t="shared" si="245"/>
        <v>0</v>
      </c>
      <c r="P312" s="80">
        <f t="shared" si="264"/>
        <v>0</v>
      </c>
      <c r="Q312" s="76">
        <f>VLOOKUP(C312,Others!$L$10:$M$61,2)</f>
        <v>0</v>
      </c>
      <c r="R312" s="11">
        <f t="shared" si="246"/>
        <v>0</v>
      </c>
      <c r="S312" s="80">
        <f t="shared" si="265"/>
        <v>0</v>
      </c>
      <c r="T312" s="78">
        <f t="shared" si="266"/>
        <v>0</v>
      </c>
      <c r="U312" s="81">
        <f t="shared" si="267"/>
        <v>0</v>
      </c>
      <c r="V312" s="81">
        <f t="shared" si="268"/>
        <v>0</v>
      </c>
      <c r="W312" s="77">
        <f t="shared" si="247"/>
        <v>0</v>
      </c>
      <c r="X312" s="82">
        <f t="shared" si="269"/>
        <v>0</v>
      </c>
      <c r="Y312" s="82">
        <f t="shared" si="270"/>
        <v>0</v>
      </c>
      <c r="Z312" s="82">
        <f t="shared" si="271"/>
        <v>0</v>
      </c>
      <c r="AA312" s="82">
        <f t="shared" si="272"/>
        <v>0</v>
      </c>
      <c r="AC312" s="46">
        <f t="shared" si="248"/>
        <v>0</v>
      </c>
      <c r="AD312" s="15">
        <f t="shared" si="249"/>
        <v>0</v>
      </c>
      <c r="AE312" s="46">
        <f t="shared" si="273"/>
        <v>0</v>
      </c>
      <c r="AF312" s="15">
        <f t="shared" si="274"/>
        <v>0</v>
      </c>
      <c r="AG312" s="46">
        <f>SUMPRODUCT(AE313:AE$605, $I312:$I$604) / $I312</f>
        <v>0</v>
      </c>
      <c r="AI312" s="46">
        <f t="shared" si="250"/>
        <v>0</v>
      </c>
      <c r="AJ312" s="46">
        <f>IF(E312&gt;Mat_Year,0,  -SUM($AD$5:AD312))</f>
        <v>0</v>
      </c>
      <c r="AK312" s="24">
        <f t="shared" si="275"/>
        <v>0</v>
      </c>
      <c r="AL312" s="79">
        <f t="shared" si="276"/>
        <v>0</v>
      </c>
      <c r="AM312" s="24">
        <f t="shared" si="277"/>
        <v>0</v>
      </c>
      <c r="AN312" s="79">
        <f t="shared" si="278"/>
        <v>0</v>
      </c>
      <c r="AO312" s="15">
        <f t="shared" si="279"/>
        <v>0</v>
      </c>
      <c r="AP312" s="46">
        <f>SUMPRODUCT(AN313:AN$605, $I313:$I$605) / $I312</f>
        <v>0</v>
      </c>
      <c r="AR312" s="46">
        <v>0</v>
      </c>
      <c r="AS312" s="46">
        <v>0</v>
      </c>
      <c r="AT312" s="46">
        <v>0</v>
      </c>
      <c r="AU312" s="95">
        <f t="shared" si="251"/>
        <v>0</v>
      </c>
      <c r="AV312" s="47">
        <f t="shared" si="252"/>
        <v>0</v>
      </c>
      <c r="AW312" s="96">
        <f t="shared" si="287"/>
        <v>0</v>
      </c>
      <c r="AX312" s="95">
        <f t="shared" si="253"/>
        <v>0</v>
      </c>
      <c r="AY312" s="11">
        <f t="shared" si="254"/>
        <v>0</v>
      </c>
      <c r="AZ312" s="96">
        <f t="shared" si="288"/>
        <v>0</v>
      </c>
      <c r="BA312" s="95">
        <f t="shared" si="289"/>
        <v>0</v>
      </c>
      <c r="BB312" s="64">
        <f t="shared" si="290"/>
        <v>0</v>
      </c>
      <c r="BC312" s="95">
        <f t="shared" si="291"/>
        <v>0</v>
      </c>
      <c r="BD312" s="96">
        <f t="shared" si="292"/>
        <v>0</v>
      </c>
      <c r="BE312" s="96">
        <f t="shared" si="293"/>
        <v>0</v>
      </c>
      <c r="BF312" s="96">
        <f t="shared" si="294"/>
        <v>0</v>
      </c>
      <c r="BG312" s="15">
        <f t="shared" si="280"/>
        <v>0</v>
      </c>
      <c r="BH312" s="46">
        <f>(SUMPRODUCT(BE313:BE$605,$I312:$I$604)+SUMPRODUCT(BF313:BF$605,$I313:$I$605)) / $I312</f>
        <v>0</v>
      </c>
      <c r="BJ312" s="46">
        <f t="shared" si="295"/>
        <v>0</v>
      </c>
      <c r="BK312" s="46">
        <f t="shared" si="296"/>
        <v>0</v>
      </c>
      <c r="BM312" s="49">
        <f t="shared" si="281"/>
        <v>0</v>
      </c>
      <c r="BN312" s="46">
        <f t="shared" si="297"/>
        <v>0</v>
      </c>
      <c r="BP312" s="46">
        <f>Reserve!BX312</f>
        <v>0</v>
      </c>
      <c r="BQ312" s="46">
        <f t="shared" si="255"/>
        <v>0</v>
      </c>
      <c r="BR312" s="15">
        <f t="shared" si="282"/>
        <v>0</v>
      </c>
      <c r="BT312" s="49">
        <f t="shared" si="283"/>
        <v>0</v>
      </c>
      <c r="BU312" s="46">
        <f t="shared" si="256"/>
        <v>0</v>
      </c>
      <c r="BV312" s="46">
        <f>SUMPRODUCT(BU313:BU$605, $I313:$I$605) / $I312</f>
        <v>0</v>
      </c>
      <c r="BX312" s="46">
        <f>-BZ312*Others!$Q$43</f>
        <v>0</v>
      </c>
      <c r="BZ312" s="50">
        <f t="shared" si="241"/>
        <v>0</v>
      </c>
      <c r="CA312" s="46">
        <f t="shared" si="284"/>
        <v>0</v>
      </c>
      <c r="CB312" s="46">
        <f t="shared" si="257"/>
        <v>0</v>
      </c>
      <c r="CD312" s="46">
        <f>SUMPRODUCT(BZ313:BZ$605, $I313:$I$605) / $I312</f>
        <v>0</v>
      </c>
      <c r="CE312" s="46">
        <f>SUMPRODUCT(CA313:CA$605, $I313:$I$605) / $I312</f>
        <v>0</v>
      </c>
      <c r="CF312" s="46">
        <f>SUMPRODUCT(CB313:CB$605, $I313:$I$605) / $I312</f>
        <v>0</v>
      </c>
      <c r="CH312" s="46">
        <f t="shared" si="258"/>
        <v>0</v>
      </c>
      <c r="CI312" s="46">
        <f t="shared" si="259"/>
        <v>0</v>
      </c>
      <c r="CK312" s="46">
        <f>NPV((1+CK$3)^(1/12)-1,$CB$6:$CB312)+$CB$5</f>
        <v>1409.6963032385702</v>
      </c>
      <c r="CL312" s="46">
        <f>NPV((1+CL$3)^(1/12)-1,$CB$6:$CB312)+$CB$5</f>
        <v>1057.2060036590874</v>
      </c>
      <c r="CM312" s="46">
        <f>NPV((1+CM$3)^(1/12)-1,$CB$6:$CB312)+$CB$5</f>
        <v>462.64886026294084</v>
      </c>
      <c r="CN312" s="46">
        <f>NPV((1+CN$3)^(1/12)-1,$CB$6:$CB312)+$CB$5</f>
        <v>462.64886026294084</v>
      </c>
    </row>
    <row r="313" spans="1:92" x14ac:dyDescent="0.25">
      <c r="A313" s="61">
        <f t="shared" si="242"/>
        <v>25.666666666666572</v>
      </c>
      <c r="B313" s="32">
        <f t="shared" si="260"/>
        <v>8</v>
      </c>
      <c r="C313" s="62">
        <f t="shared" si="261"/>
        <v>26</v>
      </c>
      <c r="D313" s="64">
        <f t="shared" si="262"/>
        <v>26.166666666666572</v>
      </c>
      <c r="E313" s="28">
        <f t="shared" si="243"/>
        <v>26</v>
      </c>
      <c r="G313" s="68">
        <f>INDEX(Others!$D$11:$E$60, MATCH(C313, Others!$A$11:$A$60, 0), MATCH(G$3, Others!$D$10:$E$10, 0))</f>
        <v>4.0690909090908889E-2</v>
      </c>
      <c r="H313" s="16">
        <f t="shared" si="285"/>
        <v>3.329265421250005E-3</v>
      </c>
      <c r="I313" s="69">
        <f t="shared" si="286"/>
        <v>0.35925939897149389</v>
      </c>
      <c r="K313" s="80" t="e">
        <f>INDEX(Mortality!$B$7:$F$32, MATCH( E313,Mortality!$A$7:$A$32, 0), MATCH( K$3,Mortality!$B$6:$F$6,0))</f>
        <v>#N/A</v>
      </c>
      <c r="L313" s="11">
        <f t="shared" si="244"/>
        <v>0</v>
      </c>
      <c r="M313" s="80">
        <f t="shared" si="263"/>
        <v>0</v>
      </c>
      <c r="N313" s="76" t="e">
        <f>INDEX(Myopia!$H:$H, MATCH(E313, Myopia!$A:$A, 0)) * Trend_Factor^(A313)</f>
        <v>#N/A</v>
      </c>
      <c r="O313" s="11">
        <f t="shared" si="245"/>
        <v>0</v>
      </c>
      <c r="P313" s="80">
        <f t="shared" si="264"/>
        <v>0</v>
      </c>
      <c r="Q313" s="76">
        <f>VLOOKUP(C313,Others!$L$10:$M$61,2)</f>
        <v>0</v>
      </c>
      <c r="R313" s="11">
        <f t="shared" si="246"/>
        <v>0</v>
      </c>
      <c r="S313" s="80">
        <f t="shared" si="265"/>
        <v>0</v>
      </c>
      <c r="T313" s="78">
        <f t="shared" si="266"/>
        <v>0</v>
      </c>
      <c r="U313" s="81">
        <f t="shared" si="267"/>
        <v>0</v>
      </c>
      <c r="V313" s="81">
        <f t="shared" si="268"/>
        <v>0</v>
      </c>
      <c r="W313" s="77">
        <f t="shared" si="247"/>
        <v>0</v>
      </c>
      <c r="X313" s="82">
        <f t="shared" si="269"/>
        <v>0</v>
      </c>
      <c r="Y313" s="82">
        <f t="shared" si="270"/>
        <v>0</v>
      </c>
      <c r="Z313" s="82">
        <f t="shared" si="271"/>
        <v>0</v>
      </c>
      <c r="AA313" s="82">
        <f t="shared" si="272"/>
        <v>0</v>
      </c>
      <c r="AC313" s="46">
        <f t="shared" si="248"/>
        <v>0</v>
      </c>
      <c r="AD313" s="15">
        <f t="shared" si="249"/>
        <v>0</v>
      </c>
      <c r="AE313" s="46">
        <f t="shared" si="273"/>
        <v>0</v>
      </c>
      <c r="AF313" s="15">
        <f t="shared" si="274"/>
        <v>0</v>
      </c>
      <c r="AG313" s="46">
        <f>SUMPRODUCT(AE314:AE$605, $I313:$I$604) / $I313</f>
        <v>0</v>
      </c>
      <c r="AI313" s="46">
        <f t="shared" si="250"/>
        <v>0</v>
      </c>
      <c r="AJ313" s="46">
        <f>IF(E313&gt;Mat_Year,0,  -SUM($AD$5:AD313))</f>
        <v>0</v>
      </c>
      <c r="AK313" s="24">
        <f t="shared" si="275"/>
        <v>0</v>
      </c>
      <c r="AL313" s="79">
        <f t="shared" si="276"/>
        <v>0</v>
      </c>
      <c r="AM313" s="24">
        <f t="shared" si="277"/>
        <v>0</v>
      </c>
      <c r="AN313" s="79">
        <f t="shared" si="278"/>
        <v>0</v>
      </c>
      <c r="AO313" s="15">
        <f t="shared" si="279"/>
        <v>0</v>
      </c>
      <c r="AP313" s="46">
        <f>SUMPRODUCT(AN314:AN$605, $I314:$I$605) / $I313</f>
        <v>0</v>
      </c>
      <c r="AR313" s="46">
        <v>0</v>
      </c>
      <c r="AS313" s="46">
        <v>0</v>
      </c>
      <c r="AT313" s="46">
        <v>0</v>
      </c>
      <c r="AU313" s="95">
        <f t="shared" si="251"/>
        <v>0</v>
      </c>
      <c r="AV313" s="47">
        <f t="shared" si="252"/>
        <v>0</v>
      </c>
      <c r="AW313" s="96">
        <f t="shared" si="287"/>
        <v>0</v>
      </c>
      <c r="AX313" s="95">
        <f t="shared" si="253"/>
        <v>0</v>
      </c>
      <c r="AY313" s="11">
        <f t="shared" si="254"/>
        <v>0</v>
      </c>
      <c r="AZ313" s="96">
        <f t="shared" si="288"/>
        <v>0</v>
      </c>
      <c r="BA313" s="95">
        <f t="shared" si="289"/>
        <v>0</v>
      </c>
      <c r="BB313" s="64">
        <f t="shared" si="290"/>
        <v>0</v>
      </c>
      <c r="BC313" s="95">
        <f t="shared" si="291"/>
        <v>0</v>
      </c>
      <c r="BD313" s="96">
        <f t="shared" si="292"/>
        <v>0</v>
      </c>
      <c r="BE313" s="96">
        <f t="shared" si="293"/>
        <v>0</v>
      </c>
      <c r="BF313" s="96">
        <f t="shared" si="294"/>
        <v>0</v>
      </c>
      <c r="BG313" s="15">
        <f t="shared" si="280"/>
        <v>0</v>
      </c>
      <c r="BH313" s="46">
        <f>(SUMPRODUCT(BE314:BE$605,$I313:$I$604)+SUMPRODUCT(BF314:BF$605,$I314:$I$605)) / $I313</f>
        <v>0</v>
      </c>
      <c r="BJ313" s="46">
        <f t="shared" si="295"/>
        <v>0</v>
      </c>
      <c r="BK313" s="46">
        <f t="shared" si="296"/>
        <v>0</v>
      </c>
      <c r="BM313" s="49">
        <f t="shared" si="281"/>
        <v>0</v>
      </c>
      <c r="BN313" s="46">
        <f t="shared" si="297"/>
        <v>0</v>
      </c>
      <c r="BP313" s="46">
        <f>Reserve!BX313</f>
        <v>0</v>
      </c>
      <c r="BQ313" s="46">
        <f t="shared" si="255"/>
        <v>0</v>
      </c>
      <c r="BR313" s="15">
        <f t="shared" si="282"/>
        <v>0</v>
      </c>
      <c r="BT313" s="49">
        <f t="shared" si="283"/>
        <v>0</v>
      </c>
      <c r="BU313" s="46">
        <f t="shared" si="256"/>
        <v>0</v>
      </c>
      <c r="BV313" s="46">
        <f>SUMPRODUCT(BU314:BU$605, $I314:$I$605) / $I313</f>
        <v>0</v>
      </c>
      <c r="BX313" s="46">
        <f>-BZ313*Others!$Q$43</f>
        <v>0</v>
      </c>
      <c r="BZ313" s="50">
        <f t="shared" si="241"/>
        <v>0</v>
      </c>
      <c r="CA313" s="46">
        <f t="shared" si="284"/>
        <v>0</v>
      </c>
      <c r="CB313" s="46">
        <f t="shared" si="257"/>
        <v>0</v>
      </c>
      <c r="CD313" s="46">
        <f>SUMPRODUCT(BZ314:BZ$605, $I314:$I$605) / $I313</f>
        <v>0</v>
      </c>
      <c r="CE313" s="46">
        <f>SUMPRODUCT(CA314:CA$605, $I314:$I$605) / $I313</f>
        <v>0</v>
      </c>
      <c r="CF313" s="46">
        <f>SUMPRODUCT(CB314:CB$605, $I314:$I$605) / $I313</f>
        <v>0</v>
      </c>
      <c r="CH313" s="46">
        <f t="shared" si="258"/>
        <v>0</v>
      </c>
      <c r="CI313" s="46">
        <f t="shared" si="259"/>
        <v>0</v>
      </c>
      <c r="CK313" s="46">
        <f>NPV((1+CK$3)^(1/12)-1,$CB$6:$CB313)+$CB$5</f>
        <v>1409.6963032385702</v>
      </c>
      <c r="CL313" s="46">
        <f>NPV((1+CL$3)^(1/12)-1,$CB$6:$CB313)+$CB$5</f>
        <v>1057.2060036590874</v>
      </c>
      <c r="CM313" s="46">
        <f>NPV((1+CM$3)^(1/12)-1,$CB$6:$CB313)+$CB$5</f>
        <v>462.64886026294084</v>
      </c>
      <c r="CN313" s="46">
        <f>NPV((1+CN$3)^(1/12)-1,$CB$6:$CB313)+$CB$5</f>
        <v>462.64886026294084</v>
      </c>
    </row>
    <row r="314" spans="1:92" x14ac:dyDescent="0.25">
      <c r="A314" s="61">
        <f t="shared" si="242"/>
        <v>25.749999999999904</v>
      </c>
      <c r="B314" s="32">
        <f t="shared" si="260"/>
        <v>9</v>
      </c>
      <c r="C314" s="62">
        <f t="shared" si="261"/>
        <v>26</v>
      </c>
      <c r="D314" s="64">
        <f t="shared" si="262"/>
        <v>26.249999999999904</v>
      </c>
      <c r="E314" s="28">
        <f t="shared" si="243"/>
        <v>26</v>
      </c>
      <c r="G314" s="68">
        <f>INDEX(Others!$D$11:$E$60, MATCH(C314, Others!$A$11:$A$60, 0), MATCH(G$3, Others!$D$10:$E$10, 0))</f>
        <v>4.0690909090908889E-2</v>
      </c>
      <c r="H314" s="16">
        <f t="shared" si="285"/>
        <v>3.329265421250005E-3</v>
      </c>
      <c r="I314" s="69">
        <f t="shared" si="286"/>
        <v>0.35806729789812125</v>
      </c>
      <c r="K314" s="80" t="e">
        <f>INDEX(Mortality!$B$7:$F$32, MATCH( E314,Mortality!$A$7:$A$32, 0), MATCH( K$3,Mortality!$B$6:$F$6,0))</f>
        <v>#N/A</v>
      </c>
      <c r="L314" s="11">
        <f t="shared" si="244"/>
        <v>0</v>
      </c>
      <c r="M314" s="80">
        <f t="shared" si="263"/>
        <v>0</v>
      </c>
      <c r="N314" s="76" t="e">
        <f>INDEX(Myopia!$H:$H, MATCH(E314, Myopia!$A:$A, 0)) * Trend_Factor^(A314)</f>
        <v>#N/A</v>
      </c>
      <c r="O314" s="11">
        <f t="shared" si="245"/>
        <v>0</v>
      </c>
      <c r="P314" s="80">
        <f t="shared" si="264"/>
        <v>0</v>
      </c>
      <c r="Q314" s="76">
        <f>VLOOKUP(C314,Others!$L$10:$M$61,2)</f>
        <v>0</v>
      </c>
      <c r="R314" s="11">
        <f t="shared" si="246"/>
        <v>0</v>
      </c>
      <c r="S314" s="80">
        <f t="shared" si="265"/>
        <v>0</v>
      </c>
      <c r="T314" s="78">
        <f t="shared" si="266"/>
        <v>0</v>
      </c>
      <c r="U314" s="81">
        <f t="shared" si="267"/>
        <v>0</v>
      </c>
      <c r="V314" s="81">
        <f t="shared" si="268"/>
        <v>0</v>
      </c>
      <c r="W314" s="77">
        <f t="shared" si="247"/>
        <v>0</v>
      </c>
      <c r="X314" s="82">
        <f t="shared" si="269"/>
        <v>0</v>
      </c>
      <c r="Y314" s="82">
        <f t="shared" si="270"/>
        <v>0</v>
      </c>
      <c r="Z314" s="82">
        <f t="shared" si="271"/>
        <v>0</v>
      </c>
      <c r="AA314" s="82">
        <f t="shared" si="272"/>
        <v>0</v>
      </c>
      <c r="AC314" s="46">
        <f t="shared" si="248"/>
        <v>0</v>
      </c>
      <c r="AD314" s="15">
        <f t="shared" si="249"/>
        <v>0</v>
      </c>
      <c r="AE314" s="46">
        <f t="shared" si="273"/>
        <v>0</v>
      </c>
      <c r="AF314" s="15">
        <f t="shared" si="274"/>
        <v>0</v>
      </c>
      <c r="AG314" s="46">
        <f>SUMPRODUCT(AE315:AE$605, $I314:$I$604) / $I314</f>
        <v>0</v>
      </c>
      <c r="AI314" s="46">
        <f t="shared" si="250"/>
        <v>0</v>
      </c>
      <c r="AJ314" s="46">
        <f>IF(E314&gt;Mat_Year,0,  -SUM($AD$5:AD314))</f>
        <v>0</v>
      </c>
      <c r="AK314" s="24">
        <f t="shared" si="275"/>
        <v>0</v>
      </c>
      <c r="AL314" s="79">
        <f t="shared" si="276"/>
        <v>0</v>
      </c>
      <c r="AM314" s="24">
        <f t="shared" si="277"/>
        <v>0</v>
      </c>
      <c r="AN314" s="79">
        <f t="shared" si="278"/>
        <v>0</v>
      </c>
      <c r="AO314" s="15">
        <f t="shared" si="279"/>
        <v>0</v>
      </c>
      <c r="AP314" s="46">
        <f>SUMPRODUCT(AN315:AN$605, $I315:$I$605) / $I314</f>
        <v>0</v>
      </c>
      <c r="AR314" s="46">
        <v>0</v>
      </c>
      <c r="AS314" s="46">
        <v>0</v>
      </c>
      <c r="AT314" s="46">
        <v>0</v>
      </c>
      <c r="AU314" s="95">
        <f t="shared" si="251"/>
        <v>0</v>
      </c>
      <c r="AV314" s="47">
        <f t="shared" si="252"/>
        <v>0</v>
      </c>
      <c r="AW314" s="96">
        <f t="shared" si="287"/>
        <v>0</v>
      </c>
      <c r="AX314" s="95">
        <f t="shared" si="253"/>
        <v>0</v>
      </c>
      <c r="AY314" s="11">
        <f t="shared" si="254"/>
        <v>0</v>
      </c>
      <c r="AZ314" s="96">
        <f t="shared" si="288"/>
        <v>0</v>
      </c>
      <c r="BA314" s="95">
        <f t="shared" si="289"/>
        <v>0</v>
      </c>
      <c r="BB314" s="64">
        <f t="shared" si="290"/>
        <v>0</v>
      </c>
      <c r="BC314" s="95">
        <f t="shared" si="291"/>
        <v>0</v>
      </c>
      <c r="BD314" s="96">
        <f t="shared" si="292"/>
        <v>0</v>
      </c>
      <c r="BE314" s="96">
        <f t="shared" si="293"/>
        <v>0</v>
      </c>
      <c r="BF314" s="96">
        <f t="shared" si="294"/>
        <v>0</v>
      </c>
      <c r="BG314" s="15">
        <f t="shared" si="280"/>
        <v>0</v>
      </c>
      <c r="BH314" s="46">
        <f>(SUMPRODUCT(BE315:BE$605,$I314:$I$604)+SUMPRODUCT(BF315:BF$605,$I315:$I$605)) / $I314</f>
        <v>0</v>
      </c>
      <c r="BJ314" s="46">
        <f t="shared" si="295"/>
        <v>0</v>
      </c>
      <c r="BK314" s="46">
        <f t="shared" si="296"/>
        <v>0</v>
      </c>
      <c r="BM314" s="49">
        <f t="shared" si="281"/>
        <v>0</v>
      </c>
      <c r="BN314" s="46">
        <f t="shared" si="297"/>
        <v>0</v>
      </c>
      <c r="BP314" s="46">
        <f>Reserve!BX314</f>
        <v>0</v>
      </c>
      <c r="BQ314" s="46">
        <f t="shared" si="255"/>
        <v>0</v>
      </c>
      <c r="BR314" s="15">
        <f t="shared" si="282"/>
        <v>0</v>
      </c>
      <c r="BT314" s="49">
        <f t="shared" si="283"/>
        <v>0</v>
      </c>
      <c r="BU314" s="46">
        <f t="shared" si="256"/>
        <v>0</v>
      </c>
      <c r="BV314" s="46">
        <f>SUMPRODUCT(BU315:BU$605, $I315:$I$605) / $I314</f>
        <v>0</v>
      </c>
      <c r="BX314" s="46">
        <f>-BZ314*Others!$Q$43</f>
        <v>0</v>
      </c>
      <c r="BZ314" s="50">
        <f t="shared" si="241"/>
        <v>0</v>
      </c>
      <c r="CA314" s="46">
        <f t="shared" si="284"/>
        <v>0</v>
      </c>
      <c r="CB314" s="46">
        <f t="shared" si="257"/>
        <v>0</v>
      </c>
      <c r="CD314" s="46">
        <f>SUMPRODUCT(BZ315:BZ$605, $I315:$I$605) / $I314</f>
        <v>0</v>
      </c>
      <c r="CE314" s="46">
        <f>SUMPRODUCT(CA315:CA$605, $I315:$I$605) / $I314</f>
        <v>0</v>
      </c>
      <c r="CF314" s="46">
        <f>SUMPRODUCT(CB315:CB$605, $I315:$I$605) / $I314</f>
        <v>0</v>
      </c>
      <c r="CH314" s="46">
        <f t="shared" si="258"/>
        <v>0</v>
      </c>
      <c r="CI314" s="46">
        <f t="shared" si="259"/>
        <v>0</v>
      </c>
      <c r="CK314" s="46">
        <f>NPV((1+CK$3)^(1/12)-1,$CB$6:$CB314)+$CB$5</f>
        <v>1409.6963032385702</v>
      </c>
      <c r="CL314" s="46">
        <f>NPV((1+CL$3)^(1/12)-1,$CB$6:$CB314)+$CB$5</f>
        <v>1057.2060036590874</v>
      </c>
      <c r="CM314" s="46">
        <f>NPV((1+CM$3)^(1/12)-1,$CB$6:$CB314)+$CB$5</f>
        <v>462.64886026294084</v>
      </c>
      <c r="CN314" s="46">
        <f>NPV((1+CN$3)^(1/12)-1,$CB$6:$CB314)+$CB$5</f>
        <v>462.64886026294084</v>
      </c>
    </row>
    <row r="315" spans="1:92" x14ac:dyDescent="0.25">
      <c r="A315" s="61">
        <f t="shared" si="242"/>
        <v>25.833333333333236</v>
      </c>
      <c r="B315" s="32">
        <f t="shared" si="260"/>
        <v>10</v>
      </c>
      <c r="C315" s="62">
        <f t="shared" si="261"/>
        <v>26</v>
      </c>
      <c r="D315" s="64">
        <f t="shared" si="262"/>
        <v>26.333333333333236</v>
      </c>
      <c r="E315" s="28">
        <f t="shared" si="243"/>
        <v>26</v>
      </c>
      <c r="G315" s="68">
        <f>INDEX(Others!$D$11:$E$60, MATCH(C315, Others!$A$11:$A$60, 0), MATCH(G$3, Others!$D$10:$E$10, 0))</f>
        <v>4.0690909090908889E-2</v>
      </c>
      <c r="H315" s="16">
        <f t="shared" si="285"/>
        <v>3.329265421250005E-3</v>
      </c>
      <c r="I315" s="69">
        <f t="shared" si="286"/>
        <v>0.35687915247621715</v>
      </c>
      <c r="K315" s="80" t="e">
        <f>INDEX(Mortality!$B$7:$F$32, MATCH( E315,Mortality!$A$7:$A$32, 0), MATCH( K$3,Mortality!$B$6:$F$6,0))</f>
        <v>#N/A</v>
      </c>
      <c r="L315" s="11">
        <f t="shared" si="244"/>
        <v>0</v>
      </c>
      <c r="M315" s="80">
        <f t="shared" si="263"/>
        <v>0</v>
      </c>
      <c r="N315" s="76" t="e">
        <f>INDEX(Myopia!$H:$H, MATCH(E315, Myopia!$A:$A, 0)) * Trend_Factor^(A315)</f>
        <v>#N/A</v>
      </c>
      <c r="O315" s="11">
        <f t="shared" si="245"/>
        <v>0</v>
      </c>
      <c r="P315" s="80">
        <f t="shared" si="264"/>
        <v>0</v>
      </c>
      <c r="Q315" s="76">
        <f>VLOOKUP(C315,Others!$L$10:$M$61,2)</f>
        <v>0</v>
      </c>
      <c r="R315" s="11">
        <f t="shared" si="246"/>
        <v>0</v>
      </c>
      <c r="S315" s="80">
        <f t="shared" si="265"/>
        <v>0</v>
      </c>
      <c r="T315" s="78">
        <f t="shared" si="266"/>
        <v>0</v>
      </c>
      <c r="U315" s="81">
        <f t="shared" si="267"/>
        <v>0</v>
      </c>
      <c r="V315" s="81">
        <f t="shared" si="268"/>
        <v>0</v>
      </c>
      <c r="W315" s="77">
        <f t="shared" si="247"/>
        <v>0</v>
      </c>
      <c r="X315" s="82">
        <f t="shared" si="269"/>
        <v>0</v>
      </c>
      <c r="Y315" s="82">
        <f t="shared" si="270"/>
        <v>0</v>
      </c>
      <c r="Z315" s="82">
        <f t="shared" si="271"/>
        <v>0</v>
      </c>
      <c r="AA315" s="82">
        <f t="shared" si="272"/>
        <v>0</v>
      </c>
      <c r="AC315" s="46">
        <f t="shared" si="248"/>
        <v>0</v>
      </c>
      <c r="AD315" s="15">
        <f t="shared" si="249"/>
        <v>0</v>
      </c>
      <c r="AE315" s="46">
        <f t="shared" si="273"/>
        <v>0</v>
      </c>
      <c r="AF315" s="15">
        <f t="shared" si="274"/>
        <v>0</v>
      </c>
      <c r="AG315" s="46">
        <f>SUMPRODUCT(AE316:AE$605, $I315:$I$604) / $I315</f>
        <v>0</v>
      </c>
      <c r="AI315" s="46">
        <f t="shared" si="250"/>
        <v>0</v>
      </c>
      <c r="AJ315" s="46">
        <f>IF(E315&gt;Mat_Year,0,  -SUM($AD$5:AD315))</f>
        <v>0</v>
      </c>
      <c r="AK315" s="24">
        <f t="shared" si="275"/>
        <v>0</v>
      </c>
      <c r="AL315" s="79">
        <f t="shared" si="276"/>
        <v>0</v>
      </c>
      <c r="AM315" s="24">
        <f t="shared" si="277"/>
        <v>0</v>
      </c>
      <c r="AN315" s="79">
        <f t="shared" si="278"/>
        <v>0</v>
      </c>
      <c r="AO315" s="15">
        <f t="shared" si="279"/>
        <v>0</v>
      </c>
      <c r="AP315" s="46">
        <f>SUMPRODUCT(AN316:AN$605, $I316:$I$605) / $I315</f>
        <v>0</v>
      </c>
      <c r="AR315" s="46">
        <v>0</v>
      </c>
      <c r="AS315" s="46">
        <v>0</v>
      </c>
      <c r="AT315" s="46">
        <v>0</v>
      </c>
      <c r="AU315" s="95">
        <f t="shared" si="251"/>
        <v>0</v>
      </c>
      <c r="AV315" s="47">
        <f t="shared" si="252"/>
        <v>0</v>
      </c>
      <c r="AW315" s="96">
        <f t="shared" si="287"/>
        <v>0</v>
      </c>
      <c r="AX315" s="95">
        <f t="shared" si="253"/>
        <v>0</v>
      </c>
      <c r="AY315" s="11">
        <f t="shared" si="254"/>
        <v>0</v>
      </c>
      <c r="AZ315" s="96">
        <f t="shared" si="288"/>
        <v>0</v>
      </c>
      <c r="BA315" s="95">
        <f t="shared" si="289"/>
        <v>0</v>
      </c>
      <c r="BB315" s="64">
        <f t="shared" si="290"/>
        <v>0</v>
      </c>
      <c r="BC315" s="95">
        <f t="shared" si="291"/>
        <v>0</v>
      </c>
      <c r="BD315" s="96">
        <f t="shared" si="292"/>
        <v>0</v>
      </c>
      <c r="BE315" s="96">
        <f t="shared" si="293"/>
        <v>0</v>
      </c>
      <c r="BF315" s="96">
        <f t="shared" si="294"/>
        <v>0</v>
      </c>
      <c r="BG315" s="15">
        <f t="shared" si="280"/>
        <v>0</v>
      </c>
      <c r="BH315" s="46">
        <f>(SUMPRODUCT(BE316:BE$605,$I315:$I$604)+SUMPRODUCT(BF316:BF$605,$I316:$I$605)) / $I315</f>
        <v>0</v>
      </c>
      <c r="BJ315" s="46">
        <f t="shared" si="295"/>
        <v>0</v>
      </c>
      <c r="BK315" s="46">
        <f t="shared" si="296"/>
        <v>0</v>
      </c>
      <c r="BM315" s="49">
        <f t="shared" si="281"/>
        <v>0</v>
      </c>
      <c r="BN315" s="46">
        <f t="shared" si="297"/>
        <v>0</v>
      </c>
      <c r="BP315" s="46">
        <f>Reserve!BX315</f>
        <v>0</v>
      </c>
      <c r="BQ315" s="46">
        <f t="shared" si="255"/>
        <v>0</v>
      </c>
      <c r="BR315" s="15">
        <f t="shared" si="282"/>
        <v>0</v>
      </c>
      <c r="BT315" s="49">
        <f t="shared" si="283"/>
        <v>0</v>
      </c>
      <c r="BU315" s="46">
        <f t="shared" si="256"/>
        <v>0</v>
      </c>
      <c r="BV315" s="46">
        <f>SUMPRODUCT(BU316:BU$605, $I316:$I$605) / $I315</f>
        <v>0</v>
      </c>
      <c r="BX315" s="46">
        <f>-BZ315*Others!$Q$43</f>
        <v>0</v>
      </c>
      <c r="BZ315" s="50">
        <f t="shared" si="241"/>
        <v>0</v>
      </c>
      <c r="CA315" s="46">
        <f t="shared" si="284"/>
        <v>0</v>
      </c>
      <c r="CB315" s="46">
        <f t="shared" si="257"/>
        <v>0</v>
      </c>
      <c r="CD315" s="46">
        <f>SUMPRODUCT(BZ316:BZ$605, $I316:$I$605) / $I315</f>
        <v>0</v>
      </c>
      <c r="CE315" s="46">
        <f>SUMPRODUCT(CA316:CA$605, $I316:$I$605) / $I315</f>
        <v>0</v>
      </c>
      <c r="CF315" s="46">
        <f>SUMPRODUCT(CB316:CB$605, $I316:$I$605) / $I315</f>
        <v>0</v>
      </c>
      <c r="CH315" s="46">
        <f t="shared" si="258"/>
        <v>0</v>
      </c>
      <c r="CI315" s="46">
        <f t="shared" si="259"/>
        <v>0</v>
      </c>
      <c r="CK315" s="46">
        <f>NPV((1+CK$3)^(1/12)-1,$CB$6:$CB315)+$CB$5</f>
        <v>1409.6963032385702</v>
      </c>
      <c r="CL315" s="46">
        <f>NPV((1+CL$3)^(1/12)-1,$CB$6:$CB315)+$CB$5</f>
        <v>1057.2060036590874</v>
      </c>
      <c r="CM315" s="46">
        <f>NPV((1+CM$3)^(1/12)-1,$CB$6:$CB315)+$CB$5</f>
        <v>462.64886026294084</v>
      </c>
      <c r="CN315" s="46">
        <f>NPV((1+CN$3)^(1/12)-1,$CB$6:$CB315)+$CB$5</f>
        <v>462.64886026294084</v>
      </c>
    </row>
    <row r="316" spans="1:92" x14ac:dyDescent="0.25">
      <c r="A316" s="61">
        <f t="shared" si="242"/>
        <v>25.916666666666568</v>
      </c>
      <c r="B316" s="32">
        <f t="shared" si="260"/>
        <v>11</v>
      </c>
      <c r="C316" s="62">
        <f t="shared" si="261"/>
        <v>26</v>
      </c>
      <c r="D316" s="64">
        <f t="shared" si="262"/>
        <v>26.416666666666568</v>
      </c>
      <c r="E316" s="28">
        <f t="shared" si="243"/>
        <v>26</v>
      </c>
      <c r="G316" s="68">
        <f>INDEX(Others!$D$11:$E$60, MATCH(C316, Others!$A$11:$A$60, 0), MATCH(G$3, Others!$D$10:$E$10, 0))</f>
        <v>4.0690909090908889E-2</v>
      </c>
      <c r="H316" s="16">
        <f t="shared" si="285"/>
        <v>3.329265421250005E-3</v>
      </c>
      <c r="I316" s="69">
        <f t="shared" si="286"/>
        <v>0.35569494958006698</v>
      </c>
      <c r="K316" s="80" t="e">
        <f>INDEX(Mortality!$B$7:$F$32, MATCH( E316,Mortality!$A$7:$A$32, 0), MATCH( K$3,Mortality!$B$6:$F$6,0))</f>
        <v>#N/A</v>
      </c>
      <c r="L316" s="11">
        <f t="shared" si="244"/>
        <v>0</v>
      </c>
      <c r="M316" s="80">
        <f t="shared" si="263"/>
        <v>0</v>
      </c>
      <c r="N316" s="76" t="e">
        <f>INDEX(Myopia!$H:$H, MATCH(E316, Myopia!$A:$A, 0)) * Trend_Factor^(A316)</f>
        <v>#N/A</v>
      </c>
      <c r="O316" s="11">
        <f t="shared" si="245"/>
        <v>0</v>
      </c>
      <c r="P316" s="80">
        <f t="shared" si="264"/>
        <v>0</v>
      </c>
      <c r="Q316" s="76">
        <f>VLOOKUP(C316,Others!$L$10:$M$61,2)</f>
        <v>0</v>
      </c>
      <c r="R316" s="11">
        <f t="shared" si="246"/>
        <v>0</v>
      </c>
      <c r="S316" s="80">
        <f t="shared" si="265"/>
        <v>0</v>
      </c>
      <c r="T316" s="78">
        <f t="shared" si="266"/>
        <v>0</v>
      </c>
      <c r="U316" s="81">
        <f t="shared" si="267"/>
        <v>0</v>
      </c>
      <c r="V316" s="81">
        <f t="shared" si="268"/>
        <v>0</v>
      </c>
      <c r="W316" s="77">
        <f t="shared" si="247"/>
        <v>0</v>
      </c>
      <c r="X316" s="82">
        <f t="shared" si="269"/>
        <v>0</v>
      </c>
      <c r="Y316" s="82">
        <f t="shared" si="270"/>
        <v>0</v>
      </c>
      <c r="Z316" s="82">
        <f t="shared" si="271"/>
        <v>0</v>
      </c>
      <c r="AA316" s="82">
        <f t="shared" si="272"/>
        <v>0</v>
      </c>
      <c r="AC316" s="46">
        <f t="shared" si="248"/>
        <v>0</v>
      </c>
      <c r="AD316" s="15">
        <f t="shared" si="249"/>
        <v>0</v>
      </c>
      <c r="AE316" s="46">
        <f t="shared" si="273"/>
        <v>0</v>
      </c>
      <c r="AF316" s="15">
        <f t="shared" si="274"/>
        <v>0</v>
      </c>
      <c r="AG316" s="46">
        <f>SUMPRODUCT(AE317:AE$605, $I316:$I$604) / $I316</f>
        <v>0</v>
      </c>
      <c r="AI316" s="46">
        <f t="shared" si="250"/>
        <v>0</v>
      </c>
      <c r="AJ316" s="46">
        <f>IF(E316&gt;Mat_Year,0,  -SUM($AD$5:AD316))</f>
        <v>0</v>
      </c>
      <c r="AK316" s="24">
        <f t="shared" si="275"/>
        <v>0</v>
      </c>
      <c r="AL316" s="79">
        <f t="shared" si="276"/>
        <v>0</v>
      </c>
      <c r="AM316" s="24">
        <f t="shared" si="277"/>
        <v>0</v>
      </c>
      <c r="AN316" s="79">
        <f t="shared" si="278"/>
        <v>0</v>
      </c>
      <c r="AO316" s="15">
        <f t="shared" si="279"/>
        <v>0</v>
      </c>
      <c r="AP316" s="46">
        <f>SUMPRODUCT(AN317:AN$605, $I317:$I$605) / $I316</f>
        <v>0</v>
      </c>
      <c r="AR316" s="46">
        <v>0</v>
      </c>
      <c r="AS316" s="46">
        <v>0</v>
      </c>
      <c r="AT316" s="46">
        <v>0</v>
      </c>
      <c r="AU316" s="95">
        <f t="shared" si="251"/>
        <v>0</v>
      </c>
      <c r="AV316" s="47">
        <f t="shared" si="252"/>
        <v>0</v>
      </c>
      <c r="AW316" s="96">
        <f t="shared" si="287"/>
        <v>0</v>
      </c>
      <c r="AX316" s="95">
        <f t="shared" si="253"/>
        <v>0</v>
      </c>
      <c r="AY316" s="11">
        <f t="shared" si="254"/>
        <v>0</v>
      </c>
      <c r="AZ316" s="96">
        <f t="shared" si="288"/>
        <v>0</v>
      </c>
      <c r="BA316" s="95">
        <f t="shared" si="289"/>
        <v>0</v>
      </c>
      <c r="BB316" s="64">
        <f t="shared" si="290"/>
        <v>0</v>
      </c>
      <c r="BC316" s="95">
        <f t="shared" si="291"/>
        <v>0</v>
      </c>
      <c r="BD316" s="96">
        <f t="shared" si="292"/>
        <v>0</v>
      </c>
      <c r="BE316" s="96">
        <f t="shared" si="293"/>
        <v>0</v>
      </c>
      <c r="BF316" s="96">
        <f t="shared" si="294"/>
        <v>0</v>
      </c>
      <c r="BG316" s="15">
        <f t="shared" si="280"/>
        <v>0</v>
      </c>
      <c r="BH316" s="46">
        <f>(SUMPRODUCT(BE317:BE$605,$I316:$I$604)+SUMPRODUCT(BF317:BF$605,$I317:$I$605)) / $I316</f>
        <v>0</v>
      </c>
      <c r="BJ316" s="46">
        <f t="shared" si="295"/>
        <v>0</v>
      </c>
      <c r="BK316" s="46">
        <f t="shared" si="296"/>
        <v>0</v>
      </c>
      <c r="BM316" s="49">
        <f t="shared" si="281"/>
        <v>0</v>
      </c>
      <c r="BN316" s="46">
        <f t="shared" si="297"/>
        <v>0</v>
      </c>
      <c r="BP316" s="46">
        <f>Reserve!BX316</f>
        <v>0</v>
      </c>
      <c r="BQ316" s="46">
        <f t="shared" si="255"/>
        <v>0</v>
      </c>
      <c r="BR316" s="15">
        <f t="shared" si="282"/>
        <v>0</v>
      </c>
      <c r="BT316" s="49">
        <f t="shared" si="283"/>
        <v>0</v>
      </c>
      <c r="BU316" s="46">
        <f t="shared" si="256"/>
        <v>0</v>
      </c>
      <c r="BV316" s="46">
        <f>SUMPRODUCT(BU317:BU$605, $I317:$I$605) / $I316</f>
        <v>0</v>
      </c>
      <c r="BX316" s="46">
        <f>-BZ316*Others!$Q$43</f>
        <v>0</v>
      </c>
      <c r="BZ316" s="50">
        <f t="shared" si="241"/>
        <v>0</v>
      </c>
      <c r="CA316" s="46">
        <f t="shared" si="284"/>
        <v>0</v>
      </c>
      <c r="CB316" s="46">
        <f t="shared" si="257"/>
        <v>0</v>
      </c>
      <c r="CD316" s="46">
        <f>SUMPRODUCT(BZ317:BZ$605, $I317:$I$605) / $I316</f>
        <v>0</v>
      </c>
      <c r="CE316" s="46">
        <f>SUMPRODUCT(CA317:CA$605, $I317:$I$605) / $I316</f>
        <v>0</v>
      </c>
      <c r="CF316" s="46">
        <f>SUMPRODUCT(CB317:CB$605, $I317:$I$605) / $I316</f>
        <v>0</v>
      </c>
      <c r="CH316" s="46">
        <f t="shared" si="258"/>
        <v>0</v>
      </c>
      <c r="CI316" s="46">
        <f t="shared" si="259"/>
        <v>0</v>
      </c>
      <c r="CK316" s="46">
        <f>NPV((1+CK$3)^(1/12)-1,$CB$6:$CB316)+$CB$5</f>
        <v>1409.6963032385702</v>
      </c>
      <c r="CL316" s="46">
        <f>NPV((1+CL$3)^(1/12)-1,$CB$6:$CB316)+$CB$5</f>
        <v>1057.2060036590874</v>
      </c>
      <c r="CM316" s="46">
        <f>NPV((1+CM$3)^(1/12)-1,$CB$6:$CB316)+$CB$5</f>
        <v>462.64886026294084</v>
      </c>
      <c r="CN316" s="46">
        <f>NPV((1+CN$3)^(1/12)-1,$CB$6:$CB316)+$CB$5</f>
        <v>462.64886026294084</v>
      </c>
    </row>
    <row r="317" spans="1:92" x14ac:dyDescent="0.25">
      <c r="A317" s="61">
        <f t="shared" si="242"/>
        <v>25.999999999999901</v>
      </c>
      <c r="B317" s="32">
        <f t="shared" si="260"/>
        <v>12</v>
      </c>
      <c r="C317" s="62">
        <f t="shared" si="261"/>
        <v>26</v>
      </c>
      <c r="D317" s="64">
        <f t="shared" si="262"/>
        <v>26.499999999999901</v>
      </c>
      <c r="E317" s="28">
        <f t="shared" si="243"/>
        <v>26</v>
      </c>
      <c r="G317" s="68">
        <f>INDEX(Others!$D$11:$E$60, MATCH(C317, Others!$A$11:$A$60, 0), MATCH(G$3, Others!$D$10:$E$10, 0))</f>
        <v>4.0690909090908889E-2</v>
      </c>
      <c r="H317" s="16">
        <f t="shared" si="285"/>
        <v>3.329265421250005E-3</v>
      </c>
      <c r="I317" s="69">
        <f t="shared" si="286"/>
        <v>0.35451467612751003</v>
      </c>
      <c r="K317" s="80" t="e">
        <f>INDEX(Mortality!$B$7:$F$32, MATCH( E317,Mortality!$A$7:$A$32, 0), MATCH( K$3,Mortality!$B$6:$F$6,0))</f>
        <v>#N/A</v>
      </c>
      <c r="L317" s="11">
        <f t="shared" si="244"/>
        <v>0</v>
      </c>
      <c r="M317" s="80">
        <f t="shared" si="263"/>
        <v>0</v>
      </c>
      <c r="N317" s="76" t="e">
        <f>INDEX(Myopia!$H:$H, MATCH(E317, Myopia!$A:$A, 0)) * Trend_Factor^(A317)</f>
        <v>#N/A</v>
      </c>
      <c r="O317" s="11">
        <f t="shared" si="245"/>
        <v>0</v>
      </c>
      <c r="P317" s="80">
        <f t="shared" si="264"/>
        <v>0</v>
      </c>
      <c r="Q317" s="76">
        <f>VLOOKUP(C317,Others!$L$10:$M$61,2)</f>
        <v>0</v>
      </c>
      <c r="R317" s="11">
        <f t="shared" si="246"/>
        <v>0</v>
      </c>
      <c r="S317" s="80">
        <f t="shared" si="265"/>
        <v>0</v>
      </c>
      <c r="T317" s="78">
        <f t="shared" si="266"/>
        <v>0</v>
      </c>
      <c r="U317" s="81">
        <f t="shared" si="267"/>
        <v>0</v>
      </c>
      <c r="V317" s="81">
        <f t="shared" si="268"/>
        <v>0</v>
      </c>
      <c r="W317" s="77">
        <f t="shared" si="247"/>
        <v>0</v>
      </c>
      <c r="X317" s="82">
        <f t="shared" si="269"/>
        <v>0</v>
      </c>
      <c r="Y317" s="82">
        <f t="shared" si="270"/>
        <v>0</v>
      </c>
      <c r="Z317" s="82">
        <f t="shared" si="271"/>
        <v>0</v>
      </c>
      <c r="AA317" s="82">
        <f t="shared" si="272"/>
        <v>0</v>
      </c>
      <c r="AC317" s="46">
        <f t="shared" si="248"/>
        <v>0</v>
      </c>
      <c r="AD317" s="15">
        <f t="shared" si="249"/>
        <v>0</v>
      </c>
      <c r="AE317" s="46">
        <f t="shared" si="273"/>
        <v>0</v>
      </c>
      <c r="AF317" s="15">
        <f t="shared" si="274"/>
        <v>0</v>
      </c>
      <c r="AG317" s="46">
        <f>SUMPRODUCT(AE318:AE$605, $I317:$I$604) / $I317</f>
        <v>0</v>
      </c>
      <c r="AI317" s="46">
        <f t="shared" si="250"/>
        <v>0</v>
      </c>
      <c r="AJ317" s="46">
        <f>IF(E317&gt;Mat_Year,0,  -SUM($AD$5:AD317))</f>
        <v>0</v>
      </c>
      <c r="AK317" s="24">
        <f t="shared" si="275"/>
        <v>0</v>
      </c>
      <c r="AL317" s="79">
        <f t="shared" si="276"/>
        <v>0</v>
      </c>
      <c r="AM317" s="24">
        <f t="shared" si="277"/>
        <v>0</v>
      </c>
      <c r="AN317" s="79">
        <f t="shared" si="278"/>
        <v>0</v>
      </c>
      <c r="AO317" s="15">
        <f t="shared" si="279"/>
        <v>0</v>
      </c>
      <c r="AP317" s="46">
        <f>SUMPRODUCT(AN318:AN$605, $I318:$I$605) / $I317</f>
        <v>0</v>
      </c>
      <c r="AR317" s="46">
        <v>0</v>
      </c>
      <c r="AS317" s="46">
        <v>0</v>
      </c>
      <c r="AT317" s="46">
        <v>0</v>
      </c>
      <c r="AU317" s="95">
        <f t="shared" si="251"/>
        <v>0</v>
      </c>
      <c r="AV317" s="47">
        <f t="shared" si="252"/>
        <v>0</v>
      </c>
      <c r="AW317" s="96">
        <f t="shared" si="287"/>
        <v>0</v>
      </c>
      <c r="AX317" s="95">
        <f t="shared" si="253"/>
        <v>0</v>
      </c>
      <c r="AY317" s="11">
        <f t="shared" si="254"/>
        <v>0</v>
      </c>
      <c r="AZ317" s="96">
        <f t="shared" si="288"/>
        <v>0</v>
      </c>
      <c r="BA317" s="95">
        <f t="shared" si="289"/>
        <v>0</v>
      </c>
      <c r="BB317" s="64">
        <f t="shared" si="290"/>
        <v>0</v>
      </c>
      <c r="BC317" s="95">
        <f t="shared" si="291"/>
        <v>0</v>
      </c>
      <c r="BD317" s="96">
        <f t="shared" si="292"/>
        <v>0</v>
      </c>
      <c r="BE317" s="96">
        <f t="shared" si="293"/>
        <v>0</v>
      </c>
      <c r="BF317" s="96">
        <f t="shared" si="294"/>
        <v>0</v>
      </c>
      <c r="BG317" s="15">
        <f t="shared" si="280"/>
        <v>0</v>
      </c>
      <c r="BH317" s="46">
        <f>(SUMPRODUCT(BE318:BE$605,$I317:$I$604)+SUMPRODUCT(BF318:BF$605,$I318:$I$605)) / $I317</f>
        <v>0</v>
      </c>
      <c r="BJ317" s="46">
        <f t="shared" si="295"/>
        <v>0</v>
      </c>
      <c r="BK317" s="46">
        <f t="shared" si="296"/>
        <v>0</v>
      </c>
      <c r="BM317" s="49">
        <f t="shared" si="281"/>
        <v>0</v>
      </c>
      <c r="BN317" s="46">
        <f t="shared" si="297"/>
        <v>0</v>
      </c>
      <c r="BP317" s="46">
        <f>Reserve!BX317</f>
        <v>0</v>
      </c>
      <c r="BQ317" s="46">
        <f t="shared" si="255"/>
        <v>0</v>
      </c>
      <c r="BR317" s="15">
        <f t="shared" si="282"/>
        <v>0</v>
      </c>
      <c r="BT317" s="49">
        <f t="shared" si="283"/>
        <v>0</v>
      </c>
      <c r="BU317" s="46">
        <f t="shared" si="256"/>
        <v>0</v>
      </c>
      <c r="BV317" s="46">
        <f>SUMPRODUCT(BU318:BU$605, $I318:$I$605) / $I317</f>
        <v>0</v>
      </c>
      <c r="BX317" s="46">
        <f>-BZ317*Others!$Q$43</f>
        <v>0</v>
      </c>
      <c r="BZ317" s="50">
        <f t="shared" si="241"/>
        <v>0</v>
      </c>
      <c r="CA317" s="46">
        <f t="shared" si="284"/>
        <v>0</v>
      </c>
      <c r="CB317" s="46">
        <f t="shared" si="257"/>
        <v>0</v>
      </c>
      <c r="CD317" s="46">
        <f>SUMPRODUCT(BZ318:BZ$605, $I318:$I$605) / $I317</f>
        <v>0</v>
      </c>
      <c r="CE317" s="46">
        <f>SUMPRODUCT(CA318:CA$605, $I318:$I$605) / $I317</f>
        <v>0</v>
      </c>
      <c r="CF317" s="46">
        <f>SUMPRODUCT(CB318:CB$605, $I318:$I$605) / $I317</f>
        <v>0</v>
      </c>
      <c r="CH317" s="46">
        <f t="shared" si="258"/>
        <v>0</v>
      </c>
      <c r="CI317" s="46">
        <f t="shared" si="259"/>
        <v>0</v>
      </c>
      <c r="CK317" s="46">
        <f>NPV((1+CK$3)^(1/12)-1,$CB$6:$CB317)+$CB$5</f>
        <v>1409.6963032385702</v>
      </c>
      <c r="CL317" s="46">
        <f>NPV((1+CL$3)^(1/12)-1,$CB$6:$CB317)+$CB$5</f>
        <v>1057.2060036590874</v>
      </c>
      <c r="CM317" s="46">
        <f>NPV((1+CM$3)^(1/12)-1,$CB$6:$CB317)+$CB$5</f>
        <v>462.64886026294084</v>
      </c>
      <c r="CN317" s="46">
        <f>NPV((1+CN$3)^(1/12)-1,$CB$6:$CB317)+$CB$5</f>
        <v>462.64886026294084</v>
      </c>
    </row>
    <row r="318" spans="1:92" x14ac:dyDescent="0.25">
      <c r="A318" s="61"/>
    </row>
    <row r="319" spans="1:92" x14ac:dyDescent="0.25">
      <c r="A319" s="61"/>
    </row>
  </sheetData>
  <mergeCells count="2">
    <mergeCell ref="A2:C2"/>
    <mergeCell ref="D2:E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D43DC-8588-4C6D-A35B-C8869F8D844F}">
  <sheetPr codeName="Sheet8">
    <tabColor theme="9" tint="0.79998168889431442"/>
  </sheetPr>
  <dimension ref="A1:BX319"/>
  <sheetViews>
    <sheetView zoomScale="85" zoomScaleNormal="85" workbookViewId="0">
      <pane xSplit="3" ySplit="4" topLeftCell="BQ5" activePane="bottomRight" state="frozen"/>
      <selection pane="topRight" activeCell="D1" sqref="D1"/>
      <selection pane="bottomLeft" activeCell="A5" sqref="A5"/>
      <selection pane="bottomRight" activeCell="BW23" sqref="BW23"/>
    </sheetView>
  </sheetViews>
  <sheetFormatPr defaultColWidth="8.85546875" defaultRowHeight="15" x14ac:dyDescent="0.25"/>
  <cols>
    <col min="1" max="1" width="8" style="32" bestFit="1" customWidth="1"/>
    <col min="2" max="2" width="7" style="32" bestFit="1" customWidth="1"/>
    <col min="3" max="3" width="5.140625" style="32" bestFit="1" customWidth="1"/>
    <col min="5" max="5" width="10.85546875" bestFit="1" customWidth="1"/>
    <col min="9" max="9" width="10" bestFit="1" customWidth="1"/>
    <col min="13" max="13" width="9.85546875" bestFit="1" customWidth="1"/>
    <col min="16" max="16" width="12.42578125" bestFit="1" customWidth="1"/>
    <col min="19" max="21" width="11" bestFit="1" customWidth="1"/>
    <col min="23" max="23" width="10" bestFit="1" customWidth="1"/>
    <col min="24" max="26" width="10.42578125" bestFit="1" customWidth="1"/>
    <col min="27" max="27" width="11.140625" bestFit="1" customWidth="1"/>
    <col min="29" max="29" width="14.85546875" bestFit="1" customWidth="1"/>
    <col min="30" max="30" width="11.42578125" bestFit="1" customWidth="1"/>
    <col min="31" max="31" width="11.7109375" bestFit="1" customWidth="1"/>
    <col min="32" max="32" width="14.140625" bestFit="1" customWidth="1"/>
    <col min="33" max="33" width="13.42578125" bestFit="1" customWidth="1"/>
    <col min="35" max="35" width="14" bestFit="1" customWidth="1"/>
    <col min="36" max="36" width="12.28515625" bestFit="1" customWidth="1"/>
    <col min="37" max="37" width="13.28515625" bestFit="1" customWidth="1"/>
    <col min="38" max="38" width="14.42578125" bestFit="1" customWidth="1"/>
    <col min="39" max="39" width="11" bestFit="1" customWidth="1"/>
    <col min="40" max="40" width="10.7109375" bestFit="1" customWidth="1"/>
    <col min="41" max="41" width="16" bestFit="1" customWidth="1"/>
    <col min="42" max="42" width="15.42578125" bestFit="1" customWidth="1"/>
    <col min="44" max="44" width="10.85546875" bestFit="1" customWidth="1"/>
    <col min="45" max="45" width="12.42578125" bestFit="1" customWidth="1"/>
    <col min="46" max="46" width="15.28515625" bestFit="1" customWidth="1"/>
    <col min="47" max="47" width="12.28515625" customWidth="1"/>
    <col min="48" max="48" width="6.85546875" customWidth="1"/>
    <col min="49" max="49" width="14.7109375" bestFit="1" customWidth="1"/>
    <col min="50" max="50" width="11.42578125" bestFit="1" customWidth="1"/>
    <col min="51" max="51" width="7.7109375" customWidth="1"/>
    <col min="52" max="52" width="16.28515625" bestFit="1" customWidth="1"/>
    <col min="53" max="53" width="12.7109375" bestFit="1" customWidth="1"/>
    <col min="54" max="54" width="14.42578125" bestFit="1" customWidth="1"/>
    <col min="55" max="56" width="16.42578125" bestFit="1" customWidth="1"/>
    <col min="57" max="57" width="16.140625" bestFit="1" customWidth="1"/>
    <col min="58" max="58" width="16" bestFit="1" customWidth="1"/>
    <col min="59" max="59" width="16.7109375" bestFit="1" customWidth="1"/>
    <col min="60" max="60" width="16.140625" bestFit="1" customWidth="1"/>
    <col min="62" max="62" width="16" bestFit="1" customWidth="1"/>
    <col min="63" max="63" width="15.7109375" bestFit="1" customWidth="1"/>
    <col min="65" max="65" width="16.140625" customWidth="1"/>
    <col min="66" max="66" width="15.42578125" bestFit="1" customWidth="1"/>
    <col min="68" max="68" width="10.28515625" customWidth="1"/>
    <col min="69" max="69" width="9.28515625" bestFit="1" customWidth="1"/>
    <col min="70" max="70" width="10" bestFit="1" customWidth="1"/>
    <col min="72" max="72" width="18.85546875" customWidth="1"/>
    <col min="73" max="73" width="15.42578125" bestFit="1" customWidth="1"/>
    <col min="74" max="74" width="21.42578125" bestFit="1" customWidth="1"/>
    <col min="76" max="76" width="17.28515625" bestFit="1" customWidth="1"/>
  </cols>
  <sheetData>
    <row r="1" spans="1:76" x14ac:dyDescent="0.25">
      <c r="A1" s="58" t="s">
        <v>128</v>
      </c>
      <c r="F1" s="65" t="s">
        <v>133</v>
      </c>
      <c r="J1" s="33" t="s">
        <v>134</v>
      </c>
    </row>
    <row r="2" spans="1:76" x14ac:dyDescent="0.25">
      <c r="A2" s="216" t="s">
        <v>129</v>
      </c>
      <c r="B2" s="216"/>
      <c r="C2" s="216"/>
      <c r="D2" s="217" t="s">
        <v>2</v>
      </c>
      <c r="E2" s="217"/>
      <c r="G2" s="66" t="s">
        <v>135</v>
      </c>
      <c r="H2" s="33"/>
      <c r="I2" s="33"/>
      <c r="K2" s="70" t="s">
        <v>139</v>
      </c>
      <c r="L2" s="70"/>
      <c r="M2" s="70"/>
      <c r="N2" s="65"/>
      <c r="O2" s="65"/>
      <c r="P2" s="65"/>
      <c r="Q2" s="65"/>
      <c r="R2" s="65"/>
      <c r="S2" s="65"/>
      <c r="T2" s="74" t="s">
        <v>144</v>
      </c>
      <c r="U2" s="75"/>
      <c r="V2" s="74"/>
      <c r="W2" s="66" t="s">
        <v>147</v>
      </c>
      <c r="X2" s="33"/>
      <c r="Y2" s="33"/>
      <c r="Z2" s="33"/>
      <c r="AA2" s="33"/>
      <c r="AC2" s="83" t="s">
        <v>107</v>
      </c>
      <c r="AD2" s="34"/>
      <c r="AE2" s="34"/>
      <c r="AF2" s="84"/>
      <c r="AG2" s="84"/>
      <c r="AI2" s="88" t="s">
        <v>156</v>
      </c>
      <c r="AJ2" s="89"/>
      <c r="AK2" s="90"/>
      <c r="AL2" s="90"/>
      <c r="AM2" s="90"/>
      <c r="AN2" s="91"/>
      <c r="AO2" s="91"/>
      <c r="AP2" s="91"/>
      <c r="AR2" s="92" t="s">
        <v>64</v>
      </c>
      <c r="AS2" s="34"/>
      <c r="AT2" s="34"/>
      <c r="AU2" s="34"/>
      <c r="AV2" s="34"/>
      <c r="AW2" s="34"/>
      <c r="AX2" s="34"/>
      <c r="AY2" s="34"/>
      <c r="AZ2" s="34"/>
      <c r="BA2" s="34"/>
      <c r="BB2" s="34"/>
      <c r="BC2" s="34"/>
      <c r="BD2" s="34"/>
      <c r="BE2" s="34"/>
      <c r="BF2" s="34"/>
      <c r="BG2" s="84"/>
      <c r="BH2" s="84"/>
      <c r="BJ2" s="97" t="s">
        <v>177</v>
      </c>
      <c r="BK2" s="98"/>
      <c r="BM2" s="66" t="s">
        <v>232</v>
      </c>
      <c r="BN2" s="33"/>
      <c r="BP2" s="92" t="s">
        <v>235</v>
      </c>
      <c r="BQ2" s="34"/>
      <c r="BR2" s="34"/>
      <c r="BT2" s="92" t="s">
        <v>237</v>
      </c>
      <c r="BU2" s="92"/>
      <c r="BV2" s="92"/>
      <c r="BX2" s="135" t="s">
        <v>241</v>
      </c>
    </row>
    <row r="3" spans="1:76" x14ac:dyDescent="0.25">
      <c r="G3" t="str">
        <f>Pol_Country</f>
        <v>P</v>
      </c>
      <c r="K3" t="str">
        <f>Pol_Country&amp;Pol_Sex</f>
        <v>PF</v>
      </c>
      <c r="N3" s="73"/>
      <c r="V3" t="s">
        <v>145</v>
      </c>
      <c r="W3" s="32" t="s">
        <v>150</v>
      </c>
      <c r="Z3" s="32" t="s">
        <v>145</v>
      </c>
      <c r="AA3" s="32" t="s">
        <v>145</v>
      </c>
      <c r="AC3" s="44" t="s">
        <v>150</v>
      </c>
      <c r="AD3" s="32" t="s">
        <v>150</v>
      </c>
      <c r="AE3" s="32" t="s">
        <v>150</v>
      </c>
      <c r="AF3" s="44"/>
      <c r="AG3" s="44"/>
      <c r="AK3" s="32" t="s">
        <v>145</v>
      </c>
      <c r="AL3" s="32" t="s">
        <v>145</v>
      </c>
      <c r="AM3" s="32" t="s">
        <v>145</v>
      </c>
      <c r="AN3" s="32" t="s">
        <v>145</v>
      </c>
      <c r="AR3" s="32"/>
      <c r="AS3" s="32"/>
      <c r="AT3" s="32" t="s">
        <v>150</v>
      </c>
      <c r="AU3" s="32" t="s">
        <v>150</v>
      </c>
      <c r="AV3" s="32" t="s">
        <v>150</v>
      </c>
      <c r="AW3" s="32" t="s">
        <v>150</v>
      </c>
      <c r="AX3" s="32" t="s">
        <v>145</v>
      </c>
      <c r="AY3" s="32" t="s">
        <v>145</v>
      </c>
      <c r="AZ3" s="32" t="s">
        <v>145</v>
      </c>
      <c r="BA3" s="32" t="s">
        <v>150</v>
      </c>
      <c r="BB3" s="32" t="s">
        <v>145</v>
      </c>
      <c r="BC3" s="32" t="s">
        <v>150</v>
      </c>
      <c r="BD3" s="32" t="s">
        <v>145</v>
      </c>
      <c r="BE3" s="32" t="s">
        <v>150</v>
      </c>
      <c r="BF3" s="32" t="s">
        <v>145</v>
      </c>
      <c r="BG3" s="44"/>
      <c r="BH3" s="44"/>
      <c r="BP3" t="str">
        <f>Pol_Country</f>
        <v>P</v>
      </c>
    </row>
    <row r="4" spans="1:76" s="3" customFormat="1" x14ac:dyDescent="0.25">
      <c r="A4" s="59" t="s">
        <v>130</v>
      </c>
      <c r="B4" s="59" t="s">
        <v>131</v>
      </c>
      <c r="C4" s="60" t="s">
        <v>25</v>
      </c>
      <c r="D4" s="126" t="s">
        <v>2</v>
      </c>
      <c r="E4" s="63" t="s">
        <v>132</v>
      </c>
      <c r="G4" s="37" t="s">
        <v>136</v>
      </c>
      <c r="H4" s="37" t="s">
        <v>138</v>
      </c>
      <c r="I4" s="37" t="s">
        <v>137</v>
      </c>
      <c r="K4" s="71" t="s">
        <v>140</v>
      </c>
      <c r="L4" s="71" t="s">
        <v>7</v>
      </c>
      <c r="M4" s="71" t="s">
        <v>141</v>
      </c>
      <c r="N4" s="72" t="s">
        <v>39</v>
      </c>
      <c r="O4" s="71" t="s">
        <v>7</v>
      </c>
      <c r="P4" s="71" t="s">
        <v>142</v>
      </c>
      <c r="Q4" s="72" t="s">
        <v>143</v>
      </c>
      <c r="R4" s="71" t="s">
        <v>7</v>
      </c>
      <c r="S4" s="71" t="s">
        <v>146</v>
      </c>
      <c r="T4" s="72" t="s">
        <v>140</v>
      </c>
      <c r="U4" s="71" t="s">
        <v>39</v>
      </c>
      <c r="V4" s="71" t="s">
        <v>143</v>
      </c>
      <c r="W4" s="56" t="s">
        <v>148</v>
      </c>
      <c r="X4" s="37" t="s">
        <v>140</v>
      </c>
      <c r="Y4" s="37" t="s">
        <v>39</v>
      </c>
      <c r="Z4" s="37" t="s">
        <v>143</v>
      </c>
      <c r="AA4" s="37" t="s">
        <v>149</v>
      </c>
      <c r="AC4" s="85" t="s">
        <v>151</v>
      </c>
      <c r="AD4" s="72" t="s">
        <v>152</v>
      </c>
      <c r="AE4" s="37" t="s">
        <v>153</v>
      </c>
      <c r="AF4" s="86" t="s">
        <v>154</v>
      </c>
      <c r="AG4" s="87" t="s">
        <v>155</v>
      </c>
      <c r="AI4" s="71" t="s">
        <v>157</v>
      </c>
      <c r="AJ4" s="85" t="s">
        <v>158</v>
      </c>
      <c r="AK4" s="56" t="s">
        <v>159</v>
      </c>
      <c r="AL4" s="37" t="s">
        <v>160</v>
      </c>
      <c r="AM4" s="72" t="s">
        <v>161</v>
      </c>
      <c r="AN4" s="37" t="s">
        <v>162</v>
      </c>
      <c r="AO4" s="86" t="s">
        <v>163</v>
      </c>
      <c r="AP4" s="87" t="s">
        <v>164</v>
      </c>
      <c r="AR4" s="71" t="s">
        <v>165</v>
      </c>
      <c r="AS4" s="71" t="s">
        <v>105</v>
      </c>
      <c r="AT4" s="37" t="s">
        <v>166</v>
      </c>
      <c r="AU4" s="72" t="s">
        <v>167</v>
      </c>
      <c r="AV4" s="71" t="s">
        <v>7</v>
      </c>
      <c r="AW4" s="71" t="str">
        <f>AU4 &amp; "_pad"</f>
        <v>Main_exp_pad</v>
      </c>
      <c r="AX4" s="72" t="s">
        <v>168</v>
      </c>
      <c r="AY4" s="71" t="s">
        <v>7</v>
      </c>
      <c r="AZ4" s="71" t="str">
        <f>AX4 &amp; "_pad"</f>
        <v>Claims_exp_pad</v>
      </c>
      <c r="BA4" s="56" t="s">
        <v>169</v>
      </c>
      <c r="BB4" s="37" t="s">
        <v>170</v>
      </c>
      <c r="BC4" s="72" t="s">
        <v>171</v>
      </c>
      <c r="BD4" s="71" t="s">
        <v>172</v>
      </c>
      <c r="BE4" s="37" t="s">
        <v>173</v>
      </c>
      <c r="BF4" s="37" t="s">
        <v>174</v>
      </c>
      <c r="BG4" s="86" t="s">
        <v>175</v>
      </c>
      <c r="BH4" s="87" t="s">
        <v>176</v>
      </c>
      <c r="BJ4" s="87" t="s">
        <v>178</v>
      </c>
      <c r="BK4" s="87" t="s">
        <v>179</v>
      </c>
      <c r="BM4" s="71" t="s">
        <v>196</v>
      </c>
      <c r="BN4" s="37" t="s">
        <v>189</v>
      </c>
      <c r="BP4" s="56" t="s">
        <v>136</v>
      </c>
      <c r="BQ4" s="37" t="s">
        <v>236</v>
      </c>
      <c r="BR4" s="37" t="s">
        <v>137</v>
      </c>
      <c r="BT4" s="37" t="s">
        <v>238</v>
      </c>
      <c r="BU4" s="72" t="s">
        <v>240</v>
      </c>
      <c r="BV4" s="37" t="s">
        <v>239</v>
      </c>
      <c r="BX4" s="71" t="s">
        <v>242</v>
      </c>
    </row>
    <row r="5" spans="1:76" x14ac:dyDescent="0.25">
      <c r="A5" s="61">
        <v>0</v>
      </c>
      <c r="B5" s="32">
        <v>0</v>
      </c>
      <c r="C5" s="62">
        <v>0</v>
      </c>
      <c r="D5">
        <f>Pol_Entry_Age</f>
        <v>0.5</v>
      </c>
      <c r="E5" s="28">
        <f>INT(D5+0.001)</f>
        <v>0</v>
      </c>
      <c r="I5" s="67">
        <v>1</v>
      </c>
      <c r="N5" s="2"/>
      <c r="Q5" s="2"/>
      <c r="T5" s="2"/>
      <c r="W5" s="2"/>
      <c r="AA5" s="67">
        <v>1</v>
      </c>
      <c r="AC5" s="46"/>
      <c r="AD5" s="15"/>
      <c r="AE5" s="46"/>
      <c r="AF5" s="15"/>
      <c r="AG5" s="46">
        <f>SUMPRODUCT(AE6:AE$605, $I5:$I$604) / $I5</f>
        <v>9306</v>
      </c>
      <c r="AI5" s="79"/>
      <c r="AJ5" s="79"/>
      <c r="AK5" s="24"/>
      <c r="AL5" s="79"/>
      <c r="AM5" s="24"/>
      <c r="AN5" s="79"/>
      <c r="AO5" s="15"/>
      <c r="AP5" s="46">
        <f>SUMPRODUCT(AN6:AN$605, $I6:$I$605) / $I5</f>
        <v>-8169.7623428855904</v>
      </c>
      <c r="AR5" s="46">
        <f>-Exp_Init</f>
        <v>0</v>
      </c>
      <c r="AS5" s="93">
        <f>-Exp_Comm</f>
        <v>-837.54</v>
      </c>
      <c r="AT5" s="93">
        <f>AS5</f>
        <v>-837.54</v>
      </c>
      <c r="AU5" s="2"/>
      <c r="AX5" s="2"/>
      <c r="BA5" s="2"/>
      <c r="BC5" s="2"/>
      <c r="BD5" s="64"/>
      <c r="BF5" s="94">
        <f>SUM(AR5, AT5)</f>
        <v>-837.54</v>
      </c>
      <c r="BG5" s="15"/>
      <c r="BH5" s="46">
        <f>(SUMPRODUCT(BE6:BE$605,$I5:$I$604)+SUMPRODUCT(BF6:BF$605,$I6:$I$605)) / $I5</f>
        <v>-364.95895347975943</v>
      </c>
      <c r="BJ5" s="46"/>
      <c r="BK5" s="46">
        <f>SUM(AN5,BF5)</f>
        <v>-837.54</v>
      </c>
      <c r="BM5" s="49">
        <f>IF($AA5 = 0, 0, BN5/$AA5)</f>
        <v>0</v>
      </c>
      <c r="BN5" s="50">
        <f>MAX(BN6/(1+H6) - (BJ6 + BK6/(1+H6)),0)</f>
        <v>0</v>
      </c>
      <c r="BR5" s="67">
        <v>1</v>
      </c>
      <c r="BT5" s="46">
        <f>MAX(BT6/(1+BQ6) - (BJ6 + BK6/(1+BQ6)),0)</f>
        <v>122.18380456832165</v>
      </c>
      <c r="BU5" s="49">
        <f>IF($AA5 = 0, 0, BV5/$AA5)</f>
        <v>122.18380456832165</v>
      </c>
      <c r="BV5" s="46">
        <f>BT5-BN5</f>
        <v>122.18380456832165</v>
      </c>
      <c r="BW5" s="46"/>
      <c r="BX5" s="46">
        <f>BM5+BU5</f>
        <v>122.18380456832165</v>
      </c>
    </row>
    <row r="6" spans="1:76" x14ac:dyDescent="0.25">
      <c r="A6" s="61">
        <f t="shared" ref="A6:A69" si="0">A5+1/12</f>
        <v>8.3333333333333329E-2</v>
      </c>
      <c r="B6" s="32">
        <f>IF(B5=12,1,B5+1)</f>
        <v>1</v>
      </c>
      <c r="C6" s="62">
        <v>1</v>
      </c>
      <c r="D6" s="64">
        <f>$D$5+A6</f>
        <v>0.58333333333333337</v>
      </c>
      <c r="E6" s="28">
        <f>INT(D6+0.001)</f>
        <v>0</v>
      </c>
      <c r="G6" s="68">
        <f>INDEX(Others!$D$11:$E$60, MATCH(C6, Others!$A$11:$A$60, 0), MATCH(G$3, Others!$D$10:$E$10, 0))</f>
        <v>2.6290909090909097E-2</v>
      </c>
      <c r="H6" s="16">
        <f>(1+G6)^(1/12) - 1</f>
        <v>2.1649437542921035E-3</v>
      </c>
      <c r="I6" s="69">
        <f>I5/(1+H6)</f>
        <v>0.99783973310203622</v>
      </c>
      <c r="K6" s="80">
        <f>INDEX(Mortality!$B$7:$F$32, MATCH( E6,Mortality!$A$7:$A$32, 0), MATCH( K$3,Mortality!$B$6:$F$6,0))</f>
        <v>0.33</v>
      </c>
      <c r="L6" s="11" cm="1">
        <f t="array" ref="L6">PAD_Res_Mort</f>
        <v>0.15</v>
      </c>
      <c r="M6" s="80">
        <f>IFERROR( K6*(1+L6), 0)</f>
        <v>0.3795</v>
      </c>
      <c r="N6" s="76">
        <f>INDEX('Myopia_(Reserve)'!$H:$H, MATCH(E6, 'Myopia_(Reserve)'!$A:$A, 0)) * Trend_Factor_Reserve^(A6)</f>
        <v>0</v>
      </c>
      <c r="O6" s="11">
        <f t="shared" ref="O6:O69" si="1">PAD_Res_Incid</f>
        <v>0.3</v>
      </c>
      <c r="P6" s="80">
        <f>IFERROR( N6*(1+O6), 0)</f>
        <v>0</v>
      </c>
      <c r="Q6" s="76">
        <f>VLOOKUP(C6,Others!$L$10:$M$61,2)</f>
        <v>0</v>
      </c>
      <c r="R6" s="11">
        <f t="shared" ref="R6:R69" si="2">PAD_Res_Laspe</f>
        <v>0</v>
      </c>
      <c r="S6" s="80">
        <f>IFERROR( Q6*(1+R6), 0)</f>
        <v>0</v>
      </c>
      <c r="T6" s="78">
        <f>(M6/1000)/12</f>
        <v>3.1625000000000003E-5</v>
      </c>
      <c r="U6" s="81">
        <f>(P6/1000)/12</f>
        <v>0</v>
      </c>
      <c r="V6" s="81">
        <f>(S6/1000)/12</f>
        <v>0</v>
      </c>
      <c r="W6" s="77">
        <f t="shared" ref="W6:W69" si="3">IF(E6&gt;Mat_Year, 0, AA5)</f>
        <v>1</v>
      </c>
      <c r="X6" s="82">
        <f>W6 * (T6)*(1-U6/2)</f>
        <v>3.1625000000000003E-5</v>
      </c>
      <c r="Y6" s="82">
        <f>W6 * (1-T6/2)*(U6)</f>
        <v>0</v>
      </c>
      <c r="Z6" s="82">
        <f>W6 * (1-T6)*(1-U6)*(V6)</f>
        <v>0</v>
      </c>
      <c r="AA6" s="82">
        <f>W6-SUM(X6:Z6)</f>
        <v>0.99996837500000002</v>
      </c>
      <c r="AC6" s="46">
        <f t="shared" ref="AC6:AC69" si="4">IF(C6&gt;Prem_Term,0,Ann_Prem)</f>
        <v>465.3</v>
      </c>
      <c r="AD6" s="104">
        <f>IF(Prem_Mode="single", Parameters!$C$28,
IF(Prem_Mode="Mth", AC6/12,
IF(B6=1, AC6, 0)))</f>
        <v>9306</v>
      </c>
      <c r="AE6" s="46">
        <f>AD6*$W6</f>
        <v>9306</v>
      </c>
      <c r="AF6" s="15">
        <f>IF($W6 = 0, 0, AG6/$W6)</f>
        <v>0</v>
      </c>
      <c r="AG6" s="46">
        <f>SUMPRODUCT(AE7:AE$605, $I6:$I$604) / $I6</f>
        <v>0</v>
      </c>
      <c r="AI6" s="46">
        <f t="shared" ref="AI6:AI69" si="5">IF(E6&gt;Mat_Year,0, -Sum_Assured)</f>
        <v>-47000</v>
      </c>
      <c r="AJ6" s="46">
        <f>IF(E6&gt;Mat_Year,0,  -SUM($AD$5:AD6))</f>
        <v>-9306</v>
      </c>
      <c r="AK6" s="24">
        <f>AJ6*X6</f>
        <v>-0.29430225000000004</v>
      </c>
      <c r="AL6" s="79">
        <f>AI6*Y6</f>
        <v>0</v>
      </c>
      <c r="AM6" s="24">
        <f>IF($W6 = 0, 0, AN6/$W6)</f>
        <v>-0.29430225000000004</v>
      </c>
      <c r="AN6" s="79">
        <f>SUM(AK6:AL6)</f>
        <v>-0.29430225000000004</v>
      </c>
      <c r="AO6" s="15">
        <f>IF($W6 = 0, 0, AP6/$W6)</f>
        <v>-8187.1551165938718</v>
      </c>
      <c r="AP6" s="46">
        <f>SUMPRODUCT(AN7:AN$605, $I7:$I$605) / $I6</f>
        <v>-8187.1551165938718</v>
      </c>
      <c r="AR6" s="46">
        <v>0</v>
      </c>
      <c r="AS6" s="46">
        <v>0</v>
      </c>
      <c r="AT6" s="46">
        <v>0</v>
      </c>
      <c r="AU6" s="95">
        <f t="shared" ref="AU6:AU69" si="6">IF(E6&gt;Mat_Year,0,
-Exp_Main/12 * (1+Exp_Main_Infl_Reserve)^(A5))</f>
        <v>-1.7448750000000002</v>
      </c>
      <c r="AV6" s="47">
        <f t="shared" ref="AV6:AV69" si="7">PAD_Res_Exp_Main</f>
        <v>0.1</v>
      </c>
      <c r="AW6" s="96">
        <f>AU6*(1+AV6)</f>
        <v>-1.9193625000000003</v>
      </c>
      <c r="AX6" s="95">
        <f t="shared" ref="AX6:AX69" si="8">IF(E6&gt;Mat_Year,0,
-Exp_Claim* (1+Exp_Main_Infl_Reserve)^(A5))</f>
        <v>-20.007899999999999</v>
      </c>
      <c r="AY6" s="11">
        <f t="shared" ref="AY6:AY69" si="9">PAD_Res_Exp_Claim</f>
        <v>0.1</v>
      </c>
      <c r="AZ6" s="96">
        <f>AX6*(1+AY6)</f>
        <v>-22.008690000000001</v>
      </c>
      <c r="BA6" s="95">
        <f>AW6*$W6</f>
        <v>-1.9193625000000003</v>
      </c>
      <c r="BB6" s="64">
        <f>AZ6*SUM(X6:Y6)</f>
        <v>-6.9602482125000014E-4</v>
      </c>
      <c r="BC6" s="95">
        <f>IF($W6 = 0, 0, BE6/$W6)</f>
        <v>-1.9193625000000003</v>
      </c>
      <c r="BD6" s="96">
        <f>IF($W6 = 0, 0, BF6/$W6)</f>
        <v>-6.9602482125000014E-4</v>
      </c>
      <c r="BE6" s="96">
        <f>SUM(AT6,BA6)</f>
        <v>-1.9193625000000003</v>
      </c>
      <c r="BF6" s="96">
        <f>SUM(BB6)</f>
        <v>-6.9602482125000014E-4</v>
      </c>
      <c r="BG6" s="15">
        <f>IF($W6 = 0, 0, BH6/$W6)</f>
        <v>-363.82485524999055</v>
      </c>
      <c r="BH6" s="46">
        <f>(SUMPRODUCT(BE7:BE$605,$I6:$I$604)+SUMPRODUCT(BF7:BF$605,$I7:$I$605)) / $I6</f>
        <v>-363.82485524999055</v>
      </c>
      <c r="BJ6" s="46">
        <f>SUM(AE6,BE6)</f>
        <v>9304.0806374999993</v>
      </c>
      <c r="BK6" s="46">
        <f>SUM(AN6,BF6)</f>
        <v>-0.29499827482125002</v>
      </c>
      <c r="BM6" s="49">
        <f t="shared" ref="BM6:BM69" si="10">IF($AA6 = 0, 0, BN6/$AA6)</f>
        <v>8551.2504051379274</v>
      </c>
      <c r="BN6" s="50">
        <f>MAX(BN7/(1+H7) - (BJ7 + BK7/(1+H7)),0)</f>
        <v>8550.9799718438644</v>
      </c>
      <c r="BP6" s="68">
        <f>INDEX(Others!$H$11:$I$60, MATCH(C6, Others!$A$11:$A$60, 0), MATCH(BP$3, Others!$H$10:$I$10, 0))</f>
        <v>1.9718181818181822E-2</v>
      </c>
      <c r="BQ6" s="16">
        <f>(1+BP6)^(1/12) - 1</f>
        <v>1.6285159930582438E-3</v>
      </c>
      <c r="BR6" s="69">
        <f>BR5/(1+BQ6)</f>
        <v>0.99837413175937417</v>
      </c>
      <c r="BT6" s="46">
        <f>MAX(BT7/(1+BQ7) - (BJ7 + BK7/(1+BQ7)),0)</f>
        <v>9441.3202661922041</v>
      </c>
      <c r="BU6" s="49">
        <f>IF($AA6 = 0, 0, BV6/$AA6)</f>
        <v>890.36845225064212</v>
      </c>
      <c r="BV6" s="46">
        <f>BT6-BN6</f>
        <v>890.34029434833974</v>
      </c>
      <c r="BW6" s="46"/>
      <c r="BX6" s="46">
        <f>BM6+BU6</f>
        <v>9441.6188573885702</v>
      </c>
    </row>
    <row r="7" spans="1:76" x14ac:dyDescent="0.25">
      <c r="A7" s="61">
        <f t="shared" si="0"/>
        <v>0.16666666666666666</v>
      </c>
      <c r="B7" s="32">
        <f t="shared" ref="B7:B70" si="11">IF(B6=12,1,B6+1)</f>
        <v>2</v>
      </c>
      <c r="C7" s="62">
        <f t="shared" ref="C7:C70" si="12">IF(B6=12,C6+1,C6)</f>
        <v>1</v>
      </c>
      <c r="D7" s="64">
        <f t="shared" ref="D7:D70" si="13">$D$5+A7</f>
        <v>0.66666666666666663</v>
      </c>
      <c r="E7" s="28">
        <f t="shared" ref="E7:E70" si="14">INT(D7+0.001)</f>
        <v>0</v>
      </c>
      <c r="G7" s="68">
        <f>INDEX(Others!$D$11:$E$60, MATCH(C7, Others!$A$11:$A$60, 0), MATCH(G$3, Others!$D$10:$E$10, 0))</f>
        <v>2.6290909090909097E-2</v>
      </c>
      <c r="H7" s="16">
        <f t="shared" ref="H7:H70" si="15">(1+G7)^(1/12) - 1</f>
        <v>2.1649437542921035E-3</v>
      </c>
      <c r="I7" s="69">
        <f t="shared" ref="I7:I70" si="16">I6/(1+H7)</f>
        <v>0.99568413295714286</v>
      </c>
      <c r="K7" s="80">
        <f>INDEX(Mortality!$B$7:$F$32, MATCH( E7,Mortality!$A$7:$A$32, 0), MATCH( K$3,Mortality!$B$6:$F$6,0))</f>
        <v>0.33</v>
      </c>
      <c r="L7" s="11" cm="1">
        <f t="array" ref="L7">PAD_Res_Mort</f>
        <v>0.15</v>
      </c>
      <c r="M7" s="80">
        <f t="shared" ref="M7:M70" si="17">IFERROR( K7*(1+L7), 0)</f>
        <v>0.3795</v>
      </c>
      <c r="N7" s="76">
        <f>INDEX('Myopia_(Reserve)'!$H:$H, MATCH(E7, 'Myopia_(Reserve)'!$A:$A, 0)) * Trend_Factor_Reserve^(A7)</f>
        <v>0</v>
      </c>
      <c r="O7" s="11">
        <f t="shared" si="1"/>
        <v>0.3</v>
      </c>
      <c r="P7" s="80">
        <f t="shared" ref="P7:P70" si="18">IFERROR( N7*(1+O7), 0)</f>
        <v>0</v>
      </c>
      <c r="Q7" s="76">
        <f>VLOOKUP(C7,Others!$L$10:$M$61,2)</f>
        <v>0</v>
      </c>
      <c r="R7" s="11">
        <f t="shared" si="2"/>
        <v>0</v>
      </c>
      <c r="S7" s="80">
        <f t="shared" ref="S7:S70" si="19">IFERROR( Q7*(1+R7), 0)</f>
        <v>0</v>
      </c>
      <c r="T7" s="78">
        <f t="shared" ref="T7:T70" si="20">(M7/1000)/12</f>
        <v>3.1625000000000003E-5</v>
      </c>
      <c r="U7" s="81">
        <f t="shared" ref="U7:U70" si="21">(P7/1000)/12</f>
        <v>0</v>
      </c>
      <c r="V7" s="81">
        <f t="shared" ref="V7:V70" si="22">(S7/1000)/12</f>
        <v>0</v>
      </c>
      <c r="W7" s="77">
        <f t="shared" si="3"/>
        <v>0.99996837500000002</v>
      </c>
      <c r="X7" s="82">
        <f t="shared" ref="X7:X70" si="23">W7 * (T7)*(1-U7/2)</f>
        <v>3.1623999859375001E-5</v>
      </c>
      <c r="Y7" s="82">
        <f t="shared" ref="Y7:Y70" si="24">W7 * (1-T7/2)*(U7)</f>
        <v>0</v>
      </c>
      <c r="Z7" s="82">
        <f t="shared" ref="Z7:Z70" si="25">W7 * (1-T7)*(1-U7)*(V7)</f>
        <v>0</v>
      </c>
      <c r="AA7" s="82">
        <f t="shared" ref="AA7:AA70" si="26">W7-SUM(X7:Z7)</f>
        <v>0.99993675100014068</v>
      </c>
      <c r="AC7" s="46">
        <f t="shared" si="4"/>
        <v>465.3</v>
      </c>
      <c r="AD7" s="15">
        <f t="shared" ref="AD7:AD70" si="27">IF(Prem_Mode="Mth",AC7/12,
IF(B7=1, AC7, 0))</f>
        <v>0</v>
      </c>
      <c r="AE7" s="46">
        <f t="shared" ref="AE7:AE70" si="28">AD7*$W7</f>
        <v>0</v>
      </c>
      <c r="AF7" s="15">
        <f t="shared" ref="AF7:AF70" si="29">IF($W7 = 0, 0, AG7/$W7)</f>
        <v>0</v>
      </c>
      <c r="AG7" s="46">
        <f>SUMPRODUCT(AE8:AE$605, $I7:$I$604) / $I7</f>
        <v>0</v>
      </c>
      <c r="AI7" s="46">
        <f t="shared" si="5"/>
        <v>-47000</v>
      </c>
      <c r="AJ7" s="46">
        <f>IF(E7&gt;Mat_Year,0,  -SUM($AD$5:AD7))</f>
        <v>-9306</v>
      </c>
      <c r="AK7" s="24">
        <f t="shared" ref="AK7:AK70" si="30">AJ7*X7</f>
        <v>-0.29429294269134376</v>
      </c>
      <c r="AL7" s="79">
        <f t="shared" ref="AL7:AL70" si="31">AI7*Y7</f>
        <v>0</v>
      </c>
      <c r="AM7" s="24">
        <f t="shared" ref="AM7:AM70" si="32">IF($W7 = 0, 0, AN7/$W7)</f>
        <v>-0.29430224999999999</v>
      </c>
      <c r="AN7" s="79">
        <f t="shared" ref="AN7:AN70" si="33">SUM(AK7:AL7)</f>
        <v>-0.29429294269134376</v>
      </c>
      <c r="AO7" s="15">
        <f t="shared" ref="AO7:AO70" si="34">IF($W7 = 0, 0, AP7/$W7)</f>
        <v>-8204.8450322104145</v>
      </c>
      <c r="AP7" s="46">
        <f>SUMPRODUCT(AN8:AN$605, $I8:$I$605) / $I7</f>
        <v>-8204.5855539862714</v>
      </c>
      <c r="AR7" s="46">
        <v>0</v>
      </c>
      <c r="AS7" s="46">
        <v>0</v>
      </c>
      <c r="AT7" s="46">
        <v>0</v>
      </c>
      <c r="AU7" s="95">
        <f t="shared" si="6"/>
        <v>-1.7482557857127858</v>
      </c>
      <c r="AV7" s="47">
        <f t="shared" si="7"/>
        <v>0.1</v>
      </c>
      <c r="AW7" s="96">
        <f t="shared" ref="AW7:AW70" si="35">AU7*(1+AV7)</f>
        <v>-1.9230813642840645</v>
      </c>
      <c r="AX7" s="95">
        <f t="shared" si="8"/>
        <v>-20.046666342839941</v>
      </c>
      <c r="AY7" s="11">
        <f t="shared" si="9"/>
        <v>0.1</v>
      </c>
      <c r="AZ7" s="96">
        <f t="shared" ref="AZ7:AZ70" si="36">AX7*(1+AY7)</f>
        <v>-22.051332977123938</v>
      </c>
      <c r="BA7" s="95">
        <f t="shared" ref="BA7:BA70" si="37">AW7*$W7</f>
        <v>-1.9230205468359192</v>
      </c>
      <c r="BB7" s="64">
        <f t="shared" ref="BB7:BB70" si="38">AZ7*SUM(X7:Y7)</f>
        <v>-6.9735135096759876E-4</v>
      </c>
      <c r="BC7" s="95">
        <f t="shared" ref="BC7:BD22" si="39">IF($W7 = 0, 0, BE7/$W7)</f>
        <v>-1.9230813642840645</v>
      </c>
      <c r="BD7" s="96">
        <f t="shared" si="39"/>
        <v>-6.9737340540154452E-4</v>
      </c>
      <c r="BE7" s="96">
        <f t="shared" ref="BE7:BE70" si="40">SUM(AT7,BA7)</f>
        <v>-1.9230205468359192</v>
      </c>
      <c r="BF7" s="96">
        <f t="shared" ref="BF7:BF70" si="41">SUM(BB7)</f>
        <v>-6.9735135096759876E-4</v>
      </c>
      <c r="BG7" s="15">
        <f t="shared" ref="BG7:BG70" si="42">IF($W7 = 0, 0, BH7/$W7)</f>
        <v>-362.69610473282336</v>
      </c>
      <c r="BH7" s="46">
        <f>(SUMPRODUCT(BE8:BE$605,$I7:$I$604)+SUMPRODUCT(BF8:BF$605,$I8:$I$605)) / $I7</f>
        <v>-362.68463446851121</v>
      </c>
      <c r="BJ7" s="46">
        <f>SUM(AE7,BE7)</f>
        <v>-1.9230205468359192</v>
      </c>
      <c r="BK7" s="46">
        <f t="shared" ref="BK7:BK70" si="43">SUM(AN7,BF7)</f>
        <v>-0.29499029404231136</v>
      </c>
      <c r="BM7" s="49">
        <f t="shared" si="10"/>
        <v>8567.812094000712</v>
      </c>
      <c r="BN7" s="50">
        <f t="shared" ref="BN7:BN70" si="44">MAX(BN8/(1+H8) - (BJ8 + BK8/(1+H8)),0)</f>
        <v>8567.2701884547841</v>
      </c>
      <c r="BP7" s="68">
        <f>INDEX(Others!$H$11:$I$60, MATCH(C7, Others!$A$11:$A$60, 0), MATCH(BP$3, Others!$H$10:$I$10, 0))</f>
        <v>1.9718181818181822E-2</v>
      </c>
      <c r="BQ7" s="16">
        <f t="shared" ref="BQ7:BQ70" si="45">(1+BP7)^(1/12) - 1</f>
        <v>1.6285159930582438E-3</v>
      </c>
      <c r="BR7" s="69">
        <f t="shared" ref="BR7:BR70" si="46">BR6/(1+BQ7)</f>
        <v>0.99675090696628432</v>
      </c>
      <c r="BT7" s="46">
        <f t="shared" ref="BT7:BT70" si="47">MAX(BT8/(1+BQ8) - (BJ8 + BK8/(1+BQ8)),0)</f>
        <v>9454.4744647306889</v>
      </c>
      <c r="BU7" s="49">
        <f>IF($AA7 = 0, 0, BV7/$AA7)</f>
        <v>887.26039460847846</v>
      </c>
      <c r="BV7" s="46">
        <f t="shared" ref="BV7" si="48">BT7-BN7</f>
        <v>887.2042762759047</v>
      </c>
      <c r="BW7" s="46"/>
      <c r="BX7" s="46">
        <f t="shared" ref="BX7" si="49">BM7+BU7</f>
        <v>9455.0724886091903</v>
      </c>
    </row>
    <row r="8" spans="1:76" x14ac:dyDescent="0.25">
      <c r="A8" s="61">
        <f t="shared" si="0"/>
        <v>0.25</v>
      </c>
      <c r="B8" s="32">
        <f t="shared" si="11"/>
        <v>3</v>
      </c>
      <c r="C8" s="62">
        <f t="shared" si="12"/>
        <v>1</v>
      </c>
      <c r="D8" s="64">
        <f t="shared" si="13"/>
        <v>0.75</v>
      </c>
      <c r="E8" s="28">
        <f t="shared" si="14"/>
        <v>0</v>
      </c>
      <c r="G8" s="68">
        <f>INDEX(Others!$D$11:$E$60, MATCH(C8, Others!$A$11:$A$60, 0), MATCH(G$3, Others!$D$10:$E$10, 0))</f>
        <v>2.6290909090909097E-2</v>
      </c>
      <c r="H8" s="16">
        <f t="shared" si="15"/>
        <v>2.1649437542921035E-3</v>
      </c>
      <c r="I8" s="69">
        <f t="shared" si="16"/>
        <v>0.9935331894838878</v>
      </c>
      <c r="K8" s="80">
        <f>INDEX(Mortality!$B$7:$F$32, MATCH( E8,Mortality!$A$7:$A$32, 0), MATCH( K$3,Mortality!$B$6:$F$6,0))</f>
        <v>0.33</v>
      </c>
      <c r="L8" s="11" cm="1">
        <f t="array" ref="L8">PAD_Res_Mort</f>
        <v>0.15</v>
      </c>
      <c r="M8" s="80">
        <f t="shared" si="17"/>
        <v>0.3795</v>
      </c>
      <c r="N8" s="76">
        <f>INDEX('Myopia_(Reserve)'!$H:$H, MATCH(E8, 'Myopia_(Reserve)'!$A:$A, 0)) * Trend_Factor_Reserve^(A8)</f>
        <v>0</v>
      </c>
      <c r="O8" s="11">
        <f t="shared" si="1"/>
        <v>0.3</v>
      </c>
      <c r="P8" s="80">
        <f t="shared" si="18"/>
        <v>0</v>
      </c>
      <c r="Q8" s="76">
        <f>VLOOKUP(C8,Others!$L$10:$M$61,2)</f>
        <v>0</v>
      </c>
      <c r="R8" s="11">
        <f t="shared" si="2"/>
        <v>0</v>
      </c>
      <c r="S8" s="80">
        <f t="shared" si="19"/>
        <v>0</v>
      </c>
      <c r="T8" s="78">
        <f t="shared" si="20"/>
        <v>3.1625000000000003E-5</v>
      </c>
      <c r="U8" s="81">
        <f t="shared" si="21"/>
        <v>0</v>
      </c>
      <c r="V8" s="81">
        <f t="shared" si="22"/>
        <v>0</v>
      </c>
      <c r="W8" s="77">
        <f t="shared" si="3"/>
        <v>0.99993675100014068</v>
      </c>
      <c r="X8" s="82">
        <f t="shared" si="23"/>
        <v>3.162299975037945E-5</v>
      </c>
      <c r="Y8" s="82">
        <f t="shared" si="24"/>
        <v>0</v>
      </c>
      <c r="Z8" s="82">
        <f t="shared" si="25"/>
        <v>0</v>
      </c>
      <c r="AA8" s="82">
        <f t="shared" si="26"/>
        <v>0.99990512800039033</v>
      </c>
      <c r="AC8" s="46">
        <f t="shared" si="4"/>
        <v>465.3</v>
      </c>
      <c r="AD8" s="15">
        <f t="shared" si="27"/>
        <v>0</v>
      </c>
      <c r="AE8" s="46">
        <f t="shared" si="28"/>
        <v>0</v>
      </c>
      <c r="AF8" s="15">
        <f t="shared" si="29"/>
        <v>0</v>
      </c>
      <c r="AG8" s="46">
        <f>SUMPRODUCT(AE9:AE$605, $I8:$I$604) / $I8</f>
        <v>0</v>
      </c>
      <c r="AI8" s="46">
        <f t="shared" si="5"/>
        <v>-47000</v>
      </c>
      <c r="AJ8" s="46">
        <f>IF(E8&gt;Mat_Year,0,  -SUM($AD$5:AD8))</f>
        <v>-9306</v>
      </c>
      <c r="AK8" s="24">
        <f t="shared" si="30"/>
        <v>-0.29428363567703114</v>
      </c>
      <c r="AL8" s="79">
        <f t="shared" si="31"/>
        <v>0</v>
      </c>
      <c r="AM8" s="24">
        <f t="shared" si="32"/>
        <v>-0.29430224999999999</v>
      </c>
      <c r="AN8" s="79">
        <f t="shared" si="33"/>
        <v>-0.29428363567703114</v>
      </c>
      <c r="AO8" s="15">
        <f t="shared" si="34"/>
        <v>-8222.573806171762</v>
      </c>
      <c r="AP8" s="46">
        <f>SUMPRODUCT(AN9:AN$605, $I9:$I$605) / $I8</f>
        <v>-8222.0537366022527</v>
      </c>
      <c r="AR8" s="46">
        <v>0</v>
      </c>
      <c r="AS8" s="46">
        <v>0</v>
      </c>
      <c r="AT8" s="46">
        <v>0</v>
      </c>
      <c r="AU8" s="95">
        <f t="shared" si="6"/>
        <v>-1.7516431218730451</v>
      </c>
      <c r="AV8" s="47">
        <f t="shared" si="7"/>
        <v>0.1</v>
      </c>
      <c r="AW8" s="96">
        <f t="shared" si="35"/>
        <v>-1.9268074340603498</v>
      </c>
      <c r="AX8" s="95">
        <f t="shared" si="8"/>
        <v>-20.085507797477582</v>
      </c>
      <c r="AY8" s="11">
        <f t="shared" si="9"/>
        <v>0.1</v>
      </c>
      <c r="AZ8" s="96">
        <f t="shared" si="36"/>
        <v>-22.094058577225343</v>
      </c>
      <c r="BA8" s="95">
        <f t="shared" si="37"/>
        <v>-1.9266855654172239</v>
      </c>
      <c r="BB8" s="64">
        <f t="shared" si="38"/>
        <v>-6.9868040887246597E-4</v>
      </c>
      <c r="BC8" s="95">
        <f t="shared" si="39"/>
        <v>-1.9268074340603498</v>
      </c>
      <c r="BD8" s="96">
        <f t="shared" si="39"/>
        <v>-6.9872460250475145E-4</v>
      </c>
      <c r="BE8" s="96">
        <f t="shared" si="40"/>
        <v>-1.9266855654172239</v>
      </c>
      <c r="BF8" s="96">
        <f t="shared" si="41"/>
        <v>-6.9868040887246597E-4</v>
      </c>
      <c r="BG8" s="15">
        <f t="shared" si="42"/>
        <v>-361.56113927142093</v>
      </c>
      <c r="BH8" s="46">
        <f>(SUMPRODUCT(BE9:BE$605,$I8:$I$604)+SUMPRODUCT(BF9:BF$605,$I9:$I$605)) / $I8</f>
        <v>-361.53827089097399</v>
      </c>
      <c r="BJ8" s="46">
        <f>SUM(AE8,BE8)</f>
        <v>-1.9266855654172239</v>
      </c>
      <c r="BK8" s="46">
        <f t="shared" si="43"/>
        <v>-0.29498231608590358</v>
      </c>
      <c r="BM8" s="49">
        <f t="shared" si="10"/>
        <v>8584.4064272964479</v>
      </c>
      <c r="BN8" s="50">
        <f t="shared" si="44"/>
        <v>8583.5920074932274</v>
      </c>
      <c r="BP8" s="68">
        <f>INDEX(Others!$H$11:$I$60, MATCH(C8, Others!$A$11:$A$60, 0), MATCH(BP$3, Others!$H$10:$I$10, 0))</f>
        <v>1.9718181818181822E-2</v>
      </c>
      <c r="BQ8" s="16">
        <f t="shared" si="45"/>
        <v>1.6285159930582438E-3</v>
      </c>
      <c r="BR8" s="69">
        <f t="shared" si="46"/>
        <v>0.99513032132283286</v>
      </c>
      <c r="BT8" s="46">
        <f t="shared" si="47"/>
        <v>9467.6464220827038</v>
      </c>
      <c r="BU8" s="49">
        <f t="shared" ref="BU8:BU69" si="50">IF($AA8 = 0, 0, BV8/$AA8)</f>
        <v>884.13829455741256</v>
      </c>
      <c r="BV8" s="46">
        <f t="shared" ref="BV8:BV71" si="51">BT8-BN8</f>
        <v>884.05441458947644</v>
      </c>
      <c r="BW8" s="46"/>
      <c r="BX8" s="46">
        <f t="shared" ref="BX8:BX71" si="52">BM8+BU8</f>
        <v>9468.5447218538611</v>
      </c>
    </row>
    <row r="9" spans="1:76" x14ac:dyDescent="0.25">
      <c r="A9" s="61">
        <f t="shared" si="0"/>
        <v>0.33333333333333331</v>
      </c>
      <c r="B9" s="32">
        <f t="shared" si="11"/>
        <v>4</v>
      </c>
      <c r="C9" s="62">
        <f t="shared" si="12"/>
        <v>1</v>
      </c>
      <c r="D9" s="64">
        <f t="shared" si="13"/>
        <v>0.83333333333333326</v>
      </c>
      <c r="E9" s="28">
        <f t="shared" si="14"/>
        <v>0</v>
      </c>
      <c r="G9" s="68">
        <f>INDEX(Others!$D$11:$E$60, MATCH(C9, Others!$A$11:$A$60, 0), MATCH(G$3, Others!$D$10:$E$10, 0))</f>
        <v>2.6290909090909097E-2</v>
      </c>
      <c r="H9" s="16">
        <f t="shared" si="15"/>
        <v>2.1649437542921035E-3</v>
      </c>
      <c r="I9" s="69">
        <f t="shared" si="16"/>
        <v>0.99138689262261737</v>
      </c>
      <c r="K9" s="80">
        <f>INDEX(Mortality!$B$7:$F$32, MATCH( E9,Mortality!$A$7:$A$32, 0), MATCH( K$3,Mortality!$B$6:$F$6,0))</f>
        <v>0.33</v>
      </c>
      <c r="L9" s="11" cm="1">
        <f t="array" ref="L9">PAD_Res_Mort</f>
        <v>0.15</v>
      </c>
      <c r="M9" s="80">
        <f t="shared" si="17"/>
        <v>0.3795</v>
      </c>
      <c r="N9" s="76">
        <f>INDEX('Myopia_(Reserve)'!$H:$H, MATCH(E9, 'Myopia_(Reserve)'!$A:$A, 0)) * Trend_Factor_Reserve^(A9)</f>
        <v>0</v>
      </c>
      <c r="O9" s="11">
        <f t="shared" si="1"/>
        <v>0.3</v>
      </c>
      <c r="P9" s="80">
        <f t="shared" si="18"/>
        <v>0</v>
      </c>
      <c r="Q9" s="76">
        <f>VLOOKUP(C9,Others!$L$10:$M$61,2)</f>
        <v>0</v>
      </c>
      <c r="R9" s="11">
        <f t="shared" si="2"/>
        <v>0</v>
      </c>
      <c r="S9" s="80">
        <f t="shared" si="19"/>
        <v>0</v>
      </c>
      <c r="T9" s="78">
        <f t="shared" si="20"/>
        <v>3.1625000000000003E-5</v>
      </c>
      <c r="U9" s="81">
        <f t="shared" si="21"/>
        <v>0</v>
      </c>
      <c r="V9" s="81">
        <f t="shared" si="22"/>
        <v>0</v>
      </c>
      <c r="W9" s="77">
        <f t="shared" si="3"/>
        <v>0.99990512800039033</v>
      </c>
      <c r="X9" s="82">
        <f t="shared" si="23"/>
        <v>3.1621999673012346E-5</v>
      </c>
      <c r="Y9" s="82">
        <f t="shared" si="24"/>
        <v>0</v>
      </c>
      <c r="Z9" s="82">
        <f t="shared" si="25"/>
        <v>0</v>
      </c>
      <c r="AA9" s="82">
        <f t="shared" si="26"/>
        <v>0.99987350600071734</v>
      </c>
      <c r="AC9" s="46">
        <f t="shared" si="4"/>
        <v>465.3</v>
      </c>
      <c r="AD9" s="15">
        <f t="shared" si="27"/>
        <v>0</v>
      </c>
      <c r="AE9" s="46">
        <f t="shared" si="28"/>
        <v>0</v>
      </c>
      <c r="AF9" s="15">
        <f t="shared" si="29"/>
        <v>0</v>
      </c>
      <c r="AG9" s="46">
        <f>SUMPRODUCT(AE10:AE$605, $I9:$I$604) / $I9</f>
        <v>0</v>
      </c>
      <c r="AI9" s="46">
        <f t="shared" si="5"/>
        <v>-47000</v>
      </c>
      <c r="AJ9" s="46">
        <f>IF(E9&gt;Mat_Year,0,  -SUM($AD$5:AD9))</f>
        <v>-9306</v>
      </c>
      <c r="AK9" s="24">
        <f t="shared" si="30"/>
        <v>-0.29427432895705291</v>
      </c>
      <c r="AL9" s="79">
        <f t="shared" si="31"/>
        <v>0</v>
      </c>
      <c r="AM9" s="24">
        <f t="shared" si="32"/>
        <v>-0.29430225000000004</v>
      </c>
      <c r="AN9" s="79">
        <f t="shared" si="33"/>
        <v>-0.29427432895705291</v>
      </c>
      <c r="AO9" s="15">
        <f t="shared" si="34"/>
        <v>-8240.3415238356392</v>
      </c>
      <c r="AP9" s="46">
        <f>SUMPRODUCT(AN10:AN$605, $I10:$I$605) / $I9</f>
        <v>-8239.5597461578072</v>
      </c>
      <c r="AR9" s="46">
        <v>0</v>
      </c>
      <c r="AS9" s="46">
        <v>0</v>
      </c>
      <c r="AT9" s="46">
        <v>0</v>
      </c>
      <c r="AU9" s="95">
        <f t="shared" si="6"/>
        <v>-1.7550370211726098</v>
      </c>
      <c r="AV9" s="47">
        <f t="shared" si="7"/>
        <v>0.1</v>
      </c>
      <c r="AW9" s="96">
        <f t="shared" si="35"/>
        <v>-1.930540723289871</v>
      </c>
      <c r="AX9" s="95">
        <f t="shared" si="8"/>
        <v>-20.124424509445923</v>
      </c>
      <c r="AY9" s="11">
        <f t="shared" si="9"/>
        <v>0.1</v>
      </c>
      <c r="AZ9" s="96">
        <f t="shared" si="36"/>
        <v>-22.136866960390517</v>
      </c>
      <c r="BA9" s="95">
        <f t="shared" si="37"/>
        <v>-1.9303575690311245</v>
      </c>
      <c r="BB9" s="64">
        <f t="shared" si="38"/>
        <v>-7.0001199978298671E-4</v>
      </c>
      <c r="BC9" s="95">
        <f t="shared" si="39"/>
        <v>-1.930540723289871</v>
      </c>
      <c r="BD9" s="96">
        <f t="shared" si="39"/>
        <v>-7.0007841762235014E-4</v>
      </c>
      <c r="BE9" s="96">
        <f t="shared" si="40"/>
        <v>-1.9303575690311245</v>
      </c>
      <c r="BF9" s="96">
        <f t="shared" si="41"/>
        <v>-7.0001199978298671E-4</v>
      </c>
      <c r="BG9" s="15">
        <f t="shared" si="42"/>
        <v>-360.41993797609848</v>
      </c>
      <c r="BH9" s="46">
        <f>(SUMPRODUCT(BE10:BE$605,$I9:$I$604)+SUMPRODUCT(BF10:BF$605,$I10:$I$605)) / $I9</f>
        <v>-360.38574421588351</v>
      </c>
      <c r="BJ9" s="46">
        <f t="shared" ref="BJ9:BJ70" si="53">SUM(AE9,BE9)</f>
        <v>-1.9303575690311245</v>
      </c>
      <c r="BK9" s="46">
        <f>SUM(AN9,BF9)</f>
        <v>-0.29497434095683589</v>
      </c>
      <c r="BM9" s="49">
        <f t="shared" si="10"/>
        <v>8601.0334694952126</v>
      </c>
      <c r="BN9" s="50">
        <f t="shared" si="44"/>
        <v>8599.9454903736914</v>
      </c>
      <c r="BP9" s="68">
        <f>INDEX(Others!$H$11:$I$60, MATCH(C9, Others!$A$11:$A$60, 0), MATCH(BP$3, Others!$H$10:$I$10, 0))</f>
        <v>1.9718181818181822E-2</v>
      </c>
      <c r="BQ9" s="16">
        <f t="shared" si="45"/>
        <v>1.6285159930582438E-3</v>
      </c>
      <c r="BR9" s="69">
        <f t="shared" si="46"/>
        <v>0.99351237053811037</v>
      </c>
      <c r="BT9" s="46">
        <f t="shared" si="47"/>
        <v>9480.8361601695251</v>
      </c>
      <c r="BU9" s="49">
        <f t="shared" si="50"/>
        <v>881.00211127626551</v>
      </c>
      <c r="BV9" s="46">
        <f t="shared" si="51"/>
        <v>880.89066979583367</v>
      </c>
      <c r="BW9" s="46"/>
      <c r="BX9" s="46">
        <f t="shared" si="52"/>
        <v>9482.0355807714786</v>
      </c>
    </row>
    <row r="10" spans="1:76" x14ac:dyDescent="0.25">
      <c r="A10" s="61">
        <f t="shared" si="0"/>
        <v>0.41666666666666663</v>
      </c>
      <c r="B10" s="32">
        <f t="shared" si="11"/>
        <v>5</v>
      </c>
      <c r="C10" s="62">
        <f t="shared" si="12"/>
        <v>1</v>
      </c>
      <c r="D10" s="64">
        <f t="shared" si="13"/>
        <v>0.91666666666666663</v>
      </c>
      <c r="E10" s="28">
        <f t="shared" si="14"/>
        <v>0</v>
      </c>
      <c r="G10" s="68">
        <f>INDEX(Others!$D$11:$E$60, MATCH(C10, Others!$A$11:$A$60, 0), MATCH(G$3, Others!$D$10:$E$10, 0))</f>
        <v>2.6290909090909097E-2</v>
      </c>
      <c r="H10" s="16">
        <f t="shared" si="15"/>
        <v>2.1649437542921035E-3</v>
      </c>
      <c r="I10" s="69">
        <f t="shared" si="16"/>
        <v>0.98924523233540962</v>
      </c>
      <c r="K10" s="80">
        <f>INDEX(Mortality!$B$7:$F$32, MATCH( E10,Mortality!$A$7:$A$32, 0), MATCH( K$3,Mortality!$B$6:$F$6,0))</f>
        <v>0.33</v>
      </c>
      <c r="L10" s="11" cm="1">
        <f t="array" ref="L10">PAD_Res_Mort</f>
        <v>0.15</v>
      </c>
      <c r="M10" s="80">
        <f t="shared" si="17"/>
        <v>0.3795</v>
      </c>
      <c r="N10" s="76">
        <f>INDEX('Myopia_(Reserve)'!$H:$H, MATCH(E10, 'Myopia_(Reserve)'!$A:$A, 0)) * Trend_Factor_Reserve^(A10)</f>
        <v>0</v>
      </c>
      <c r="O10" s="11">
        <f t="shared" si="1"/>
        <v>0.3</v>
      </c>
      <c r="P10" s="80">
        <f t="shared" si="18"/>
        <v>0</v>
      </c>
      <c r="Q10" s="76">
        <f>VLOOKUP(C10,Others!$L$10:$M$61,2)</f>
        <v>0</v>
      </c>
      <c r="R10" s="11">
        <f t="shared" si="2"/>
        <v>0</v>
      </c>
      <c r="S10" s="80">
        <f t="shared" si="19"/>
        <v>0</v>
      </c>
      <c r="T10" s="78">
        <f t="shared" si="20"/>
        <v>3.1625000000000003E-5</v>
      </c>
      <c r="U10" s="81">
        <f t="shared" si="21"/>
        <v>0</v>
      </c>
      <c r="V10" s="81">
        <f t="shared" si="22"/>
        <v>0</v>
      </c>
      <c r="W10" s="77">
        <f t="shared" si="3"/>
        <v>0.99987350600071734</v>
      </c>
      <c r="X10" s="82">
        <f t="shared" si="23"/>
        <v>3.1620999627272687E-5</v>
      </c>
      <c r="Y10" s="82">
        <f t="shared" si="24"/>
        <v>0</v>
      </c>
      <c r="Z10" s="82">
        <f t="shared" si="25"/>
        <v>0</v>
      </c>
      <c r="AA10" s="82">
        <f t="shared" si="26"/>
        <v>0.99984188500109006</v>
      </c>
      <c r="AC10" s="46">
        <f t="shared" si="4"/>
        <v>465.3</v>
      </c>
      <c r="AD10" s="15">
        <f t="shared" si="27"/>
        <v>0</v>
      </c>
      <c r="AE10" s="46">
        <f t="shared" si="28"/>
        <v>0</v>
      </c>
      <c r="AF10" s="15">
        <f t="shared" si="29"/>
        <v>0</v>
      </c>
      <c r="AG10" s="46">
        <f>SUMPRODUCT(AE11:AE$605, $I10:$I$604) / $I10</f>
        <v>0</v>
      </c>
      <c r="AI10" s="46">
        <f t="shared" si="5"/>
        <v>-47000</v>
      </c>
      <c r="AJ10" s="46">
        <f>IF(E10&gt;Mat_Year,0,  -SUM($AD$5:AD10))</f>
        <v>-9306</v>
      </c>
      <c r="AK10" s="24">
        <f t="shared" si="30"/>
        <v>-0.29426502253139963</v>
      </c>
      <c r="AL10" s="79">
        <f t="shared" si="31"/>
        <v>0</v>
      </c>
      <c r="AM10" s="24">
        <f t="shared" si="32"/>
        <v>-0.29430225000000004</v>
      </c>
      <c r="AN10" s="79">
        <f t="shared" si="33"/>
        <v>-0.29426502253139963</v>
      </c>
      <c r="AO10" s="15">
        <f t="shared" si="34"/>
        <v>-8258.1482707472715</v>
      </c>
      <c r="AP10" s="46">
        <f>SUMPRODUCT(AN11:AN$605, $I11:$I$605) / $I10</f>
        <v>-8257.1036645458353</v>
      </c>
      <c r="AR10" s="46">
        <v>0</v>
      </c>
      <c r="AS10" s="46">
        <v>0</v>
      </c>
      <c r="AT10" s="46">
        <v>0</v>
      </c>
      <c r="AU10" s="95">
        <f t="shared" si="6"/>
        <v>-1.7584374963279019</v>
      </c>
      <c r="AV10" s="47">
        <f t="shared" si="7"/>
        <v>0.1</v>
      </c>
      <c r="AW10" s="96">
        <f t="shared" si="35"/>
        <v>-1.9342812459606922</v>
      </c>
      <c r="AX10" s="95">
        <f t="shared" si="8"/>
        <v>-20.16341662455994</v>
      </c>
      <c r="AY10" s="11">
        <f t="shared" si="9"/>
        <v>0.1</v>
      </c>
      <c r="AZ10" s="96">
        <f t="shared" si="36"/>
        <v>-22.179758287015936</v>
      </c>
      <c r="BA10" s="95">
        <f t="shared" si="37"/>
        <v>-1.9340365709901532</v>
      </c>
      <c r="BB10" s="64">
        <f t="shared" si="38"/>
        <v>-7.0134612852672923E-4</v>
      </c>
      <c r="BC10" s="95">
        <f t="shared" si="39"/>
        <v>-1.9342812459606922</v>
      </c>
      <c r="BD10" s="96">
        <f t="shared" si="39"/>
        <v>-7.01434855826879E-4</v>
      </c>
      <c r="BE10" s="96">
        <f t="shared" si="40"/>
        <v>-1.9340365709901532</v>
      </c>
      <c r="BF10" s="96">
        <f t="shared" si="41"/>
        <v>-7.0134612852672923E-4</v>
      </c>
      <c r="BG10" s="15">
        <f t="shared" si="42"/>
        <v>-359.27247989726027</v>
      </c>
      <c r="BH10" s="46">
        <f>(SUMPRODUCT(BE11:BE$605,$I10:$I$604)+SUMPRODUCT(BF11:BF$605,$I11:$I$605)) / $I10</f>
        <v>-359.22703408444585</v>
      </c>
      <c r="BJ10" s="46">
        <f t="shared" si="53"/>
        <v>-1.9340365709901532</v>
      </c>
      <c r="BK10" s="46">
        <f t="shared" si="43"/>
        <v>-0.29496636865992637</v>
      </c>
      <c r="BM10" s="49">
        <f t="shared" si="10"/>
        <v>8617.6932851946785</v>
      </c>
      <c r="BN10" s="50">
        <f t="shared" si="44"/>
        <v>8616.3306986302832</v>
      </c>
      <c r="BP10" s="68">
        <f>INDEX(Others!$H$11:$I$60, MATCH(C10, Others!$A$11:$A$60, 0), MATCH(BP$3, Others!$H$10:$I$10, 0))</f>
        <v>1.9718181818181822E-2</v>
      </c>
      <c r="BQ10" s="16">
        <f t="shared" si="45"/>
        <v>1.6285159930582438E-3</v>
      </c>
      <c r="BR10" s="69">
        <f t="shared" si="46"/>
        <v>0.99189705032818365</v>
      </c>
      <c r="BT10" s="46">
        <f t="shared" si="47"/>
        <v>9494.0437009347897</v>
      </c>
      <c r="BU10" s="49">
        <f t="shared" si="50"/>
        <v>877.85180384151397</v>
      </c>
      <c r="BV10" s="46">
        <f t="shared" si="51"/>
        <v>877.71300230450652</v>
      </c>
      <c r="BW10" s="46"/>
      <c r="BX10" s="46">
        <f t="shared" si="52"/>
        <v>9495.5450890361917</v>
      </c>
    </row>
    <row r="11" spans="1:76" x14ac:dyDescent="0.25">
      <c r="A11" s="61">
        <f t="shared" si="0"/>
        <v>0.49999999999999994</v>
      </c>
      <c r="B11" s="32">
        <f t="shared" si="11"/>
        <v>6</v>
      </c>
      <c r="C11" s="62">
        <f t="shared" si="12"/>
        <v>1</v>
      </c>
      <c r="D11" s="64">
        <f t="shared" si="13"/>
        <v>1</v>
      </c>
      <c r="E11" s="28">
        <f t="shared" si="14"/>
        <v>1</v>
      </c>
      <c r="G11" s="68">
        <f>INDEX(Others!$D$11:$E$60, MATCH(C11, Others!$A$11:$A$60, 0), MATCH(G$3, Others!$D$10:$E$10, 0))</f>
        <v>2.6290909090909097E-2</v>
      </c>
      <c r="H11" s="16">
        <f t="shared" si="15"/>
        <v>2.1649437542921035E-3</v>
      </c>
      <c r="I11" s="69">
        <f t="shared" si="16"/>
        <v>0.98710819860602694</v>
      </c>
      <c r="K11" s="80">
        <f>INDEX(Mortality!$B$7:$F$32, MATCH( E11,Mortality!$A$7:$A$32, 0), MATCH( K$3,Mortality!$B$6:$F$6,0))</f>
        <v>0.33</v>
      </c>
      <c r="L11" s="11" cm="1">
        <f t="array" ref="L11">PAD_Res_Mort</f>
        <v>0.15</v>
      </c>
      <c r="M11" s="80">
        <f t="shared" si="17"/>
        <v>0.3795</v>
      </c>
      <c r="N11" s="76">
        <f>INDEX('Myopia_(Reserve)'!$H:$H, MATCH(E11, 'Myopia_(Reserve)'!$A:$A, 0)) * Trend_Factor_Reserve^(A11)</f>
        <v>0</v>
      </c>
      <c r="O11" s="11">
        <f t="shared" si="1"/>
        <v>0.3</v>
      </c>
      <c r="P11" s="80">
        <f t="shared" si="18"/>
        <v>0</v>
      </c>
      <c r="Q11" s="76">
        <f>VLOOKUP(C11,Others!$L$10:$M$61,2)</f>
        <v>0</v>
      </c>
      <c r="R11" s="11">
        <f t="shared" si="2"/>
        <v>0</v>
      </c>
      <c r="S11" s="80">
        <f t="shared" si="19"/>
        <v>0</v>
      </c>
      <c r="T11" s="78">
        <f t="shared" si="20"/>
        <v>3.1625000000000003E-5</v>
      </c>
      <c r="U11" s="81">
        <f t="shared" si="21"/>
        <v>0</v>
      </c>
      <c r="V11" s="81">
        <f t="shared" si="22"/>
        <v>0</v>
      </c>
      <c r="W11" s="77">
        <f t="shared" si="3"/>
        <v>0.99984188500109006</v>
      </c>
      <c r="X11" s="82">
        <f t="shared" si="23"/>
        <v>3.1619999613159476E-5</v>
      </c>
      <c r="Y11" s="82">
        <f t="shared" si="24"/>
        <v>0</v>
      </c>
      <c r="Z11" s="82">
        <f t="shared" si="25"/>
        <v>0</v>
      </c>
      <c r="AA11" s="82">
        <f t="shared" si="26"/>
        <v>0.99981026500147685</v>
      </c>
      <c r="AC11" s="46">
        <f t="shared" si="4"/>
        <v>465.3</v>
      </c>
      <c r="AD11" s="15">
        <f t="shared" si="27"/>
        <v>0</v>
      </c>
      <c r="AE11" s="46">
        <f t="shared" si="28"/>
        <v>0</v>
      </c>
      <c r="AF11" s="15">
        <f t="shared" si="29"/>
        <v>0</v>
      </c>
      <c r="AG11" s="46">
        <f>SUMPRODUCT(AE12:AE$605, $I11:$I$604) / $I11</f>
        <v>0</v>
      </c>
      <c r="AI11" s="46">
        <f t="shared" si="5"/>
        <v>-47000</v>
      </c>
      <c r="AJ11" s="46">
        <f>IF(E11&gt;Mat_Year,0,  -SUM($AD$5:AD11))</f>
        <v>-9306</v>
      </c>
      <c r="AK11" s="24">
        <f t="shared" si="30"/>
        <v>-0.2942557164000621</v>
      </c>
      <c r="AL11" s="79">
        <f t="shared" si="31"/>
        <v>0</v>
      </c>
      <c r="AM11" s="24">
        <f t="shared" si="32"/>
        <v>-0.29430225000000004</v>
      </c>
      <c r="AN11" s="79">
        <f t="shared" si="33"/>
        <v>-0.2942557164000621</v>
      </c>
      <c r="AO11" s="15">
        <f t="shared" si="34"/>
        <v>-8275.9941326397984</v>
      </c>
      <c r="AP11" s="46">
        <f>SUMPRODUCT(AN12:AN$605, $I12:$I$605) / $I11</f>
        <v>-8274.6855738365375</v>
      </c>
      <c r="AR11" s="46">
        <v>0</v>
      </c>
      <c r="AS11" s="46">
        <v>0</v>
      </c>
      <c r="AT11" s="46">
        <v>0</v>
      </c>
      <c r="AU11" s="95">
        <f t="shared" si="6"/>
        <v>-1.7618445600799826</v>
      </c>
      <c r="AV11" s="47">
        <f t="shared" si="7"/>
        <v>0.1</v>
      </c>
      <c r="AW11" s="96">
        <f t="shared" si="35"/>
        <v>-1.9380290160879809</v>
      </c>
      <c r="AX11" s="95">
        <f t="shared" si="8"/>
        <v>-20.20248428891713</v>
      </c>
      <c r="AY11" s="11">
        <f t="shared" si="9"/>
        <v>0.1</v>
      </c>
      <c r="AZ11" s="96">
        <f t="shared" si="36"/>
        <v>-22.222732717808846</v>
      </c>
      <c r="BA11" s="95">
        <f t="shared" si="37"/>
        <v>-1.9377225846322148</v>
      </c>
      <c r="BB11" s="64">
        <f t="shared" si="38"/>
        <v>-7.0268279994046212E-4</v>
      </c>
      <c r="BC11" s="95">
        <f t="shared" si="39"/>
        <v>-1.9380290160879809</v>
      </c>
      <c r="BD11" s="96">
        <f t="shared" si="39"/>
        <v>-7.0279392220070475E-4</v>
      </c>
      <c r="BE11" s="96">
        <f t="shared" si="40"/>
        <v>-1.9377225846322148</v>
      </c>
      <c r="BF11" s="96">
        <f t="shared" si="41"/>
        <v>-7.0268279994046212E-4</v>
      </c>
      <c r="BG11" s="15">
        <f t="shared" si="42"/>
        <v>-358.11874402524171</v>
      </c>
      <c r="BH11" s="46">
        <f>(SUMPRODUCT(BE12:BE$605,$I11:$I$604)+SUMPRODUCT(BF12:BF$605,$I12:$I$605)) / $I11</f>
        <v>-358.06212008042053</v>
      </c>
      <c r="BJ11" s="46">
        <f t="shared" si="53"/>
        <v>-1.9377225846322148</v>
      </c>
      <c r="BK11" s="46">
        <f t="shared" si="43"/>
        <v>-0.29495839920000255</v>
      </c>
      <c r="BM11" s="49">
        <f t="shared" si="10"/>
        <v>8634.3859391203659</v>
      </c>
      <c r="BN11" s="50">
        <f t="shared" si="44"/>
        <v>8632.7476939169592</v>
      </c>
      <c r="BP11" s="68">
        <f>INDEX(Others!$H$11:$I$60, MATCH(C11, Others!$A$11:$A$60, 0), MATCH(BP$3, Others!$H$10:$I$10, 0))</f>
        <v>1.9718181818181822E-2</v>
      </c>
      <c r="BQ11" s="16">
        <f t="shared" si="45"/>
        <v>1.6285159930582438E-3</v>
      </c>
      <c r="BR11" s="69">
        <f t="shared" si="46"/>
        <v>0.9902843564160847</v>
      </c>
      <c r="BT11" s="46">
        <f t="shared" si="47"/>
        <v>9507.2690663445046</v>
      </c>
      <c r="BU11" s="49">
        <f t="shared" si="50"/>
        <v>874.68733122704396</v>
      </c>
      <c r="BV11" s="46">
        <f t="shared" si="51"/>
        <v>874.52137242754543</v>
      </c>
      <c r="BW11" s="46"/>
      <c r="BX11" s="46">
        <f t="shared" si="52"/>
        <v>9509.0732703474096</v>
      </c>
    </row>
    <row r="12" spans="1:76" x14ac:dyDescent="0.25">
      <c r="A12" s="61">
        <f t="shared" si="0"/>
        <v>0.58333333333333326</v>
      </c>
      <c r="B12" s="32">
        <f t="shared" si="11"/>
        <v>7</v>
      </c>
      <c r="C12" s="62">
        <f t="shared" si="12"/>
        <v>1</v>
      </c>
      <c r="D12" s="64">
        <f t="shared" si="13"/>
        <v>1.0833333333333333</v>
      </c>
      <c r="E12" s="28">
        <f t="shared" si="14"/>
        <v>1</v>
      </c>
      <c r="G12" s="68">
        <f>INDEX(Others!$D$11:$E$60, MATCH(C12, Others!$A$11:$A$60, 0), MATCH(G$3, Others!$D$10:$E$10, 0))</f>
        <v>2.6290909090909097E-2</v>
      </c>
      <c r="H12" s="16">
        <f t="shared" si="15"/>
        <v>2.1649437542921035E-3</v>
      </c>
      <c r="I12" s="69">
        <f t="shared" si="16"/>
        <v>0.98497578143986975</v>
      </c>
      <c r="K12" s="80">
        <f>INDEX(Mortality!$B$7:$F$32, MATCH( E12,Mortality!$A$7:$A$32, 0), MATCH( K$3,Mortality!$B$6:$F$6,0))</f>
        <v>0.33</v>
      </c>
      <c r="L12" s="11" cm="1">
        <f t="array" ref="L12">PAD_Res_Mort</f>
        <v>0.15</v>
      </c>
      <c r="M12" s="80">
        <f t="shared" si="17"/>
        <v>0.3795</v>
      </c>
      <c r="N12" s="76">
        <f>INDEX('Myopia_(Reserve)'!$H:$H, MATCH(E12, 'Myopia_(Reserve)'!$A:$A, 0)) * Trend_Factor_Reserve^(A12)</f>
        <v>0</v>
      </c>
      <c r="O12" s="11">
        <f t="shared" si="1"/>
        <v>0.3</v>
      </c>
      <c r="P12" s="80">
        <f t="shared" si="18"/>
        <v>0</v>
      </c>
      <c r="Q12" s="76">
        <f>VLOOKUP(C12,Others!$L$10:$M$61,2)</f>
        <v>0</v>
      </c>
      <c r="R12" s="11">
        <f t="shared" si="2"/>
        <v>0</v>
      </c>
      <c r="S12" s="80">
        <f t="shared" si="19"/>
        <v>0</v>
      </c>
      <c r="T12" s="78">
        <f t="shared" si="20"/>
        <v>3.1625000000000003E-5</v>
      </c>
      <c r="U12" s="81">
        <f t="shared" si="21"/>
        <v>0</v>
      </c>
      <c r="V12" s="81">
        <f t="shared" si="22"/>
        <v>0</v>
      </c>
      <c r="W12" s="77">
        <f t="shared" si="3"/>
        <v>0.99981026500147685</v>
      </c>
      <c r="X12" s="82">
        <f t="shared" si="23"/>
        <v>3.161899963067171E-5</v>
      </c>
      <c r="Y12" s="82">
        <f t="shared" si="24"/>
        <v>0</v>
      </c>
      <c r="Z12" s="82">
        <f t="shared" si="25"/>
        <v>0</v>
      </c>
      <c r="AA12" s="82">
        <f t="shared" si="26"/>
        <v>0.99977864600184618</v>
      </c>
      <c r="AC12" s="46">
        <f t="shared" si="4"/>
        <v>465.3</v>
      </c>
      <c r="AD12" s="15">
        <f t="shared" si="27"/>
        <v>0</v>
      </c>
      <c r="AE12" s="46">
        <f t="shared" si="28"/>
        <v>0</v>
      </c>
      <c r="AF12" s="15">
        <f t="shared" si="29"/>
        <v>0</v>
      </c>
      <c r="AG12" s="46">
        <f>SUMPRODUCT(AE13:AE$605, $I12:$I$604) / $I12</f>
        <v>0</v>
      </c>
      <c r="AI12" s="46">
        <f t="shared" si="5"/>
        <v>-47000</v>
      </c>
      <c r="AJ12" s="46">
        <f>IF(E12&gt;Mat_Year,0,  -SUM($AD$5:AD12))</f>
        <v>-9306</v>
      </c>
      <c r="AK12" s="24">
        <f t="shared" si="30"/>
        <v>-0.29424641056303091</v>
      </c>
      <c r="AL12" s="79">
        <f t="shared" si="31"/>
        <v>0</v>
      </c>
      <c r="AM12" s="24">
        <f t="shared" si="32"/>
        <v>-0.29430225000000004</v>
      </c>
      <c r="AN12" s="79">
        <f t="shared" si="33"/>
        <v>-0.29424641056303091</v>
      </c>
      <c r="AO12" s="15">
        <f t="shared" si="34"/>
        <v>-8293.8791954346798</v>
      </c>
      <c r="AP12" s="46">
        <f>SUMPRODUCT(AN13:AN$605, $I13:$I$605) / $I12</f>
        <v>-8292.3055562777827</v>
      </c>
      <c r="AR12" s="46">
        <v>0</v>
      </c>
      <c r="AS12" s="46">
        <v>0</v>
      </c>
      <c r="AT12" s="46">
        <v>0</v>
      </c>
      <c r="AU12" s="95">
        <f t="shared" si="6"/>
        <v>-1.7652582251945996</v>
      </c>
      <c r="AV12" s="47">
        <f t="shared" si="7"/>
        <v>0.1</v>
      </c>
      <c r="AW12" s="96">
        <f t="shared" si="35"/>
        <v>-1.9417840477140598</v>
      </c>
      <c r="AX12" s="95">
        <f t="shared" si="8"/>
        <v>-20.241627648898074</v>
      </c>
      <c r="AY12" s="11">
        <f t="shared" si="9"/>
        <v>0.1</v>
      </c>
      <c r="AZ12" s="96">
        <f t="shared" si="36"/>
        <v>-22.265790413787883</v>
      </c>
      <c r="BA12" s="95">
        <f t="shared" si="37"/>
        <v>-1.9414156233206346</v>
      </c>
      <c r="BB12" s="64">
        <f t="shared" si="38"/>
        <v>-7.0402201887017279E-4</v>
      </c>
      <c r="BC12" s="95">
        <f t="shared" si="39"/>
        <v>-1.9417840477140598</v>
      </c>
      <c r="BD12" s="96">
        <f t="shared" si="39"/>
        <v>-7.041556218360419E-4</v>
      </c>
      <c r="BE12" s="96">
        <f t="shared" si="40"/>
        <v>-1.9414156233206346</v>
      </c>
      <c r="BF12" s="96">
        <f t="shared" si="41"/>
        <v>-7.0402201887017279E-4</v>
      </c>
      <c r="BG12" s="15">
        <f t="shared" si="42"/>
        <v>-356.95870929014967</v>
      </c>
      <c r="BH12" s="46">
        <f>(SUMPRODUCT(BE13:BE$605,$I12:$I$604)+SUMPRODUCT(BF13:BF$605,$I13:$I$605)) / $I12</f>
        <v>-356.89098172996967</v>
      </c>
      <c r="BJ12" s="46">
        <f t="shared" si="53"/>
        <v>-1.9414156233206346</v>
      </c>
      <c r="BK12" s="46">
        <f t="shared" si="43"/>
        <v>-0.29495043258190107</v>
      </c>
      <c r="BM12" s="49">
        <f t="shared" si="10"/>
        <v>8651.1114961258954</v>
      </c>
      <c r="BN12" s="50">
        <f t="shared" si="44"/>
        <v>8649.1965380077527</v>
      </c>
      <c r="BP12" s="68">
        <f>INDEX(Others!$H$11:$I$60, MATCH(C12, Others!$A$11:$A$60, 0), MATCH(BP$3, Others!$H$10:$I$10, 0))</f>
        <v>1.9718181818181822E-2</v>
      </c>
      <c r="BQ12" s="16">
        <f t="shared" si="45"/>
        <v>1.6285159930582438E-3</v>
      </c>
      <c r="BR12" s="69">
        <f t="shared" si="46"/>
        <v>0.98867428453179929</v>
      </c>
      <c r="BT12" s="46">
        <f t="shared" si="47"/>
        <v>9520.5122783870611</v>
      </c>
      <c r="BU12" s="49">
        <f t="shared" si="50"/>
        <v>871.50865230392151</v>
      </c>
      <c r="BV12" s="46">
        <f t="shared" si="51"/>
        <v>871.31574037930841</v>
      </c>
      <c r="BW12" s="46"/>
      <c r="BX12" s="46">
        <f t="shared" si="52"/>
        <v>9522.6201484298163</v>
      </c>
    </row>
    <row r="13" spans="1:76" x14ac:dyDescent="0.25">
      <c r="A13" s="61">
        <f t="shared" si="0"/>
        <v>0.66666666666666663</v>
      </c>
      <c r="B13" s="32">
        <f t="shared" si="11"/>
        <v>8</v>
      </c>
      <c r="C13" s="62">
        <f t="shared" si="12"/>
        <v>1</v>
      </c>
      <c r="D13" s="64">
        <f t="shared" si="13"/>
        <v>1.1666666666666665</v>
      </c>
      <c r="E13" s="28">
        <f t="shared" si="14"/>
        <v>1</v>
      </c>
      <c r="G13" s="68">
        <f>INDEX(Others!$D$11:$E$60, MATCH(C13, Others!$A$11:$A$60, 0), MATCH(G$3, Others!$D$10:$E$10, 0))</f>
        <v>2.6290909090909097E-2</v>
      </c>
      <c r="H13" s="16">
        <f t="shared" si="15"/>
        <v>2.1649437542921035E-3</v>
      </c>
      <c r="I13" s="69">
        <f t="shared" si="16"/>
        <v>0.98284797086392917</v>
      </c>
      <c r="K13" s="80">
        <f>INDEX(Mortality!$B$7:$F$32, MATCH( E13,Mortality!$A$7:$A$32, 0), MATCH( K$3,Mortality!$B$6:$F$6,0))</f>
        <v>0.33</v>
      </c>
      <c r="L13" s="11" cm="1">
        <f t="array" ref="L13">PAD_Res_Mort</f>
        <v>0.15</v>
      </c>
      <c r="M13" s="80">
        <f t="shared" si="17"/>
        <v>0.3795</v>
      </c>
      <c r="N13" s="76">
        <f>INDEX('Myopia_(Reserve)'!$H:$H, MATCH(E13, 'Myopia_(Reserve)'!$A:$A, 0)) * Trend_Factor_Reserve^(A13)</f>
        <v>0</v>
      </c>
      <c r="O13" s="11">
        <f t="shared" si="1"/>
        <v>0.3</v>
      </c>
      <c r="P13" s="80">
        <f t="shared" si="18"/>
        <v>0</v>
      </c>
      <c r="Q13" s="76">
        <f>VLOOKUP(C13,Others!$L$10:$M$61,2)</f>
        <v>0</v>
      </c>
      <c r="R13" s="11">
        <f t="shared" si="2"/>
        <v>0</v>
      </c>
      <c r="S13" s="80">
        <f t="shared" si="19"/>
        <v>0</v>
      </c>
      <c r="T13" s="78">
        <f t="shared" si="20"/>
        <v>3.1625000000000003E-5</v>
      </c>
      <c r="U13" s="81">
        <f t="shared" si="21"/>
        <v>0</v>
      </c>
      <c r="V13" s="81">
        <f t="shared" si="22"/>
        <v>0</v>
      </c>
      <c r="W13" s="77">
        <f t="shared" si="3"/>
        <v>0.99977864600184618</v>
      </c>
      <c r="X13" s="82">
        <f t="shared" si="23"/>
        <v>3.1617999679808388E-5</v>
      </c>
      <c r="Y13" s="82">
        <f t="shared" si="24"/>
        <v>0</v>
      </c>
      <c r="Z13" s="82">
        <f t="shared" si="25"/>
        <v>0</v>
      </c>
      <c r="AA13" s="82">
        <f t="shared" si="26"/>
        <v>0.99974702800216642</v>
      </c>
      <c r="AC13" s="46">
        <f t="shared" si="4"/>
        <v>465.3</v>
      </c>
      <c r="AD13" s="15">
        <f t="shared" si="27"/>
        <v>0</v>
      </c>
      <c r="AE13" s="46">
        <f t="shared" si="28"/>
        <v>0</v>
      </c>
      <c r="AF13" s="15">
        <f t="shared" si="29"/>
        <v>0</v>
      </c>
      <c r="AG13" s="46">
        <f>SUMPRODUCT(AE14:AE$605, $I13:$I$604) / $I13</f>
        <v>0</v>
      </c>
      <c r="AI13" s="46">
        <f t="shared" si="5"/>
        <v>-47000</v>
      </c>
      <c r="AJ13" s="46">
        <f>IF(E13&gt;Mat_Year,0,  -SUM($AD$5:AD13))</f>
        <v>-9306</v>
      </c>
      <c r="AK13" s="24">
        <f t="shared" si="30"/>
        <v>-0.29423710502029687</v>
      </c>
      <c r="AL13" s="79">
        <f t="shared" si="31"/>
        <v>0</v>
      </c>
      <c r="AM13" s="24">
        <f t="shared" si="32"/>
        <v>-0.29430225000000004</v>
      </c>
      <c r="AN13" s="79">
        <f t="shared" si="33"/>
        <v>-0.29423710502029687</v>
      </c>
      <c r="AO13" s="15">
        <f t="shared" si="34"/>
        <v>-8311.8035452421154</v>
      </c>
      <c r="AP13" s="46">
        <f>SUMPRODUCT(AN14:AN$605, $I14:$I$605) / $I13</f>
        <v>-8309.9636942955076</v>
      </c>
      <c r="AR13" s="46">
        <v>0</v>
      </c>
      <c r="AS13" s="46">
        <v>0</v>
      </c>
      <c r="AT13" s="46">
        <v>0</v>
      </c>
      <c r="AU13" s="95">
        <f t="shared" si="6"/>
        <v>-1.7686785044622351</v>
      </c>
      <c r="AV13" s="47">
        <f t="shared" si="7"/>
        <v>0.1</v>
      </c>
      <c r="AW13" s="96">
        <f t="shared" si="35"/>
        <v>-1.9455463549084588</v>
      </c>
      <c r="AX13" s="95">
        <f t="shared" si="8"/>
        <v>-20.28084685116696</v>
      </c>
      <c r="AY13" s="11">
        <f t="shared" si="9"/>
        <v>0.1</v>
      </c>
      <c r="AZ13" s="96">
        <f t="shared" si="36"/>
        <v>-22.308931536283659</v>
      </c>
      <c r="BA13" s="95">
        <f t="shared" si="37"/>
        <v>-1.9451157004442063</v>
      </c>
      <c r="BB13" s="64">
        <f t="shared" si="38"/>
        <v>-7.0536379017108392E-4</v>
      </c>
      <c r="BC13" s="95">
        <f t="shared" si="39"/>
        <v>-1.9455463549084588</v>
      </c>
      <c r="BD13" s="96">
        <f t="shared" si="39"/>
        <v>-7.0551995983497066E-4</v>
      </c>
      <c r="BE13" s="96">
        <f t="shared" si="40"/>
        <v>-1.9451157004442063</v>
      </c>
      <c r="BF13" s="96">
        <f t="shared" si="41"/>
        <v>-7.0536379017108392E-4</v>
      </c>
      <c r="BG13" s="15">
        <f t="shared" si="42"/>
        <v>-355.79235456170238</v>
      </c>
      <c r="BH13" s="46">
        <f>(SUMPRODUCT(BE14:BE$605,$I13:$I$604)+SUMPRODUCT(BF14:BF$605,$I14:$I$605)) / $I13</f>
        <v>-355.71359850150759</v>
      </c>
      <c r="BJ13" s="46">
        <f t="shared" si="53"/>
        <v>-1.9451157004442063</v>
      </c>
      <c r="BK13" s="46">
        <f t="shared" si="43"/>
        <v>-0.29494246881046798</v>
      </c>
      <c r="BM13" s="49">
        <f t="shared" si="10"/>
        <v>8667.8700211932373</v>
      </c>
      <c r="BN13" s="50">
        <f t="shared" si="44"/>
        <v>8665.6772927970142</v>
      </c>
      <c r="BP13" s="68">
        <f>INDEX(Others!$H$11:$I$60, MATCH(C13, Others!$A$11:$A$60, 0), MATCH(BP$3, Others!$H$10:$I$10, 0))</f>
        <v>1.9718181818181822E-2</v>
      </c>
      <c r="BQ13" s="16">
        <f t="shared" si="45"/>
        <v>1.6285159930582438E-3</v>
      </c>
      <c r="BR13" s="69">
        <f t="shared" si="46"/>
        <v>0.98706683041225562</v>
      </c>
      <c r="BT13" s="46">
        <f t="shared" si="47"/>
        <v>9533.7733590732405</v>
      </c>
      <c r="BU13" s="49">
        <f t="shared" si="50"/>
        <v>868.31572584014248</v>
      </c>
      <c r="BV13" s="46">
        <f t="shared" si="51"/>
        <v>868.09606627622634</v>
      </c>
      <c r="BW13" s="46"/>
      <c r="BX13" s="46">
        <f t="shared" si="52"/>
        <v>9536.1857470333798</v>
      </c>
    </row>
    <row r="14" spans="1:76" x14ac:dyDescent="0.25">
      <c r="A14" s="61">
        <f t="shared" si="0"/>
        <v>0.75</v>
      </c>
      <c r="B14" s="32">
        <f t="shared" si="11"/>
        <v>9</v>
      </c>
      <c r="C14" s="62">
        <f t="shared" si="12"/>
        <v>1</v>
      </c>
      <c r="D14" s="64">
        <f t="shared" si="13"/>
        <v>1.25</v>
      </c>
      <c r="E14" s="28">
        <f t="shared" si="14"/>
        <v>1</v>
      </c>
      <c r="G14" s="68">
        <f>INDEX(Others!$D$11:$E$60, MATCH(C14, Others!$A$11:$A$60, 0), MATCH(G$3, Others!$D$10:$E$10, 0))</f>
        <v>2.6290909090909097E-2</v>
      </c>
      <c r="H14" s="16">
        <f t="shared" si="15"/>
        <v>2.1649437542921035E-3</v>
      </c>
      <c r="I14" s="69">
        <f t="shared" si="16"/>
        <v>0.98072475692674099</v>
      </c>
      <c r="K14" s="80">
        <f>INDEX(Mortality!$B$7:$F$32, MATCH( E14,Mortality!$A$7:$A$32, 0), MATCH( K$3,Mortality!$B$6:$F$6,0))</f>
        <v>0.33</v>
      </c>
      <c r="L14" s="11" cm="1">
        <f t="array" ref="L14">PAD_Res_Mort</f>
        <v>0.15</v>
      </c>
      <c r="M14" s="80">
        <f t="shared" si="17"/>
        <v>0.3795</v>
      </c>
      <c r="N14" s="76">
        <f>INDEX('Myopia_(Reserve)'!$H:$H, MATCH(E14, 'Myopia_(Reserve)'!$A:$A, 0)) * Trend_Factor_Reserve^(A14)</f>
        <v>0</v>
      </c>
      <c r="O14" s="11">
        <f t="shared" si="1"/>
        <v>0.3</v>
      </c>
      <c r="P14" s="80">
        <f t="shared" si="18"/>
        <v>0</v>
      </c>
      <c r="Q14" s="76">
        <f>VLOOKUP(C14,Others!$L$10:$M$61,2)</f>
        <v>0</v>
      </c>
      <c r="R14" s="11">
        <f t="shared" si="2"/>
        <v>0</v>
      </c>
      <c r="S14" s="80">
        <f t="shared" si="19"/>
        <v>0</v>
      </c>
      <c r="T14" s="78">
        <f t="shared" si="20"/>
        <v>3.1625000000000003E-5</v>
      </c>
      <c r="U14" s="81">
        <f t="shared" si="21"/>
        <v>0</v>
      </c>
      <c r="V14" s="81">
        <f t="shared" si="22"/>
        <v>0</v>
      </c>
      <c r="W14" s="77">
        <f t="shared" si="3"/>
        <v>0.99974702800216642</v>
      </c>
      <c r="X14" s="82">
        <f t="shared" si="23"/>
        <v>3.1616999760568518E-5</v>
      </c>
      <c r="Y14" s="82">
        <f t="shared" si="24"/>
        <v>0</v>
      </c>
      <c r="Z14" s="82">
        <f t="shared" si="25"/>
        <v>0</v>
      </c>
      <c r="AA14" s="82">
        <f t="shared" si="26"/>
        <v>0.9997154110024058</v>
      </c>
      <c r="AC14" s="46">
        <f t="shared" si="4"/>
        <v>465.3</v>
      </c>
      <c r="AD14" s="15">
        <f t="shared" si="27"/>
        <v>0</v>
      </c>
      <c r="AE14" s="46">
        <f t="shared" si="28"/>
        <v>0</v>
      </c>
      <c r="AF14" s="15">
        <f t="shared" si="29"/>
        <v>0</v>
      </c>
      <c r="AG14" s="46">
        <f>SUMPRODUCT(AE15:AE$605, $I14:$I$604) / $I14</f>
        <v>0</v>
      </c>
      <c r="AI14" s="46">
        <f t="shared" si="5"/>
        <v>-47000</v>
      </c>
      <c r="AJ14" s="46">
        <f>IF(E14&gt;Mat_Year,0,  -SUM($AD$5:AD14))</f>
        <v>-9306</v>
      </c>
      <c r="AK14" s="24">
        <f t="shared" si="30"/>
        <v>-0.29422779977185065</v>
      </c>
      <c r="AL14" s="79">
        <f t="shared" si="31"/>
        <v>0</v>
      </c>
      <c r="AM14" s="24">
        <f t="shared" si="32"/>
        <v>-0.29430225000000004</v>
      </c>
      <c r="AN14" s="79">
        <f t="shared" si="33"/>
        <v>-0.29422779977185065</v>
      </c>
      <c r="AO14" s="15">
        <f t="shared" si="34"/>
        <v>-8329.7672683614601</v>
      </c>
      <c r="AP14" s="46">
        <f>SUMPRODUCT(AN15:AN$605, $I15:$I$605) / $I14</f>
        <v>-8327.6600704940938</v>
      </c>
      <c r="AR14" s="46">
        <v>0</v>
      </c>
      <c r="AS14" s="46">
        <v>0</v>
      </c>
      <c r="AT14" s="46">
        <v>0</v>
      </c>
      <c r="AU14" s="95">
        <f t="shared" si="6"/>
        <v>-1.7721054106981529</v>
      </c>
      <c r="AV14" s="47">
        <f t="shared" si="7"/>
        <v>0.1</v>
      </c>
      <c r="AW14" s="96">
        <f t="shared" si="35"/>
        <v>-1.9493159517679683</v>
      </c>
      <c r="AX14" s="95">
        <f t="shared" si="8"/>
        <v>-20.320142042672149</v>
      </c>
      <c r="AY14" s="11">
        <f t="shared" si="9"/>
        <v>0.1</v>
      </c>
      <c r="AZ14" s="96">
        <f t="shared" si="36"/>
        <v>-22.352156246939366</v>
      </c>
      <c r="BA14" s="95">
        <f t="shared" si="37"/>
        <v>-1.9488228294172407</v>
      </c>
      <c r="BB14" s="64">
        <f t="shared" si="38"/>
        <v>-7.0670811870767207E-4</v>
      </c>
      <c r="BC14" s="95">
        <f t="shared" si="39"/>
        <v>-1.9493159517679683</v>
      </c>
      <c r="BD14" s="96">
        <f t="shared" si="39"/>
        <v>-7.0688694130945757E-4</v>
      </c>
      <c r="BE14" s="96">
        <f t="shared" si="40"/>
        <v>-1.9488228294172407</v>
      </c>
      <c r="BF14" s="96">
        <f t="shared" si="41"/>
        <v>-7.0670811870767207E-4</v>
      </c>
      <c r="BG14" s="15">
        <f t="shared" si="42"/>
        <v>-354.61965864907103</v>
      </c>
      <c r="BH14" s="46">
        <f>(SUMPRODUCT(BE15:BE$605,$I14:$I$604)+SUMPRODUCT(BF15:BF$605,$I15:$I$605)) / $I14</f>
        <v>-354.5299498055515</v>
      </c>
      <c r="BJ14" s="46">
        <f t="shared" si="53"/>
        <v>-1.9488228294172407</v>
      </c>
      <c r="BK14" s="46">
        <f t="shared" si="43"/>
        <v>-0.29493450789055831</v>
      </c>
      <c r="BM14" s="49">
        <f t="shared" si="10"/>
        <v>8684.6615794329809</v>
      </c>
      <c r="BN14" s="50">
        <f t="shared" si="44"/>
        <v>8682.1900202996458</v>
      </c>
      <c r="BP14" s="68">
        <f>INDEX(Others!$H$11:$I$60, MATCH(C14, Others!$A$11:$A$60, 0), MATCH(BP$3, Others!$H$10:$I$10, 0))</f>
        <v>1.9718181818181822E-2</v>
      </c>
      <c r="BQ14" s="16">
        <f t="shared" si="45"/>
        <v>1.6285159930582438E-3</v>
      </c>
      <c r="BR14" s="69">
        <f t="shared" si="46"/>
        <v>0.98546198980131317</v>
      </c>
      <c r="BT14" s="46">
        <f t="shared" si="47"/>
        <v>9547.0523304362305</v>
      </c>
      <c r="BU14" s="49">
        <f t="shared" si="50"/>
        <v>865.10851050039821</v>
      </c>
      <c r="BV14" s="46">
        <f t="shared" si="51"/>
        <v>864.86231013658471</v>
      </c>
      <c r="BX14" s="46">
        <f t="shared" si="52"/>
        <v>9549.7700899333795</v>
      </c>
    </row>
    <row r="15" spans="1:76" x14ac:dyDescent="0.25">
      <c r="A15" s="61">
        <f t="shared" si="0"/>
        <v>0.83333333333333337</v>
      </c>
      <c r="B15" s="32">
        <f t="shared" si="11"/>
        <v>10</v>
      </c>
      <c r="C15" s="62">
        <f t="shared" si="12"/>
        <v>1</v>
      </c>
      <c r="D15" s="64">
        <f t="shared" si="13"/>
        <v>1.3333333333333335</v>
      </c>
      <c r="E15" s="28">
        <f t="shared" si="14"/>
        <v>1</v>
      </c>
      <c r="G15" s="68">
        <f>INDEX(Others!$D$11:$E$60, MATCH(C15, Others!$A$11:$A$60, 0), MATCH(G$3, Others!$D$10:$E$10, 0))</f>
        <v>2.6290909090909097E-2</v>
      </c>
      <c r="H15" s="16">
        <f t="shared" si="15"/>
        <v>2.1649437542921035E-3</v>
      </c>
      <c r="I15" s="69">
        <f t="shared" si="16"/>
        <v>0.9786061296983386</v>
      </c>
      <c r="K15" s="80">
        <f>INDEX(Mortality!$B$7:$F$32, MATCH( E15,Mortality!$A$7:$A$32, 0), MATCH( K$3,Mortality!$B$6:$F$6,0))</f>
        <v>0.33</v>
      </c>
      <c r="L15" s="11" cm="1">
        <f t="array" ref="L15">PAD_Res_Mort</f>
        <v>0.15</v>
      </c>
      <c r="M15" s="80">
        <f t="shared" si="17"/>
        <v>0.3795</v>
      </c>
      <c r="N15" s="76">
        <f>INDEX('Myopia_(Reserve)'!$H:$H, MATCH(E15, 'Myopia_(Reserve)'!$A:$A, 0)) * Trend_Factor_Reserve^(A15)</f>
        <v>0</v>
      </c>
      <c r="O15" s="11">
        <f t="shared" si="1"/>
        <v>0.3</v>
      </c>
      <c r="P15" s="80">
        <f t="shared" si="18"/>
        <v>0</v>
      </c>
      <c r="Q15" s="76">
        <f>VLOOKUP(C15,Others!$L$10:$M$61,2)</f>
        <v>0</v>
      </c>
      <c r="R15" s="11">
        <f t="shared" si="2"/>
        <v>0</v>
      </c>
      <c r="S15" s="80">
        <f t="shared" si="19"/>
        <v>0</v>
      </c>
      <c r="T15" s="78">
        <f t="shared" si="20"/>
        <v>3.1625000000000003E-5</v>
      </c>
      <c r="U15" s="81">
        <f t="shared" si="21"/>
        <v>0</v>
      </c>
      <c r="V15" s="81">
        <f t="shared" si="22"/>
        <v>0</v>
      </c>
      <c r="W15" s="77">
        <f t="shared" si="3"/>
        <v>0.9997154110024058</v>
      </c>
      <c r="X15" s="82">
        <f t="shared" si="23"/>
        <v>3.1615999872951086E-5</v>
      </c>
      <c r="Y15" s="82">
        <f t="shared" si="24"/>
        <v>0</v>
      </c>
      <c r="Z15" s="82">
        <f t="shared" si="25"/>
        <v>0</v>
      </c>
      <c r="AA15" s="82">
        <f t="shared" si="26"/>
        <v>0.99968379500253279</v>
      </c>
      <c r="AC15" s="46">
        <f t="shared" si="4"/>
        <v>465.3</v>
      </c>
      <c r="AD15" s="15">
        <f t="shared" si="27"/>
        <v>0</v>
      </c>
      <c r="AE15" s="46">
        <f t="shared" si="28"/>
        <v>0</v>
      </c>
      <c r="AF15" s="15">
        <f t="shared" si="29"/>
        <v>0</v>
      </c>
      <c r="AG15" s="46">
        <f>SUMPRODUCT(AE16:AE$605, $I15:$I$604) / $I15</f>
        <v>0</v>
      </c>
      <c r="AI15" s="46">
        <f t="shared" si="5"/>
        <v>-47000</v>
      </c>
      <c r="AJ15" s="46">
        <f>IF(E15&gt;Mat_Year,0,  -SUM($AD$5:AD15))</f>
        <v>-9306</v>
      </c>
      <c r="AK15" s="24">
        <f t="shared" si="30"/>
        <v>-0.29421849481768281</v>
      </c>
      <c r="AL15" s="79">
        <f t="shared" si="31"/>
        <v>0</v>
      </c>
      <c r="AM15" s="24">
        <f t="shared" si="32"/>
        <v>-0.29430225000000004</v>
      </c>
      <c r="AN15" s="79">
        <f t="shared" si="33"/>
        <v>-0.29421849481768281</v>
      </c>
      <c r="AO15" s="15">
        <f t="shared" si="34"/>
        <v>-8347.7704512816399</v>
      </c>
      <c r="AP15" s="46">
        <f>SUMPRODUCT(AN16:AN$605, $I16:$I$605) / $I15</f>
        <v>-8345.3947676567623</v>
      </c>
      <c r="AR15" s="46">
        <v>0</v>
      </c>
      <c r="AS15" s="46">
        <v>0</v>
      </c>
      <c r="AT15" s="46">
        <v>0</v>
      </c>
      <c r="AU15" s="95">
        <f t="shared" si="6"/>
        <v>-1.7755389567424475</v>
      </c>
      <c r="AV15" s="47">
        <f t="shared" si="7"/>
        <v>0.1</v>
      </c>
      <c r="AW15" s="96">
        <f t="shared" si="35"/>
        <v>-1.9530928524166924</v>
      </c>
      <c r="AX15" s="95">
        <f t="shared" si="8"/>
        <v>-20.359513370646731</v>
      </c>
      <c r="AY15" s="11">
        <f t="shared" si="9"/>
        <v>0.1</v>
      </c>
      <c r="AZ15" s="96">
        <f t="shared" si="36"/>
        <v>-22.395464707711405</v>
      </c>
      <c r="BA15" s="95">
        <f t="shared" si="37"/>
        <v>-1.9525370236796147</v>
      </c>
      <c r="BB15" s="64">
        <f t="shared" si="38"/>
        <v>-7.0805500935368425E-4</v>
      </c>
      <c r="BC15" s="95">
        <f t="shared" si="39"/>
        <v>-1.9530928524166924</v>
      </c>
      <c r="BD15" s="96">
        <f t="shared" si="39"/>
        <v>-7.0825657138137319E-4</v>
      </c>
      <c r="BE15" s="96">
        <f t="shared" si="40"/>
        <v>-1.9525370236796147</v>
      </c>
      <c r="BF15" s="96">
        <f t="shared" si="41"/>
        <v>-7.0805500935368425E-4</v>
      </c>
      <c r="BG15" s="15">
        <f t="shared" si="42"/>
        <v>-353.44060030071785</v>
      </c>
      <c r="BH15" s="46">
        <f>(SUMPRODUCT(BE16:BE$605,$I15:$I$604)+SUMPRODUCT(BF16:BF$605,$I16:$I$605)) / $I15</f>
        <v>-353.34001499456917</v>
      </c>
      <c r="BJ15" s="46">
        <f t="shared" si="53"/>
        <v>-1.9525370236796147</v>
      </c>
      <c r="BK15" s="46">
        <f t="shared" si="43"/>
        <v>-0.29492654982703648</v>
      </c>
      <c r="BM15" s="49">
        <f t="shared" si="10"/>
        <v>8701.4862360845727</v>
      </c>
      <c r="BN15" s="50">
        <f t="shared" si="44"/>
        <v>8698.7347826513305</v>
      </c>
      <c r="BP15" s="68">
        <f>INDEX(Others!$H$11:$I$60, MATCH(C15, Others!$A$11:$A$60, 0), MATCH(BP$3, Others!$H$10:$I$10, 0))</f>
        <v>1.9718181818181822E-2</v>
      </c>
      <c r="BQ15" s="16">
        <f t="shared" si="45"/>
        <v>1.6285159930582438E-3</v>
      </c>
      <c r="BR15" s="69">
        <f t="shared" si="46"/>
        <v>0.98385975844975138</v>
      </c>
      <c r="BT15" s="46">
        <f t="shared" si="47"/>
        <v>9560.3492145316322</v>
      </c>
      <c r="BU15" s="49">
        <f t="shared" si="50"/>
        <v>861.88696484583784</v>
      </c>
      <c r="BV15" s="46">
        <f t="shared" si="51"/>
        <v>861.61443188030171</v>
      </c>
      <c r="BX15" s="46">
        <f t="shared" si="52"/>
        <v>9563.3732009304113</v>
      </c>
    </row>
    <row r="16" spans="1:76" x14ac:dyDescent="0.25">
      <c r="A16" s="61">
        <f t="shared" si="0"/>
        <v>0.91666666666666674</v>
      </c>
      <c r="B16" s="32">
        <f t="shared" si="11"/>
        <v>11</v>
      </c>
      <c r="C16" s="62">
        <f t="shared" si="12"/>
        <v>1</v>
      </c>
      <c r="D16" s="64">
        <f t="shared" si="13"/>
        <v>1.4166666666666667</v>
      </c>
      <c r="E16" s="28">
        <f t="shared" si="14"/>
        <v>1</v>
      </c>
      <c r="G16" s="68">
        <f>INDEX(Others!$D$11:$E$60, MATCH(C16, Others!$A$11:$A$60, 0), MATCH(G$3, Others!$D$10:$E$10, 0))</f>
        <v>2.6290909090909097E-2</v>
      </c>
      <c r="H16" s="16">
        <f t="shared" si="15"/>
        <v>2.1649437542921035E-3</v>
      </c>
      <c r="I16" s="69">
        <f t="shared" si="16"/>
        <v>0.97649207927020687</v>
      </c>
      <c r="K16" s="80">
        <f>INDEX(Mortality!$B$7:$F$32, MATCH( E16,Mortality!$A$7:$A$32, 0), MATCH( K$3,Mortality!$B$6:$F$6,0))</f>
        <v>0.33</v>
      </c>
      <c r="L16" s="11" cm="1">
        <f t="array" ref="L16">PAD_Res_Mort</f>
        <v>0.15</v>
      </c>
      <c r="M16" s="80">
        <f t="shared" si="17"/>
        <v>0.3795</v>
      </c>
      <c r="N16" s="76">
        <f>INDEX('Myopia_(Reserve)'!$H:$H, MATCH(E16, 'Myopia_(Reserve)'!$A:$A, 0)) * Trend_Factor_Reserve^(A16)</f>
        <v>0</v>
      </c>
      <c r="O16" s="11">
        <f t="shared" si="1"/>
        <v>0.3</v>
      </c>
      <c r="P16" s="80">
        <f t="shared" si="18"/>
        <v>0</v>
      </c>
      <c r="Q16" s="76">
        <f>VLOOKUP(C16,Others!$L$10:$M$61,2)</f>
        <v>0</v>
      </c>
      <c r="R16" s="11">
        <f t="shared" si="2"/>
        <v>0</v>
      </c>
      <c r="S16" s="80">
        <f t="shared" si="19"/>
        <v>0</v>
      </c>
      <c r="T16" s="78">
        <f t="shared" si="20"/>
        <v>3.1625000000000003E-5</v>
      </c>
      <c r="U16" s="81">
        <f t="shared" si="21"/>
        <v>0</v>
      </c>
      <c r="V16" s="81">
        <f t="shared" si="22"/>
        <v>0</v>
      </c>
      <c r="W16" s="77">
        <f t="shared" si="3"/>
        <v>0.99968379500253279</v>
      </c>
      <c r="X16" s="82">
        <f t="shared" si="23"/>
        <v>3.1615000016955101E-5</v>
      </c>
      <c r="Y16" s="82">
        <f t="shared" si="24"/>
        <v>0</v>
      </c>
      <c r="Z16" s="82">
        <f t="shared" si="25"/>
        <v>0</v>
      </c>
      <c r="AA16" s="82">
        <f t="shared" si="26"/>
        <v>0.99965218000251588</v>
      </c>
      <c r="AC16" s="46">
        <f t="shared" si="4"/>
        <v>465.3</v>
      </c>
      <c r="AD16" s="15">
        <f t="shared" si="27"/>
        <v>0</v>
      </c>
      <c r="AE16" s="46">
        <f t="shared" si="28"/>
        <v>0</v>
      </c>
      <c r="AF16" s="15">
        <f t="shared" si="29"/>
        <v>0</v>
      </c>
      <c r="AG16" s="46">
        <f>SUMPRODUCT(AE17:AE$605, $I16:$I$604) / $I16</f>
        <v>0</v>
      </c>
      <c r="AI16" s="46">
        <f t="shared" si="5"/>
        <v>-47000</v>
      </c>
      <c r="AJ16" s="46">
        <f>IF(E16&gt;Mat_Year,0,  -SUM($AD$5:AD16))</f>
        <v>-9306</v>
      </c>
      <c r="AK16" s="24">
        <f t="shared" si="30"/>
        <v>-0.29420919015778418</v>
      </c>
      <c r="AL16" s="79">
        <f t="shared" si="31"/>
        <v>0</v>
      </c>
      <c r="AM16" s="24">
        <f t="shared" si="32"/>
        <v>-0.29430225000000004</v>
      </c>
      <c r="AN16" s="79">
        <f t="shared" si="33"/>
        <v>-0.29420919015778418</v>
      </c>
      <c r="AO16" s="15">
        <f t="shared" si="34"/>
        <v>-8365.8131806815527</v>
      </c>
      <c r="AP16" s="46">
        <f>SUMPRODUCT(AN17:AN$605, $I17:$I$605) / $I16</f>
        <v>-8363.1678687459444</v>
      </c>
      <c r="AR16" s="46">
        <v>0</v>
      </c>
      <c r="AS16" s="46">
        <v>0</v>
      </c>
      <c r="AT16" s="46">
        <v>0</v>
      </c>
      <c r="AU16" s="95">
        <f t="shared" si="6"/>
        <v>-1.7789791554600916</v>
      </c>
      <c r="AV16" s="47">
        <f t="shared" si="7"/>
        <v>0.1</v>
      </c>
      <c r="AW16" s="96">
        <f t="shared" si="35"/>
        <v>-1.956877071006101</v>
      </c>
      <c r="AX16" s="95">
        <f t="shared" si="8"/>
        <v>-20.398960982609047</v>
      </c>
      <c r="AY16" s="11">
        <f t="shared" si="9"/>
        <v>0.1</v>
      </c>
      <c r="AZ16" s="96">
        <f t="shared" si="36"/>
        <v>-22.438857080869955</v>
      </c>
      <c r="BA16" s="95">
        <f t="shared" si="37"/>
        <v>-1.9562582966968198</v>
      </c>
      <c r="BB16" s="64">
        <f t="shared" si="38"/>
        <v>-7.0940446699215671E-4</v>
      </c>
      <c r="BC16" s="95">
        <f t="shared" si="39"/>
        <v>-1.956877071006101</v>
      </c>
      <c r="BD16" s="96">
        <f t="shared" si="39"/>
        <v>-7.0962885518251239E-4</v>
      </c>
      <c r="BE16" s="96">
        <f t="shared" si="40"/>
        <v>-1.9562582966968198</v>
      </c>
      <c r="BF16" s="96">
        <f t="shared" si="41"/>
        <v>-7.0940446699215671E-4</v>
      </c>
      <c r="BG16" s="15">
        <f t="shared" si="42"/>
        <v>-352.25515820423578</v>
      </c>
      <c r="BH16" s="46">
        <f>(SUMPRODUCT(BE17:BE$605,$I16:$I$604)+SUMPRODUCT(BF17:BF$605,$I17:$I$605)) / $I16</f>
        <v>-352.14377336282803</v>
      </c>
      <c r="BJ16" s="46">
        <f t="shared" si="53"/>
        <v>-1.9562582966968198</v>
      </c>
      <c r="BK16" s="46">
        <f t="shared" si="43"/>
        <v>-0.29491859462477632</v>
      </c>
      <c r="BM16" s="49">
        <f t="shared" si="10"/>
        <v>8718.3440565165765</v>
      </c>
      <c r="BN16" s="50">
        <f t="shared" si="44"/>
        <v>8715.3116421087725</v>
      </c>
      <c r="BP16" s="68">
        <f>INDEX(Others!$H$11:$I$60, MATCH(C16, Others!$A$11:$A$60, 0), MATCH(BP$3, Others!$H$10:$I$10, 0))</f>
        <v>1.9718181818181822E-2</v>
      </c>
      <c r="BQ16" s="16">
        <f t="shared" si="45"/>
        <v>1.6285159930582438E-3</v>
      </c>
      <c r="BR16" s="69">
        <f t="shared" si="46"/>
        <v>0.9822601321152582</v>
      </c>
      <c r="BT16" s="46">
        <f t="shared" si="47"/>
        <v>9573.6640334374752</v>
      </c>
      <c r="BU16" s="49">
        <f t="shared" si="50"/>
        <v>858.651047333826</v>
      </c>
      <c r="BV16" s="46">
        <f t="shared" si="51"/>
        <v>858.35239132870265</v>
      </c>
      <c r="BX16" s="46">
        <f t="shared" si="52"/>
        <v>9576.9951038504023</v>
      </c>
    </row>
    <row r="17" spans="1:76" x14ac:dyDescent="0.25">
      <c r="A17" s="61">
        <f t="shared" si="0"/>
        <v>1</v>
      </c>
      <c r="B17" s="32">
        <f t="shared" si="11"/>
        <v>12</v>
      </c>
      <c r="C17" s="62">
        <f t="shared" si="12"/>
        <v>1</v>
      </c>
      <c r="D17" s="64">
        <f t="shared" si="13"/>
        <v>1.5</v>
      </c>
      <c r="E17" s="28">
        <f t="shared" si="14"/>
        <v>1</v>
      </c>
      <c r="G17" s="68">
        <f>INDEX(Others!$D$11:$E$60, MATCH(C17, Others!$A$11:$A$60, 0), MATCH(G$3, Others!$D$10:$E$10, 0))</f>
        <v>2.6290909090909097E-2</v>
      </c>
      <c r="H17" s="16">
        <f t="shared" si="15"/>
        <v>2.1649437542921035E-3</v>
      </c>
      <c r="I17" s="69">
        <f t="shared" si="16"/>
        <v>0.97438259575523567</v>
      </c>
      <c r="K17" s="80">
        <f>INDEX(Mortality!$B$7:$F$32, MATCH( E17,Mortality!$A$7:$A$32, 0), MATCH( K$3,Mortality!$B$6:$F$6,0))</f>
        <v>0.33</v>
      </c>
      <c r="L17" s="11" cm="1">
        <f t="array" ref="L17">PAD_Res_Mort</f>
        <v>0.15</v>
      </c>
      <c r="M17" s="80">
        <f t="shared" si="17"/>
        <v>0.3795</v>
      </c>
      <c r="N17" s="76">
        <f>INDEX('Myopia_(Reserve)'!$H:$H, MATCH(E17, 'Myopia_(Reserve)'!$A:$A, 0)) * Trend_Factor_Reserve^(A17)</f>
        <v>0</v>
      </c>
      <c r="O17" s="11">
        <f t="shared" si="1"/>
        <v>0.3</v>
      </c>
      <c r="P17" s="80">
        <f t="shared" si="18"/>
        <v>0</v>
      </c>
      <c r="Q17" s="76">
        <f>VLOOKUP(C17,Others!$L$10:$M$61,2)</f>
        <v>0</v>
      </c>
      <c r="R17" s="11">
        <f t="shared" si="2"/>
        <v>0</v>
      </c>
      <c r="S17" s="80">
        <f t="shared" si="19"/>
        <v>0</v>
      </c>
      <c r="T17" s="78">
        <f t="shared" si="20"/>
        <v>3.1625000000000003E-5</v>
      </c>
      <c r="U17" s="81">
        <f t="shared" si="21"/>
        <v>0</v>
      </c>
      <c r="V17" s="81">
        <f t="shared" si="22"/>
        <v>0</v>
      </c>
      <c r="W17" s="77">
        <f t="shared" si="3"/>
        <v>0.99965218000251588</v>
      </c>
      <c r="X17" s="82">
        <f t="shared" si="23"/>
        <v>3.1614000192579567E-5</v>
      </c>
      <c r="Y17" s="82">
        <f t="shared" si="24"/>
        <v>0</v>
      </c>
      <c r="Z17" s="82">
        <f t="shared" si="25"/>
        <v>0</v>
      </c>
      <c r="AA17" s="82">
        <f t="shared" si="26"/>
        <v>0.9996205660023233</v>
      </c>
      <c r="AC17" s="46">
        <f t="shared" si="4"/>
        <v>465.3</v>
      </c>
      <c r="AD17" s="15">
        <f t="shared" si="27"/>
        <v>0</v>
      </c>
      <c r="AE17" s="46">
        <f t="shared" si="28"/>
        <v>0</v>
      </c>
      <c r="AF17" s="15">
        <f t="shared" si="29"/>
        <v>0</v>
      </c>
      <c r="AG17" s="46">
        <f>SUMPRODUCT(AE18:AE$605, $I17:$I$604) / $I17</f>
        <v>0</v>
      </c>
      <c r="AI17" s="46">
        <f t="shared" si="5"/>
        <v>-47000</v>
      </c>
      <c r="AJ17" s="46">
        <f>IF(E17&gt;Mat_Year,0,  -SUM($AD$5:AD17))</f>
        <v>-9306</v>
      </c>
      <c r="AK17" s="24">
        <f t="shared" si="30"/>
        <v>-0.29419988579214545</v>
      </c>
      <c r="AL17" s="79">
        <f t="shared" si="31"/>
        <v>0</v>
      </c>
      <c r="AM17" s="24">
        <f t="shared" si="32"/>
        <v>-0.29430225000000004</v>
      </c>
      <c r="AN17" s="79">
        <f t="shared" si="33"/>
        <v>-0.29419988579214545</v>
      </c>
      <c r="AO17" s="15">
        <f t="shared" si="34"/>
        <v>-8383.8955434305117</v>
      </c>
      <c r="AP17" s="46">
        <f>SUMPRODUCT(AN18:AN$605, $I18:$I$605) / $I17</f>
        <v>-8380.9794569036894</v>
      </c>
      <c r="AR17" s="46">
        <v>0</v>
      </c>
      <c r="AS17" s="46">
        <v>0</v>
      </c>
      <c r="AT17" s="46">
        <v>0</v>
      </c>
      <c r="AU17" s="95">
        <f t="shared" si="6"/>
        <v>-1.7824260197409845</v>
      </c>
      <c r="AV17" s="47">
        <f t="shared" si="7"/>
        <v>0.1</v>
      </c>
      <c r="AW17" s="96">
        <f t="shared" si="35"/>
        <v>-1.960668621715083</v>
      </c>
      <c r="AX17" s="95">
        <f t="shared" si="8"/>
        <v>-20.438485026363285</v>
      </c>
      <c r="AY17" s="11">
        <f t="shared" si="9"/>
        <v>0.1</v>
      </c>
      <c r="AZ17" s="96">
        <f t="shared" si="36"/>
        <v>-22.482333528999614</v>
      </c>
      <c r="BA17" s="95">
        <f t="shared" si="37"/>
        <v>-1.9599866619600108</v>
      </c>
      <c r="BB17" s="64">
        <f t="shared" si="38"/>
        <v>-7.1075649651543185E-4</v>
      </c>
      <c r="BC17" s="95">
        <f t="shared" si="39"/>
        <v>-1.960668621715083</v>
      </c>
      <c r="BD17" s="96">
        <f t="shared" si="39"/>
        <v>-7.1100379785461287E-4</v>
      </c>
      <c r="BE17" s="96">
        <f t="shared" si="40"/>
        <v>-1.9599866619600108</v>
      </c>
      <c r="BF17" s="96">
        <f t="shared" si="41"/>
        <v>-7.1075649651543185E-4</v>
      </c>
      <c r="BG17" s="15">
        <f t="shared" si="42"/>
        <v>-351.06331098618784</v>
      </c>
      <c r="BH17" s="46">
        <f>(SUMPRODUCT(BE18:BE$605,$I17:$I$604)+SUMPRODUCT(BF18:BF$605,$I18:$I$605)) / $I17</f>
        <v>-350.94120414624388</v>
      </c>
      <c r="BJ17" s="46">
        <f t="shared" si="53"/>
        <v>-1.9599866619600108</v>
      </c>
      <c r="BK17" s="46">
        <f t="shared" si="43"/>
        <v>-0.29491064228866087</v>
      </c>
      <c r="BM17" s="49">
        <f t="shared" si="10"/>
        <v>8735.2351062269372</v>
      </c>
      <c r="BN17" s="50">
        <f>MAX(BN18/(1+H18) - (BJ18 + BK18/(1+H18)),0)</f>
        <v>8731.920661049935</v>
      </c>
      <c r="BP17" s="68">
        <f>INDEX(Others!$H$11:$I$60, MATCH(C17, Others!$A$11:$A$60, 0), MATCH(BP$3, Others!$H$10:$I$10, 0))</f>
        <v>1.9718181818181822E-2</v>
      </c>
      <c r="BQ17" s="16">
        <f t="shared" si="45"/>
        <v>1.6285159930582438E-3</v>
      </c>
      <c r="BR17" s="69">
        <f t="shared" si="46"/>
        <v>0.98066310656241917</v>
      </c>
      <c r="BT17" s="46">
        <f t="shared" si="47"/>
        <v>9586.9968092542204</v>
      </c>
      <c r="BU17" s="49">
        <f t="shared" si="50"/>
        <v>855.40071631769331</v>
      </c>
      <c r="BV17" s="46">
        <f t="shared" si="51"/>
        <v>855.07614820428535</v>
      </c>
      <c r="BX17" s="46">
        <f t="shared" si="52"/>
        <v>9590.6358225446311</v>
      </c>
    </row>
    <row r="18" spans="1:76" x14ac:dyDescent="0.25">
      <c r="A18" s="61">
        <f t="shared" si="0"/>
        <v>1.0833333333333333</v>
      </c>
      <c r="B18" s="32">
        <f t="shared" si="11"/>
        <v>1</v>
      </c>
      <c r="C18" s="62">
        <f t="shared" si="12"/>
        <v>2</v>
      </c>
      <c r="D18" s="64">
        <f t="shared" si="13"/>
        <v>1.5833333333333333</v>
      </c>
      <c r="E18" s="28">
        <f t="shared" si="14"/>
        <v>1</v>
      </c>
      <c r="G18" s="68">
        <f>INDEX(Others!$D$11:$E$60, MATCH(C18, Others!$A$11:$A$60, 0), MATCH(G$3, Others!$D$10:$E$10, 0))</f>
        <v>2.9172929570659312E-2</v>
      </c>
      <c r="H18" s="16">
        <f t="shared" si="15"/>
        <v>2.3991649580110685E-3</v>
      </c>
      <c r="I18" s="69">
        <f t="shared" si="16"/>
        <v>0.97205048629110846</v>
      </c>
      <c r="K18" s="80">
        <f>INDEX(Mortality!$B$7:$F$32, MATCH( E18,Mortality!$A$7:$A$32, 0), MATCH( K$3,Mortality!$B$6:$F$6,0))</f>
        <v>0.33</v>
      </c>
      <c r="L18" s="11" cm="1">
        <f t="array" ref="L18">PAD_Res_Mort</f>
        <v>0.15</v>
      </c>
      <c r="M18" s="80">
        <f t="shared" si="17"/>
        <v>0.3795</v>
      </c>
      <c r="N18" s="76">
        <f>INDEX('Myopia_(Reserve)'!$H:$H, MATCH(E18, 'Myopia_(Reserve)'!$A:$A, 0)) * Trend_Factor_Reserve^(A18)</f>
        <v>0</v>
      </c>
      <c r="O18" s="11">
        <f t="shared" si="1"/>
        <v>0.3</v>
      </c>
      <c r="P18" s="80">
        <f t="shared" si="18"/>
        <v>0</v>
      </c>
      <c r="Q18" s="76">
        <f>VLOOKUP(C18,Others!$L$10:$M$61,2)</f>
        <v>0</v>
      </c>
      <c r="R18" s="11">
        <f t="shared" si="2"/>
        <v>0</v>
      </c>
      <c r="S18" s="80">
        <f t="shared" si="19"/>
        <v>0</v>
      </c>
      <c r="T18" s="78">
        <f t="shared" si="20"/>
        <v>3.1625000000000003E-5</v>
      </c>
      <c r="U18" s="81">
        <f t="shared" si="21"/>
        <v>0</v>
      </c>
      <c r="V18" s="81">
        <f t="shared" si="22"/>
        <v>0</v>
      </c>
      <c r="W18" s="77">
        <f t="shared" si="3"/>
        <v>0.9996205660023233</v>
      </c>
      <c r="X18" s="82">
        <f t="shared" si="23"/>
        <v>3.1613000399823475E-5</v>
      </c>
      <c r="Y18" s="82">
        <f t="shared" si="24"/>
        <v>0</v>
      </c>
      <c r="Z18" s="82">
        <f t="shared" si="25"/>
        <v>0</v>
      </c>
      <c r="AA18" s="82">
        <f t="shared" si="26"/>
        <v>0.99958895300192352</v>
      </c>
      <c r="AC18" s="46">
        <f t="shared" si="4"/>
        <v>0</v>
      </c>
      <c r="AD18" s="15">
        <f t="shared" si="27"/>
        <v>0</v>
      </c>
      <c r="AE18" s="46">
        <f t="shared" si="28"/>
        <v>0</v>
      </c>
      <c r="AF18" s="15">
        <f t="shared" si="29"/>
        <v>0</v>
      </c>
      <c r="AG18" s="46">
        <f>SUMPRODUCT(AE19:AE$605, $I18:$I$604) / $I18</f>
        <v>0</v>
      </c>
      <c r="AI18" s="46">
        <f t="shared" si="5"/>
        <v>-47000</v>
      </c>
      <c r="AJ18" s="46">
        <f>IF(E18&gt;Mat_Year,0,  -SUM($AD$5:AD18))</f>
        <v>-9306</v>
      </c>
      <c r="AK18" s="24">
        <f t="shared" si="30"/>
        <v>-0.29419058172075724</v>
      </c>
      <c r="AL18" s="79">
        <f t="shared" si="31"/>
        <v>0</v>
      </c>
      <c r="AM18" s="24">
        <f t="shared" si="32"/>
        <v>-0.29430224999999999</v>
      </c>
      <c r="AN18" s="79">
        <f t="shared" si="33"/>
        <v>-0.29419058172075724</v>
      </c>
      <c r="AO18" s="15">
        <f t="shared" si="34"/>
        <v>-8403.9813747982207</v>
      </c>
      <c r="AP18" s="46">
        <f>SUMPRODUCT(AN19:AN$605, $I19:$I$605) / $I18</f>
        <v>-8400.7926185487813</v>
      </c>
      <c r="AR18" s="46">
        <v>0</v>
      </c>
      <c r="AS18" s="46">
        <v>0</v>
      </c>
      <c r="AT18" s="46">
        <v>0</v>
      </c>
      <c r="AU18" s="95">
        <f t="shared" si="6"/>
        <v>-1.7858795625000004</v>
      </c>
      <c r="AV18" s="47">
        <f t="shared" si="7"/>
        <v>0.1</v>
      </c>
      <c r="AW18" s="96">
        <f t="shared" si="35"/>
        <v>-1.9644675187500005</v>
      </c>
      <c r="AX18" s="95">
        <f t="shared" si="8"/>
        <v>-20.478085650000001</v>
      </c>
      <c r="AY18" s="11">
        <f t="shared" si="9"/>
        <v>0.1</v>
      </c>
      <c r="AZ18" s="96">
        <f t="shared" si="36"/>
        <v>-22.525894215000001</v>
      </c>
      <c r="BA18" s="95">
        <f t="shared" si="37"/>
        <v>-1.963722132986055</v>
      </c>
      <c r="BB18" s="64">
        <f t="shared" si="38"/>
        <v>-7.121111028251763E-4</v>
      </c>
      <c r="BC18" s="95">
        <f t="shared" si="39"/>
        <v>-1.9644675187500005</v>
      </c>
      <c r="BD18" s="96">
        <f t="shared" si="39"/>
        <v>-7.1238140454937501E-4</v>
      </c>
      <c r="BE18" s="96">
        <f t="shared" si="40"/>
        <v>-1.963722132986055</v>
      </c>
      <c r="BF18" s="96">
        <f t="shared" si="41"/>
        <v>-7.121111028251763E-4</v>
      </c>
      <c r="BG18" s="15">
        <f t="shared" si="42"/>
        <v>-349.94680616377298</v>
      </c>
      <c r="BH18" s="46">
        <f>(SUMPRODUCT(BE19:BE$605,$I18:$I$604)+SUMPRODUCT(BF19:BF$605,$I19:$I$605)) / $I18</f>
        <v>-349.81402444813608</v>
      </c>
      <c r="BJ18" s="46">
        <f t="shared" si="53"/>
        <v>-1.963722132986055</v>
      </c>
      <c r="BK18" s="46">
        <f t="shared" si="43"/>
        <v>-0.29490269282358239</v>
      </c>
      <c r="BM18" s="49">
        <f t="shared" si="10"/>
        <v>8754.205032696158</v>
      </c>
      <c r="BN18" s="50">
        <f t="shared" si="44"/>
        <v>8750.6066429969214</v>
      </c>
      <c r="BP18" s="68">
        <f>INDEX(Others!$H$11:$I$60, MATCH(C18, Others!$A$11:$A$60, 0), MATCH(BP$3, Others!$H$10:$I$10, 0))</f>
        <v>2.1879697177994484E-2</v>
      </c>
      <c r="BQ18" s="16">
        <f t="shared" si="45"/>
        <v>1.8052751940811351E-3</v>
      </c>
      <c r="BR18" s="69">
        <f t="shared" si="46"/>
        <v>0.97889593002236286</v>
      </c>
      <c r="BT18" s="46">
        <f t="shared" si="47"/>
        <v>9602.0418068950385</v>
      </c>
      <c r="BU18" s="49">
        <f t="shared" si="50"/>
        <v>851.78528768362514</v>
      </c>
      <c r="BV18" s="46">
        <f t="shared" si="51"/>
        <v>851.43516389811703</v>
      </c>
      <c r="BX18" s="46">
        <f t="shared" si="52"/>
        <v>9605.990320379784</v>
      </c>
    </row>
    <row r="19" spans="1:76" x14ac:dyDescent="0.25">
      <c r="A19" s="61">
        <f t="shared" si="0"/>
        <v>1.1666666666666665</v>
      </c>
      <c r="B19" s="32">
        <f t="shared" si="11"/>
        <v>2</v>
      </c>
      <c r="C19" s="62">
        <f t="shared" si="12"/>
        <v>2</v>
      </c>
      <c r="D19" s="64">
        <f t="shared" si="13"/>
        <v>1.6666666666666665</v>
      </c>
      <c r="E19" s="28">
        <f t="shared" si="14"/>
        <v>1</v>
      </c>
      <c r="G19" s="68">
        <f>INDEX(Others!$D$11:$E$60, MATCH(C19, Others!$A$11:$A$60, 0), MATCH(G$3, Others!$D$10:$E$10, 0))</f>
        <v>2.9172929570659312E-2</v>
      </c>
      <c r="H19" s="16">
        <f t="shared" si="15"/>
        <v>2.3991649580110685E-3</v>
      </c>
      <c r="I19" s="69">
        <f t="shared" si="16"/>
        <v>0.96972395855080962</v>
      </c>
      <c r="K19" s="80">
        <f>INDEX(Mortality!$B$7:$F$32, MATCH( E19,Mortality!$A$7:$A$32, 0), MATCH( K$3,Mortality!$B$6:$F$6,0))</f>
        <v>0.33</v>
      </c>
      <c r="L19" s="11" cm="1">
        <f t="array" ref="L19">PAD_Res_Mort</f>
        <v>0.15</v>
      </c>
      <c r="M19" s="80">
        <f t="shared" si="17"/>
        <v>0.3795</v>
      </c>
      <c r="N19" s="76">
        <f>INDEX('Myopia_(Reserve)'!$H:$H, MATCH(E19, 'Myopia_(Reserve)'!$A:$A, 0)) * Trend_Factor_Reserve^(A19)</f>
        <v>0</v>
      </c>
      <c r="O19" s="11">
        <f t="shared" si="1"/>
        <v>0.3</v>
      </c>
      <c r="P19" s="80">
        <f t="shared" si="18"/>
        <v>0</v>
      </c>
      <c r="Q19" s="76">
        <f>VLOOKUP(C19,Others!$L$10:$M$61,2)</f>
        <v>0</v>
      </c>
      <c r="R19" s="11">
        <f t="shared" si="2"/>
        <v>0</v>
      </c>
      <c r="S19" s="80">
        <f t="shared" si="19"/>
        <v>0</v>
      </c>
      <c r="T19" s="78">
        <f t="shared" si="20"/>
        <v>3.1625000000000003E-5</v>
      </c>
      <c r="U19" s="81">
        <f t="shared" si="21"/>
        <v>0</v>
      </c>
      <c r="V19" s="81">
        <f t="shared" si="22"/>
        <v>0</v>
      </c>
      <c r="W19" s="77">
        <f t="shared" si="3"/>
        <v>0.99958895300192352</v>
      </c>
      <c r="X19" s="82">
        <f t="shared" si="23"/>
        <v>3.1612000638685836E-5</v>
      </c>
      <c r="Y19" s="82">
        <f t="shared" si="24"/>
        <v>0</v>
      </c>
      <c r="Z19" s="82">
        <f t="shared" si="25"/>
        <v>0</v>
      </c>
      <c r="AA19" s="82">
        <f t="shared" si="26"/>
        <v>0.99955734100128479</v>
      </c>
      <c r="AC19" s="46">
        <f t="shared" si="4"/>
        <v>0</v>
      </c>
      <c r="AD19" s="15">
        <f t="shared" si="27"/>
        <v>0</v>
      </c>
      <c r="AE19" s="46">
        <f t="shared" si="28"/>
        <v>0</v>
      </c>
      <c r="AF19" s="15">
        <f t="shared" si="29"/>
        <v>0</v>
      </c>
      <c r="AG19" s="46">
        <f>SUMPRODUCT(AE20:AE$605, $I19:$I$604) / $I19</f>
        <v>0</v>
      </c>
      <c r="AI19" s="46">
        <f t="shared" si="5"/>
        <v>-47000</v>
      </c>
      <c r="AJ19" s="46">
        <f>IF(E19&gt;Mat_Year,0,  -SUM($AD$5:AD19))</f>
        <v>-9306</v>
      </c>
      <c r="AK19" s="24">
        <f t="shared" si="30"/>
        <v>-0.29418127794361038</v>
      </c>
      <c r="AL19" s="79">
        <f t="shared" si="31"/>
        <v>0</v>
      </c>
      <c r="AM19" s="24">
        <f t="shared" si="32"/>
        <v>-0.29430225000000004</v>
      </c>
      <c r="AN19" s="79">
        <f t="shared" si="33"/>
        <v>-0.29418127794361038</v>
      </c>
      <c r="AO19" s="15">
        <f t="shared" si="34"/>
        <v>-8424.1160321472416</v>
      </c>
      <c r="AP19" s="46">
        <f>SUMPRODUCT(AN20:AN$605, $I20:$I$605) / $I19</f>
        <v>-8420.6533245407791</v>
      </c>
      <c r="AR19" s="46">
        <v>0</v>
      </c>
      <c r="AS19" s="46">
        <v>0</v>
      </c>
      <c r="AT19" s="46">
        <v>0</v>
      </c>
      <c r="AU19" s="95">
        <f t="shared" si="6"/>
        <v>-1.7893397966770364</v>
      </c>
      <c r="AV19" s="47">
        <f t="shared" si="7"/>
        <v>0.1</v>
      </c>
      <c r="AW19" s="96">
        <f t="shared" si="35"/>
        <v>-1.9682737763447402</v>
      </c>
      <c r="AX19" s="95">
        <f t="shared" si="8"/>
        <v>-20.517763001896679</v>
      </c>
      <c r="AY19" s="11">
        <f t="shared" si="9"/>
        <v>0.1</v>
      </c>
      <c r="AZ19" s="96">
        <f t="shared" si="36"/>
        <v>-22.569539302086348</v>
      </c>
      <c r="BA19" s="95">
        <f t="shared" si="37"/>
        <v>-1.967464723317581</v>
      </c>
      <c r="BB19" s="64">
        <f t="shared" si="38"/>
        <v>-7.1346829083239873E-4</v>
      </c>
      <c r="BC19" s="95">
        <f t="shared" si="39"/>
        <v>-1.9682737763447402</v>
      </c>
      <c r="BD19" s="96">
        <f t="shared" si="39"/>
        <v>-7.1376168042848085E-4</v>
      </c>
      <c r="BE19" s="96">
        <f t="shared" si="40"/>
        <v>-1.967464723317581</v>
      </c>
      <c r="BF19" s="96">
        <f t="shared" si="41"/>
        <v>-7.1346829083239873E-4</v>
      </c>
      <c r="BG19" s="15">
        <f t="shared" si="42"/>
        <v>-348.8237704971047</v>
      </c>
      <c r="BH19" s="46">
        <f>(SUMPRODUCT(BE20:BE$605,$I19:$I$604)+SUMPRODUCT(BF20:BF$605,$I20:$I$605)) / $I19</f>
        <v>-348.68038753338413</v>
      </c>
      <c r="BJ19" s="46">
        <f t="shared" si="53"/>
        <v>-1.967464723317581</v>
      </c>
      <c r="BK19" s="46">
        <f t="shared" si="43"/>
        <v>-0.29489474623444278</v>
      </c>
      <c r="BM19" s="49">
        <f t="shared" si="10"/>
        <v>8773.2172556400583</v>
      </c>
      <c r="BN19" s="50">
        <f t="shared" si="44"/>
        <v>8769.3337120741653</v>
      </c>
      <c r="BP19" s="68">
        <f>INDEX(Others!$H$11:$I$60, MATCH(C19, Others!$A$11:$A$60, 0), MATCH(BP$3, Others!$H$10:$I$10, 0))</f>
        <v>2.1879697177994484E-2</v>
      </c>
      <c r="BQ19" s="16">
        <f t="shared" si="45"/>
        <v>1.8052751940811351E-3</v>
      </c>
      <c r="BR19" s="69">
        <f t="shared" si="46"/>
        <v>0.97713193797339504</v>
      </c>
      <c r="BT19" s="46">
        <f t="shared" si="47"/>
        <v>9617.1102234967439</v>
      </c>
      <c r="BU19" s="49">
        <f t="shared" si="50"/>
        <v>848.15195351708076</v>
      </c>
      <c r="BV19" s="46">
        <f t="shared" si="51"/>
        <v>847.77651142257855</v>
      </c>
      <c r="BX19" s="46">
        <f t="shared" si="52"/>
        <v>9621.3692091571393</v>
      </c>
    </row>
    <row r="20" spans="1:76" x14ac:dyDescent="0.25">
      <c r="A20" s="61">
        <f t="shared" si="0"/>
        <v>1.2499999999999998</v>
      </c>
      <c r="B20" s="32">
        <f t="shared" si="11"/>
        <v>3</v>
      </c>
      <c r="C20" s="62">
        <f t="shared" si="12"/>
        <v>2</v>
      </c>
      <c r="D20" s="64">
        <f t="shared" si="13"/>
        <v>1.7499999999999998</v>
      </c>
      <c r="E20" s="28">
        <f t="shared" si="14"/>
        <v>1</v>
      </c>
      <c r="G20" s="68">
        <f>INDEX(Others!$D$11:$E$60, MATCH(C20, Others!$A$11:$A$60, 0), MATCH(G$3, Others!$D$10:$E$10, 0))</f>
        <v>2.9172929570659312E-2</v>
      </c>
      <c r="H20" s="16">
        <f t="shared" si="15"/>
        <v>2.3991649580110685E-3</v>
      </c>
      <c r="I20" s="69">
        <f t="shared" si="16"/>
        <v>0.96740299917491435</v>
      </c>
      <c r="K20" s="80">
        <f>INDEX(Mortality!$B$7:$F$32, MATCH( E20,Mortality!$A$7:$A$32, 0), MATCH( K$3,Mortality!$B$6:$F$6,0))</f>
        <v>0.33</v>
      </c>
      <c r="L20" s="11" cm="1">
        <f t="array" ref="L20">PAD_Res_Mort</f>
        <v>0.15</v>
      </c>
      <c r="M20" s="80">
        <f t="shared" si="17"/>
        <v>0.3795</v>
      </c>
      <c r="N20" s="76">
        <f>INDEX('Myopia_(Reserve)'!$H:$H, MATCH(E20, 'Myopia_(Reserve)'!$A:$A, 0)) * Trend_Factor_Reserve^(A20)</f>
        <v>0</v>
      </c>
      <c r="O20" s="11">
        <f t="shared" si="1"/>
        <v>0.3</v>
      </c>
      <c r="P20" s="80">
        <f t="shared" si="18"/>
        <v>0</v>
      </c>
      <c r="Q20" s="76">
        <f>VLOOKUP(C20,Others!$L$10:$M$61,2)</f>
        <v>0</v>
      </c>
      <c r="R20" s="11">
        <f t="shared" si="2"/>
        <v>0</v>
      </c>
      <c r="S20" s="80">
        <f t="shared" si="19"/>
        <v>0</v>
      </c>
      <c r="T20" s="78">
        <f t="shared" si="20"/>
        <v>3.1625000000000003E-5</v>
      </c>
      <c r="U20" s="81">
        <f t="shared" si="21"/>
        <v>0</v>
      </c>
      <c r="V20" s="81">
        <f t="shared" si="22"/>
        <v>0</v>
      </c>
      <c r="W20" s="77">
        <f t="shared" si="3"/>
        <v>0.99955734100128479</v>
      </c>
      <c r="X20" s="82">
        <f t="shared" si="23"/>
        <v>3.1611000909165632E-5</v>
      </c>
      <c r="Y20" s="82">
        <f t="shared" si="24"/>
        <v>0</v>
      </c>
      <c r="Z20" s="82">
        <f t="shared" si="25"/>
        <v>0</v>
      </c>
      <c r="AA20" s="82">
        <f t="shared" si="26"/>
        <v>0.99952573000037559</v>
      </c>
      <c r="AC20" s="46">
        <f t="shared" si="4"/>
        <v>0</v>
      </c>
      <c r="AD20" s="15">
        <f t="shared" si="27"/>
        <v>0</v>
      </c>
      <c r="AE20" s="46">
        <f t="shared" si="28"/>
        <v>0</v>
      </c>
      <c r="AF20" s="15">
        <f t="shared" si="29"/>
        <v>0</v>
      </c>
      <c r="AG20" s="46">
        <f>SUMPRODUCT(AE21:AE$605, $I20:$I$604) / $I20</f>
        <v>0</v>
      </c>
      <c r="AI20" s="46">
        <f t="shared" si="5"/>
        <v>-47000</v>
      </c>
      <c r="AJ20" s="46">
        <f>IF(E20&gt;Mat_Year,0,  -SUM($AD$5:AD20))</f>
        <v>-9306</v>
      </c>
      <c r="AK20" s="24">
        <f t="shared" si="30"/>
        <v>-0.29417197446069537</v>
      </c>
      <c r="AL20" s="79">
        <f t="shared" si="31"/>
        <v>0</v>
      </c>
      <c r="AM20" s="24">
        <f t="shared" si="32"/>
        <v>-0.29430224999999999</v>
      </c>
      <c r="AN20" s="79">
        <f t="shared" si="33"/>
        <v>-0.29417197446069537</v>
      </c>
      <c r="AO20" s="15">
        <f t="shared" si="34"/>
        <v>-8444.2996341670278</v>
      </c>
      <c r="AP20" s="46">
        <f>SUMPRODUCT(AN21:AN$605, $I21:$I$605) / $I20</f>
        <v>-8440.5616889461162</v>
      </c>
      <c r="AR20" s="46">
        <v>0</v>
      </c>
      <c r="AS20" s="46">
        <v>0</v>
      </c>
      <c r="AT20" s="46">
        <v>0</v>
      </c>
      <c r="AU20" s="95">
        <f t="shared" si="6"/>
        <v>-1.792806735237062</v>
      </c>
      <c r="AV20" s="47">
        <f t="shared" si="7"/>
        <v>0.1</v>
      </c>
      <c r="AW20" s="96">
        <f t="shared" si="35"/>
        <v>-1.9720874087607685</v>
      </c>
      <c r="AX20" s="95">
        <f t="shared" si="8"/>
        <v>-20.557517230718311</v>
      </c>
      <c r="AY20" s="11">
        <f t="shared" si="9"/>
        <v>0.1</v>
      </c>
      <c r="AZ20" s="96">
        <f t="shared" si="36"/>
        <v>-22.613268953790143</v>
      </c>
      <c r="BA20" s="95">
        <f t="shared" si="37"/>
        <v>-1.9712144465230277</v>
      </c>
      <c r="BB20" s="64">
        <f t="shared" si="38"/>
        <v>-7.1482806545746717E-4</v>
      </c>
      <c r="BC20" s="95">
        <f t="shared" si="39"/>
        <v>-1.9720874087607685</v>
      </c>
      <c r="BD20" s="96">
        <f t="shared" si="39"/>
        <v>-7.1514463066361326E-4</v>
      </c>
      <c r="BE20" s="96">
        <f t="shared" si="40"/>
        <v>-1.9712144465230277</v>
      </c>
      <c r="BF20" s="96">
        <f t="shared" si="41"/>
        <v>-7.1482806545746717E-4</v>
      </c>
      <c r="BG20" s="15">
        <f t="shared" si="42"/>
        <v>-347.69418071538126</v>
      </c>
      <c r="BH20" s="46">
        <f>(SUMPRODUCT(BE21:BE$605,$I20:$I$604)+SUMPRODUCT(BF21:BF$605,$I21:$I$605)) / $I20</f>
        <v>-347.54027075748667</v>
      </c>
      <c r="BJ20" s="46">
        <f t="shared" si="53"/>
        <v>-1.9712144465230277</v>
      </c>
      <c r="BK20" s="46">
        <f t="shared" si="43"/>
        <v>-0.29488680252615285</v>
      </c>
      <c r="BM20" s="49">
        <f t="shared" si="10"/>
        <v>8792.2718704803156</v>
      </c>
      <c r="BN20" s="50">
        <f t="shared" si="44"/>
        <v>8788.1019597036047</v>
      </c>
      <c r="BP20" s="68">
        <f>INDEX(Others!$H$11:$I$60, MATCH(C20, Others!$A$11:$A$60, 0), MATCH(BP$3, Others!$H$10:$I$10, 0))</f>
        <v>2.1879697177994484E-2</v>
      </c>
      <c r="BQ20" s="16">
        <f t="shared" si="45"/>
        <v>1.8052751940811351E-3</v>
      </c>
      <c r="BR20" s="69">
        <f t="shared" si="46"/>
        <v>0.97537112467699261</v>
      </c>
      <c r="BT20" s="46">
        <f t="shared" si="47"/>
        <v>9632.2020941883748</v>
      </c>
      <c r="BU20" s="49">
        <f t="shared" si="50"/>
        <v>844.50065581048409</v>
      </c>
      <c r="BV20" s="46">
        <f t="shared" si="51"/>
        <v>844.10013448477002</v>
      </c>
      <c r="BX20" s="46">
        <f t="shared" si="52"/>
        <v>9636.7725262907989</v>
      </c>
    </row>
    <row r="21" spans="1:76" x14ac:dyDescent="0.25">
      <c r="A21" s="61">
        <f t="shared" si="0"/>
        <v>1.333333333333333</v>
      </c>
      <c r="B21" s="32">
        <f t="shared" si="11"/>
        <v>4</v>
      </c>
      <c r="C21" s="62">
        <f t="shared" si="12"/>
        <v>2</v>
      </c>
      <c r="D21" s="64">
        <f t="shared" si="13"/>
        <v>1.833333333333333</v>
      </c>
      <c r="E21" s="28">
        <f t="shared" si="14"/>
        <v>1</v>
      </c>
      <c r="G21" s="68">
        <f>INDEX(Others!$D$11:$E$60, MATCH(C21, Others!$A$11:$A$60, 0), MATCH(G$3, Others!$D$10:$E$10, 0))</f>
        <v>2.9172929570659312E-2</v>
      </c>
      <c r="H21" s="16">
        <f t="shared" si="15"/>
        <v>2.3991649580110685E-3</v>
      </c>
      <c r="I21" s="69">
        <f t="shared" si="16"/>
        <v>0.96508759483597273</v>
      </c>
      <c r="K21" s="80">
        <f>INDEX(Mortality!$B$7:$F$32, MATCH( E21,Mortality!$A$7:$A$32, 0), MATCH( K$3,Mortality!$B$6:$F$6,0))</f>
        <v>0.33</v>
      </c>
      <c r="L21" s="11" cm="1">
        <f t="array" ref="L21">PAD_Res_Mort</f>
        <v>0.15</v>
      </c>
      <c r="M21" s="80">
        <f t="shared" si="17"/>
        <v>0.3795</v>
      </c>
      <c r="N21" s="76">
        <f>INDEX('Myopia_(Reserve)'!$H:$H, MATCH(E21, 'Myopia_(Reserve)'!$A:$A, 0)) * Trend_Factor_Reserve^(A21)</f>
        <v>0</v>
      </c>
      <c r="O21" s="11">
        <f t="shared" si="1"/>
        <v>0.3</v>
      </c>
      <c r="P21" s="80">
        <f t="shared" si="18"/>
        <v>0</v>
      </c>
      <c r="Q21" s="76">
        <f>VLOOKUP(C21,Others!$L$10:$M$61,2)</f>
        <v>0</v>
      </c>
      <c r="R21" s="11">
        <f t="shared" si="2"/>
        <v>0</v>
      </c>
      <c r="S21" s="80">
        <f t="shared" si="19"/>
        <v>0</v>
      </c>
      <c r="T21" s="78">
        <f t="shared" si="20"/>
        <v>3.1625000000000003E-5</v>
      </c>
      <c r="U21" s="81">
        <f t="shared" si="21"/>
        <v>0</v>
      </c>
      <c r="V21" s="81">
        <f t="shared" si="22"/>
        <v>0</v>
      </c>
      <c r="W21" s="77">
        <f t="shared" si="3"/>
        <v>0.99952573000037559</v>
      </c>
      <c r="X21" s="82">
        <f t="shared" si="23"/>
        <v>3.1610001211261882E-5</v>
      </c>
      <c r="Y21" s="82">
        <f t="shared" si="24"/>
        <v>0</v>
      </c>
      <c r="Z21" s="82">
        <f t="shared" si="25"/>
        <v>0</v>
      </c>
      <c r="AA21" s="82">
        <f t="shared" si="26"/>
        <v>0.99949411999916438</v>
      </c>
      <c r="AC21" s="46">
        <f t="shared" si="4"/>
        <v>0</v>
      </c>
      <c r="AD21" s="15">
        <f t="shared" si="27"/>
        <v>0</v>
      </c>
      <c r="AE21" s="46">
        <f t="shared" si="28"/>
        <v>0</v>
      </c>
      <c r="AF21" s="15">
        <f t="shared" si="29"/>
        <v>0</v>
      </c>
      <c r="AG21" s="46">
        <f>SUMPRODUCT(AE22:AE$605, $I21:$I$604) / $I21</f>
        <v>0</v>
      </c>
      <c r="AI21" s="46">
        <f t="shared" si="5"/>
        <v>-47000</v>
      </c>
      <c r="AJ21" s="46">
        <f>IF(E21&gt;Mat_Year,0,  -SUM($AD$5:AD21))</f>
        <v>-9306</v>
      </c>
      <c r="AK21" s="24">
        <f t="shared" si="30"/>
        <v>-0.29416267127200307</v>
      </c>
      <c r="AL21" s="79">
        <f t="shared" si="31"/>
        <v>0</v>
      </c>
      <c r="AM21" s="24">
        <f t="shared" si="32"/>
        <v>-0.29430225000000004</v>
      </c>
      <c r="AN21" s="79">
        <f t="shared" si="33"/>
        <v>-0.29416267127200307</v>
      </c>
      <c r="AO21" s="15">
        <f t="shared" si="34"/>
        <v>-8464.5322998355568</v>
      </c>
      <c r="AP21" s="46">
        <f>SUMPRODUCT(AN22:AN$605, $I22:$I$605) / $I21</f>
        <v>-8460.5178261048932</v>
      </c>
      <c r="AR21" s="46">
        <v>0</v>
      </c>
      <c r="AS21" s="46">
        <v>0</v>
      </c>
      <c r="AT21" s="46">
        <v>0</v>
      </c>
      <c r="AU21" s="95">
        <f t="shared" si="6"/>
        <v>-1.7962803911701661</v>
      </c>
      <c r="AV21" s="47">
        <f t="shared" si="7"/>
        <v>0.1</v>
      </c>
      <c r="AW21" s="96">
        <f t="shared" si="35"/>
        <v>-1.975908430287183</v>
      </c>
      <c r="AX21" s="95">
        <f t="shared" si="8"/>
        <v>-20.597348485417903</v>
      </c>
      <c r="AY21" s="11">
        <f t="shared" si="9"/>
        <v>0.1</v>
      </c>
      <c r="AZ21" s="96">
        <f t="shared" si="36"/>
        <v>-22.657083333959697</v>
      </c>
      <c r="BA21" s="95">
        <f t="shared" si="37"/>
        <v>-1.9749713161966929</v>
      </c>
      <c r="BB21" s="64">
        <f t="shared" si="38"/>
        <v>-7.1619043163012749E-4</v>
      </c>
      <c r="BC21" s="95">
        <f t="shared" si="39"/>
        <v>-1.975908430287183</v>
      </c>
      <c r="BD21" s="96">
        <f t="shared" si="39"/>
        <v>-7.1653026043647561E-4</v>
      </c>
      <c r="BE21" s="96">
        <f t="shared" si="40"/>
        <v>-1.9749713161966929</v>
      </c>
      <c r="BF21" s="96">
        <f t="shared" si="41"/>
        <v>-7.1619043163012749E-4</v>
      </c>
      <c r="BG21" s="15">
        <f t="shared" si="42"/>
        <v>-346.55801347690402</v>
      </c>
      <c r="BH21" s="46">
        <f>(SUMPRODUCT(BE22:BE$605,$I21:$I$604)+SUMPRODUCT(BF22:BF$605,$I22:$I$605)) / $I21</f>
        <v>-346.39365140798247</v>
      </c>
      <c r="BJ21" s="46">
        <f t="shared" si="53"/>
        <v>-1.9749713161966929</v>
      </c>
      <c r="BK21" s="46">
        <f t="shared" si="43"/>
        <v>-0.2948788617036332</v>
      </c>
      <c r="BM21" s="49">
        <f t="shared" si="10"/>
        <v>8811.3689728562294</v>
      </c>
      <c r="BN21" s="50">
        <f t="shared" si="44"/>
        <v>8806.9114775128783</v>
      </c>
      <c r="BP21" s="68">
        <f>INDEX(Others!$H$11:$I$60, MATCH(C21, Others!$A$11:$A$60, 0), MATCH(BP$3, Others!$H$10:$I$10, 0))</f>
        <v>2.1879697177994484E-2</v>
      </c>
      <c r="BQ21" s="16">
        <f t="shared" si="45"/>
        <v>1.8052751940811351E-3</v>
      </c>
      <c r="BR21" s="69">
        <f t="shared" si="46"/>
        <v>0.97361348440497342</v>
      </c>
      <c r="BT21" s="46">
        <f t="shared" si="47"/>
        <v>9647.3174541487624</v>
      </c>
      <c r="BU21" s="49">
        <f t="shared" si="50"/>
        <v>840.83133639304128</v>
      </c>
      <c r="BV21" s="46">
        <f t="shared" si="51"/>
        <v>840.40597663588414</v>
      </c>
      <c r="BX21" s="46">
        <f t="shared" si="52"/>
        <v>9652.2003092492705</v>
      </c>
    </row>
    <row r="22" spans="1:76" x14ac:dyDescent="0.25">
      <c r="A22" s="61">
        <f t="shared" si="0"/>
        <v>1.4166666666666663</v>
      </c>
      <c r="B22" s="32">
        <f t="shared" si="11"/>
        <v>5</v>
      </c>
      <c r="C22" s="62">
        <f t="shared" si="12"/>
        <v>2</v>
      </c>
      <c r="D22" s="64">
        <f t="shared" si="13"/>
        <v>1.9166666666666663</v>
      </c>
      <c r="E22" s="28">
        <f t="shared" si="14"/>
        <v>1</v>
      </c>
      <c r="G22" s="68">
        <f>INDEX(Others!$D$11:$E$60, MATCH(C22, Others!$A$11:$A$60, 0), MATCH(G$3, Others!$D$10:$E$10, 0))</f>
        <v>2.9172929570659312E-2</v>
      </c>
      <c r="H22" s="16">
        <f t="shared" si="15"/>
        <v>2.3991649580110685E-3</v>
      </c>
      <c r="I22" s="69">
        <f t="shared" si="16"/>
        <v>0.96277773223843288</v>
      </c>
      <c r="K22" s="80">
        <f>INDEX(Mortality!$B$7:$F$32, MATCH( E22,Mortality!$A$7:$A$32, 0), MATCH( K$3,Mortality!$B$6:$F$6,0))</f>
        <v>0.33</v>
      </c>
      <c r="L22" s="11" cm="1">
        <f t="array" ref="L22">PAD_Res_Mort</f>
        <v>0.15</v>
      </c>
      <c r="M22" s="80">
        <f t="shared" si="17"/>
        <v>0.3795</v>
      </c>
      <c r="N22" s="76">
        <f>INDEX('Myopia_(Reserve)'!$H:$H, MATCH(E22, 'Myopia_(Reserve)'!$A:$A, 0)) * Trend_Factor_Reserve^(A22)</f>
        <v>0</v>
      </c>
      <c r="O22" s="11">
        <f t="shared" si="1"/>
        <v>0.3</v>
      </c>
      <c r="P22" s="80">
        <f t="shared" si="18"/>
        <v>0</v>
      </c>
      <c r="Q22" s="76">
        <f>VLOOKUP(C22,Others!$L$10:$M$61,2)</f>
        <v>0</v>
      </c>
      <c r="R22" s="11">
        <f t="shared" si="2"/>
        <v>0</v>
      </c>
      <c r="S22" s="80">
        <f t="shared" si="19"/>
        <v>0</v>
      </c>
      <c r="T22" s="78">
        <f t="shared" si="20"/>
        <v>3.1625000000000003E-5</v>
      </c>
      <c r="U22" s="81">
        <f t="shared" si="21"/>
        <v>0</v>
      </c>
      <c r="V22" s="81">
        <f t="shared" si="22"/>
        <v>0</v>
      </c>
      <c r="W22" s="77">
        <f t="shared" si="3"/>
        <v>0.99949411999916438</v>
      </c>
      <c r="X22" s="82">
        <f t="shared" si="23"/>
        <v>3.1609001544973576E-5</v>
      </c>
      <c r="Y22" s="82">
        <f t="shared" si="24"/>
        <v>0</v>
      </c>
      <c r="Z22" s="82">
        <f t="shared" si="25"/>
        <v>0</v>
      </c>
      <c r="AA22" s="82">
        <f t="shared" si="26"/>
        <v>0.9994625109976194</v>
      </c>
      <c r="AC22" s="46">
        <f t="shared" si="4"/>
        <v>0</v>
      </c>
      <c r="AD22" s="15">
        <f t="shared" si="27"/>
        <v>0</v>
      </c>
      <c r="AE22" s="46">
        <f t="shared" si="28"/>
        <v>0</v>
      </c>
      <c r="AF22" s="15">
        <f t="shared" si="29"/>
        <v>0</v>
      </c>
      <c r="AG22" s="46">
        <f>SUMPRODUCT(AE23:AE$605, $I22:$I$604) / $I22</f>
        <v>0</v>
      </c>
      <c r="AI22" s="46">
        <f t="shared" si="5"/>
        <v>-47000</v>
      </c>
      <c r="AJ22" s="46">
        <f>IF(E22&gt;Mat_Year,0,  -SUM($AD$5:AD22))</f>
        <v>-9306</v>
      </c>
      <c r="AK22" s="24">
        <f t="shared" si="30"/>
        <v>-0.29415336837752409</v>
      </c>
      <c r="AL22" s="79">
        <f t="shared" si="31"/>
        <v>0</v>
      </c>
      <c r="AM22" s="24">
        <f t="shared" si="32"/>
        <v>-0.29430225000000004</v>
      </c>
      <c r="AN22" s="79">
        <f t="shared" si="33"/>
        <v>-0.29415336837752409</v>
      </c>
      <c r="AO22" s="15">
        <f t="shared" si="34"/>
        <v>-8484.8141484200278</v>
      </c>
      <c r="AP22" s="46">
        <f>SUMPRODUCT(AN23:AN$605, $I23:$I$605) / $I22</f>
        <v>-8480.5218506315341</v>
      </c>
      <c r="AR22" s="46">
        <v>0</v>
      </c>
      <c r="AS22" s="46">
        <v>0</v>
      </c>
      <c r="AT22" s="46">
        <v>0</v>
      </c>
      <c r="AU22" s="95">
        <f t="shared" si="6"/>
        <v>-1.7997607774916076</v>
      </c>
      <c r="AV22" s="47">
        <f t="shared" si="7"/>
        <v>0.1</v>
      </c>
      <c r="AW22" s="96">
        <f t="shared" si="35"/>
        <v>-1.9797368552407686</v>
      </c>
      <c r="AX22" s="95">
        <f t="shared" si="8"/>
        <v>-20.637256915237099</v>
      </c>
      <c r="AY22" s="11">
        <f t="shared" si="9"/>
        <v>0.1</v>
      </c>
      <c r="AZ22" s="96">
        <f t="shared" si="36"/>
        <v>-22.70098260676081</v>
      </c>
      <c r="BA22" s="95">
        <f t="shared" si="37"/>
        <v>-1.9787353459587851</v>
      </c>
      <c r="BB22" s="64">
        <f t="shared" si="38"/>
        <v>-7.1755539428952078E-4</v>
      </c>
      <c r="BC22" s="95">
        <f t="shared" si="39"/>
        <v>-1.9797368552407686</v>
      </c>
      <c r="BD22" s="96">
        <f t="shared" si="39"/>
        <v>-7.1791857493881076E-4</v>
      </c>
      <c r="BE22" s="96">
        <f t="shared" si="40"/>
        <v>-1.9787353459587851</v>
      </c>
      <c r="BF22" s="96">
        <f t="shared" si="41"/>
        <v>-7.1755539428952078E-4</v>
      </c>
      <c r="BG22" s="15">
        <f t="shared" si="42"/>
        <v>-345.41524536887761</v>
      </c>
      <c r="BH22" s="46">
        <f>(SUMPRODUCT(BE23:BE$605,$I22:$I$604)+SUMPRODUCT(BF23:BF$605,$I23:$I$605)) / $I22</f>
        <v>-345.24050670426175</v>
      </c>
      <c r="BJ22" s="46">
        <f t="shared" si="53"/>
        <v>-1.9787353459587851</v>
      </c>
      <c r="BK22" s="46">
        <f t="shared" si="43"/>
        <v>-0.29487092377181362</v>
      </c>
      <c r="BM22" s="49">
        <f t="shared" si="10"/>
        <v>8830.5086586252364</v>
      </c>
      <c r="BN22" s="50">
        <f t="shared" si="44"/>
        <v>8825.7623573357996</v>
      </c>
      <c r="BP22" s="68">
        <f>INDEX(Others!$H$11:$I$60, MATCH(C22, Others!$A$11:$A$60, 0), MATCH(BP$3, Others!$H$10:$I$10, 0))</f>
        <v>2.1879697177994484E-2</v>
      </c>
      <c r="BQ22" s="16">
        <f t="shared" si="45"/>
        <v>1.8052751940811351E-3</v>
      </c>
      <c r="BR22" s="69">
        <f t="shared" si="46"/>
        <v>0.9718590114394775</v>
      </c>
      <c r="BT22" s="46">
        <f t="shared" si="47"/>
        <v>9662.4563386065965</v>
      </c>
      <c r="BU22" s="49">
        <f t="shared" si="50"/>
        <v>837.14393693030661</v>
      </c>
      <c r="BV22" s="46">
        <f t="shared" si="51"/>
        <v>836.69398127079694</v>
      </c>
      <c r="BX22" s="46">
        <f t="shared" si="52"/>
        <v>9667.6525955555426</v>
      </c>
    </row>
    <row r="23" spans="1:76" x14ac:dyDescent="0.25">
      <c r="A23" s="61">
        <f t="shared" si="0"/>
        <v>1.4999999999999996</v>
      </c>
      <c r="B23" s="32">
        <f t="shared" si="11"/>
        <v>6</v>
      </c>
      <c r="C23" s="62">
        <f t="shared" si="12"/>
        <v>2</v>
      </c>
      <c r="D23" s="64">
        <f t="shared" si="13"/>
        <v>1.9999999999999996</v>
      </c>
      <c r="E23" s="28">
        <f t="shared" si="14"/>
        <v>2</v>
      </c>
      <c r="G23" s="68">
        <f>INDEX(Others!$D$11:$E$60, MATCH(C23, Others!$A$11:$A$60, 0), MATCH(G$3, Others!$D$10:$E$10, 0))</f>
        <v>2.9172929570659312E-2</v>
      </c>
      <c r="H23" s="16">
        <f t="shared" si="15"/>
        <v>2.3991649580110685E-3</v>
      </c>
      <c r="I23" s="69">
        <f t="shared" si="16"/>
        <v>0.96047339811856502</v>
      </c>
      <c r="K23" s="80">
        <f>INDEX(Mortality!$B$7:$F$32, MATCH( E23,Mortality!$A$7:$A$32, 0), MATCH( K$3,Mortality!$B$6:$F$6,0))</f>
        <v>0.33200000000000002</v>
      </c>
      <c r="L23" s="11" cm="1">
        <f t="array" ref="L23">PAD_Res_Mort</f>
        <v>0.15</v>
      </c>
      <c r="M23" s="80">
        <f t="shared" si="17"/>
        <v>0.38179999999999997</v>
      </c>
      <c r="N23" s="76">
        <f>INDEX('Myopia_(Reserve)'!$H:$H, MATCH(E23, 'Myopia_(Reserve)'!$A:$A, 0)) * Trend_Factor_Reserve^(A23)</f>
        <v>0</v>
      </c>
      <c r="O23" s="11">
        <f t="shared" si="1"/>
        <v>0.3</v>
      </c>
      <c r="P23" s="80">
        <f t="shared" si="18"/>
        <v>0</v>
      </c>
      <c r="Q23" s="76">
        <f>VLOOKUP(C23,Others!$L$10:$M$61,2)</f>
        <v>0</v>
      </c>
      <c r="R23" s="11">
        <f t="shared" si="2"/>
        <v>0</v>
      </c>
      <c r="S23" s="80">
        <f t="shared" si="19"/>
        <v>0</v>
      </c>
      <c r="T23" s="78">
        <f t="shared" si="20"/>
        <v>3.1816666666666663E-5</v>
      </c>
      <c r="U23" s="81">
        <f t="shared" si="21"/>
        <v>0</v>
      </c>
      <c r="V23" s="81">
        <f t="shared" si="22"/>
        <v>0</v>
      </c>
      <c r="W23" s="77">
        <f t="shared" si="3"/>
        <v>0.9994625109976194</v>
      </c>
      <c r="X23" s="82">
        <f t="shared" si="23"/>
        <v>3.1799565558240923E-5</v>
      </c>
      <c r="Y23" s="82">
        <f t="shared" si="24"/>
        <v>0</v>
      </c>
      <c r="Z23" s="82">
        <f t="shared" si="25"/>
        <v>0</v>
      </c>
      <c r="AA23" s="82">
        <f t="shared" si="26"/>
        <v>0.99943071143206119</v>
      </c>
      <c r="AC23" s="46">
        <f t="shared" si="4"/>
        <v>0</v>
      </c>
      <c r="AD23" s="15">
        <f t="shared" si="27"/>
        <v>0</v>
      </c>
      <c r="AE23" s="46">
        <f t="shared" si="28"/>
        <v>0</v>
      </c>
      <c r="AF23" s="15">
        <f t="shared" si="29"/>
        <v>0</v>
      </c>
      <c r="AG23" s="46">
        <f>SUMPRODUCT(AE24:AE$605, $I23:$I$604) / $I23</f>
        <v>0</v>
      </c>
      <c r="AI23" s="46">
        <f t="shared" si="5"/>
        <v>-47000</v>
      </c>
      <c r="AJ23" s="46">
        <f>IF(E23&gt;Mat_Year,0,  -SUM($AD$5:AD23))</f>
        <v>-9306</v>
      </c>
      <c r="AK23" s="24">
        <f t="shared" si="30"/>
        <v>-0.29592675708499006</v>
      </c>
      <c r="AL23" s="79">
        <f t="shared" si="31"/>
        <v>0</v>
      </c>
      <c r="AM23" s="24">
        <f t="shared" si="32"/>
        <v>-0.29608590000000001</v>
      </c>
      <c r="AN23" s="79">
        <f t="shared" si="33"/>
        <v>-0.29592675708499006</v>
      </c>
      <c r="AO23" s="15">
        <f t="shared" si="34"/>
        <v>-8505.1435158275581</v>
      </c>
      <c r="AP23" s="46">
        <f>SUMPRODUCT(AN24:AN$605, $I24:$I$605) / $I23</f>
        <v>-8500.5720947241316</v>
      </c>
      <c r="AR23" s="46">
        <v>0</v>
      </c>
      <c r="AS23" s="46">
        <v>0</v>
      </c>
      <c r="AT23" s="46">
        <v>0</v>
      </c>
      <c r="AU23" s="95">
        <f t="shared" si="6"/>
        <v>-1.8032479072418623</v>
      </c>
      <c r="AV23" s="47">
        <f t="shared" si="7"/>
        <v>0.1</v>
      </c>
      <c r="AW23" s="96">
        <f t="shared" si="35"/>
        <v>-1.9835726979660488</v>
      </c>
      <c r="AX23" s="95">
        <f t="shared" si="8"/>
        <v>-20.677242669706686</v>
      </c>
      <c r="AY23" s="11">
        <f t="shared" si="9"/>
        <v>0.1</v>
      </c>
      <c r="AZ23" s="96">
        <f t="shared" si="36"/>
        <v>-22.744966936677358</v>
      </c>
      <c r="BA23" s="95">
        <f t="shared" si="37"/>
        <v>-1.9825065494554697</v>
      </c>
      <c r="BB23" s="64">
        <f t="shared" si="38"/>
        <v>-7.2328006722289389E-4</v>
      </c>
      <c r="BC23" s="95">
        <f t="shared" ref="BC23:BD86" si="54">IF($W23 = 0, 0, BE23/$W23)</f>
        <v>-1.9835726979660488</v>
      </c>
      <c r="BD23" s="96">
        <f t="shared" si="54"/>
        <v>-7.2366903136861791E-4</v>
      </c>
      <c r="BE23" s="96">
        <f t="shared" si="40"/>
        <v>-1.9825065494554697</v>
      </c>
      <c r="BF23" s="96">
        <f t="shared" si="41"/>
        <v>-7.2328006722289389E-4</v>
      </c>
      <c r="BG23" s="15">
        <f t="shared" si="42"/>
        <v>-344.26584854775706</v>
      </c>
      <c r="BH23" s="46">
        <f>(SUMPRODUCT(BE24:BE$605,$I23:$I$604)+SUMPRODUCT(BF24:BF$605,$I24:$I$605)) / $I23</f>
        <v>-344.08080944026739</v>
      </c>
      <c r="BJ23" s="46">
        <f t="shared" si="53"/>
        <v>-1.9825065494554697</v>
      </c>
      <c r="BK23" s="46">
        <f t="shared" si="43"/>
        <v>-0.29665003715221294</v>
      </c>
      <c r="BM23" s="49">
        <f t="shared" si="10"/>
        <v>8849.6909320418054</v>
      </c>
      <c r="BN23" s="50">
        <f t="shared" si="44"/>
        <v>8844.6529041644026</v>
      </c>
      <c r="BP23" s="68">
        <f>INDEX(Others!$H$11:$I$60, MATCH(C23, Others!$A$11:$A$60, 0), MATCH(BP$3, Others!$H$10:$I$10, 0))</f>
        <v>2.1879697177994484E-2</v>
      </c>
      <c r="BQ23" s="16">
        <f t="shared" si="45"/>
        <v>1.8052751940811351E-3</v>
      </c>
      <c r="BR23" s="69">
        <f t="shared" si="46"/>
        <v>0.97010770007294866</v>
      </c>
      <c r="BT23" s="46">
        <f t="shared" si="47"/>
        <v>9677.616995792072</v>
      </c>
      <c r="BU23" s="49">
        <f t="shared" si="50"/>
        <v>833.43855867120033</v>
      </c>
      <c r="BV23" s="46">
        <f t="shared" si="51"/>
        <v>832.9640916276694</v>
      </c>
      <c r="BX23" s="46">
        <f t="shared" si="52"/>
        <v>9683.129490713005</v>
      </c>
    </row>
    <row r="24" spans="1:76" x14ac:dyDescent="0.25">
      <c r="A24" s="61">
        <f t="shared" si="0"/>
        <v>1.5833333333333328</v>
      </c>
      <c r="B24" s="32">
        <f t="shared" si="11"/>
        <v>7</v>
      </c>
      <c r="C24" s="62">
        <f t="shared" si="12"/>
        <v>2</v>
      </c>
      <c r="D24" s="64">
        <f t="shared" si="13"/>
        <v>2.083333333333333</v>
      </c>
      <c r="E24" s="28">
        <f t="shared" si="14"/>
        <v>2</v>
      </c>
      <c r="G24" s="68">
        <f>INDEX(Others!$D$11:$E$60, MATCH(C24, Others!$A$11:$A$60, 0), MATCH(G$3, Others!$D$10:$E$10, 0))</f>
        <v>2.9172929570659312E-2</v>
      </c>
      <c r="H24" s="16">
        <f t="shared" si="15"/>
        <v>2.3991649580110685E-3</v>
      </c>
      <c r="I24" s="69">
        <f t="shared" si="16"/>
        <v>0.95817457924438487</v>
      </c>
      <c r="K24" s="80">
        <f>INDEX(Mortality!$B$7:$F$32, MATCH( E24,Mortality!$A$7:$A$32, 0), MATCH( K$3,Mortality!$B$6:$F$6,0))</f>
        <v>0.33200000000000002</v>
      </c>
      <c r="L24" s="11" cm="1">
        <f t="array" ref="L24">PAD_Res_Mort</f>
        <v>0.15</v>
      </c>
      <c r="M24" s="80">
        <f t="shared" si="17"/>
        <v>0.38179999999999997</v>
      </c>
      <c r="N24" s="76">
        <f>INDEX('Myopia_(Reserve)'!$H:$H, MATCH(E24, 'Myopia_(Reserve)'!$A:$A, 0)) * Trend_Factor_Reserve^(A24)</f>
        <v>0</v>
      </c>
      <c r="O24" s="11">
        <f t="shared" si="1"/>
        <v>0.3</v>
      </c>
      <c r="P24" s="80">
        <f t="shared" si="18"/>
        <v>0</v>
      </c>
      <c r="Q24" s="76">
        <f>VLOOKUP(C24,Others!$L$10:$M$61,2)</f>
        <v>0</v>
      </c>
      <c r="R24" s="11">
        <f t="shared" si="2"/>
        <v>0</v>
      </c>
      <c r="S24" s="80">
        <f t="shared" si="19"/>
        <v>0</v>
      </c>
      <c r="T24" s="78">
        <f t="shared" si="20"/>
        <v>3.1816666666666663E-5</v>
      </c>
      <c r="U24" s="81">
        <f t="shared" si="21"/>
        <v>0</v>
      </c>
      <c r="V24" s="81">
        <f t="shared" si="22"/>
        <v>0</v>
      </c>
      <c r="W24" s="77">
        <f t="shared" si="3"/>
        <v>0.99943071143206119</v>
      </c>
      <c r="X24" s="82">
        <f t="shared" si="23"/>
        <v>3.1798553802063408E-5</v>
      </c>
      <c r="Y24" s="82">
        <f t="shared" si="24"/>
        <v>0</v>
      </c>
      <c r="Z24" s="82">
        <f t="shared" si="25"/>
        <v>0</v>
      </c>
      <c r="AA24" s="82">
        <f t="shared" si="26"/>
        <v>0.9993989128782591</v>
      </c>
      <c r="AC24" s="46">
        <f t="shared" si="4"/>
        <v>0</v>
      </c>
      <c r="AD24" s="15">
        <f t="shared" si="27"/>
        <v>0</v>
      </c>
      <c r="AE24" s="46">
        <f t="shared" si="28"/>
        <v>0</v>
      </c>
      <c r="AF24" s="15">
        <f t="shared" si="29"/>
        <v>0</v>
      </c>
      <c r="AG24" s="46">
        <f>SUMPRODUCT(AE25:AE$605, $I24:$I$604) / $I24</f>
        <v>0</v>
      </c>
      <c r="AI24" s="46">
        <f t="shared" si="5"/>
        <v>-47000</v>
      </c>
      <c r="AJ24" s="46">
        <f>IF(E24&gt;Mat_Year,0,  -SUM($AD$5:AD24))</f>
        <v>-9306</v>
      </c>
      <c r="AK24" s="24">
        <f t="shared" si="30"/>
        <v>-0.29591734168200207</v>
      </c>
      <c r="AL24" s="79">
        <f t="shared" si="31"/>
        <v>0</v>
      </c>
      <c r="AM24" s="24">
        <f t="shared" si="32"/>
        <v>-0.29608589999999996</v>
      </c>
      <c r="AN24" s="79">
        <f t="shared" si="33"/>
        <v>-0.29591734168200207</v>
      </c>
      <c r="AO24" s="15">
        <f t="shared" si="34"/>
        <v>-8525.5239353872639</v>
      </c>
      <c r="AP24" s="46">
        <f>SUMPRODUCT(AN25:AN$605, $I25:$I$605) / $I24</f>
        <v>-8520.6704520751591</v>
      </c>
      <c r="AR24" s="46">
        <v>0</v>
      </c>
      <c r="AS24" s="46">
        <v>0</v>
      </c>
      <c r="AT24" s="46">
        <v>0</v>
      </c>
      <c r="AU24" s="95">
        <f t="shared" si="6"/>
        <v>-1.8067417934866732</v>
      </c>
      <c r="AV24" s="47">
        <f t="shared" si="7"/>
        <v>0.1</v>
      </c>
      <c r="AW24" s="96">
        <f t="shared" si="35"/>
        <v>-1.9874159728353407</v>
      </c>
      <c r="AX24" s="95">
        <f t="shared" si="8"/>
        <v>-20.717305898647183</v>
      </c>
      <c r="AY24" s="11">
        <f t="shared" si="9"/>
        <v>0.1</v>
      </c>
      <c r="AZ24" s="96">
        <f t="shared" si="36"/>
        <v>-22.789036488511904</v>
      </c>
      <c r="BA24" s="95">
        <f t="shared" si="37"/>
        <v>-1.9862845596422665</v>
      </c>
      <c r="BB24" s="64">
        <f t="shared" si="38"/>
        <v>-7.2465840287713192E-4</v>
      </c>
      <c r="BC24" s="95">
        <f t="shared" si="54"/>
        <v>-1.9874159728353407</v>
      </c>
      <c r="BD24" s="96">
        <f t="shared" si="54"/>
        <v>-7.2507117760948689E-4</v>
      </c>
      <c r="BE24" s="96">
        <f t="shared" si="40"/>
        <v>-1.9862845596422665</v>
      </c>
      <c r="BF24" s="96">
        <f t="shared" si="41"/>
        <v>-7.2465840287713192E-4</v>
      </c>
      <c r="BG24" s="15">
        <f t="shared" si="42"/>
        <v>-343.10986994515008</v>
      </c>
      <c r="BH24" s="46">
        <f>(SUMPRODUCT(BE25:BE$605,$I24:$I$604)+SUMPRODUCT(BF25:BF$605,$I25:$I$605)) / $I24</f>
        <v>-342.91454141864335</v>
      </c>
      <c r="BJ24" s="46">
        <f t="shared" si="53"/>
        <v>-1.9862845596422665</v>
      </c>
      <c r="BK24" s="46">
        <f t="shared" si="43"/>
        <v>-0.29664200008487918</v>
      </c>
      <c r="BM24" s="49">
        <f t="shared" si="10"/>
        <v>8868.9159846759958</v>
      </c>
      <c r="BN24" s="50">
        <f t="shared" si="44"/>
        <v>8863.5849934938051</v>
      </c>
      <c r="BP24" s="68">
        <f>INDEX(Others!$H$11:$I$60, MATCH(C24, Others!$A$11:$A$60, 0), MATCH(BP$3, Others!$H$10:$I$10, 0))</f>
        <v>2.1879697177994484E-2</v>
      </c>
      <c r="BQ24" s="16">
        <f t="shared" si="45"/>
        <v>1.8052751940811351E-3</v>
      </c>
      <c r="BR24" s="69">
        <f t="shared" si="46"/>
        <v>0.96835954460811591</v>
      </c>
      <c r="BT24" s="46">
        <f t="shared" si="47"/>
        <v>9692.8012453424217</v>
      </c>
      <c r="BU24" s="49">
        <f t="shared" si="50"/>
        <v>829.71498283951689</v>
      </c>
      <c r="BV24" s="46">
        <f t="shared" si="51"/>
        <v>829.21625184861659</v>
      </c>
      <c r="BX24" s="46">
        <f t="shared" si="52"/>
        <v>9698.6309675155135</v>
      </c>
    </row>
    <row r="25" spans="1:76" x14ac:dyDescent="0.25">
      <c r="A25" s="61">
        <f t="shared" si="0"/>
        <v>1.6666666666666661</v>
      </c>
      <c r="B25" s="32">
        <f t="shared" si="11"/>
        <v>8</v>
      </c>
      <c r="C25" s="62">
        <f t="shared" si="12"/>
        <v>2</v>
      </c>
      <c r="D25" s="64">
        <f t="shared" si="13"/>
        <v>2.1666666666666661</v>
      </c>
      <c r="E25" s="28">
        <f t="shared" si="14"/>
        <v>2</v>
      </c>
      <c r="G25" s="68">
        <f>INDEX(Others!$D$11:$E$60, MATCH(C25, Others!$A$11:$A$60, 0), MATCH(G$3, Others!$D$10:$E$10, 0))</f>
        <v>2.9172929570659312E-2</v>
      </c>
      <c r="H25" s="16">
        <f t="shared" si="15"/>
        <v>2.3991649580110685E-3</v>
      </c>
      <c r="I25" s="69">
        <f t="shared" si="16"/>
        <v>0.95588126241557803</v>
      </c>
      <c r="K25" s="80">
        <f>INDEX(Mortality!$B$7:$F$32, MATCH( E25,Mortality!$A$7:$A$32, 0), MATCH( K$3,Mortality!$B$6:$F$6,0))</f>
        <v>0.33200000000000002</v>
      </c>
      <c r="L25" s="11" cm="1">
        <f t="array" ref="L25">PAD_Res_Mort</f>
        <v>0.15</v>
      </c>
      <c r="M25" s="80">
        <f t="shared" si="17"/>
        <v>0.38179999999999997</v>
      </c>
      <c r="N25" s="76">
        <f>INDEX('Myopia_(Reserve)'!$H:$H, MATCH(E25, 'Myopia_(Reserve)'!$A:$A, 0)) * Trend_Factor_Reserve^(A25)</f>
        <v>0</v>
      </c>
      <c r="O25" s="11">
        <f t="shared" si="1"/>
        <v>0.3</v>
      </c>
      <c r="P25" s="80">
        <f t="shared" si="18"/>
        <v>0</v>
      </c>
      <c r="Q25" s="76">
        <f>VLOOKUP(C25,Others!$L$10:$M$61,2)</f>
        <v>0</v>
      </c>
      <c r="R25" s="11">
        <f t="shared" si="2"/>
        <v>0</v>
      </c>
      <c r="S25" s="80">
        <f t="shared" si="19"/>
        <v>0</v>
      </c>
      <c r="T25" s="78">
        <f t="shared" si="20"/>
        <v>3.1816666666666663E-5</v>
      </c>
      <c r="U25" s="81">
        <f t="shared" si="21"/>
        <v>0</v>
      </c>
      <c r="V25" s="81">
        <f t="shared" si="22"/>
        <v>0</v>
      </c>
      <c r="W25" s="77">
        <f t="shared" si="3"/>
        <v>0.9993989128782591</v>
      </c>
      <c r="X25" s="82">
        <f t="shared" si="23"/>
        <v>3.1797542078076607E-5</v>
      </c>
      <c r="Y25" s="82">
        <f t="shared" si="24"/>
        <v>0</v>
      </c>
      <c r="Z25" s="82">
        <f t="shared" si="25"/>
        <v>0</v>
      </c>
      <c r="AA25" s="82">
        <f t="shared" si="26"/>
        <v>0.99936711533618106</v>
      </c>
      <c r="AC25" s="46">
        <f t="shared" si="4"/>
        <v>0</v>
      </c>
      <c r="AD25" s="15">
        <f t="shared" si="27"/>
        <v>0</v>
      </c>
      <c r="AE25" s="46">
        <f t="shared" si="28"/>
        <v>0</v>
      </c>
      <c r="AF25" s="15">
        <f t="shared" si="29"/>
        <v>0</v>
      </c>
      <c r="AG25" s="46">
        <f>SUMPRODUCT(AE26:AE$605, $I25:$I$604) / $I25</f>
        <v>0</v>
      </c>
      <c r="AI25" s="46">
        <f t="shared" si="5"/>
        <v>-47000</v>
      </c>
      <c r="AJ25" s="46">
        <f>IF(E25&gt;Mat_Year,0,  -SUM($AD$5:AD25))</f>
        <v>-9306</v>
      </c>
      <c r="AK25" s="24">
        <f t="shared" si="30"/>
        <v>-0.29590792657858089</v>
      </c>
      <c r="AL25" s="79">
        <f t="shared" si="31"/>
        <v>0</v>
      </c>
      <c r="AM25" s="24">
        <f t="shared" si="32"/>
        <v>-0.29608589999999996</v>
      </c>
      <c r="AN25" s="79">
        <f t="shared" si="33"/>
        <v>-0.29590792657858089</v>
      </c>
      <c r="AO25" s="15">
        <f t="shared" si="34"/>
        <v>-8545.9539009488108</v>
      </c>
      <c r="AP25" s="46">
        <f>SUMPRODUCT(AN26:AN$605, $I26:$I$605) / $I25</f>
        <v>-8540.8170381159598</v>
      </c>
      <c r="AR25" s="46">
        <v>0</v>
      </c>
      <c r="AS25" s="46">
        <v>0</v>
      </c>
      <c r="AT25" s="46">
        <v>0</v>
      </c>
      <c r="AU25" s="95">
        <f t="shared" si="6"/>
        <v>-1.8102424493170977</v>
      </c>
      <c r="AV25" s="47">
        <f t="shared" si="7"/>
        <v>0.1</v>
      </c>
      <c r="AW25" s="96">
        <f t="shared" si="35"/>
        <v>-1.9912666942488075</v>
      </c>
      <c r="AX25" s="95">
        <f t="shared" si="8"/>
        <v>-20.757446752169383</v>
      </c>
      <c r="AY25" s="11">
        <f t="shared" si="9"/>
        <v>0.1</v>
      </c>
      <c r="AZ25" s="96">
        <f t="shared" si="36"/>
        <v>-22.833191427386321</v>
      </c>
      <c r="BA25" s="95">
        <f t="shared" si="37"/>
        <v>-1.990069769482943</v>
      </c>
      <c r="BB25" s="64">
        <f t="shared" si="38"/>
        <v>-7.2603936518909461E-4</v>
      </c>
      <c r="BC25" s="95">
        <f t="shared" si="54"/>
        <v>-1.9912666942488075</v>
      </c>
      <c r="BD25" s="96">
        <f t="shared" si="54"/>
        <v>-7.2647604058134134E-4</v>
      </c>
      <c r="BE25" s="96">
        <f t="shared" si="40"/>
        <v>-1.990069769482943</v>
      </c>
      <c r="BF25" s="96">
        <f t="shared" si="41"/>
        <v>-7.2603936518909461E-4</v>
      </c>
      <c r="BG25" s="15">
        <f t="shared" si="42"/>
        <v>-341.94721972559648</v>
      </c>
      <c r="BH25" s="46">
        <f>(SUMPRODUCT(BE26:BE$605,$I25:$I$604)+SUMPRODUCT(BF26:BF$605,$I26:$I$605)) / $I25</f>
        <v>-341.7416796555043</v>
      </c>
      <c r="BJ25" s="46">
        <f t="shared" si="53"/>
        <v>-1.990069769482943</v>
      </c>
      <c r="BK25" s="46">
        <f t="shared" si="43"/>
        <v>-0.29663396594377001</v>
      </c>
      <c r="BM25" s="49">
        <f t="shared" si="10"/>
        <v>8888.1839130592434</v>
      </c>
      <c r="BN25" s="50">
        <f t="shared" si="44"/>
        <v>8882.558717771466</v>
      </c>
      <c r="BP25" s="68">
        <f>INDEX(Others!$H$11:$I$60, MATCH(C25, Others!$A$11:$A$60, 0), MATCH(BP$3, Others!$H$10:$I$10, 0))</f>
        <v>2.1879697177994484E-2</v>
      </c>
      <c r="BQ25" s="16">
        <f t="shared" si="45"/>
        <v>1.8052751940811351E-3</v>
      </c>
      <c r="BR25" s="69">
        <f t="shared" si="46"/>
        <v>0.96661453935797481</v>
      </c>
      <c r="BT25" s="46">
        <f t="shared" si="47"/>
        <v>9708.0091226327804</v>
      </c>
      <c r="BU25" s="49">
        <f t="shared" si="50"/>
        <v>825.97315060105598</v>
      </c>
      <c r="BV25" s="46">
        <f t="shared" si="51"/>
        <v>825.45040486131438</v>
      </c>
      <c r="BX25" s="46">
        <f t="shared" si="52"/>
        <v>9714.1570636602992</v>
      </c>
    </row>
    <row r="26" spans="1:76" x14ac:dyDescent="0.25">
      <c r="A26" s="61">
        <f t="shared" si="0"/>
        <v>1.7499999999999993</v>
      </c>
      <c r="B26" s="32">
        <f t="shared" si="11"/>
        <v>9</v>
      </c>
      <c r="C26" s="62">
        <f t="shared" si="12"/>
        <v>2</v>
      </c>
      <c r="D26" s="64">
        <f t="shared" si="13"/>
        <v>2.2499999999999991</v>
      </c>
      <c r="E26" s="28">
        <f t="shared" si="14"/>
        <v>2</v>
      </c>
      <c r="G26" s="68">
        <f>INDEX(Others!$D$11:$E$60, MATCH(C26, Others!$A$11:$A$60, 0), MATCH(G$3, Others!$D$10:$E$10, 0))</f>
        <v>2.9172929570659312E-2</v>
      </c>
      <c r="H26" s="16">
        <f t="shared" si="15"/>
        <v>2.3991649580110685E-3</v>
      </c>
      <c r="I26" s="69">
        <f t="shared" si="16"/>
        <v>0.95359343446342393</v>
      </c>
      <c r="K26" s="80">
        <f>INDEX(Mortality!$B$7:$F$32, MATCH( E26,Mortality!$A$7:$A$32, 0), MATCH( K$3,Mortality!$B$6:$F$6,0))</f>
        <v>0.33200000000000002</v>
      </c>
      <c r="L26" s="11" cm="1">
        <f t="array" ref="L26">PAD_Res_Mort</f>
        <v>0.15</v>
      </c>
      <c r="M26" s="80">
        <f t="shared" si="17"/>
        <v>0.38179999999999997</v>
      </c>
      <c r="N26" s="76">
        <f>INDEX('Myopia_(Reserve)'!$H:$H, MATCH(E26, 'Myopia_(Reserve)'!$A:$A, 0)) * Trend_Factor_Reserve^(A26)</f>
        <v>0</v>
      </c>
      <c r="O26" s="11">
        <f t="shared" si="1"/>
        <v>0.3</v>
      </c>
      <c r="P26" s="80">
        <f t="shared" si="18"/>
        <v>0</v>
      </c>
      <c r="Q26" s="76">
        <f>VLOOKUP(C26,Others!$L$10:$M$61,2)</f>
        <v>0</v>
      </c>
      <c r="R26" s="11">
        <f t="shared" si="2"/>
        <v>0</v>
      </c>
      <c r="S26" s="80">
        <f t="shared" si="19"/>
        <v>0</v>
      </c>
      <c r="T26" s="78">
        <f t="shared" si="20"/>
        <v>3.1816666666666663E-5</v>
      </c>
      <c r="U26" s="81">
        <f t="shared" si="21"/>
        <v>0</v>
      </c>
      <c r="V26" s="81">
        <f t="shared" si="22"/>
        <v>0</v>
      </c>
      <c r="W26" s="77">
        <f t="shared" si="3"/>
        <v>0.99936711533618106</v>
      </c>
      <c r="X26" s="82">
        <f t="shared" si="23"/>
        <v>3.1796530386279491E-5</v>
      </c>
      <c r="Y26" s="82">
        <f t="shared" si="24"/>
        <v>0</v>
      </c>
      <c r="Z26" s="82">
        <f t="shared" si="25"/>
        <v>0</v>
      </c>
      <c r="AA26" s="82">
        <f t="shared" si="26"/>
        <v>0.99933531880579474</v>
      </c>
      <c r="AC26" s="46">
        <f t="shared" si="4"/>
        <v>0</v>
      </c>
      <c r="AD26" s="15">
        <f t="shared" si="27"/>
        <v>0</v>
      </c>
      <c r="AE26" s="46">
        <f t="shared" si="28"/>
        <v>0</v>
      </c>
      <c r="AF26" s="15">
        <f t="shared" si="29"/>
        <v>0</v>
      </c>
      <c r="AG26" s="46">
        <f>SUMPRODUCT(AE27:AE$605, $I26:$I$604) / $I26</f>
        <v>0</v>
      </c>
      <c r="AI26" s="46">
        <f t="shared" si="5"/>
        <v>-47000</v>
      </c>
      <c r="AJ26" s="46">
        <f>IF(E26&gt;Mat_Year,0,  -SUM($AD$5:AD26))</f>
        <v>-9306</v>
      </c>
      <c r="AK26" s="24">
        <f t="shared" si="30"/>
        <v>-0.29589851177471693</v>
      </c>
      <c r="AL26" s="79">
        <f t="shared" si="31"/>
        <v>0</v>
      </c>
      <c r="AM26" s="24">
        <f t="shared" si="32"/>
        <v>-0.29608589999999996</v>
      </c>
      <c r="AN26" s="79">
        <f t="shared" si="33"/>
        <v>-0.29589851177471693</v>
      </c>
      <c r="AO26" s="15">
        <f t="shared" si="34"/>
        <v>-8566.4335329614532</v>
      </c>
      <c r="AP26" s="46">
        <f>SUMPRODUCT(AN27:AN$605, $I27:$I$605) / $I26</f>
        <v>-8561.0119685548179</v>
      </c>
      <c r="AR26" s="46">
        <v>0</v>
      </c>
      <c r="AS26" s="46">
        <v>0</v>
      </c>
      <c r="AT26" s="46">
        <v>0</v>
      </c>
      <c r="AU26" s="95">
        <f t="shared" si="6"/>
        <v>-1.8137498878495595</v>
      </c>
      <c r="AV26" s="47">
        <f t="shared" si="7"/>
        <v>0.1</v>
      </c>
      <c r="AW26" s="96">
        <f t="shared" si="35"/>
        <v>-1.9951248766345155</v>
      </c>
      <c r="AX26" s="95">
        <f t="shared" si="8"/>
        <v>-20.797665380674946</v>
      </c>
      <c r="AY26" s="11">
        <f t="shared" si="9"/>
        <v>0.1</v>
      </c>
      <c r="AZ26" s="96">
        <f t="shared" si="36"/>
        <v>-22.877431918742442</v>
      </c>
      <c r="BA26" s="95">
        <f t="shared" si="37"/>
        <v>-1.9938621926976898</v>
      </c>
      <c r="BB26" s="64">
        <f t="shared" si="38"/>
        <v>-7.2742295916433436E-4</v>
      </c>
      <c r="BC26" s="95">
        <f t="shared" si="54"/>
        <v>-1.9951248766345155</v>
      </c>
      <c r="BD26" s="96">
        <f t="shared" si="54"/>
        <v>-7.2788362554798865E-4</v>
      </c>
      <c r="BE26" s="96">
        <f t="shared" si="40"/>
        <v>-1.9938621926976898</v>
      </c>
      <c r="BF26" s="96">
        <f t="shared" si="41"/>
        <v>-7.2742295916433436E-4</v>
      </c>
      <c r="BG26" s="15">
        <f t="shared" si="42"/>
        <v>-340.77787418840768</v>
      </c>
      <c r="BH26" s="46">
        <f>(SUMPRODUCT(BE27:BE$605,$I26:$I$604)+SUMPRODUCT(BF27:BF$605,$I27:$I$605)) / $I26</f>
        <v>-340.56220109806503</v>
      </c>
      <c r="BJ26" s="46">
        <f t="shared" si="53"/>
        <v>-1.9938621926976898</v>
      </c>
      <c r="BK26" s="46">
        <f t="shared" si="43"/>
        <v>-0.29662593473388127</v>
      </c>
      <c r="BM26" s="49">
        <f t="shared" si="10"/>
        <v>8907.4948139431926</v>
      </c>
      <c r="BN26" s="50">
        <f t="shared" si="44"/>
        <v>8901.5741696528839</v>
      </c>
      <c r="BP26" s="68">
        <f>INDEX(Others!$H$11:$I$60, MATCH(C26, Others!$A$11:$A$60, 0), MATCH(BP$3, Others!$H$10:$I$10, 0))</f>
        <v>2.1879697177994484E-2</v>
      </c>
      <c r="BQ26" s="16">
        <f t="shared" si="45"/>
        <v>1.8052751940811351E-3</v>
      </c>
      <c r="BR26" s="69">
        <f t="shared" si="46"/>
        <v>0.96487267864576898</v>
      </c>
      <c r="BT26" s="46">
        <f t="shared" si="47"/>
        <v>9723.2406630883943</v>
      </c>
      <c r="BU26" s="49">
        <f t="shared" si="50"/>
        <v>822.21300295620642</v>
      </c>
      <c r="BV26" s="46">
        <f t="shared" si="51"/>
        <v>821.66649343551035</v>
      </c>
      <c r="BX26" s="46">
        <f t="shared" si="52"/>
        <v>9729.7078168993994</v>
      </c>
    </row>
    <row r="27" spans="1:76" x14ac:dyDescent="0.25">
      <c r="A27" s="61">
        <f t="shared" si="0"/>
        <v>1.8333333333333326</v>
      </c>
      <c r="B27" s="32">
        <f t="shared" si="11"/>
        <v>10</v>
      </c>
      <c r="C27" s="62">
        <f t="shared" si="12"/>
        <v>2</v>
      </c>
      <c r="D27" s="64">
        <f t="shared" si="13"/>
        <v>2.3333333333333326</v>
      </c>
      <c r="E27" s="28">
        <f t="shared" si="14"/>
        <v>2</v>
      </c>
      <c r="G27" s="68">
        <f>INDEX(Others!$D$11:$E$60, MATCH(C27, Others!$A$11:$A$60, 0), MATCH(G$3, Others!$D$10:$E$10, 0))</f>
        <v>2.9172929570659312E-2</v>
      </c>
      <c r="H27" s="16">
        <f t="shared" si="15"/>
        <v>2.3991649580110685E-3</v>
      </c>
      <c r="I27" s="69">
        <f t="shared" si="16"/>
        <v>0.95131108225072036</v>
      </c>
      <c r="K27" s="80">
        <f>INDEX(Mortality!$B$7:$F$32, MATCH( E27,Mortality!$A$7:$A$32, 0), MATCH( K$3,Mortality!$B$6:$F$6,0))</f>
        <v>0.33200000000000002</v>
      </c>
      <c r="L27" s="11" cm="1">
        <f t="array" ref="L27">PAD_Res_Mort</f>
        <v>0.15</v>
      </c>
      <c r="M27" s="80">
        <f t="shared" si="17"/>
        <v>0.38179999999999997</v>
      </c>
      <c r="N27" s="76">
        <f>INDEX('Myopia_(Reserve)'!$H:$H, MATCH(E27, 'Myopia_(Reserve)'!$A:$A, 0)) * Trend_Factor_Reserve^(A27)</f>
        <v>0</v>
      </c>
      <c r="O27" s="11">
        <f t="shared" si="1"/>
        <v>0.3</v>
      </c>
      <c r="P27" s="80">
        <f t="shared" si="18"/>
        <v>0</v>
      </c>
      <c r="Q27" s="76">
        <f>VLOOKUP(C27,Others!$L$10:$M$61,2)</f>
        <v>0</v>
      </c>
      <c r="R27" s="11">
        <f t="shared" si="2"/>
        <v>0</v>
      </c>
      <c r="S27" s="80">
        <f t="shared" si="19"/>
        <v>0</v>
      </c>
      <c r="T27" s="78">
        <f t="shared" si="20"/>
        <v>3.1816666666666663E-5</v>
      </c>
      <c r="U27" s="81">
        <f t="shared" si="21"/>
        <v>0</v>
      </c>
      <c r="V27" s="81">
        <f t="shared" si="22"/>
        <v>0</v>
      </c>
      <c r="W27" s="77">
        <f t="shared" si="3"/>
        <v>0.99933531880579474</v>
      </c>
      <c r="X27" s="82">
        <f t="shared" si="23"/>
        <v>3.1795518726671029E-5</v>
      </c>
      <c r="Y27" s="82">
        <f t="shared" si="24"/>
        <v>0</v>
      </c>
      <c r="Z27" s="82">
        <f t="shared" si="25"/>
        <v>0</v>
      </c>
      <c r="AA27" s="82">
        <f t="shared" si="26"/>
        <v>0.99930352328706806</v>
      </c>
      <c r="AC27" s="46">
        <f t="shared" si="4"/>
        <v>0</v>
      </c>
      <c r="AD27" s="15">
        <f t="shared" si="27"/>
        <v>0</v>
      </c>
      <c r="AE27" s="46">
        <f t="shared" si="28"/>
        <v>0</v>
      </c>
      <c r="AF27" s="15">
        <f t="shared" si="29"/>
        <v>0</v>
      </c>
      <c r="AG27" s="46">
        <f>SUMPRODUCT(AE28:AE$605, $I27:$I$604) / $I27</f>
        <v>0</v>
      </c>
      <c r="AI27" s="46">
        <f t="shared" si="5"/>
        <v>-47000</v>
      </c>
      <c r="AJ27" s="46">
        <f>IF(E27&gt;Mat_Year,0,  -SUM($AD$5:AD27))</f>
        <v>-9306</v>
      </c>
      <c r="AK27" s="24">
        <f t="shared" si="30"/>
        <v>-0.29588909727040058</v>
      </c>
      <c r="AL27" s="79">
        <f t="shared" si="31"/>
        <v>0</v>
      </c>
      <c r="AM27" s="24">
        <f t="shared" si="32"/>
        <v>-0.2960858999999999</v>
      </c>
      <c r="AN27" s="79">
        <f t="shared" si="33"/>
        <v>-0.29588909727040058</v>
      </c>
      <c r="AO27" s="15">
        <f t="shared" si="34"/>
        <v>-8586.9629521672596</v>
      </c>
      <c r="AP27" s="46">
        <f>SUMPRODUCT(AN28:AN$605, $I28:$I$605) / $I27</f>
        <v>-8581.2553593776174</v>
      </c>
      <c r="AR27" s="46">
        <v>0</v>
      </c>
      <c r="AS27" s="46">
        <v>0</v>
      </c>
      <c r="AT27" s="46">
        <v>0</v>
      </c>
      <c r="AU27" s="95">
        <f t="shared" si="6"/>
        <v>-1.817264122225895</v>
      </c>
      <c r="AV27" s="47">
        <f t="shared" si="7"/>
        <v>0.1</v>
      </c>
      <c r="AW27" s="96">
        <f t="shared" si="35"/>
        <v>-1.9989905344484846</v>
      </c>
      <c r="AX27" s="95">
        <f t="shared" si="8"/>
        <v>-20.837961934856928</v>
      </c>
      <c r="AY27" s="11">
        <f t="shared" si="9"/>
        <v>0.1</v>
      </c>
      <c r="AZ27" s="96">
        <f t="shared" si="36"/>
        <v>-22.921758128342624</v>
      </c>
      <c r="BA27" s="95">
        <f t="shared" si="37"/>
        <v>-1.9976618430328423</v>
      </c>
      <c r="BB27" s="64">
        <f t="shared" si="38"/>
        <v>-7.2880918981794182E-4</v>
      </c>
      <c r="BC27" s="95">
        <f t="shared" si="54"/>
        <v>-1.9989905344484846</v>
      </c>
      <c r="BD27" s="96">
        <f t="shared" si="54"/>
        <v>-7.2929393778343435E-4</v>
      </c>
      <c r="BE27" s="96">
        <f t="shared" si="40"/>
        <v>-1.9976618430328423</v>
      </c>
      <c r="BF27" s="96">
        <f t="shared" si="41"/>
        <v>-7.2880918981794182E-4</v>
      </c>
      <c r="BG27" s="15">
        <f t="shared" si="42"/>
        <v>-339.60180956078136</v>
      </c>
      <c r="BH27" s="46">
        <f>(SUMPRODUCT(BE28:BE$605,$I27:$I$604)+SUMPRODUCT(BF28:BF$605,$I28:$I$605)) / $I27</f>
        <v>-339.37608262444826</v>
      </c>
      <c r="BJ27" s="46">
        <f t="shared" si="53"/>
        <v>-1.9976618430328423</v>
      </c>
      <c r="BK27" s="46">
        <f t="shared" si="43"/>
        <v>-0.29661790646021852</v>
      </c>
      <c r="BM27" s="49">
        <f t="shared" si="10"/>
        <v>8926.8487843001967</v>
      </c>
      <c r="BN27" s="50">
        <f t="shared" si="44"/>
        <v>8920.6314420020663</v>
      </c>
      <c r="BP27" s="68">
        <f>INDEX(Others!$H$11:$I$60, MATCH(C27, Others!$A$11:$A$60, 0), MATCH(BP$3, Others!$H$10:$I$10, 0))</f>
        <v>2.1879697177994484E-2</v>
      </c>
      <c r="BQ27" s="16">
        <f t="shared" si="45"/>
        <v>1.8052751940811351E-3</v>
      </c>
      <c r="BR27" s="69">
        <f t="shared" si="46"/>
        <v>0.96313395680497171</v>
      </c>
      <c r="BT27" s="46">
        <f t="shared" si="47"/>
        <v>9738.4959021846844</v>
      </c>
      <c r="BU27" s="49">
        <f t="shared" si="50"/>
        <v>818.43448073951379</v>
      </c>
      <c r="BV27" s="46">
        <f t="shared" si="51"/>
        <v>817.86446018261813</v>
      </c>
      <c r="BX27" s="46">
        <f t="shared" si="52"/>
        <v>9745.2832650397104</v>
      </c>
    </row>
    <row r="28" spans="1:76" x14ac:dyDescent="0.25">
      <c r="A28" s="61">
        <f t="shared" si="0"/>
        <v>1.9166666666666659</v>
      </c>
      <c r="B28" s="32">
        <f t="shared" si="11"/>
        <v>11</v>
      </c>
      <c r="C28" s="62">
        <f t="shared" si="12"/>
        <v>2</v>
      </c>
      <c r="D28" s="64">
        <f t="shared" si="13"/>
        <v>2.4166666666666661</v>
      </c>
      <c r="E28" s="28">
        <f t="shared" si="14"/>
        <v>2</v>
      </c>
      <c r="G28" s="68">
        <f>INDEX(Others!$D$11:$E$60, MATCH(C28, Others!$A$11:$A$60, 0), MATCH(G$3, Others!$D$10:$E$10, 0))</f>
        <v>2.9172929570659312E-2</v>
      </c>
      <c r="H28" s="16">
        <f t="shared" si="15"/>
        <v>2.3991649580110685E-3</v>
      </c>
      <c r="I28" s="69">
        <f t="shared" si="16"/>
        <v>0.94903419267170808</v>
      </c>
      <c r="K28" s="80">
        <f>INDEX(Mortality!$B$7:$F$32, MATCH( E28,Mortality!$A$7:$A$32, 0), MATCH( K$3,Mortality!$B$6:$F$6,0))</f>
        <v>0.33200000000000002</v>
      </c>
      <c r="L28" s="11" cm="1">
        <f t="array" ref="L28">PAD_Res_Mort</f>
        <v>0.15</v>
      </c>
      <c r="M28" s="80">
        <f t="shared" si="17"/>
        <v>0.38179999999999997</v>
      </c>
      <c r="N28" s="76">
        <f>INDEX('Myopia_(Reserve)'!$H:$H, MATCH(E28, 'Myopia_(Reserve)'!$A:$A, 0)) * Trend_Factor_Reserve^(A28)</f>
        <v>0</v>
      </c>
      <c r="O28" s="11">
        <f t="shared" si="1"/>
        <v>0.3</v>
      </c>
      <c r="P28" s="80">
        <f t="shared" si="18"/>
        <v>0</v>
      </c>
      <c r="Q28" s="76">
        <f>VLOOKUP(C28,Others!$L$10:$M$61,2)</f>
        <v>0</v>
      </c>
      <c r="R28" s="11">
        <f t="shared" si="2"/>
        <v>0</v>
      </c>
      <c r="S28" s="80">
        <f t="shared" si="19"/>
        <v>0</v>
      </c>
      <c r="T28" s="78">
        <f t="shared" si="20"/>
        <v>3.1816666666666663E-5</v>
      </c>
      <c r="U28" s="81">
        <f t="shared" si="21"/>
        <v>0</v>
      </c>
      <c r="V28" s="81">
        <f t="shared" si="22"/>
        <v>0</v>
      </c>
      <c r="W28" s="77">
        <f t="shared" si="3"/>
        <v>0.99930352328706806</v>
      </c>
      <c r="X28" s="82">
        <f t="shared" si="23"/>
        <v>3.1794507099250213E-5</v>
      </c>
      <c r="Y28" s="82">
        <f t="shared" si="24"/>
        <v>0</v>
      </c>
      <c r="Z28" s="82">
        <f t="shared" si="25"/>
        <v>0</v>
      </c>
      <c r="AA28" s="82">
        <f t="shared" si="26"/>
        <v>0.99927172877996884</v>
      </c>
      <c r="AC28" s="46">
        <f t="shared" si="4"/>
        <v>0</v>
      </c>
      <c r="AD28" s="15">
        <f t="shared" si="27"/>
        <v>0</v>
      </c>
      <c r="AE28" s="46">
        <f t="shared" si="28"/>
        <v>0</v>
      </c>
      <c r="AF28" s="15">
        <f t="shared" si="29"/>
        <v>0</v>
      </c>
      <c r="AG28" s="46">
        <f>SUMPRODUCT(AE29:AE$605, $I28:$I$604) / $I28</f>
        <v>0</v>
      </c>
      <c r="AI28" s="46">
        <f t="shared" si="5"/>
        <v>-47000</v>
      </c>
      <c r="AJ28" s="46">
        <f>IF(E28&gt;Mat_Year,0,  -SUM($AD$5:AD28))</f>
        <v>-9306</v>
      </c>
      <c r="AK28" s="24">
        <f t="shared" si="30"/>
        <v>-0.29587968306562246</v>
      </c>
      <c r="AL28" s="79">
        <f t="shared" si="31"/>
        <v>0</v>
      </c>
      <c r="AM28" s="24">
        <f t="shared" si="32"/>
        <v>-0.29608589999999996</v>
      </c>
      <c r="AN28" s="79">
        <f t="shared" si="33"/>
        <v>-0.29587968306562246</v>
      </c>
      <c r="AO28" s="15">
        <f t="shared" si="34"/>
        <v>-8607.5422796018356</v>
      </c>
      <c r="AP28" s="46">
        <f>SUMPRODUCT(AN29:AN$605, $I29:$I$605) / $I28</f>
        <v>-8601.5473268485166</v>
      </c>
      <c r="AR28" s="46">
        <v>0</v>
      </c>
      <c r="AS28" s="46">
        <v>0</v>
      </c>
      <c r="AT28" s="46">
        <v>0</v>
      </c>
      <c r="AU28" s="95">
        <f t="shared" si="6"/>
        <v>-1.820785165613404</v>
      </c>
      <c r="AV28" s="47">
        <f t="shared" si="7"/>
        <v>0.1</v>
      </c>
      <c r="AW28" s="96">
        <f t="shared" si="35"/>
        <v>-2.0028636821747448</v>
      </c>
      <c r="AX28" s="95">
        <f t="shared" si="8"/>
        <v>-20.878336565700362</v>
      </c>
      <c r="AY28" s="11">
        <f t="shared" si="9"/>
        <v>0.1</v>
      </c>
      <c r="AZ28" s="96">
        <f t="shared" si="36"/>
        <v>-22.966170222270399</v>
      </c>
      <c r="BA28" s="95">
        <f t="shared" si="37"/>
        <v>-2.001468734260933</v>
      </c>
      <c r="BB28" s="64">
        <f t="shared" si="38"/>
        <v>-7.3019806217456502E-4</v>
      </c>
      <c r="BC28" s="95">
        <f t="shared" si="54"/>
        <v>-2.0028636821747448</v>
      </c>
      <c r="BD28" s="96">
        <f t="shared" si="54"/>
        <v>-7.3070698257190309E-4</v>
      </c>
      <c r="BE28" s="96">
        <f t="shared" si="40"/>
        <v>-2.001468734260933</v>
      </c>
      <c r="BF28" s="96">
        <f t="shared" si="41"/>
        <v>-7.3019806217456502E-4</v>
      </c>
      <c r="BG28" s="15">
        <f t="shared" si="42"/>
        <v>-338.41900199759795</v>
      </c>
      <c r="BH28" s="46">
        <f>(SUMPRODUCT(BE29:BE$605,$I28:$I$604)+SUMPRODUCT(BF29:BF$605,$I29:$I$605)) / $I28</f>
        <v>-338.18330104349297</v>
      </c>
      <c r="BJ28" s="46">
        <f t="shared" si="53"/>
        <v>-2.001468734260933</v>
      </c>
      <c r="BK28" s="46">
        <f t="shared" si="43"/>
        <v>-0.29660988112779701</v>
      </c>
      <c r="BM28" s="49">
        <f t="shared" si="10"/>
        <v>8946.2459213238308</v>
      </c>
      <c r="BN28" s="50">
        <f t="shared" si="44"/>
        <v>8939.7306278920096</v>
      </c>
      <c r="BP28" s="68">
        <f>INDEX(Others!$H$11:$I$60, MATCH(C28, Others!$A$11:$A$60, 0), MATCH(BP$3, Others!$H$10:$I$10, 0))</f>
        <v>2.1879697177994484E-2</v>
      </c>
      <c r="BQ28" s="16">
        <f t="shared" si="45"/>
        <v>1.8052751940811351E-3</v>
      </c>
      <c r="BR28" s="69">
        <f t="shared" si="46"/>
        <v>0.9613983681792676</v>
      </c>
      <c r="BT28" s="46">
        <f t="shared" si="47"/>
        <v>9753.7748754473141</v>
      </c>
      <c r="BU28" s="49">
        <f t="shared" si="50"/>
        <v>814.63752461924219</v>
      </c>
      <c r="BV28" s="46">
        <f t="shared" si="51"/>
        <v>814.04424755530454</v>
      </c>
      <c r="BX28" s="46">
        <f t="shared" si="52"/>
        <v>9760.8834459430727</v>
      </c>
    </row>
    <row r="29" spans="1:76" x14ac:dyDescent="0.25">
      <c r="A29" s="61">
        <f t="shared" si="0"/>
        <v>1.9999999999999991</v>
      </c>
      <c r="B29" s="32">
        <f t="shared" si="11"/>
        <v>12</v>
      </c>
      <c r="C29" s="62">
        <f t="shared" si="12"/>
        <v>2</v>
      </c>
      <c r="D29" s="64">
        <f t="shared" si="13"/>
        <v>2.4999999999999991</v>
      </c>
      <c r="E29" s="28">
        <f t="shared" si="14"/>
        <v>2</v>
      </c>
      <c r="G29" s="68">
        <f>INDEX(Others!$D$11:$E$60, MATCH(C29, Others!$A$11:$A$60, 0), MATCH(G$3, Others!$D$10:$E$10, 0))</f>
        <v>2.9172929570659312E-2</v>
      </c>
      <c r="H29" s="16">
        <f t="shared" si="15"/>
        <v>2.3991649580110685E-3</v>
      </c>
      <c r="I29" s="69">
        <f t="shared" si="16"/>
        <v>0.94676275265199528</v>
      </c>
      <c r="K29" s="80">
        <f>INDEX(Mortality!$B$7:$F$32, MATCH( E29,Mortality!$A$7:$A$32, 0), MATCH( K$3,Mortality!$B$6:$F$6,0))</f>
        <v>0.33200000000000002</v>
      </c>
      <c r="L29" s="11" cm="1">
        <f t="array" ref="L29">PAD_Res_Mort</f>
        <v>0.15</v>
      </c>
      <c r="M29" s="80">
        <f t="shared" si="17"/>
        <v>0.38179999999999997</v>
      </c>
      <c r="N29" s="76">
        <f>INDEX('Myopia_(Reserve)'!$H:$H, MATCH(E29, 'Myopia_(Reserve)'!$A:$A, 0)) * Trend_Factor_Reserve^(A29)</f>
        <v>0</v>
      </c>
      <c r="O29" s="11">
        <f t="shared" si="1"/>
        <v>0.3</v>
      </c>
      <c r="P29" s="80">
        <f t="shared" si="18"/>
        <v>0</v>
      </c>
      <c r="Q29" s="76">
        <f>VLOOKUP(C29,Others!$L$10:$M$61,2)</f>
        <v>0</v>
      </c>
      <c r="R29" s="11">
        <f t="shared" si="2"/>
        <v>0</v>
      </c>
      <c r="S29" s="80">
        <f t="shared" si="19"/>
        <v>0</v>
      </c>
      <c r="T29" s="78">
        <f t="shared" si="20"/>
        <v>3.1816666666666663E-5</v>
      </c>
      <c r="U29" s="81">
        <f t="shared" si="21"/>
        <v>0</v>
      </c>
      <c r="V29" s="81">
        <f t="shared" si="22"/>
        <v>0</v>
      </c>
      <c r="W29" s="77">
        <f t="shared" si="3"/>
        <v>0.99927172877996884</v>
      </c>
      <c r="X29" s="82">
        <f t="shared" si="23"/>
        <v>3.1793495504016004E-5</v>
      </c>
      <c r="Y29" s="82">
        <f t="shared" si="24"/>
        <v>0</v>
      </c>
      <c r="Z29" s="82">
        <f t="shared" si="25"/>
        <v>0</v>
      </c>
      <c r="AA29" s="82">
        <f t="shared" si="26"/>
        <v>0.99923993528446486</v>
      </c>
      <c r="AC29" s="46">
        <f t="shared" si="4"/>
        <v>0</v>
      </c>
      <c r="AD29" s="15">
        <f t="shared" si="27"/>
        <v>0</v>
      </c>
      <c r="AE29" s="46">
        <f t="shared" si="28"/>
        <v>0</v>
      </c>
      <c r="AF29" s="15">
        <f t="shared" si="29"/>
        <v>0</v>
      </c>
      <c r="AG29" s="46">
        <f>SUMPRODUCT(AE30:AE$605, $I29:$I$604) / $I29</f>
        <v>0</v>
      </c>
      <c r="AI29" s="46">
        <f t="shared" si="5"/>
        <v>-47000</v>
      </c>
      <c r="AJ29" s="46">
        <f>IF(E29&gt;Mat_Year,0,  -SUM($AD$5:AD29))</f>
        <v>-9306</v>
      </c>
      <c r="AK29" s="24">
        <f t="shared" si="30"/>
        <v>-0.29587026916037296</v>
      </c>
      <c r="AL29" s="79">
        <f t="shared" si="31"/>
        <v>0</v>
      </c>
      <c r="AM29" s="24">
        <f t="shared" si="32"/>
        <v>-0.29608589999999996</v>
      </c>
      <c r="AN29" s="79">
        <f t="shared" si="33"/>
        <v>-0.29587026916037296</v>
      </c>
      <c r="AO29" s="15">
        <f t="shared" si="34"/>
        <v>-8628.1716365950251</v>
      </c>
      <c r="AP29" s="46">
        <f>SUMPRODUCT(AN30:AN$605, $I30:$I$605) / $I29</f>
        <v>-8621.8879875106031</v>
      </c>
      <c r="AR29" s="46">
        <v>0</v>
      </c>
      <c r="AS29" s="46">
        <v>0</v>
      </c>
      <c r="AT29" s="46">
        <v>0</v>
      </c>
      <c r="AU29" s="95">
        <f t="shared" si="6"/>
        <v>-1.8243130312048976</v>
      </c>
      <c r="AV29" s="47">
        <f t="shared" si="7"/>
        <v>0.1</v>
      </c>
      <c r="AW29" s="96">
        <f t="shared" si="35"/>
        <v>-2.0067443343253877</v>
      </c>
      <c r="AX29" s="95">
        <f t="shared" si="8"/>
        <v>-20.918789424482824</v>
      </c>
      <c r="AY29" s="11">
        <f t="shared" si="9"/>
        <v>0.1</v>
      </c>
      <c r="AZ29" s="96">
        <f t="shared" si="36"/>
        <v>-23.01066836693111</v>
      </c>
      <c r="BA29" s="95">
        <f t="shared" si="37"/>
        <v>-2.0052828801807379</v>
      </c>
      <c r="BB29" s="64">
        <f t="shared" si="38"/>
        <v>-7.3158958126842753E-4</v>
      </c>
      <c r="BC29" s="95">
        <f t="shared" si="54"/>
        <v>-2.0067443343253877</v>
      </c>
      <c r="BD29" s="96">
        <f t="shared" si="54"/>
        <v>-7.32122765207858E-4</v>
      </c>
      <c r="BE29" s="96">
        <f t="shared" si="40"/>
        <v>-2.0052828801807379</v>
      </c>
      <c r="BF29" s="96">
        <f t="shared" si="41"/>
        <v>-7.3158958126842753E-4</v>
      </c>
      <c r="BG29" s="15">
        <f t="shared" si="42"/>
        <v>-337.2294275812169</v>
      </c>
      <c r="BH29" s="46">
        <f>(SUMPRODUCT(BE30:BE$605,$I29:$I$604)+SUMPRODUCT(BF30:BF$605,$I30:$I$605)) / $I29</f>
        <v>-336.98383309456193</v>
      </c>
      <c r="BJ29" s="46">
        <f t="shared" si="53"/>
        <v>-2.0052828801807379</v>
      </c>
      <c r="BK29" s="46">
        <f t="shared" si="43"/>
        <v>-0.29660185874164141</v>
      </c>
      <c r="BM29" s="49">
        <f t="shared" si="10"/>
        <v>8965.6863224294011</v>
      </c>
      <c r="BN29" s="50">
        <f t="shared" si="44"/>
        <v>8958.8718206051672</v>
      </c>
      <c r="BP29" s="68">
        <f>INDEX(Others!$H$11:$I$60, MATCH(C29, Others!$A$11:$A$60, 0), MATCH(BP$3, Others!$H$10:$I$10, 0))</f>
        <v>2.1879697177994484E-2</v>
      </c>
      <c r="BQ29" s="16">
        <f t="shared" si="45"/>
        <v>1.8052751940811351E-3</v>
      </c>
      <c r="BR29" s="69">
        <f t="shared" si="46"/>
        <v>0.95966590712253397</v>
      </c>
      <c r="BT29" s="46">
        <f t="shared" si="47"/>
        <v>9769.0776184522474</v>
      </c>
      <c r="BU29" s="49">
        <f t="shared" si="50"/>
        <v>810.82207509693842</v>
      </c>
      <c r="BV29" s="46">
        <f t="shared" si="51"/>
        <v>810.20579784708025</v>
      </c>
      <c r="BX29" s="46">
        <f t="shared" si="52"/>
        <v>9776.5083975263387</v>
      </c>
    </row>
    <row r="30" spans="1:76" x14ac:dyDescent="0.25">
      <c r="A30" s="61">
        <f t="shared" si="0"/>
        <v>2.0833333333333326</v>
      </c>
      <c r="B30" s="32">
        <f t="shared" si="11"/>
        <v>1</v>
      </c>
      <c r="C30" s="62">
        <f t="shared" si="12"/>
        <v>3</v>
      </c>
      <c r="D30" s="64">
        <f t="shared" si="13"/>
        <v>2.5833333333333326</v>
      </c>
      <c r="E30" s="28">
        <f t="shared" si="14"/>
        <v>2</v>
      </c>
      <c r="G30" s="68">
        <f>INDEX(Others!$D$11:$E$60, MATCH(C30, Others!$A$11:$A$60, 0), MATCH(G$3, Others!$D$10:$E$10, 0))</f>
        <v>3.205696486422438E-2</v>
      </c>
      <c r="H30" s="16">
        <f t="shared" si="15"/>
        <v>2.6329488081202612E-3</v>
      </c>
      <c r="I30" s="69">
        <f t="shared" si="16"/>
        <v>0.94427652091172476</v>
      </c>
      <c r="K30" s="80">
        <f>INDEX(Mortality!$B$7:$F$32, MATCH( E30,Mortality!$A$7:$A$32, 0), MATCH( K$3,Mortality!$B$6:$F$6,0))</f>
        <v>0.33200000000000002</v>
      </c>
      <c r="L30" s="11" cm="1">
        <f t="array" ref="L30">PAD_Res_Mort</f>
        <v>0.15</v>
      </c>
      <c r="M30" s="80">
        <f t="shared" si="17"/>
        <v>0.38179999999999997</v>
      </c>
      <c r="N30" s="76">
        <f>INDEX('Myopia_(Reserve)'!$H:$H, MATCH(E30, 'Myopia_(Reserve)'!$A:$A, 0)) * Trend_Factor_Reserve^(A30)</f>
        <v>0</v>
      </c>
      <c r="O30" s="11">
        <f t="shared" si="1"/>
        <v>0.3</v>
      </c>
      <c r="P30" s="80">
        <f t="shared" si="18"/>
        <v>0</v>
      </c>
      <c r="Q30" s="76">
        <f>VLOOKUP(C30,Others!$L$10:$M$61,2)</f>
        <v>0</v>
      </c>
      <c r="R30" s="11">
        <f t="shared" si="2"/>
        <v>0</v>
      </c>
      <c r="S30" s="80">
        <f t="shared" si="19"/>
        <v>0</v>
      </c>
      <c r="T30" s="78">
        <f t="shared" si="20"/>
        <v>3.1816666666666663E-5</v>
      </c>
      <c r="U30" s="81">
        <f t="shared" si="21"/>
        <v>0</v>
      </c>
      <c r="V30" s="81">
        <f t="shared" si="22"/>
        <v>0</v>
      </c>
      <c r="W30" s="77">
        <f t="shared" si="3"/>
        <v>0.99923993528446486</v>
      </c>
      <c r="X30" s="82">
        <f t="shared" si="23"/>
        <v>3.1792483940967388E-5</v>
      </c>
      <c r="Y30" s="82">
        <f t="shared" si="24"/>
        <v>0</v>
      </c>
      <c r="Z30" s="82">
        <f t="shared" si="25"/>
        <v>0</v>
      </c>
      <c r="AA30" s="82">
        <f t="shared" si="26"/>
        <v>0.99920814280052395</v>
      </c>
      <c r="AC30" s="46">
        <f t="shared" si="4"/>
        <v>0</v>
      </c>
      <c r="AD30" s="15">
        <f t="shared" si="27"/>
        <v>0</v>
      </c>
      <c r="AE30" s="46">
        <f t="shared" si="28"/>
        <v>0</v>
      </c>
      <c r="AF30" s="15">
        <f t="shared" si="29"/>
        <v>0</v>
      </c>
      <c r="AG30" s="46">
        <f>SUMPRODUCT(AE31:AE$605, $I30:$I$604) / $I30</f>
        <v>0</v>
      </c>
      <c r="AI30" s="46">
        <f t="shared" si="5"/>
        <v>-47000</v>
      </c>
      <c r="AJ30" s="46">
        <f>IF(E30&gt;Mat_Year,0,  -SUM($AD$5:AD30))</f>
        <v>-9306</v>
      </c>
      <c r="AK30" s="24">
        <f t="shared" si="30"/>
        <v>-0.29586085555464253</v>
      </c>
      <c r="AL30" s="79">
        <f t="shared" si="31"/>
        <v>0</v>
      </c>
      <c r="AM30" s="24">
        <f t="shared" si="32"/>
        <v>-0.29608590000000001</v>
      </c>
      <c r="AN30" s="79">
        <f t="shared" si="33"/>
        <v>-0.29586085555464253</v>
      </c>
      <c r="AO30" s="15">
        <f t="shared" si="34"/>
        <v>-8650.8683361365511</v>
      </c>
      <c r="AP30" s="46">
        <f>SUMPRODUCT(AN31:AN$605, $I31:$I$605) / $I30</f>
        <v>-8644.2931163555131</v>
      </c>
      <c r="AR30" s="46">
        <v>0</v>
      </c>
      <c r="AS30" s="46">
        <v>0</v>
      </c>
      <c r="AT30" s="46">
        <v>0</v>
      </c>
      <c r="AU30" s="95">
        <f t="shared" si="6"/>
        <v>-1.8278477322187503</v>
      </c>
      <c r="AV30" s="47">
        <f t="shared" si="7"/>
        <v>0.1</v>
      </c>
      <c r="AW30" s="96">
        <f t="shared" si="35"/>
        <v>-2.0106325054406256</v>
      </c>
      <c r="AX30" s="95">
        <f t="shared" si="8"/>
        <v>-20.959320662774999</v>
      </c>
      <c r="AY30" s="11">
        <f t="shared" si="9"/>
        <v>0.1</v>
      </c>
      <c r="AZ30" s="96">
        <f t="shared" si="36"/>
        <v>-23.055252729052501</v>
      </c>
      <c r="BA30" s="95">
        <f t="shared" si="37"/>
        <v>-2.0091042946173321</v>
      </c>
      <c r="BB30" s="64">
        <f t="shared" si="38"/>
        <v>-7.3298375214334618E-4</v>
      </c>
      <c r="BC30" s="95">
        <f t="shared" si="54"/>
        <v>-2.0106325054406256</v>
      </c>
      <c r="BD30" s="96">
        <f t="shared" si="54"/>
        <v>-7.3354129099602035E-4</v>
      </c>
      <c r="BE30" s="96">
        <f t="shared" si="40"/>
        <v>-2.0091042946173321</v>
      </c>
      <c r="BF30" s="96">
        <f t="shared" si="41"/>
        <v>-7.3298375214334618E-4</v>
      </c>
      <c r="BG30" s="15">
        <f t="shared" si="42"/>
        <v>-336.11143357028141</v>
      </c>
      <c r="BH30" s="46">
        <f>(SUMPRODUCT(BE31:BE$605,$I30:$I$604)+SUMPRODUCT(BF31:BF$605,$I31:$I$605)) / $I30</f>
        <v>-335.85596712913673</v>
      </c>
      <c r="BJ30" s="46">
        <f t="shared" si="53"/>
        <v>-2.0091042946173321</v>
      </c>
      <c r="BK30" s="46">
        <f t="shared" si="43"/>
        <v>-0.2965938393067859</v>
      </c>
      <c r="BM30" s="49">
        <f t="shared" si="10"/>
        <v>8987.2657145443154</v>
      </c>
      <c r="BN30" s="50">
        <f t="shared" si="44"/>
        <v>8980.14908348465</v>
      </c>
      <c r="BP30" s="68">
        <f>INDEX(Others!$H$11:$I$60, MATCH(C30, Others!$A$11:$A$60, 0), MATCH(BP$3, Others!$H$10:$I$10, 0))</f>
        <v>2.4042723648168285E-2</v>
      </c>
      <c r="BQ30" s="16">
        <f t="shared" si="45"/>
        <v>1.9818152099959629E-3</v>
      </c>
      <c r="BR30" s="69">
        <f t="shared" si="46"/>
        <v>0.95776778835193388</v>
      </c>
      <c r="BT30" s="46">
        <f t="shared" si="47"/>
        <v>9786.1284452567543</v>
      </c>
      <c r="BU30" s="49">
        <f t="shared" si="50"/>
        <v>806.61808811240371</v>
      </c>
      <c r="BV30" s="46">
        <f t="shared" si="51"/>
        <v>805.97936177210431</v>
      </c>
      <c r="BX30" s="46">
        <f t="shared" si="52"/>
        <v>9793.8838026567191</v>
      </c>
    </row>
    <row r="31" spans="1:76" x14ac:dyDescent="0.25">
      <c r="A31" s="61">
        <f t="shared" si="0"/>
        <v>2.1666666666666661</v>
      </c>
      <c r="B31" s="32">
        <f t="shared" si="11"/>
        <v>2</v>
      </c>
      <c r="C31" s="62">
        <f t="shared" si="12"/>
        <v>3</v>
      </c>
      <c r="D31" s="64">
        <f t="shared" si="13"/>
        <v>2.6666666666666661</v>
      </c>
      <c r="E31" s="28">
        <f t="shared" si="14"/>
        <v>2</v>
      </c>
      <c r="G31" s="68">
        <f>INDEX(Others!$D$11:$E$60, MATCH(C31, Others!$A$11:$A$60, 0), MATCH(G$3, Others!$D$10:$E$10, 0))</f>
        <v>3.205696486422438E-2</v>
      </c>
      <c r="H31" s="16">
        <f t="shared" si="15"/>
        <v>2.6329488081202612E-3</v>
      </c>
      <c r="I31" s="69">
        <f t="shared" si="16"/>
        <v>0.94179681810201166</v>
      </c>
      <c r="K31" s="80">
        <f>INDEX(Mortality!$B$7:$F$32, MATCH( E31,Mortality!$A$7:$A$32, 0), MATCH( K$3,Mortality!$B$6:$F$6,0))</f>
        <v>0.33200000000000002</v>
      </c>
      <c r="L31" s="11" cm="1">
        <f t="array" ref="L31">PAD_Res_Mort</f>
        <v>0.15</v>
      </c>
      <c r="M31" s="80">
        <f t="shared" si="17"/>
        <v>0.38179999999999997</v>
      </c>
      <c r="N31" s="76">
        <f>INDEX('Myopia_(Reserve)'!$H:$H, MATCH(E31, 'Myopia_(Reserve)'!$A:$A, 0)) * Trend_Factor_Reserve^(A31)</f>
        <v>0</v>
      </c>
      <c r="O31" s="11">
        <f t="shared" si="1"/>
        <v>0.3</v>
      </c>
      <c r="P31" s="80">
        <f t="shared" si="18"/>
        <v>0</v>
      </c>
      <c r="Q31" s="76">
        <f>VLOOKUP(C31,Others!$L$10:$M$61,2)</f>
        <v>0</v>
      </c>
      <c r="R31" s="11">
        <f t="shared" si="2"/>
        <v>0</v>
      </c>
      <c r="S31" s="80">
        <f t="shared" si="19"/>
        <v>0</v>
      </c>
      <c r="T31" s="78">
        <f t="shared" si="20"/>
        <v>3.1816666666666663E-5</v>
      </c>
      <c r="U31" s="81">
        <f t="shared" si="21"/>
        <v>0</v>
      </c>
      <c r="V31" s="81">
        <f t="shared" si="22"/>
        <v>0</v>
      </c>
      <c r="W31" s="77">
        <f t="shared" si="3"/>
        <v>0.99920814280052395</v>
      </c>
      <c r="X31" s="82">
        <f t="shared" si="23"/>
        <v>3.1791472410103333E-5</v>
      </c>
      <c r="Y31" s="82">
        <f t="shared" si="24"/>
        <v>0</v>
      </c>
      <c r="Z31" s="82">
        <f t="shared" si="25"/>
        <v>0</v>
      </c>
      <c r="AA31" s="82">
        <f t="shared" si="26"/>
        <v>0.99917635132811389</v>
      </c>
      <c r="AC31" s="46">
        <f t="shared" si="4"/>
        <v>0</v>
      </c>
      <c r="AD31" s="15">
        <f t="shared" si="27"/>
        <v>0</v>
      </c>
      <c r="AE31" s="46">
        <f t="shared" si="28"/>
        <v>0</v>
      </c>
      <c r="AF31" s="15">
        <f t="shared" si="29"/>
        <v>0</v>
      </c>
      <c r="AG31" s="46">
        <f>SUMPRODUCT(AE32:AE$605, $I31:$I$604) / $I31</f>
        <v>0</v>
      </c>
      <c r="AI31" s="46">
        <f t="shared" si="5"/>
        <v>-47000</v>
      </c>
      <c r="AJ31" s="46">
        <f>IF(E31&gt;Mat_Year,0,  -SUM($AD$5:AD31))</f>
        <v>-9306</v>
      </c>
      <c r="AK31" s="24">
        <f t="shared" si="30"/>
        <v>-0.29585144224842164</v>
      </c>
      <c r="AL31" s="79">
        <f t="shared" si="31"/>
        <v>0</v>
      </c>
      <c r="AM31" s="24">
        <f t="shared" si="32"/>
        <v>-0.29608589999999996</v>
      </c>
      <c r="AN31" s="79">
        <f t="shared" si="33"/>
        <v>-0.29585144224842164</v>
      </c>
      <c r="AO31" s="15">
        <f t="shared" si="34"/>
        <v>-8673.6255189837793</v>
      </c>
      <c r="AP31" s="46">
        <f>SUMPRODUCT(AN32:AN$605, $I32:$I$605) / $I31</f>
        <v>-8666.7572461710133</v>
      </c>
      <c r="AR31" s="46">
        <v>0</v>
      </c>
      <c r="AS31" s="46">
        <v>0</v>
      </c>
      <c r="AT31" s="46">
        <v>0</v>
      </c>
      <c r="AU31" s="95">
        <f t="shared" si="6"/>
        <v>-1.831389281898947</v>
      </c>
      <c r="AV31" s="47">
        <f t="shared" si="7"/>
        <v>0.1</v>
      </c>
      <c r="AW31" s="96">
        <f t="shared" si="35"/>
        <v>-2.0145282100888418</v>
      </c>
      <c r="AX31" s="95">
        <f t="shared" si="8"/>
        <v>-20.999930432441257</v>
      </c>
      <c r="AY31" s="11">
        <f t="shared" si="9"/>
        <v>0.1</v>
      </c>
      <c r="AZ31" s="96">
        <f t="shared" si="36"/>
        <v>-23.099923475685383</v>
      </c>
      <c r="BA31" s="95">
        <f t="shared" si="37"/>
        <v>-2.0129329914221352</v>
      </c>
      <c r="BB31" s="64">
        <f t="shared" si="38"/>
        <v>-7.343805798527501E-4</v>
      </c>
      <c r="BC31" s="95">
        <f t="shared" si="54"/>
        <v>-2.0145282100888418</v>
      </c>
      <c r="BD31" s="96">
        <f t="shared" si="54"/>
        <v>-7.3496256525138978E-4</v>
      </c>
      <c r="BE31" s="96">
        <f t="shared" si="40"/>
        <v>-2.0129329914221352</v>
      </c>
      <c r="BF31" s="96">
        <f t="shared" si="41"/>
        <v>-7.343805798527501E-4</v>
      </c>
      <c r="BG31" s="15">
        <f t="shared" si="42"/>
        <v>-334.98655288960015</v>
      </c>
      <c r="BH31" s="46">
        <f>(SUMPRODUCT(BE32:BE$605,$I31:$I$604)+SUMPRODUCT(BF32:BF$605,$I32:$I$605)) / $I31</f>
        <v>-334.72129137596687</v>
      </c>
      <c r="BJ31" s="46">
        <f t="shared" si="53"/>
        <v>-2.0129329914221352</v>
      </c>
      <c r="BK31" s="46">
        <f t="shared" si="43"/>
        <v>-0.29658582282827439</v>
      </c>
      <c r="BM31" s="49">
        <f t="shared" si="10"/>
        <v>9008.8987050005126</v>
      </c>
      <c r="BN31" s="50">
        <f t="shared" si="44"/>
        <v>9001.4785375469819</v>
      </c>
      <c r="BP31" s="68">
        <f>INDEX(Others!$H$11:$I$60, MATCH(C31, Others!$A$11:$A$60, 0), MATCH(BP$3, Others!$H$10:$I$10, 0))</f>
        <v>2.4042723648168285E-2</v>
      </c>
      <c r="BQ31" s="16">
        <f t="shared" si="45"/>
        <v>1.9818152099959629E-3</v>
      </c>
      <c r="BR31" s="69">
        <f t="shared" si="46"/>
        <v>0.95587342386169383</v>
      </c>
      <c r="BT31" s="46">
        <f t="shared" si="47"/>
        <v>9803.2092353810694</v>
      </c>
      <c r="BU31" s="49">
        <f t="shared" si="50"/>
        <v>802.39158659872214</v>
      </c>
      <c r="BV31" s="46">
        <f t="shared" si="51"/>
        <v>801.73069783408755</v>
      </c>
      <c r="BX31" s="46">
        <f t="shared" si="52"/>
        <v>9811.2902915992345</v>
      </c>
    </row>
    <row r="32" spans="1:76" x14ac:dyDescent="0.25">
      <c r="A32" s="61">
        <f t="shared" si="0"/>
        <v>2.2499999999999996</v>
      </c>
      <c r="B32" s="32">
        <f t="shared" si="11"/>
        <v>3</v>
      </c>
      <c r="C32" s="62">
        <f t="shared" si="12"/>
        <v>3</v>
      </c>
      <c r="D32" s="64">
        <f t="shared" si="13"/>
        <v>2.7499999999999996</v>
      </c>
      <c r="E32" s="28">
        <f t="shared" si="14"/>
        <v>2</v>
      </c>
      <c r="G32" s="68">
        <f>INDEX(Others!$D$11:$E$60, MATCH(C32, Others!$A$11:$A$60, 0), MATCH(G$3, Others!$D$10:$E$10, 0))</f>
        <v>3.205696486422438E-2</v>
      </c>
      <c r="H32" s="16">
        <f t="shared" si="15"/>
        <v>2.6329488081202612E-3</v>
      </c>
      <c r="I32" s="69">
        <f t="shared" si="16"/>
        <v>0.93932362707765837</v>
      </c>
      <c r="K32" s="80">
        <f>INDEX(Mortality!$B$7:$F$32, MATCH( E32,Mortality!$A$7:$A$32, 0), MATCH( K$3,Mortality!$B$6:$F$6,0))</f>
        <v>0.33200000000000002</v>
      </c>
      <c r="L32" s="11" cm="1">
        <f t="array" ref="L32">PAD_Res_Mort</f>
        <v>0.15</v>
      </c>
      <c r="M32" s="80">
        <f t="shared" si="17"/>
        <v>0.38179999999999997</v>
      </c>
      <c r="N32" s="76">
        <f>INDEX('Myopia_(Reserve)'!$H:$H, MATCH(E32, 'Myopia_(Reserve)'!$A:$A, 0)) * Trend_Factor_Reserve^(A32)</f>
        <v>0</v>
      </c>
      <c r="O32" s="11">
        <f t="shared" si="1"/>
        <v>0.3</v>
      </c>
      <c r="P32" s="80">
        <f t="shared" si="18"/>
        <v>0</v>
      </c>
      <c r="Q32" s="76">
        <f>VLOOKUP(C32,Others!$L$10:$M$61,2)</f>
        <v>0</v>
      </c>
      <c r="R32" s="11">
        <f t="shared" si="2"/>
        <v>0</v>
      </c>
      <c r="S32" s="80">
        <f t="shared" si="19"/>
        <v>0</v>
      </c>
      <c r="T32" s="78">
        <f t="shared" si="20"/>
        <v>3.1816666666666663E-5</v>
      </c>
      <c r="U32" s="81">
        <f t="shared" si="21"/>
        <v>0</v>
      </c>
      <c r="V32" s="81">
        <f t="shared" si="22"/>
        <v>0</v>
      </c>
      <c r="W32" s="77">
        <f t="shared" si="3"/>
        <v>0.99917635132811389</v>
      </c>
      <c r="X32" s="82">
        <f t="shared" si="23"/>
        <v>3.1790460911422817E-5</v>
      </c>
      <c r="Y32" s="82">
        <f t="shared" si="24"/>
        <v>0</v>
      </c>
      <c r="Z32" s="82">
        <f t="shared" si="25"/>
        <v>0</v>
      </c>
      <c r="AA32" s="82">
        <f t="shared" si="26"/>
        <v>0.99914456086720249</v>
      </c>
      <c r="AC32" s="46">
        <f t="shared" si="4"/>
        <v>0</v>
      </c>
      <c r="AD32" s="15">
        <f t="shared" si="27"/>
        <v>0</v>
      </c>
      <c r="AE32" s="46">
        <f t="shared" si="28"/>
        <v>0</v>
      </c>
      <c r="AF32" s="15">
        <f t="shared" si="29"/>
        <v>0</v>
      </c>
      <c r="AG32" s="46">
        <f>SUMPRODUCT(AE33:AE$605, $I32:$I$604) / $I32</f>
        <v>0</v>
      </c>
      <c r="AI32" s="46">
        <f t="shared" si="5"/>
        <v>-47000</v>
      </c>
      <c r="AJ32" s="46">
        <f>IF(E32&gt;Mat_Year,0,  -SUM($AD$5:AD32))</f>
        <v>-9306</v>
      </c>
      <c r="AK32" s="24">
        <f t="shared" si="30"/>
        <v>-0.29584202924170072</v>
      </c>
      <c r="AL32" s="79">
        <f t="shared" si="31"/>
        <v>0</v>
      </c>
      <c r="AM32" s="24">
        <f t="shared" si="32"/>
        <v>-0.2960858999999999</v>
      </c>
      <c r="AN32" s="79">
        <f t="shared" si="33"/>
        <v>-0.29584202924170072</v>
      </c>
      <c r="AO32" s="15">
        <f t="shared" si="34"/>
        <v>-8696.4433463156693</v>
      </c>
      <c r="AP32" s="46">
        <f>SUMPRODUCT(AN33:AN$605, $I33:$I$605) / $I32</f>
        <v>-8689.2805323033444</v>
      </c>
      <c r="AR32" s="46">
        <v>0</v>
      </c>
      <c r="AS32" s="46">
        <v>0</v>
      </c>
      <c r="AT32" s="46">
        <v>0</v>
      </c>
      <c r="AU32" s="95">
        <f t="shared" si="6"/>
        <v>-1.8349376935151331</v>
      </c>
      <c r="AV32" s="47">
        <f t="shared" si="7"/>
        <v>0.1</v>
      </c>
      <c r="AW32" s="96">
        <f t="shared" si="35"/>
        <v>-2.0184314628666464</v>
      </c>
      <c r="AX32" s="95">
        <f t="shared" si="8"/>
        <v>-21.040618885640189</v>
      </c>
      <c r="AY32" s="11">
        <f t="shared" si="9"/>
        <v>0.1</v>
      </c>
      <c r="AZ32" s="96">
        <f t="shared" si="36"/>
        <v>-23.144680774204211</v>
      </c>
      <c r="BA32" s="95">
        <f t="shared" si="37"/>
        <v>-2.016768984472963</v>
      </c>
      <c r="BB32" s="64">
        <f t="shared" si="38"/>
        <v>-7.357800694596982E-4</v>
      </c>
      <c r="BC32" s="95">
        <f t="shared" si="54"/>
        <v>-2.0184314628666464</v>
      </c>
      <c r="BD32" s="96">
        <f t="shared" si="54"/>
        <v>-7.3638659329926389E-4</v>
      </c>
      <c r="BE32" s="96">
        <f t="shared" si="40"/>
        <v>-2.016768984472963</v>
      </c>
      <c r="BF32" s="96">
        <f t="shared" si="41"/>
        <v>-7.357800694596982E-4</v>
      </c>
      <c r="BG32" s="15">
        <f t="shared" si="42"/>
        <v>-333.85475961647234</v>
      </c>
      <c r="BH32" s="46">
        <f>(SUMPRODUCT(BE33:BE$605,$I32:$I$604)+SUMPRODUCT(BF33:BF$605,$I33:$I$605)) / $I32</f>
        <v>-333.57978058711137</v>
      </c>
      <c r="BJ32" s="46">
        <f t="shared" si="53"/>
        <v>-2.016768984472963</v>
      </c>
      <c r="BK32" s="46">
        <f t="shared" si="43"/>
        <v>-0.2965778093111604</v>
      </c>
      <c r="BM32" s="49">
        <f t="shared" si="10"/>
        <v>9030.5854290585448</v>
      </c>
      <c r="BN32" s="50">
        <f t="shared" si="44"/>
        <v>9022.8603128904579</v>
      </c>
      <c r="BP32" s="68">
        <f>INDEX(Others!$H$11:$I$60, MATCH(C32, Others!$A$11:$A$60, 0), MATCH(BP$3, Others!$H$10:$I$10, 0))</f>
        <v>2.4042723648168285E-2</v>
      </c>
      <c r="BQ32" s="16">
        <f t="shared" si="45"/>
        <v>1.9818152099959629E-3</v>
      </c>
      <c r="BR32" s="69">
        <f t="shared" si="46"/>
        <v>0.95398280622623999</v>
      </c>
      <c r="BT32" s="46">
        <f t="shared" si="47"/>
        <v>9820.320040893288</v>
      </c>
      <c r="BU32" s="49">
        <f t="shared" si="50"/>
        <v>798.14249032260057</v>
      </c>
      <c r="BV32" s="46">
        <f t="shared" si="51"/>
        <v>797.45972800283016</v>
      </c>
      <c r="BX32" s="46">
        <f t="shared" si="52"/>
        <v>9828.7279193811446</v>
      </c>
    </row>
    <row r="33" spans="1:76" x14ac:dyDescent="0.25">
      <c r="A33" s="61">
        <f t="shared" si="0"/>
        <v>2.333333333333333</v>
      </c>
      <c r="B33" s="32">
        <f t="shared" si="11"/>
        <v>4</v>
      </c>
      <c r="C33" s="62">
        <f t="shared" si="12"/>
        <v>3</v>
      </c>
      <c r="D33" s="64">
        <f t="shared" si="13"/>
        <v>2.833333333333333</v>
      </c>
      <c r="E33" s="28">
        <f t="shared" si="14"/>
        <v>2</v>
      </c>
      <c r="G33" s="68">
        <f>INDEX(Others!$D$11:$E$60, MATCH(C33, Others!$A$11:$A$60, 0), MATCH(G$3, Others!$D$10:$E$10, 0))</f>
        <v>3.205696486422438E-2</v>
      </c>
      <c r="H33" s="16">
        <f t="shared" si="15"/>
        <v>2.6329488081202612E-3</v>
      </c>
      <c r="I33" s="69">
        <f t="shared" si="16"/>
        <v>0.9368569307384913</v>
      </c>
      <c r="K33" s="80">
        <f>INDEX(Mortality!$B$7:$F$32, MATCH( E33,Mortality!$A$7:$A$32, 0), MATCH( K$3,Mortality!$B$6:$F$6,0))</f>
        <v>0.33200000000000002</v>
      </c>
      <c r="L33" s="11" cm="1">
        <f t="array" ref="L33">PAD_Res_Mort</f>
        <v>0.15</v>
      </c>
      <c r="M33" s="80">
        <f t="shared" si="17"/>
        <v>0.38179999999999997</v>
      </c>
      <c r="N33" s="76">
        <f>INDEX('Myopia_(Reserve)'!$H:$H, MATCH(E33, 'Myopia_(Reserve)'!$A:$A, 0)) * Trend_Factor_Reserve^(A33)</f>
        <v>0</v>
      </c>
      <c r="O33" s="11">
        <f t="shared" si="1"/>
        <v>0.3</v>
      </c>
      <c r="P33" s="80">
        <f t="shared" si="18"/>
        <v>0</v>
      </c>
      <c r="Q33" s="76">
        <f>VLOOKUP(C33,Others!$L$10:$M$61,2)</f>
        <v>0</v>
      </c>
      <c r="R33" s="11">
        <f t="shared" si="2"/>
        <v>0</v>
      </c>
      <c r="S33" s="80">
        <f t="shared" si="19"/>
        <v>0</v>
      </c>
      <c r="T33" s="78">
        <f t="shared" si="20"/>
        <v>3.1816666666666663E-5</v>
      </c>
      <c r="U33" s="81">
        <f t="shared" si="21"/>
        <v>0</v>
      </c>
      <c r="V33" s="81">
        <f t="shared" si="22"/>
        <v>0</v>
      </c>
      <c r="W33" s="77">
        <f t="shared" si="3"/>
        <v>0.99914456086720249</v>
      </c>
      <c r="X33" s="82">
        <f t="shared" si="23"/>
        <v>3.1789449444924823E-5</v>
      </c>
      <c r="Y33" s="82">
        <f t="shared" si="24"/>
        <v>0</v>
      </c>
      <c r="Z33" s="82">
        <f t="shared" si="25"/>
        <v>0</v>
      </c>
      <c r="AA33" s="82">
        <f t="shared" si="26"/>
        <v>0.99911277141775756</v>
      </c>
      <c r="AC33" s="46">
        <f t="shared" si="4"/>
        <v>0</v>
      </c>
      <c r="AD33" s="15">
        <f t="shared" si="27"/>
        <v>0</v>
      </c>
      <c r="AE33" s="46">
        <f t="shared" si="28"/>
        <v>0</v>
      </c>
      <c r="AF33" s="15">
        <f t="shared" si="29"/>
        <v>0</v>
      </c>
      <c r="AG33" s="46">
        <f>SUMPRODUCT(AE34:AE$605, $I33:$I$604) / $I33</f>
        <v>0</v>
      </c>
      <c r="AI33" s="46">
        <f t="shared" si="5"/>
        <v>-47000</v>
      </c>
      <c r="AJ33" s="46">
        <f>IF(E33&gt;Mat_Year,0,  -SUM($AD$5:AD33))</f>
        <v>-9306</v>
      </c>
      <c r="AK33" s="24">
        <f t="shared" si="30"/>
        <v>-0.29583261653447041</v>
      </c>
      <c r="AL33" s="79">
        <f t="shared" si="31"/>
        <v>0</v>
      </c>
      <c r="AM33" s="24">
        <f t="shared" si="32"/>
        <v>-0.29608589999999996</v>
      </c>
      <c r="AN33" s="79">
        <f t="shared" si="33"/>
        <v>-0.29583261653447041</v>
      </c>
      <c r="AO33" s="15">
        <f t="shared" si="34"/>
        <v>-8719.3219797406928</v>
      </c>
      <c r="AP33" s="46">
        <f>SUMPRODUCT(AN34:AN$605, $I34:$I$605) / $I33</f>
        <v>-8711.8631305077615</v>
      </c>
      <c r="AR33" s="46">
        <v>0</v>
      </c>
      <c r="AS33" s="46">
        <v>0</v>
      </c>
      <c r="AT33" s="46">
        <v>0</v>
      </c>
      <c r="AU33" s="95">
        <f t="shared" si="6"/>
        <v>-1.8384929803626655</v>
      </c>
      <c r="AV33" s="47">
        <f t="shared" si="7"/>
        <v>0.1</v>
      </c>
      <c r="AW33" s="96">
        <f t="shared" si="35"/>
        <v>-2.0223422783989324</v>
      </c>
      <c r="AX33" s="95">
        <f t="shared" si="8"/>
        <v>-21.081386174825226</v>
      </c>
      <c r="AY33" s="11">
        <f t="shared" si="9"/>
        <v>0.1</v>
      </c>
      <c r="AZ33" s="96">
        <f t="shared" si="36"/>
        <v>-23.189524792307751</v>
      </c>
      <c r="BA33" s="95">
        <f t="shared" si="37"/>
        <v>-2.0206122876740791</v>
      </c>
      <c r="BB33" s="64">
        <f t="shared" si="38"/>
        <v>-7.3718222603689804E-4</v>
      </c>
      <c r="BC33" s="95">
        <f t="shared" si="54"/>
        <v>-2.0223422783989324</v>
      </c>
      <c r="BD33" s="96">
        <f t="shared" si="54"/>
        <v>-7.3781338047525821E-4</v>
      </c>
      <c r="BE33" s="96">
        <f t="shared" si="40"/>
        <v>-2.0206122876740791</v>
      </c>
      <c r="BF33" s="96">
        <f t="shared" si="41"/>
        <v>-7.3718222603689804E-4</v>
      </c>
      <c r="BG33" s="15">
        <f t="shared" si="42"/>
        <v>-332.71602774444824</v>
      </c>
      <c r="BH33" s="46">
        <f>(SUMPRODUCT(BE34:BE$605,$I33:$I$604)+SUMPRODUCT(BF34:BF$605,$I34:$I$605)) / $I33</f>
        <v>-332.43140943420667</v>
      </c>
      <c r="BJ33" s="46">
        <f t="shared" si="53"/>
        <v>-2.0206122876740791</v>
      </c>
      <c r="BK33" s="46">
        <f t="shared" si="43"/>
        <v>-0.29656979876050732</v>
      </c>
      <c r="BM33" s="49">
        <f t="shared" si="10"/>
        <v>9052.3260223247526</v>
      </c>
      <c r="BN33" s="50">
        <f t="shared" si="44"/>
        <v>9044.2945399419696</v>
      </c>
      <c r="BP33" s="68">
        <f>INDEX(Others!$H$11:$I$60, MATCH(C33, Others!$A$11:$A$60, 0), MATCH(BP$3, Others!$H$10:$I$10, 0))</f>
        <v>2.4042723648168285E-2</v>
      </c>
      <c r="BQ33" s="16">
        <f t="shared" si="45"/>
        <v>1.9818152099959629E-3</v>
      </c>
      <c r="BR33" s="69">
        <f t="shared" si="46"/>
        <v>0.95209592803468568</v>
      </c>
      <c r="BT33" s="46">
        <f t="shared" si="47"/>
        <v>9837.4609139507593</v>
      </c>
      <c r="BU33" s="49">
        <f t="shared" si="50"/>
        <v>793.87071880111546</v>
      </c>
      <c r="BV33" s="46">
        <f t="shared" si="51"/>
        <v>793.16637400878972</v>
      </c>
      <c r="BX33" s="46">
        <f t="shared" si="52"/>
        <v>9846.1967411258684</v>
      </c>
    </row>
    <row r="34" spans="1:76" x14ac:dyDescent="0.25">
      <c r="A34" s="61">
        <f t="shared" si="0"/>
        <v>2.4166666666666665</v>
      </c>
      <c r="B34" s="32">
        <f t="shared" si="11"/>
        <v>5</v>
      </c>
      <c r="C34" s="62">
        <f t="shared" si="12"/>
        <v>3</v>
      </c>
      <c r="D34" s="64">
        <f t="shared" si="13"/>
        <v>2.9166666666666665</v>
      </c>
      <c r="E34" s="28">
        <f t="shared" si="14"/>
        <v>2</v>
      </c>
      <c r="G34" s="68">
        <f>INDEX(Others!$D$11:$E$60, MATCH(C34, Others!$A$11:$A$60, 0), MATCH(G$3, Others!$D$10:$E$10, 0))</f>
        <v>3.205696486422438E-2</v>
      </c>
      <c r="H34" s="16">
        <f t="shared" si="15"/>
        <v>2.6329488081202612E-3</v>
      </c>
      <c r="I34" s="69">
        <f t="shared" si="16"/>
        <v>0.93439671202924246</v>
      </c>
      <c r="K34" s="80">
        <f>INDEX(Mortality!$B$7:$F$32, MATCH( E34,Mortality!$A$7:$A$32, 0), MATCH( K$3,Mortality!$B$6:$F$6,0))</f>
        <v>0.33200000000000002</v>
      </c>
      <c r="L34" s="11" cm="1">
        <f t="array" ref="L34">PAD_Res_Mort</f>
        <v>0.15</v>
      </c>
      <c r="M34" s="80">
        <f t="shared" si="17"/>
        <v>0.38179999999999997</v>
      </c>
      <c r="N34" s="76">
        <f>INDEX('Myopia_(Reserve)'!$H:$H, MATCH(E34, 'Myopia_(Reserve)'!$A:$A, 0)) * Trend_Factor_Reserve^(A34)</f>
        <v>0</v>
      </c>
      <c r="O34" s="11">
        <f t="shared" si="1"/>
        <v>0.3</v>
      </c>
      <c r="P34" s="80">
        <f t="shared" si="18"/>
        <v>0</v>
      </c>
      <c r="Q34" s="76">
        <f>VLOOKUP(C34,Others!$L$10:$M$61,2)</f>
        <v>0</v>
      </c>
      <c r="R34" s="11">
        <f t="shared" si="2"/>
        <v>0</v>
      </c>
      <c r="S34" s="80">
        <f t="shared" si="19"/>
        <v>0</v>
      </c>
      <c r="T34" s="78">
        <f t="shared" si="20"/>
        <v>3.1816666666666663E-5</v>
      </c>
      <c r="U34" s="81">
        <f t="shared" si="21"/>
        <v>0</v>
      </c>
      <c r="V34" s="81">
        <f t="shared" si="22"/>
        <v>0</v>
      </c>
      <c r="W34" s="77">
        <f t="shared" si="3"/>
        <v>0.99911277141775756</v>
      </c>
      <c r="X34" s="82">
        <f t="shared" si="23"/>
        <v>3.1788438010608315E-5</v>
      </c>
      <c r="Y34" s="82">
        <f t="shared" si="24"/>
        <v>0</v>
      </c>
      <c r="Z34" s="82">
        <f t="shared" si="25"/>
        <v>0</v>
      </c>
      <c r="AA34" s="82">
        <f t="shared" si="26"/>
        <v>0.9990809829797469</v>
      </c>
      <c r="AC34" s="46">
        <f t="shared" si="4"/>
        <v>0</v>
      </c>
      <c r="AD34" s="15">
        <f t="shared" si="27"/>
        <v>0</v>
      </c>
      <c r="AE34" s="46">
        <f t="shared" si="28"/>
        <v>0</v>
      </c>
      <c r="AF34" s="15">
        <f t="shared" si="29"/>
        <v>0</v>
      </c>
      <c r="AG34" s="46">
        <f>SUMPRODUCT(AE35:AE$605, $I34:$I$604) / $I34</f>
        <v>0</v>
      </c>
      <c r="AI34" s="46">
        <f t="shared" si="5"/>
        <v>-47000</v>
      </c>
      <c r="AJ34" s="46">
        <f>IF(E34&gt;Mat_Year,0,  -SUM($AD$5:AD34))</f>
        <v>-9306</v>
      </c>
      <c r="AK34" s="24">
        <f t="shared" si="30"/>
        <v>-0.29582320412672097</v>
      </c>
      <c r="AL34" s="79">
        <f t="shared" si="31"/>
        <v>0</v>
      </c>
      <c r="AM34" s="24">
        <f t="shared" si="32"/>
        <v>-0.29608589999999996</v>
      </c>
      <c r="AN34" s="79">
        <f t="shared" si="33"/>
        <v>-0.29582320412672097</v>
      </c>
      <c r="AO34" s="15">
        <f t="shared" si="34"/>
        <v>-8742.2615812979784</v>
      </c>
      <c r="AP34" s="46">
        <f>SUMPRODUCT(AN35:AN$605, $I35:$I$605) / $I34</f>
        <v>-8734.5051969496108</v>
      </c>
      <c r="AR34" s="46">
        <v>0</v>
      </c>
      <c r="AS34" s="46">
        <v>0</v>
      </c>
      <c r="AT34" s="46">
        <v>0</v>
      </c>
      <c r="AU34" s="95">
        <f t="shared" si="6"/>
        <v>-1.8420551557626605</v>
      </c>
      <c r="AV34" s="47">
        <f t="shared" si="7"/>
        <v>0.1</v>
      </c>
      <c r="AW34" s="96">
        <f t="shared" si="35"/>
        <v>-2.0262606713389268</v>
      </c>
      <c r="AX34" s="95">
        <f t="shared" si="8"/>
        <v>-21.12223245274517</v>
      </c>
      <c r="AY34" s="11">
        <f t="shared" si="9"/>
        <v>0.1</v>
      </c>
      <c r="AZ34" s="96">
        <f t="shared" si="36"/>
        <v>-23.234455698019687</v>
      </c>
      <c r="BA34" s="95">
        <f t="shared" si="37"/>
        <v>-2.0244629149562412</v>
      </c>
      <c r="BB34" s="64">
        <f t="shared" si="38"/>
        <v>-7.3858705466672391E-4</v>
      </c>
      <c r="BC34" s="95">
        <f t="shared" si="54"/>
        <v>-2.0262606713389268</v>
      </c>
      <c r="BD34" s="96">
        <f t="shared" si="54"/>
        <v>-7.3924293212532623E-4</v>
      </c>
      <c r="BE34" s="96">
        <f t="shared" si="40"/>
        <v>-2.0244629149562412</v>
      </c>
      <c r="BF34" s="96">
        <f t="shared" si="41"/>
        <v>-7.3858705466672391E-4</v>
      </c>
      <c r="BG34" s="15">
        <f t="shared" si="42"/>
        <v>-331.57033118307737</v>
      </c>
      <c r="BH34" s="46">
        <f>(SUMPRODUCT(BE35:BE$605,$I34:$I$604)+SUMPRODUCT(BF35:BF$605,$I35:$I$605)) / $I34</f>
        <v>-331.27615250822817</v>
      </c>
      <c r="BJ34" s="46">
        <f t="shared" si="53"/>
        <v>-2.0244629149562412</v>
      </c>
      <c r="BK34" s="46">
        <f t="shared" si="43"/>
        <v>-0.2965617911813877</v>
      </c>
      <c r="BM34" s="49">
        <f t="shared" si="10"/>
        <v>9074.1206207521427</v>
      </c>
      <c r="BN34" s="50">
        <f t="shared" si="44"/>
        <v>9065.7813494578422</v>
      </c>
      <c r="BP34" s="68">
        <f>INDEX(Others!$H$11:$I$60, MATCH(C34, Others!$A$11:$A$60, 0), MATCH(BP$3, Others!$H$10:$I$10, 0))</f>
        <v>2.4042723648168285E-2</v>
      </c>
      <c r="BQ34" s="16">
        <f t="shared" si="45"/>
        <v>1.9818152099959629E-3</v>
      </c>
      <c r="BR34" s="69">
        <f t="shared" si="46"/>
        <v>0.95021278189080194</v>
      </c>
      <c r="BT34" s="46">
        <f t="shared" si="47"/>
        <v>9854.631906800234</v>
      </c>
      <c r="BU34" s="49">
        <f t="shared" si="50"/>
        <v>789.57619130098396</v>
      </c>
      <c r="BV34" s="46">
        <f t="shared" si="51"/>
        <v>788.85055734239177</v>
      </c>
      <c r="BX34" s="46">
        <f t="shared" si="52"/>
        <v>9863.6968120531274</v>
      </c>
    </row>
    <row r="35" spans="1:76" x14ac:dyDescent="0.25">
      <c r="A35" s="61">
        <f t="shared" si="0"/>
        <v>2.5</v>
      </c>
      <c r="B35" s="32">
        <f t="shared" si="11"/>
        <v>6</v>
      </c>
      <c r="C35" s="62">
        <f t="shared" si="12"/>
        <v>3</v>
      </c>
      <c r="D35" s="64">
        <f t="shared" si="13"/>
        <v>3</v>
      </c>
      <c r="E35" s="28">
        <f t="shared" si="14"/>
        <v>3</v>
      </c>
      <c r="G35" s="68">
        <f>INDEX(Others!$D$11:$E$60, MATCH(C35, Others!$A$11:$A$60, 0), MATCH(G$3, Others!$D$10:$E$10, 0))</f>
        <v>3.205696486422438E-2</v>
      </c>
      <c r="H35" s="16">
        <f t="shared" si="15"/>
        <v>2.6329488081202612E-3</v>
      </c>
      <c r="I35" s="69">
        <f t="shared" si="16"/>
        <v>0.93194295393943161</v>
      </c>
      <c r="K35" s="80">
        <f>INDEX(Mortality!$B$7:$F$32, MATCH( E35,Mortality!$A$7:$A$32, 0), MATCH( K$3,Mortality!$B$6:$F$6,0))</f>
        <v>0.33399999999999996</v>
      </c>
      <c r="L35" s="11" cm="1">
        <f t="array" ref="L35">PAD_Res_Mort</f>
        <v>0.15</v>
      </c>
      <c r="M35" s="80">
        <f t="shared" si="17"/>
        <v>0.38409999999999994</v>
      </c>
      <c r="N35" s="76">
        <f>INDEX('Myopia_(Reserve)'!$H:$H, MATCH(E35, 'Myopia_(Reserve)'!$A:$A, 0)) * Trend_Factor_Reserve^(A35)</f>
        <v>6.1697654661969237</v>
      </c>
      <c r="O35" s="11">
        <f t="shared" si="1"/>
        <v>0.3</v>
      </c>
      <c r="P35" s="80">
        <f t="shared" si="18"/>
        <v>8.0206951060560012</v>
      </c>
      <c r="Q35" s="76">
        <f>VLOOKUP(C35,Others!$L$10:$M$61,2)</f>
        <v>0</v>
      </c>
      <c r="R35" s="11">
        <f t="shared" si="2"/>
        <v>0</v>
      </c>
      <c r="S35" s="80">
        <f t="shared" si="19"/>
        <v>0</v>
      </c>
      <c r="T35" s="78">
        <f t="shared" si="20"/>
        <v>3.200833333333333E-5</v>
      </c>
      <c r="U35" s="81">
        <f t="shared" si="21"/>
        <v>6.6839125883800014E-4</v>
      </c>
      <c r="V35" s="81">
        <f t="shared" si="22"/>
        <v>0</v>
      </c>
      <c r="W35" s="77">
        <f t="shared" si="3"/>
        <v>0.9990809829797469</v>
      </c>
      <c r="X35" s="82">
        <f t="shared" si="23"/>
        <v>3.1968229915871595E-5</v>
      </c>
      <c r="Y35" s="82">
        <f t="shared" si="24"/>
        <v>6.6776630868060113E-4</v>
      </c>
      <c r="Z35" s="82">
        <f t="shared" si="25"/>
        <v>0</v>
      </c>
      <c r="AA35" s="82">
        <f t="shared" si="26"/>
        <v>0.99838124844115039</v>
      </c>
      <c r="AC35" s="46">
        <f t="shared" si="4"/>
        <v>0</v>
      </c>
      <c r="AD35" s="15">
        <f t="shared" si="27"/>
        <v>0</v>
      </c>
      <c r="AE35" s="46">
        <f t="shared" si="28"/>
        <v>0</v>
      </c>
      <c r="AF35" s="15">
        <f t="shared" si="29"/>
        <v>0</v>
      </c>
      <c r="AG35" s="46">
        <f>SUMPRODUCT(AE36:AE$605, $I35:$I$604) / $I35</f>
        <v>0</v>
      </c>
      <c r="AI35" s="46">
        <f t="shared" si="5"/>
        <v>-47000</v>
      </c>
      <c r="AJ35" s="46">
        <f>IF(E35&gt;Mat_Year,0,  -SUM($AD$5:AD35))</f>
        <v>-9306</v>
      </c>
      <c r="AK35" s="24">
        <f t="shared" si="30"/>
        <v>-0.29749634759710109</v>
      </c>
      <c r="AL35" s="79">
        <f t="shared" si="31"/>
        <v>-31.385016507988254</v>
      </c>
      <c r="AM35" s="24">
        <f t="shared" si="32"/>
        <v>-31.711656407564323</v>
      </c>
      <c r="AN35" s="79">
        <f t="shared" si="33"/>
        <v>-31.682512855585355</v>
      </c>
      <c r="AO35" s="15">
        <f t="shared" si="34"/>
        <v>-8733.8467429509074</v>
      </c>
      <c r="AP35" s="46">
        <f>SUMPRODUCT(AN36:AN$605, $I36:$I$605) / $I35</f>
        <v>-8725.8201891418539</v>
      </c>
      <c r="AR35" s="46">
        <v>0</v>
      </c>
      <c r="AS35" s="46">
        <v>0</v>
      </c>
      <c r="AT35" s="46">
        <v>0</v>
      </c>
      <c r="AU35" s="95">
        <f t="shared" si="6"/>
        <v>-1.845624233062046</v>
      </c>
      <c r="AV35" s="47">
        <f t="shared" si="7"/>
        <v>0.1</v>
      </c>
      <c r="AW35" s="96">
        <f t="shared" si="35"/>
        <v>-2.0301866563682509</v>
      </c>
      <c r="AX35" s="95">
        <f t="shared" si="8"/>
        <v>-21.163157872444792</v>
      </c>
      <c r="AY35" s="11">
        <f t="shared" si="9"/>
        <v>0.1</v>
      </c>
      <c r="AZ35" s="96">
        <f t="shared" si="36"/>
        <v>-23.279473659689273</v>
      </c>
      <c r="BA35" s="95">
        <f t="shared" si="37"/>
        <v>-2.0283208802767576</v>
      </c>
      <c r="BB35" s="64">
        <f t="shared" si="38"/>
        <v>-1.6289451760031413E-2</v>
      </c>
      <c r="BC35" s="95">
        <f t="shared" si="54"/>
        <v>-2.0301866563682509</v>
      </c>
      <c r="BD35" s="96">
        <f t="shared" si="54"/>
        <v>-1.6304435814050149E-2</v>
      </c>
      <c r="BE35" s="96">
        <f t="shared" si="40"/>
        <v>-2.0283208802767576</v>
      </c>
      <c r="BF35" s="96">
        <f t="shared" si="41"/>
        <v>-1.6289451760031413E-2</v>
      </c>
      <c r="BG35" s="15">
        <f t="shared" si="42"/>
        <v>-330.40207999709673</v>
      </c>
      <c r="BH35" s="46">
        <f>(SUMPRODUCT(BE36:BE$605,$I35:$I$604)+SUMPRODUCT(BF36:BF$605,$I36:$I$605)) / $I35</f>
        <v>-330.09843486205239</v>
      </c>
      <c r="BJ35" s="46">
        <f t="shared" si="53"/>
        <v>-2.0283208802767576</v>
      </c>
      <c r="BK35" s="46">
        <f t="shared" si="43"/>
        <v>-31.698802307345385</v>
      </c>
      <c r="BM35" s="49">
        <f t="shared" si="10"/>
        <v>9070.6016746043788</v>
      </c>
      <c r="BN35" s="50">
        <f t="shared" si="44"/>
        <v>9055.9186240039089</v>
      </c>
      <c r="BP35" s="68">
        <f>INDEX(Others!$H$11:$I$60, MATCH(C35, Others!$A$11:$A$60, 0), MATCH(BP$3, Others!$H$10:$I$10, 0))</f>
        <v>2.4042723648168285E-2</v>
      </c>
      <c r="BQ35" s="16">
        <f t="shared" si="45"/>
        <v>1.9818152099959629E-3</v>
      </c>
      <c r="BR35" s="69">
        <f t="shared" si="46"/>
        <v>0.94833336041298888</v>
      </c>
      <c r="BT35" s="46">
        <f t="shared" si="47"/>
        <v>9840.4308232572494</v>
      </c>
      <c r="BU35" s="49">
        <f t="shared" si="50"/>
        <v>785.78418863361048</v>
      </c>
      <c r="BV35" s="46">
        <f t="shared" si="51"/>
        <v>784.51219925334044</v>
      </c>
      <c r="BX35" s="46">
        <f t="shared" si="52"/>
        <v>9856.3858632379888</v>
      </c>
    </row>
    <row r="36" spans="1:76" x14ac:dyDescent="0.25">
      <c r="A36" s="61">
        <f t="shared" si="0"/>
        <v>2.5833333333333335</v>
      </c>
      <c r="B36" s="32">
        <f t="shared" si="11"/>
        <v>7</v>
      </c>
      <c r="C36" s="62">
        <f t="shared" si="12"/>
        <v>3</v>
      </c>
      <c r="D36" s="64">
        <f t="shared" si="13"/>
        <v>3.0833333333333335</v>
      </c>
      <c r="E36" s="28">
        <f t="shared" si="14"/>
        <v>3</v>
      </c>
      <c r="G36" s="68">
        <f>INDEX(Others!$D$11:$E$60, MATCH(C36, Others!$A$11:$A$60, 0), MATCH(G$3, Others!$D$10:$E$10, 0))</f>
        <v>3.205696486422438E-2</v>
      </c>
      <c r="H36" s="16">
        <f t="shared" si="15"/>
        <v>2.6329488081202612E-3</v>
      </c>
      <c r="I36" s="69">
        <f t="shared" si="16"/>
        <v>0.92949563950324854</v>
      </c>
      <c r="K36" s="80">
        <f>INDEX(Mortality!$B$7:$F$32, MATCH( E36,Mortality!$A$7:$A$32, 0), MATCH( K$3,Mortality!$B$6:$F$6,0))</f>
        <v>0.33399999999999996</v>
      </c>
      <c r="L36" s="11" cm="1">
        <f t="array" ref="L36">PAD_Res_Mort</f>
        <v>0.15</v>
      </c>
      <c r="M36" s="80">
        <f t="shared" si="17"/>
        <v>0.38409999999999994</v>
      </c>
      <c r="N36" s="76">
        <f>INDEX('Myopia_(Reserve)'!$H:$H, MATCH(E36, 'Myopia_(Reserve)'!$A:$A, 0)) * Trend_Factor_Reserve^(A36)</f>
        <v>6.1697654661969237</v>
      </c>
      <c r="O36" s="11">
        <f t="shared" si="1"/>
        <v>0.3</v>
      </c>
      <c r="P36" s="80">
        <f t="shared" si="18"/>
        <v>8.0206951060560012</v>
      </c>
      <c r="Q36" s="76">
        <f>VLOOKUP(C36,Others!$L$10:$M$61,2)</f>
        <v>0</v>
      </c>
      <c r="R36" s="11">
        <f t="shared" si="2"/>
        <v>0</v>
      </c>
      <c r="S36" s="80">
        <f t="shared" si="19"/>
        <v>0</v>
      </c>
      <c r="T36" s="78">
        <f t="shared" si="20"/>
        <v>3.200833333333333E-5</v>
      </c>
      <c r="U36" s="81">
        <f t="shared" si="21"/>
        <v>6.6839125883800014E-4</v>
      </c>
      <c r="V36" s="81">
        <f t="shared" si="22"/>
        <v>0</v>
      </c>
      <c r="W36" s="77">
        <f t="shared" si="3"/>
        <v>0.99838124844115039</v>
      </c>
      <c r="X36" s="82">
        <f t="shared" si="23"/>
        <v>3.1945840064607266E-5</v>
      </c>
      <c r="Y36" s="82">
        <f t="shared" si="24"/>
        <v>6.6729861971658814E-4</v>
      </c>
      <c r="Z36" s="82">
        <f t="shared" si="25"/>
        <v>0</v>
      </c>
      <c r="AA36" s="82">
        <f t="shared" si="26"/>
        <v>0.99768200398136919</v>
      </c>
      <c r="AC36" s="46">
        <f t="shared" si="4"/>
        <v>0</v>
      </c>
      <c r="AD36" s="15">
        <f t="shared" si="27"/>
        <v>0</v>
      </c>
      <c r="AE36" s="46">
        <f t="shared" si="28"/>
        <v>0</v>
      </c>
      <c r="AF36" s="15">
        <f t="shared" si="29"/>
        <v>0</v>
      </c>
      <c r="AG36" s="46">
        <f>SUMPRODUCT(AE37:AE$605, $I36:$I$604) / $I36</f>
        <v>0</v>
      </c>
      <c r="AI36" s="46">
        <f t="shared" si="5"/>
        <v>-47000</v>
      </c>
      <c r="AJ36" s="46">
        <f>IF(E36&gt;Mat_Year,0,  -SUM($AD$5:AD36))</f>
        <v>-9306</v>
      </c>
      <c r="AK36" s="24">
        <f t="shared" si="30"/>
        <v>-0.29728798764123521</v>
      </c>
      <c r="AL36" s="79">
        <f t="shared" si="31"/>
        <v>-31.363035126679641</v>
      </c>
      <c r="AM36" s="24">
        <f t="shared" si="32"/>
        <v>-31.711656407564323</v>
      </c>
      <c r="AN36" s="79">
        <f t="shared" si="33"/>
        <v>-31.660323114320875</v>
      </c>
      <c r="AO36" s="15">
        <f t="shared" si="34"/>
        <v>-8731.2682579977754</v>
      </c>
      <c r="AP36" s="46">
        <f>SUMPRODUCT(AN37:AN$605, $I37:$I$605) / $I36</f>
        <v>-8717.1345038944073</v>
      </c>
      <c r="AR36" s="46">
        <v>0</v>
      </c>
      <c r="AS36" s="46">
        <v>0</v>
      </c>
      <c r="AT36" s="46">
        <v>0</v>
      </c>
      <c r="AU36" s="95">
        <f t="shared" si="6"/>
        <v>-1.84920022563361</v>
      </c>
      <c r="AV36" s="47">
        <f t="shared" si="7"/>
        <v>0.1</v>
      </c>
      <c r="AW36" s="96">
        <f t="shared" si="35"/>
        <v>-2.0341202481969711</v>
      </c>
      <c r="AX36" s="95">
        <f t="shared" si="8"/>
        <v>-21.204162587265394</v>
      </c>
      <c r="AY36" s="11">
        <f t="shared" si="9"/>
        <v>0.1</v>
      </c>
      <c r="AZ36" s="96">
        <f t="shared" si="36"/>
        <v>-23.324578845991937</v>
      </c>
      <c r="BA36" s="95">
        <f t="shared" si="37"/>
        <v>-2.0308275128743145</v>
      </c>
      <c r="BB36" s="64">
        <f t="shared" si="38"/>
        <v>-1.6309582534789532E-2</v>
      </c>
      <c r="BC36" s="95">
        <f t="shared" si="54"/>
        <v>-2.0341202481969711</v>
      </c>
      <c r="BD36" s="96">
        <f t="shared" si="54"/>
        <v>-1.6336026503156926E-2</v>
      </c>
      <c r="BE36" s="96">
        <f t="shared" si="40"/>
        <v>-2.0308275128743145</v>
      </c>
      <c r="BF36" s="96">
        <f t="shared" si="41"/>
        <v>-1.6309582534789532E-2</v>
      </c>
      <c r="BG36" s="15">
        <f t="shared" si="42"/>
        <v>-329.44837805793799</v>
      </c>
      <c r="BH36" s="46">
        <f>(SUMPRODUCT(BE37:BE$605,$I36:$I$604)+SUMPRODUCT(BF37:BF$605,$I37:$I$605)) / $I36</f>
        <v>-328.9150829823962</v>
      </c>
      <c r="BJ36" s="46">
        <f t="shared" si="53"/>
        <v>-2.0308275128743145</v>
      </c>
      <c r="BK36" s="46">
        <f t="shared" si="43"/>
        <v>-31.676632696855663</v>
      </c>
      <c r="BM36" s="49">
        <f t="shared" si="10"/>
        <v>9067.0670121115381</v>
      </c>
      <c r="BN36" s="50">
        <f t="shared" si="44"/>
        <v>9046.0495868768048</v>
      </c>
      <c r="BP36" s="68">
        <f>INDEX(Others!$H$11:$I$60, MATCH(C36, Others!$A$11:$A$60, 0), MATCH(BP$3, Others!$H$10:$I$10, 0))</f>
        <v>2.4042723648168285E-2</v>
      </c>
      <c r="BQ36" s="16">
        <f t="shared" si="45"/>
        <v>1.9818152099959629E-3</v>
      </c>
      <c r="BR36" s="69">
        <f t="shared" si="46"/>
        <v>0.94645765623424671</v>
      </c>
      <c r="BT36" s="46">
        <f t="shared" si="47"/>
        <v>9826.2212538011099</v>
      </c>
      <c r="BU36" s="49">
        <f t="shared" si="50"/>
        <v>781.98430342627898</v>
      </c>
      <c r="BV36" s="46">
        <f t="shared" si="51"/>
        <v>780.1716669243051</v>
      </c>
      <c r="BX36" s="46">
        <f t="shared" si="52"/>
        <v>9849.0513155378176</v>
      </c>
    </row>
    <row r="37" spans="1:76" x14ac:dyDescent="0.25">
      <c r="A37" s="61">
        <f t="shared" si="0"/>
        <v>2.666666666666667</v>
      </c>
      <c r="B37" s="32">
        <f t="shared" si="11"/>
        <v>8</v>
      </c>
      <c r="C37" s="62">
        <f t="shared" si="12"/>
        <v>3</v>
      </c>
      <c r="D37" s="64">
        <f t="shared" si="13"/>
        <v>3.166666666666667</v>
      </c>
      <c r="E37" s="28">
        <f t="shared" si="14"/>
        <v>3</v>
      </c>
      <c r="G37" s="68">
        <f>INDEX(Others!$D$11:$E$60, MATCH(C37, Others!$A$11:$A$60, 0), MATCH(G$3, Others!$D$10:$E$10, 0))</f>
        <v>3.205696486422438E-2</v>
      </c>
      <c r="H37" s="16">
        <f t="shared" si="15"/>
        <v>2.6329488081202612E-3</v>
      </c>
      <c r="I37" s="69">
        <f t="shared" si="16"/>
        <v>0.92705475179943597</v>
      </c>
      <c r="K37" s="80">
        <f>INDEX(Mortality!$B$7:$F$32, MATCH( E37,Mortality!$A$7:$A$32, 0), MATCH( K$3,Mortality!$B$6:$F$6,0))</f>
        <v>0.33399999999999996</v>
      </c>
      <c r="L37" s="11" cm="1">
        <f t="array" ref="L37">PAD_Res_Mort</f>
        <v>0.15</v>
      </c>
      <c r="M37" s="80">
        <f t="shared" si="17"/>
        <v>0.38409999999999994</v>
      </c>
      <c r="N37" s="76">
        <f>INDEX('Myopia_(Reserve)'!$H:$H, MATCH(E37, 'Myopia_(Reserve)'!$A:$A, 0)) * Trend_Factor_Reserve^(A37)</f>
        <v>6.1697654661969237</v>
      </c>
      <c r="O37" s="11">
        <f t="shared" si="1"/>
        <v>0.3</v>
      </c>
      <c r="P37" s="80">
        <f t="shared" si="18"/>
        <v>8.0206951060560012</v>
      </c>
      <c r="Q37" s="76">
        <f>VLOOKUP(C37,Others!$L$10:$M$61,2)</f>
        <v>0</v>
      </c>
      <c r="R37" s="11">
        <f t="shared" si="2"/>
        <v>0</v>
      </c>
      <c r="S37" s="80">
        <f t="shared" si="19"/>
        <v>0</v>
      </c>
      <c r="T37" s="78">
        <f t="shared" si="20"/>
        <v>3.200833333333333E-5</v>
      </c>
      <c r="U37" s="81">
        <f t="shared" si="21"/>
        <v>6.6839125883800014E-4</v>
      </c>
      <c r="V37" s="81">
        <f t="shared" si="22"/>
        <v>0</v>
      </c>
      <c r="W37" s="77">
        <f t="shared" si="3"/>
        <v>0.99768200398136919</v>
      </c>
      <c r="X37" s="82">
        <f t="shared" si="23"/>
        <v>3.1923465894706629E-5</v>
      </c>
      <c r="Y37" s="82">
        <f t="shared" si="24"/>
        <v>6.6683125831172899E-4</v>
      </c>
      <c r="Z37" s="82">
        <f t="shared" si="25"/>
        <v>0</v>
      </c>
      <c r="AA37" s="82">
        <f t="shared" si="26"/>
        <v>0.99698324925716275</v>
      </c>
      <c r="AC37" s="46">
        <f t="shared" si="4"/>
        <v>0</v>
      </c>
      <c r="AD37" s="15">
        <f t="shared" si="27"/>
        <v>0</v>
      </c>
      <c r="AE37" s="46">
        <f t="shared" si="28"/>
        <v>0</v>
      </c>
      <c r="AF37" s="15">
        <f t="shared" si="29"/>
        <v>0</v>
      </c>
      <c r="AG37" s="46">
        <f>SUMPRODUCT(AE38:AE$605, $I37:$I$604) / $I37</f>
        <v>0</v>
      </c>
      <c r="AI37" s="46">
        <f t="shared" si="5"/>
        <v>-47000</v>
      </c>
      <c r="AJ37" s="46">
        <f>IF(E37&gt;Mat_Year,0,  -SUM($AD$5:AD37))</f>
        <v>-9306</v>
      </c>
      <c r="AK37" s="24">
        <f t="shared" si="30"/>
        <v>-0.29707977361613991</v>
      </c>
      <c r="AL37" s="79">
        <f t="shared" si="31"/>
        <v>-31.341069140651264</v>
      </c>
      <c r="AM37" s="24">
        <f t="shared" si="32"/>
        <v>-31.711656407564327</v>
      </c>
      <c r="AN37" s="79">
        <f t="shared" si="33"/>
        <v>-31.638148914267404</v>
      </c>
      <c r="AO37" s="15">
        <f t="shared" si="34"/>
        <v>-8728.6811720871883</v>
      </c>
      <c r="AP37" s="46">
        <f>SUMPRODUCT(AN38:AN$605, $I38:$I$605) / $I37</f>
        <v>-8708.4481238823919</v>
      </c>
      <c r="AR37" s="46">
        <v>0</v>
      </c>
      <c r="AS37" s="46">
        <v>0</v>
      </c>
      <c r="AT37" s="46">
        <v>0</v>
      </c>
      <c r="AU37" s="95">
        <f t="shared" si="6"/>
        <v>-1.8527831468760496</v>
      </c>
      <c r="AV37" s="47">
        <f t="shared" si="7"/>
        <v>0.1</v>
      </c>
      <c r="AW37" s="96">
        <f t="shared" si="35"/>
        <v>-2.0380614615636548</v>
      </c>
      <c r="AX37" s="95">
        <f t="shared" si="8"/>
        <v>-21.245246750845364</v>
      </c>
      <c r="AY37" s="11">
        <f t="shared" si="9"/>
        <v>0.1</v>
      </c>
      <c r="AZ37" s="96">
        <f t="shared" si="36"/>
        <v>-23.369771425929901</v>
      </c>
      <c r="BA37" s="95">
        <f t="shared" si="37"/>
        <v>-2.0333372432100254</v>
      </c>
      <c r="BB37" s="64">
        <f t="shared" si="38"/>
        <v>-1.6329738187493087E-2</v>
      </c>
      <c r="BC37" s="95">
        <f t="shared" si="54"/>
        <v>-2.0380614615636548</v>
      </c>
      <c r="BD37" s="96">
        <f t="shared" si="54"/>
        <v>-1.6367678400860512E-2</v>
      </c>
      <c r="BE37" s="96">
        <f t="shared" si="40"/>
        <v>-2.0333372432100254</v>
      </c>
      <c r="BF37" s="96">
        <f t="shared" si="41"/>
        <v>-1.6329738187493087E-2</v>
      </c>
      <c r="BG37" s="15">
        <f t="shared" si="42"/>
        <v>-328.48751164800888</v>
      </c>
      <c r="BH37" s="46">
        <f>(SUMPRODUCT(BE38:BE$605,$I37:$I$604)+SUMPRODUCT(BF38:BF$605,$I38:$I$605)) / $I37</f>
        <v>-327.72607890383887</v>
      </c>
      <c r="BJ37" s="46">
        <f t="shared" si="53"/>
        <v>-2.0333372432100254</v>
      </c>
      <c r="BK37" s="46">
        <f t="shared" si="43"/>
        <v>-31.654478652454898</v>
      </c>
      <c r="BM37" s="49">
        <f t="shared" si="10"/>
        <v>9063.5165731409743</v>
      </c>
      <c r="BN37" s="50">
        <f t="shared" si="44"/>
        <v>9036.1742027862329</v>
      </c>
      <c r="BP37" s="68">
        <f>INDEX(Others!$H$11:$I$60, MATCH(C37, Others!$A$11:$A$60, 0), MATCH(BP$3, Others!$H$10:$I$10, 0))</f>
        <v>2.4042723648168285E-2</v>
      </c>
      <c r="BQ37" s="16">
        <f t="shared" si="45"/>
        <v>1.9818152099959629E-3</v>
      </c>
      <c r="BR37" s="69">
        <f t="shared" si="46"/>
        <v>0.94458566200214678</v>
      </c>
      <c r="BT37" s="46">
        <f t="shared" si="47"/>
        <v>9812.0031629443383</v>
      </c>
      <c r="BU37" s="49">
        <f t="shared" si="50"/>
        <v>778.17652476725561</v>
      </c>
      <c r="BV37" s="46">
        <f t="shared" si="51"/>
        <v>775.82896015810547</v>
      </c>
      <c r="BX37" s="46">
        <f t="shared" si="52"/>
        <v>9841.6930979082299</v>
      </c>
    </row>
    <row r="38" spans="1:76" x14ac:dyDescent="0.25">
      <c r="A38" s="61">
        <f t="shared" si="0"/>
        <v>2.7500000000000004</v>
      </c>
      <c r="B38" s="32">
        <f t="shared" si="11"/>
        <v>9</v>
      </c>
      <c r="C38" s="62">
        <f t="shared" si="12"/>
        <v>3</v>
      </c>
      <c r="D38" s="64">
        <f t="shared" si="13"/>
        <v>3.2500000000000004</v>
      </c>
      <c r="E38" s="28">
        <f t="shared" si="14"/>
        <v>3</v>
      </c>
      <c r="G38" s="68">
        <f>INDEX(Others!$D$11:$E$60, MATCH(C38, Others!$A$11:$A$60, 0), MATCH(G$3, Others!$D$10:$E$10, 0))</f>
        <v>3.205696486422438E-2</v>
      </c>
      <c r="H38" s="16">
        <f t="shared" si="15"/>
        <v>2.6329488081202612E-3</v>
      </c>
      <c r="I38" s="69">
        <f t="shared" si="16"/>
        <v>0.92462027395117241</v>
      </c>
      <c r="K38" s="80">
        <f>INDEX(Mortality!$B$7:$F$32, MATCH( E38,Mortality!$A$7:$A$32, 0), MATCH( K$3,Mortality!$B$6:$F$6,0))</f>
        <v>0.33399999999999996</v>
      </c>
      <c r="L38" s="11" cm="1">
        <f t="array" ref="L38">PAD_Res_Mort</f>
        <v>0.15</v>
      </c>
      <c r="M38" s="80">
        <f t="shared" si="17"/>
        <v>0.38409999999999994</v>
      </c>
      <c r="N38" s="76">
        <f>INDEX('Myopia_(Reserve)'!$H:$H, MATCH(E38, 'Myopia_(Reserve)'!$A:$A, 0)) * Trend_Factor_Reserve^(A38)</f>
        <v>6.1697654661969237</v>
      </c>
      <c r="O38" s="11">
        <f t="shared" si="1"/>
        <v>0.3</v>
      </c>
      <c r="P38" s="80">
        <f t="shared" si="18"/>
        <v>8.0206951060560012</v>
      </c>
      <c r="Q38" s="76">
        <f>VLOOKUP(C38,Others!$L$10:$M$61,2)</f>
        <v>0</v>
      </c>
      <c r="R38" s="11">
        <f t="shared" si="2"/>
        <v>0</v>
      </c>
      <c r="S38" s="80">
        <f t="shared" si="19"/>
        <v>0</v>
      </c>
      <c r="T38" s="78">
        <f t="shared" si="20"/>
        <v>3.200833333333333E-5</v>
      </c>
      <c r="U38" s="81">
        <f t="shared" si="21"/>
        <v>6.6839125883800014E-4</v>
      </c>
      <c r="V38" s="81">
        <f t="shared" si="22"/>
        <v>0</v>
      </c>
      <c r="W38" s="77">
        <f t="shared" si="3"/>
        <v>0.99698324925716275</v>
      </c>
      <c r="X38" s="82">
        <f t="shared" si="23"/>
        <v>3.1901107395186797E-5</v>
      </c>
      <c r="Y38" s="82">
        <f t="shared" si="24"/>
        <v>6.6636422423660847E-4</v>
      </c>
      <c r="Z38" s="82">
        <f t="shared" si="25"/>
        <v>0</v>
      </c>
      <c r="AA38" s="82">
        <f t="shared" si="26"/>
        <v>0.996284983925531</v>
      </c>
      <c r="AC38" s="46">
        <f t="shared" si="4"/>
        <v>0</v>
      </c>
      <c r="AD38" s="15">
        <f t="shared" si="27"/>
        <v>0</v>
      </c>
      <c r="AE38" s="46">
        <f t="shared" si="28"/>
        <v>0</v>
      </c>
      <c r="AF38" s="15">
        <f t="shared" si="29"/>
        <v>0</v>
      </c>
      <c r="AG38" s="46">
        <f>SUMPRODUCT(AE39:AE$605, $I38:$I$604) / $I38</f>
        <v>0</v>
      </c>
      <c r="AI38" s="46">
        <f t="shared" si="5"/>
        <v>-47000</v>
      </c>
      <c r="AJ38" s="46">
        <f>IF(E38&gt;Mat_Year,0,  -SUM($AD$5:AD38))</f>
        <v>-9306</v>
      </c>
      <c r="AK38" s="24">
        <f t="shared" si="30"/>
        <v>-0.29687170541960833</v>
      </c>
      <c r="AL38" s="79">
        <f t="shared" si="31"/>
        <v>-31.319118539120598</v>
      </c>
      <c r="AM38" s="24">
        <f t="shared" si="32"/>
        <v>-31.711656407564327</v>
      </c>
      <c r="AN38" s="79">
        <f t="shared" si="33"/>
        <v>-31.615990244540207</v>
      </c>
      <c r="AO38" s="15">
        <f t="shared" si="34"/>
        <v>-8726.085456529252</v>
      </c>
      <c r="AP38" s="46">
        <f>SUMPRODUCT(AN39:AN$605, $I39:$I$605) / $I38</f>
        <v>-8699.7610317462058</v>
      </c>
      <c r="AR38" s="46">
        <v>0</v>
      </c>
      <c r="AS38" s="46">
        <v>0</v>
      </c>
      <c r="AT38" s="46">
        <v>0</v>
      </c>
      <c r="AU38" s="95">
        <f t="shared" si="6"/>
        <v>-1.8563730102140243</v>
      </c>
      <c r="AV38" s="47">
        <f t="shared" si="7"/>
        <v>0.1</v>
      </c>
      <c r="AW38" s="96">
        <f t="shared" si="35"/>
        <v>-2.0420103112354271</v>
      </c>
      <c r="AX38" s="95">
        <f t="shared" si="8"/>
        <v>-21.28641051712081</v>
      </c>
      <c r="AY38" s="11">
        <f t="shared" si="9"/>
        <v>0.1</v>
      </c>
      <c r="AZ38" s="96">
        <f t="shared" si="36"/>
        <v>-23.415051568832894</v>
      </c>
      <c r="BA38" s="95">
        <f t="shared" si="37"/>
        <v>-2.0358500751121262</v>
      </c>
      <c r="BB38" s="64">
        <f t="shared" si="38"/>
        <v>-1.634991874888669E-2</v>
      </c>
      <c r="BC38" s="95">
        <f t="shared" si="54"/>
        <v>-2.0420103112354271</v>
      </c>
      <c r="BD38" s="96">
        <f t="shared" si="54"/>
        <v>-1.6399391625755769E-2</v>
      </c>
      <c r="BE38" s="96">
        <f t="shared" si="40"/>
        <v>-2.0358500751121262</v>
      </c>
      <c r="BF38" s="96">
        <f t="shared" si="41"/>
        <v>-1.634991874888669E-2</v>
      </c>
      <c r="BG38" s="15">
        <f t="shared" si="42"/>
        <v>-327.51944915130969</v>
      </c>
      <c r="BH38" s="46">
        <f>(SUMPRODUCT(BE39:BE$605,$I38:$I$604)+SUMPRODUCT(BF39:BF$605,$I39:$I$605)) / $I38</f>
        <v>-326.53140460978881</v>
      </c>
      <c r="BJ38" s="46">
        <f t="shared" si="53"/>
        <v>-2.0358500751121262</v>
      </c>
      <c r="BK38" s="46">
        <f t="shared" si="43"/>
        <v>-31.632340163289093</v>
      </c>
      <c r="BM38" s="49">
        <f t="shared" si="10"/>
        <v>9059.9502973445215</v>
      </c>
      <c r="BN38" s="50">
        <f t="shared" si="44"/>
        <v>9026.292436355996</v>
      </c>
      <c r="BP38" s="68">
        <f>INDEX(Others!$H$11:$I$60, MATCH(C38, Others!$A$11:$A$60, 0), MATCH(BP$3, Others!$H$10:$I$10, 0))</f>
        <v>2.4042723648168285E-2</v>
      </c>
      <c r="BQ38" s="16">
        <f t="shared" si="45"/>
        <v>1.9818152099959629E-3</v>
      </c>
      <c r="BR38" s="69">
        <f t="shared" si="46"/>
        <v>0.94271737037880265</v>
      </c>
      <c r="BT38" s="46">
        <f t="shared" si="47"/>
        <v>9797.7765151361436</v>
      </c>
      <c r="BU38" s="49">
        <f t="shared" si="50"/>
        <v>774.3608417547058</v>
      </c>
      <c r="BV38" s="46">
        <f t="shared" si="51"/>
        <v>771.48407878014768</v>
      </c>
      <c r="BX38" s="46">
        <f t="shared" si="52"/>
        <v>9834.3111390992271</v>
      </c>
    </row>
    <row r="39" spans="1:76" x14ac:dyDescent="0.25">
      <c r="A39" s="61">
        <f t="shared" si="0"/>
        <v>2.8333333333333339</v>
      </c>
      <c r="B39" s="32">
        <f t="shared" si="11"/>
        <v>10</v>
      </c>
      <c r="C39" s="62">
        <f t="shared" si="12"/>
        <v>3</v>
      </c>
      <c r="D39" s="64">
        <f t="shared" si="13"/>
        <v>3.3333333333333339</v>
      </c>
      <c r="E39" s="28">
        <f t="shared" si="14"/>
        <v>3</v>
      </c>
      <c r="G39" s="68">
        <f>INDEX(Others!$D$11:$E$60, MATCH(C39, Others!$A$11:$A$60, 0), MATCH(G$3, Others!$D$10:$E$10, 0))</f>
        <v>3.205696486422438E-2</v>
      </c>
      <c r="H39" s="16">
        <f t="shared" si="15"/>
        <v>2.6329488081202612E-3</v>
      </c>
      <c r="I39" s="69">
        <f t="shared" si="16"/>
        <v>0.92219218912595546</v>
      </c>
      <c r="K39" s="80">
        <f>INDEX(Mortality!$B$7:$F$32, MATCH( E39,Mortality!$A$7:$A$32, 0), MATCH( K$3,Mortality!$B$6:$F$6,0))</f>
        <v>0.33399999999999996</v>
      </c>
      <c r="L39" s="11" cm="1">
        <f t="array" ref="L39">PAD_Res_Mort</f>
        <v>0.15</v>
      </c>
      <c r="M39" s="80">
        <f t="shared" si="17"/>
        <v>0.38409999999999994</v>
      </c>
      <c r="N39" s="76">
        <f>INDEX('Myopia_(Reserve)'!$H:$H, MATCH(E39, 'Myopia_(Reserve)'!$A:$A, 0)) * Trend_Factor_Reserve^(A39)</f>
        <v>6.1697654661969237</v>
      </c>
      <c r="O39" s="11">
        <f t="shared" si="1"/>
        <v>0.3</v>
      </c>
      <c r="P39" s="80">
        <f t="shared" si="18"/>
        <v>8.0206951060560012</v>
      </c>
      <c r="Q39" s="76">
        <f>VLOOKUP(C39,Others!$L$10:$M$61,2)</f>
        <v>0</v>
      </c>
      <c r="R39" s="11">
        <f t="shared" si="2"/>
        <v>0</v>
      </c>
      <c r="S39" s="80">
        <f t="shared" si="19"/>
        <v>0</v>
      </c>
      <c r="T39" s="78">
        <f t="shared" si="20"/>
        <v>3.200833333333333E-5</v>
      </c>
      <c r="U39" s="81">
        <f t="shared" si="21"/>
        <v>6.6839125883800014E-4</v>
      </c>
      <c r="V39" s="81">
        <f t="shared" si="22"/>
        <v>0</v>
      </c>
      <c r="W39" s="77">
        <f t="shared" si="3"/>
        <v>0.996284983925531</v>
      </c>
      <c r="X39" s="82">
        <f t="shared" si="23"/>
        <v>3.1878764555072561E-5</v>
      </c>
      <c r="Y39" s="82">
        <f t="shared" si="24"/>
        <v>6.658975172619719E-4</v>
      </c>
      <c r="Z39" s="82">
        <f t="shared" si="25"/>
        <v>0</v>
      </c>
      <c r="AA39" s="82">
        <f t="shared" si="26"/>
        <v>0.995587207643714</v>
      </c>
      <c r="AC39" s="46">
        <f t="shared" si="4"/>
        <v>0</v>
      </c>
      <c r="AD39" s="15">
        <f t="shared" si="27"/>
        <v>0</v>
      </c>
      <c r="AE39" s="46">
        <f t="shared" si="28"/>
        <v>0</v>
      </c>
      <c r="AF39" s="15">
        <f t="shared" si="29"/>
        <v>0</v>
      </c>
      <c r="AG39" s="46">
        <f>SUMPRODUCT(AE40:AE$605, $I39:$I$604) / $I39</f>
        <v>0</v>
      </c>
      <c r="AI39" s="46">
        <f t="shared" si="5"/>
        <v>-47000</v>
      </c>
      <c r="AJ39" s="46">
        <f>IF(E39&gt;Mat_Year,0,  -SUM($AD$5:AD39))</f>
        <v>-9306</v>
      </c>
      <c r="AK39" s="24">
        <f t="shared" si="30"/>
        <v>-0.29666378294950524</v>
      </c>
      <c r="AL39" s="79">
        <f t="shared" si="31"/>
        <v>-31.297183311312679</v>
      </c>
      <c r="AM39" s="24">
        <f t="shared" si="32"/>
        <v>-31.711656407564323</v>
      </c>
      <c r="AN39" s="79">
        <f t="shared" si="33"/>
        <v>-31.593847094262184</v>
      </c>
      <c r="AO39" s="15">
        <f t="shared" si="34"/>
        <v>-8723.4810825383665</v>
      </c>
      <c r="AP39" s="46">
        <f>SUMPRODUCT(AN40:AN$605, $I40:$I$605) / $I39</f>
        <v>-8691.0732100914101</v>
      </c>
      <c r="AR39" s="46">
        <v>0</v>
      </c>
      <c r="AS39" s="46">
        <v>0</v>
      </c>
      <c r="AT39" s="46">
        <v>0</v>
      </c>
      <c r="AU39" s="95">
        <f t="shared" si="6"/>
        <v>-1.8599698290982039</v>
      </c>
      <c r="AV39" s="47">
        <f t="shared" si="7"/>
        <v>0.1</v>
      </c>
      <c r="AW39" s="96">
        <f t="shared" si="35"/>
        <v>-2.0459668120080243</v>
      </c>
      <c r="AX39" s="95">
        <f t="shared" si="8"/>
        <v>-21.327654040326067</v>
      </c>
      <c r="AY39" s="11">
        <f t="shared" si="9"/>
        <v>0.1</v>
      </c>
      <c r="AZ39" s="96">
        <f t="shared" si="36"/>
        <v>-23.460419444358674</v>
      </c>
      <c r="BA39" s="95">
        <f t="shared" si="37"/>
        <v>-2.0383660124135843</v>
      </c>
      <c r="BB39" s="64">
        <f t="shared" si="38"/>
        <v>-1.6370124249752888E-2</v>
      </c>
      <c r="BC39" s="95">
        <f t="shared" si="54"/>
        <v>-2.0459668120080243</v>
      </c>
      <c r="BD39" s="96">
        <f t="shared" si="54"/>
        <v>-1.6431166296667282E-2</v>
      </c>
      <c r="BE39" s="96">
        <f t="shared" si="40"/>
        <v>-2.0383660124135843</v>
      </c>
      <c r="BF39" s="96">
        <f t="shared" si="41"/>
        <v>-1.6370124249752888E-2</v>
      </c>
      <c r="BG39" s="15">
        <f t="shared" si="42"/>
        <v>-326.5441588314265</v>
      </c>
      <c r="BH39" s="46">
        <f>(SUMPRODUCT(BE40:BE$605,$I39:$I$604)+SUMPRODUCT(BF40:BF$605,$I40:$I$605)) / $I39</f>
        <v>-325.33104203234382</v>
      </c>
      <c r="BJ39" s="46">
        <f t="shared" si="53"/>
        <v>-2.0383660124135843</v>
      </c>
      <c r="BK39" s="46">
        <f t="shared" si="43"/>
        <v>-31.610217218511938</v>
      </c>
      <c r="BM39" s="49">
        <f t="shared" si="10"/>
        <v>9056.3681241577506</v>
      </c>
      <c r="BN39" s="50">
        <f t="shared" si="44"/>
        <v>9016.4042521237552</v>
      </c>
      <c r="BP39" s="68">
        <f>INDEX(Others!$H$11:$I$60, MATCH(C39, Others!$A$11:$A$60, 0), MATCH(BP$3, Others!$H$10:$I$10, 0))</f>
        <v>2.4042723648168285E-2</v>
      </c>
      <c r="BQ39" s="16">
        <f t="shared" si="45"/>
        <v>1.9818152099959629E-3</v>
      </c>
      <c r="BR39" s="69">
        <f t="shared" si="46"/>
        <v>0.94085277404084167</v>
      </c>
      <c r="BT39" s="46">
        <f t="shared" si="47"/>
        <v>9783.5412747622886</v>
      </c>
      <c r="BU39" s="49">
        <f t="shared" si="50"/>
        <v>770.53724349687002</v>
      </c>
      <c r="BV39" s="46">
        <f t="shared" si="51"/>
        <v>767.13702263853338</v>
      </c>
      <c r="BX39" s="46">
        <f t="shared" si="52"/>
        <v>9826.9053676546209</v>
      </c>
    </row>
    <row r="40" spans="1:76" x14ac:dyDescent="0.25">
      <c r="A40" s="61">
        <f t="shared" si="0"/>
        <v>2.9166666666666674</v>
      </c>
      <c r="B40" s="32">
        <f t="shared" si="11"/>
        <v>11</v>
      </c>
      <c r="C40" s="62">
        <f t="shared" si="12"/>
        <v>3</v>
      </c>
      <c r="D40" s="64">
        <f t="shared" si="13"/>
        <v>3.4166666666666674</v>
      </c>
      <c r="E40" s="28">
        <f t="shared" si="14"/>
        <v>3</v>
      </c>
      <c r="G40" s="68">
        <f>INDEX(Others!$D$11:$E$60, MATCH(C40, Others!$A$11:$A$60, 0), MATCH(G$3, Others!$D$10:$E$10, 0))</f>
        <v>3.205696486422438E-2</v>
      </c>
      <c r="H40" s="16">
        <f t="shared" si="15"/>
        <v>2.6329488081202612E-3</v>
      </c>
      <c r="I40" s="69">
        <f t="shared" si="16"/>
        <v>0.91977048053548538</v>
      </c>
      <c r="K40" s="80">
        <f>INDEX(Mortality!$B$7:$F$32, MATCH( E40,Mortality!$A$7:$A$32, 0), MATCH( K$3,Mortality!$B$6:$F$6,0))</f>
        <v>0.33399999999999996</v>
      </c>
      <c r="L40" s="11" cm="1">
        <f t="array" ref="L40">PAD_Res_Mort</f>
        <v>0.15</v>
      </c>
      <c r="M40" s="80">
        <f t="shared" si="17"/>
        <v>0.38409999999999994</v>
      </c>
      <c r="N40" s="76">
        <f>INDEX('Myopia_(Reserve)'!$H:$H, MATCH(E40, 'Myopia_(Reserve)'!$A:$A, 0)) * Trend_Factor_Reserve^(A40)</f>
        <v>6.1697654661969237</v>
      </c>
      <c r="O40" s="11">
        <f t="shared" si="1"/>
        <v>0.3</v>
      </c>
      <c r="P40" s="80">
        <f t="shared" si="18"/>
        <v>8.0206951060560012</v>
      </c>
      <c r="Q40" s="76">
        <f>VLOOKUP(C40,Others!$L$10:$M$61,2)</f>
        <v>0</v>
      </c>
      <c r="R40" s="11">
        <f t="shared" si="2"/>
        <v>0</v>
      </c>
      <c r="S40" s="80">
        <f t="shared" si="19"/>
        <v>0</v>
      </c>
      <c r="T40" s="78">
        <f t="shared" si="20"/>
        <v>3.200833333333333E-5</v>
      </c>
      <c r="U40" s="81">
        <f t="shared" si="21"/>
        <v>6.6839125883800014E-4</v>
      </c>
      <c r="V40" s="81">
        <f t="shared" si="22"/>
        <v>0</v>
      </c>
      <c r="W40" s="77">
        <f t="shared" si="3"/>
        <v>0.995587207643714</v>
      </c>
      <c r="X40" s="82">
        <f t="shared" si="23"/>
        <v>3.185643736339643E-5</v>
      </c>
      <c r="Y40" s="82">
        <f t="shared" si="24"/>
        <v>6.6543113715872531E-4</v>
      </c>
      <c r="Z40" s="82">
        <f t="shared" si="25"/>
        <v>0</v>
      </c>
      <c r="AA40" s="82">
        <f t="shared" si="26"/>
        <v>0.99488992006919186</v>
      </c>
      <c r="AC40" s="46">
        <f t="shared" si="4"/>
        <v>0</v>
      </c>
      <c r="AD40" s="15">
        <f t="shared" si="27"/>
        <v>0</v>
      </c>
      <c r="AE40" s="46">
        <f t="shared" si="28"/>
        <v>0</v>
      </c>
      <c r="AF40" s="15">
        <f t="shared" si="29"/>
        <v>0</v>
      </c>
      <c r="AG40" s="46">
        <f>SUMPRODUCT(AE41:AE$605, $I40:$I$604) / $I40</f>
        <v>0</v>
      </c>
      <c r="AI40" s="46">
        <f t="shared" si="5"/>
        <v>-47000</v>
      </c>
      <c r="AJ40" s="46">
        <f>IF(E40&gt;Mat_Year,0,  -SUM($AD$5:AD40))</f>
        <v>-9306</v>
      </c>
      <c r="AK40" s="24">
        <f t="shared" si="30"/>
        <v>-0.29645600610376716</v>
      </c>
      <c r="AL40" s="79">
        <f t="shared" si="31"/>
        <v>-31.275263446460091</v>
      </c>
      <c r="AM40" s="24">
        <f t="shared" si="32"/>
        <v>-31.711656407564327</v>
      </c>
      <c r="AN40" s="79">
        <f t="shared" si="33"/>
        <v>-31.571719452563858</v>
      </c>
      <c r="AO40" s="15">
        <f t="shared" si="34"/>
        <v>-8720.8680212329164</v>
      </c>
      <c r="AP40" s="46">
        <f>SUMPRODUCT(AN41:AN$605, $I41:$I$605) / $I40</f>
        <v>-8682.3846414886411</v>
      </c>
      <c r="AR40" s="46">
        <v>0</v>
      </c>
      <c r="AS40" s="46">
        <v>0</v>
      </c>
      <c r="AT40" s="46">
        <v>0</v>
      </c>
      <c r="AU40" s="95">
        <f t="shared" si="6"/>
        <v>-1.863573617005319</v>
      </c>
      <c r="AV40" s="47">
        <f t="shared" si="7"/>
        <v>0.1</v>
      </c>
      <c r="AW40" s="96">
        <f t="shared" si="35"/>
        <v>-2.0499309787058508</v>
      </c>
      <c r="AX40" s="95">
        <f t="shared" si="8"/>
        <v>-21.368977474994324</v>
      </c>
      <c r="AY40" s="11">
        <f t="shared" si="9"/>
        <v>0.1</v>
      </c>
      <c r="AZ40" s="96">
        <f t="shared" si="36"/>
        <v>-23.50587522249376</v>
      </c>
      <c r="BA40" s="95">
        <f t="shared" si="37"/>
        <v>-2.0408850589521039</v>
      </c>
      <c r="BB40" s="64">
        <f t="shared" si="38"/>
        <v>-1.6390354720912312E-2</v>
      </c>
      <c r="BC40" s="95">
        <f t="shared" si="54"/>
        <v>-2.0499309787058508</v>
      </c>
      <c r="BD40" s="96">
        <f t="shared" si="54"/>
        <v>-1.6463002532649908E-2</v>
      </c>
      <c r="BE40" s="96">
        <f t="shared" si="40"/>
        <v>-2.0408850589521039</v>
      </c>
      <c r="BF40" s="96">
        <f t="shared" si="41"/>
        <v>-1.6390354720912312E-2</v>
      </c>
      <c r="BG40" s="15">
        <f t="shared" si="42"/>
        <v>-325.56160883110084</v>
      </c>
      <c r="BH40" s="46">
        <f>(SUMPRODUCT(BE41:BE$605,$I40:$I$604)+SUMPRODUCT(BF41:BF$605,$I41:$I$605)) / $I40</f>
        <v>-324.12497305215078</v>
      </c>
      <c r="BJ40" s="46">
        <f t="shared" si="53"/>
        <v>-2.0408850589521039</v>
      </c>
      <c r="BK40" s="46">
        <f t="shared" si="43"/>
        <v>-31.58810980728477</v>
      </c>
      <c r="BM40" s="49">
        <f t="shared" si="10"/>
        <v>9052.7699927992198</v>
      </c>
      <c r="BN40" s="50">
        <f t="shared" si="44"/>
        <v>9006.5096145407952</v>
      </c>
      <c r="BP40" s="68">
        <f>INDEX(Others!$H$11:$I$60, MATCH(C40, Others!$A$11:$A$60, 0), MATCH(BP$3, Others!$H$10:$I$10, 0))</f>
        <v>2.4042723648168285E-2</v>
      </c>
      <c r="BQ40" s="16">
        <f t="shared" si="45"/>
        <v>1.9818152099959629E-3</v>
      </c>
      <c r="BR40" s="69">
        <f t="shared" si="46"/>
        <v>0.93899186567937576</v>
      </c>
      <c r="BT40" s="46">
        <f t="shared" si="47"/>
        <v>9769.2974061449477</v>
      </c>
      <c r="BU40" s="49">
        <f t="shared" si="50"/>
        <v>766.70571911222373</v>
      </c>
      <c r="BV40" s="46">
        <f t="shared" si="51"/>
        <v>762.78779160415252</v>
      </c>
      <c r="BX40" s="46">
        <f t="shared" si="52"/>
        <v>9819.4757119114438</v>
      </c>
    </row>
    <row r="41" spans="1:76" x14ac:dyDescent="0.25">
      <c r="A41" s="61">
        <f t="shared" si="0"/>
        <v>3.0000000000000009</v>
      </c>
      <c r="B41" s="32">
        <f t="shared" si="11"/>
        <v>12</v>
      </c>
      <c r="C41" s="62">
        <f t="shared" si="12"/>
        <v>3</v>
      </c>
      <c r="D41" s="64">
        <f t="shared" si="13"/>
        <v>3.5000000000000009</v>
      </c>
      <c r="E41" s="28">
        <f t="shared" si="14"/>
        <v>3</v>
      </c>
      <c r="G41" s="68">
        <f>INDEX(Others!$D$11:$E$60, MATCH(C41, Others!$A$11:$A$60, 0), MATCH(G$3, Others!$D$10:$E$10, 0))</f>
        <v>3.205696486422438E-2</v>
      </c>
      <c r="H41" s="16">
        <f t="shared" si="15"/>
        <v>2.6329488081202612E-3</v>
      </c>
      <c r="I41" s="69">
        <f t="shared" si="16"/>
        <v>0.91735513143554914</v>
      </c>
      <c r="K41" s="80">
        <f>INDEX(Mortality!$B$7:$F$32, MATCH( E41,Mortality!$A$7:$A$32, 0), MATCH( K$3,Mortality!$B$6:$F$6,0))</f>
        <v>0.33399999999999996</v>
      </c>
      <c r="L41" s="11" cm="1">
        <f t="array" ref="L41">PAD_Res_Mort</f>
        <v>0.15</v>
      </c>
      <c r="M41" s="80">
        <f t="shared" si="17"/>
        <v>0.38409999999999994</v>
      </c>
      <c r="N41" s="76">
        <f>INDEX('Myopia_(Reserve)'!$H:$H, MATCH(E41, 'Myopia_(Reserve)'!$A:$A, 0)) * Trend_Factor_Reserve^(A41)</f>
        <v>6.1697654661969237</v>
      </c>
      <c r="O41" s="11">
        <f t="shared" si="1"/>
        <v>0.3</v>
      </c>
      <c r="P41" s="80">
        <f t="shared" si="18"/>
        <v>8.0206951060560012</v>
      </c>
      <c r="Q41" s="76">
        <f>VLOOKUP(C41,Others!$L$10:$M$61,2)</f>
        <v>0</v>
      </c>
      <c r="R41" s="11">
        <f t="shared" si="2"/>
        <v>0</v>
      </c>
      <c r="S41" s="80">
        <f t="shared" si="19"/>
        <v>0</v>
      </c>
      <c r="T41" s="78">
        <f t="shared" si="20"/>
        <v>3.200833333333333E-5</v>
      </c>
      <c r="U41" s="81">
        <f t="shared" si="21"/>
        <v>6.6839125883800014E-4</v>
      </c>
      <c r="V41" s="81">
        <f t="shared" si="22"/>
        <v>0</v>
      </c>
      <c r="W41" s="77">
        <f t="shared" si="3"/>
        <v>0.99488992006919186</v>
      </c>
      <c r="X41" s="82">
        <f t="shared" si="23"/>
        <v>3.183412580919857E-5</v>
      </c>
      <c r="Y41" s="82">
        <f t="shared" si="24"/>
        <v>6.6496508369793498E-4</v>
      </c>
      <c r="Z41" s="82">
        <f t="shared" si="25"/>
        <v>0</v>
      </c>
      <c r="AA41" s="82">
        <f t="shared" si="26"/>
        <v>0.9941931208596847</v>
      </c>
      <c r="AC41" s="46">
        <f t="shared" si="4"/>
        <v>0</v>
      </c>
      <c r="AD41" s="15">
        <f t="shared" si="27"/>
        <v>0</v>
      </c>
      <c r="AE41" s="46">
        <f t="shared" si="28"/>
        <v>0</v>
      </c>
      <c r="AF41" s="15">
        <f t="shared" si="29"/>
        <v>0</v>
      </c>
      <c r="AG41" s="46">
        <f>SUMPRODUCT(AE42:AE$605, $I41:$I$604) / $I41</f>
        <v>0</v>
      </c>
      <c r="AI41" s="46">
        <f t="shared" si="5"/>
        <v>-47000</v>
      </c>
      <c r="AJ41" s="46">
        <f>IF(E41&gt;Mat_Year,0,  -SUM($AD$5:AD41))</f>
        <v>-9306</v>
      </c>
      <c r="AK41" s="24">
        <f t="shared" si="30"/>
        <v>-0.29624837478040189</v>
      </c>
      <c r="AL41" s="79">
        <f t="shared" si="31"/>
        <v>-31.253358933802943</v>
      </c>
      <c r="AM41" s="24">
        <f t="shared" si="32"/>
        <v>-31.711656407564323</v>
      </c>
      <c r="AN41" s="79">
        <f t="shared" si="33"/>
        <v>-31.549607308583344</v>
      </c>
      <c r="AO41" s="15">
        <f t="shared" si="34"/>
        <v>-8718.2462436349488</v>
      </c>
      <c r="AP41" s="46">
        <f>SUMPRODUCT(AN42:AN$605, $I42:$I$605) / $I41</f>
        <v>-8673.6953084735069</v>
      </c>
      <c r="AR41" s="46">
        <v>0</v>
      </c>
      <c r="AS41" s="46">
        <v>0</v>
      </c>
      <c r="AT41" s="46">
        <v>0</v>
      </c>
      <c r="AU41" s="95">
        <f t="shared" si="6"/>
        <v>-1.867184387438213</v>
      </c>
      <c r="AV41" s="47">
        <f t="shared" si="7"/>
        <v>0.1</v>
      </c>
      <c r="AW41" s="96">
        <f t="shared" si="35"/>
        <v>-2.0539028261820347</v>
      </c>
      <c r="AX41" s="95">
        <f t="shared" si="8"/>
        <v>-21.410380975958173</v>
      </c>
      <c r="AY41" s="11">
        <f t="shared" si="9"/>
        <v>0.1</v>
      </c>
      <c r="AZ41" s="96">
        <f t="shared" si="36"/>
        <v>-23.551419073553991</v>
      </c>
      <c r="BA41" s="95">
        <f t="shared" si="37"/>
        <v>-2.0434072185701315</v>
      </c>
      <c r="BB41" s="64">
        <f t="shared" si="38"/>
        <v>-1.6410610193223648E-2</v>
      </c>
      <c r="BC41" s="95">
        <f t="shared" si="54"/>
        <v>-2.0539028261820347</v>
      </c>
      <c r="BD41" s="96">
        <f t="shared" si="54"/>
        <v>-1.6494900452989146E-2</v>
      </c>
      <c r="BE41" s="96">
        <f t="shared" si="40"/>
        <v>-2.0434072185701315</v>
      </c>
      <c r="BF41" s="96">
        <f t="shared" si="41"/>
        <v>-1.6410610193223648E-2</v>
      </c>
      <c r="BG41" s="15">
        <f t="shared" si="42"/>
        <v>-324.57176717179806</v>
      </c>
      <c r="BH41" s="46">
        <f>(SUMPRODUCT(BE42:BE$605,$I41:$I$604)+SUMPRODUCT(BF42:BF$605,$I42:$I$605)) / $I41</f>
        <v>-322.91317949826652</v>
      </c>
      <c r="BJ41" s="46">
        <f t="shared" si="53"/>
        <v>-2.0434072185701315</v>
      </c>
      <c r="BK41" s="46">
        <f t="shared" si="43"/>
        <v>-31.566017918776566</v>
      </c>
      <c r="BM41" s="49">
        <f t="shared" si="10"/>
        <v>9049.1558422697144</v>
      </c>
      <c r="BN41" s="50">
        <f t="shared" si="44"/>
        <v>8996.6084879717764</v>
      </c>
      <c r="BP41" s="68">
        <f>INDEX(Others!$H$11:$I$60, MATCH(C41, Others!$A$11:$A$60, 0), MATCH(BP$3, Others!$H$10:$I$10, 0))</f>
        <v>2.4042723648168285E-2</v>
      </c>
      <c r="BQ41" s="16">
        <f t="shared" si="45"/>
        <v>1.9818152099959629E-3</v>
      </c>
      <c r="BR41" s="69">
        <f t="shared" si="46"/>
        <v>0.93713463799997332</v>
      </c>
      <c r="BT41" s="46">
        <f t="shared" si="47"/>
        <v>9755.0448735425671</v>
      </c>
      <c r="BU41" s="49">
        <f t="shared" si="50"/>
        <v>762.86625772965135</v>
      </c>
      <c r="BV41" s="46">
        <f t="shared" si="51"/>
        <v>758.43638557079066</v>
      </c>
      <c r="BX41" s="46">
        <f t="shared" si="52"/>
        <v>9812.0220999993653</v>
      </c>
    </row>
    <row r="42" spans="1:76" x14ac:dyDescent="0.25">
      <c r="A42" s="61">
        <f t="shared" si="0"/>
        <v>3.0833333333333344</v>
      </c>
      <c r="B42" s="32">
        <f t="shared" si="11"/>
        <v>1</v>
      </c>
      <c r="C42" s="62">
        <f t="shared" si="12"/>
        <v>4</v>
      </c>
      <c r="D42" s="64">
        <f t="shared" si="13"/>
        <v>3.5833333333333344</v>
      </c>
      <c r="E42" s="28">
        <f t="shared" si="14"/>
        <v>3</v>
      </c>
      <c r="G42" s="68">
        <f>INDEX(Others!$D$11:$E$60, MATCH(C42, Others!$A$11:$A$60, 0), MATCH(G$3, Others!$D$10:$E$10, 0))</f>
        <v>3.4943009325520524E-2</v>
      </c>
      <c r="H42" s="16">
        <f t="shared" si="15"/>
        <v>2.866296808335056E-3</v>
      </c>
      <c r="I42" s="69">
        <f t="shared" si="16"/>
        <v>0.9147332344850666</v>
      </c>
      <c r="K42" s="80">
        <f>INDEX(Mortality!$B$7:$F$32, MATCH( E42,Mortality!$A$7:$A$32, 0), MATCH( K$3,Mortality!$B$6:$F$6,0))</f>
        <v>0.33399999999999996</v>
      </c>
      <c r="L42" s="11" cm="1">
        <f t="array" ref="L42">PAD_Res_Mort</f>
        <v>0.15</v>
      </c>
      <c r="M42" s="80">
        <f t="shared" si="17"/>
        <v>0.38409999999999994</v>
      </c>
      <c r="N42" s="76">
        <f>INDEX('Myopia_(Reserve)'!$H:$H, MATCH(E42, 'Myopia_(Reserve)'!$A:$A, 0)) * Trend_Factor_Reserve^(A42)</f>
        <v>6.1697654661969237</v>
      </c>
      <c r="O42" s="11">
        <f t="shared" si="1"/>
        <v>0.3</v>
      </c>
      <c r="P42" s="80">
        <f t="shared" si="18"/>
        <v>8.0206951060560012</v>
      </c>
      <c r="Q42" s="76">
        <f>VLOOKUP(C42,Others!$L$10:$M$61,2)</f>
        <v>0</v>
      </c>
      <c r="R42" s="11">
        <f t="shared" si="2"/>
        <v>0</v>
      </c>
      <c r="S42" s="80">
        <f t="shared" si="19"/>
        <v>0</v>
      </c>
      <c r="T42" s="78">
        <f t="shared" si="20"/>
        <v>3.200833333333333E-5</v>
      </c>
      <c r="U42" s="81">
        <f t="shared" si="21"/>
        <v>6.6839125883800014E-4</v>
      </c>
      <c r="V42" s="81">
        <f t="shared" si="22"/>
        <v>0</v>
      </c>
      <c r="W42" s="77">
        <f t="shared" si="3"/>
        <v>0.9941931208596847</v>
      </c>
      <c r="X42" s="82">
        <f t="shared" si="23"/>
        <v>3.1811829881526831E-5</v>
      </c>
      <c r="Y42" s="82">
        <f t="shared" si="24"/>
        <v>6.6449935665082783E-4</v>
      </c>
      <c r="Z42" s="82">
        <f t="shared" si="25"/>
        <v>0</v>
      </c>
      <c r="AA42" s="82">
        <f t="shared" si="26"/>
        <v>0.99349680967315235</v>
      </c>
      <c r="AC42" s="46">
        <f t="shared" si="4"/>
        <v>0</v>
      </c>
      <c r="AD42" s="15">
        <f t="shared" si="27"/>
        <v>0</v>
      </c>
      <c r="AE42" s="46">
        <f t="shared" si="28"/>
        <v>0</v>
      </c>
      <c r="AF42" s="15">
        <f t="shared" si="29"/>
        <v>0</v>
      </c>
      <c r="AG42" s="46">
        <f>SUMPRODUCT(AE43:AE$605, $I42:$I$604) / $I42</f>
        <v>0</v>
      </c>
      <c r="AI42" s="46">
        <f t="shared" si="5"/>
        <v>-47000</v>
      </c>
      <c r="AJ42" s="46">
        <f>IF(E42&gt;Mat_Year,0,  -SUM($AD$5:AD42))</f>
        <v>-9306</v>
      </c>
      <c r="AK42" s="24">
        <f t="shared" si="30"/>
        <v>-0.29604088887748869</v>
      </c>
      <c r="AL42" s="79">
        <f t="shared" si="31"/>
        <v>-31.231469762588908</v>
      </c>
      <c r="AM42" s="24">
        <f t="shared" si="32"/>
        <v>-31.711656407564327</v>
      </c>
      <c r="AN42" s="79">
        <f t="shared" si="33"/>
        <v>-31.527510651466397</v>
      </c>
      <c r="AO42" s="15">
        <f t="shared" si="34"/>
        <v>-8717.6515318339334</v>
      </c>
      <c r="AP42" s="46">
        <f>SUMPRODUCT(AN43:AN$605, $I43:$I$605) / $I42</f>
        <v>-8667.0291830011884</v>
      </c>
      <c r="AR42" s="46">
        <v>0</v>
      </c>
      <c r="AS42" s="46">
        <v>0</v>
      </c>
      <c r="AT42" s="46">
        <v>0</v>
      </c>
      <c r="AU42" s="95">
        <f t="shared" si="6"/>
        <v>-1.8708021539258912</v>
      </c>
      <c r="AV42" s="47">
        <f t="shared" si="7"/>
        <v>0.1</v>
      </c>
      <c r="AW42" s="96">
        <f t="shared" si="35"/>
        <v>-2.0578823693184805</v>
      </c>
      <c r="AX42" s="95">
        <f t="shared" si="8"/>
        <v>-21.451864698350217</v>
      </c>
      <c r="AY42" s="11">
        <f t="shared" si="9"/>
        <v>0.1</v>
      </c>
      <c r="AZ42" s="96">
        <f t="shared" si="36"/>
        <v>-23.597051168185242</v>
      </c>
      <c r="BA42" s="95">
        <f t="shared" si="37"/>
        <v>-2.0459324951148625</v>
      </c>
      <c r="BB42" s="64">
        <f t="shared" si="38"/>
        <v>-1.6430890697583751E-2</v>
      </c>
      <c r="BC42" s="95">
        <f t="shared" si="54"/>
        <v>-2.0578823693184805</v>
      </c>
      <c r="BD42" s="96">
        <f t="shared" si="54"/>
        <v>-1.652686017720165E-2</v>
      </c>
      <c r="BE42" s="96">
        <f t="shared" si="40"/>
        <v>-2.0459324951148625</v>
      </c>
      <c r="BF42" s="96">
        <f t="shared" si="41"/>
        <v>-1.6430890697583751E-2</v>
      </c>
      <c r="BG42" s="15">
        <f t="shared" si="42"/>
        <v>-323.64991280587577</v>
      </c>
      <c r="BH42" s="46">
        <f>(SUMPRODUCT(BE43:BE$605,$I42:$I$604)+SUMPRODUCT(BF43:BF$605,$I43:$I$605)) / $I42</f>
        <v>-321.77051687843846</v>
      </c>
      <c r="BJ42" s="46">
        <f t="shared" si="53"/>
        <v>-2.0459324951148625</v>
      </c>
      <c r="BK42" s="46">
        <f t="shared" si="43"/>
        <v>-31.543941542163981</v>
      </c>
      <c r="BM42" s="49">
        <f t="shared" si="10"/>
        <v>9047.6382131884548</v>
      </c>
      <c r="BN42" s="50">
        <f t="shared" si="44"/>
        <v>8988.7996998796298</v>
      </c>
      <c r="BP42" s="68">
        <f>INDEX(Others!$H$11:$I$60, MATCH(C42, Others!$A$11:$A$60, 0), MATCH(BP$3, Others!$H$10:$I$10, 0))</f>
        <v>2.6207256994140393E-2</v>
      </c>
      <c r="BQ42" s="16">
        <f t="shared" si="45"/>
        <v>2.1581363658165209E-3</v>
      </c>
      <c r="BR42" s="69">
        <f t="shared" si="46"/>
        <v>0.93511652901243547</v>
      </c>
      <c r="BT42" s="46">
        <f t="shared" si="47"/>
        <v>9742.503301195733</v>
      </c>
      <c r="BU42" s="49">
        <f t="shared" si="50"/>
        <v>758.63716317726471</v>
      </c>
      <c r="BV42" s="46">
        <f t="shared" si="51"/>
        <v>753.70360131610323</v>
      </c>
      <c r="BX42" s="46">
        <f t="shared" si="52"/>
        <v>9806.2753763657201</v>
      </c>
    </row>
    <row r="43" spans="1:76" x14ac:dyDescent="0.25">
      <c r="A43" s="61">
        <f t="shared" si="0"/>
        <v>3.1666666666666679</v>
      </c>
      <c r="B43" s="32">
        <f t="shared" si="11"/>
        <v>2</v>
      </c>
      <c r="C43" s="62">
        <f t="shared" si="12"/>
        <v>4</v>
      </c>
      <c r="D43" s="64">
        <f t="shared" si="13"/>
        <v>3.6666666666666679</v>
      </c>
      <c r="E43" s="28">
        <f t="shared" si="14"/>
        <v>3</v>
      </c>
      <c r="G43" s="68">
        <f>INDEX(Others!$D$11:$E$60, MATCH(C43, Others!$A$11:$A$60, 0), MATCH(G$3, Others!$D$10:$E$10, 0))</f>
        <v>3.4943009325520524E-2</v>
      </c>
      <c r="H43" s="16">
        <f t="shared" si="15"/>
        <v>2.866296808335056E-3</v>
      </c>
      <c r="I43" s="69">
        <f t="shared" si="16"/>
        <v>0.91211883119040327</v>
      </c>
      <c r="K43" s="80">
        <f>INDEX(Mortality!$B$7:$F$32, MATCH( E43,Mortality!$A$7:$A$32, 0), MATCH( K$3,Mortality!$B$6:$F$6,0))</f>
        <v>0.33399999999999996</v>
      </c>
      <c r="L43" s="11" cm="1">
        <f t="array" ref="L43">PAD_Res_Mort</f>
        <v>0.15</v>
      </c>
      <c r="M43" s="80">
        <f t="shared" si="17"/>
        <v>0.38409999999999994</v>
      </c>
      <c r="N43" s="76">
        <f>INDEX('Myopia_(Reserve)'!$H:$H, MATCH(E43, 'Myopia_(Reserve)'!$A:$A, 0)) * Trend_Factor_Reserve^(A43)</f>
        <v>6.1697654661969237</v>
      </c>
      <c r="O43" s="11">
        <f t="shared" si="1"/>
        <v>0.3</v>
      </c>
      <c r="P43" s="80">
        <f t="shared" si="18"/>
        <v>8.0206951060560012</v>
      </c>
      <c r="Q43" s="76">
        <f>VLOOKUP(C43,Others!$L$10:$M$61,2)</f>
        <v>0</v>
      </c>
      <c r="R43" s="11">
        <f t="shared" si="2"/>
        <v>0</v>
      </c>
      <c r="S43" s="80">
        <f t="shared" si="19"/>
        <v>0</v>
      </c>
      <c r="T43" s="78">
        <f t="shared" si="20"/>
        <v>3.200833333333333E-5</v>
      </c>
      <c r="U43" s="81">
        <f t="shared" si="21"/>
        <v>6.6839125883800014E-4</v>
      </c>
      <c r="V43" s="81">
        <f t="shared" si="22"/>
        <v>0</v>
      </c>
      <c r="W43" s="77">
        <f t="shared" si="3"/>
        <v>0.99349680967315235</v>
      </c>
      <c r="X43" s="82">
        <f t="shared" si="23"/>
        <v>3.1789549569436742E-5</v>
      </c>
      <c r="Y43" s="82">
        <f t="shared" si="24"/>
        <v>6.6403395578879063E-4</v>
      </c>
      <c r="Z43" s="82">
        <f t="shared" si="25"/>
        <v>0</v>
      </c>
      <c r="AA43" s="82">
        <f t="shared" si="26"/>
        <v>0.99280098616779411</v>
      </c>
      <c r="AC43" s="46">
        <f t="shared" si="4"/>
        <v>0</v>
      </c>
      <c r="AD43" s="15">
        <f t="shared" si="27"/>
        <v>0</v>
      </c>
      <c r="AE43" s="46">
        <f t="shared" si="28"/>
        <v>0</v>
      </c>
      <c r="AF43" s="15">
        <f t="shared" si="29"/>
        <v>0</v>
      </c>
      <c r="AG43" s="46">
        <f>SUMPRODUCT(AE44:AE$605, $I43:$I$604) / $I43</f>
        <v>0</v>
      </c>
      <c r="AI43" s="46">
        <f t="shared" si="5"/>
        <v>-47000</v>
      </c>
      <c r="AJ43" s="46">
        <f>IF(E43&gt;Mat_Year,0,  -SUM($AD$5:AD43))</f>
        <v>-9306</v>
      </c>
      <c r="AK43" s="24">
        <f t="shared" si="30"/>
        <v>-0.29583354829317832</v>
      </c>
      <c r="AL43" s="79">
        <f t="shared" si="31"/>
        <v>-31.209595922073159</v>
      </c>
      <c r="AM43" s="24">
        <f t="shared" si="32"/>
        <v>-31.711656407564327</v>
      </c>
      <c r="AN43" s="79">
        <f t="shared" si="33"/>
        <v>-31.505429470366337</v>
      </c>
      <c r="AO43" s="15">
        <f t="shared" si="34"/>
        <v>-8717.0546974025565</v>
      </c>
      <c r="AP43" s="46">
        <f>SUMPRODUCT(AN44:AN$605, $I44:$I$605) / $I43</f>
        <v>-8660.3660316158057</v>
      </c>
      <c r="AR43" s="46">
        <v>0</v>
      </c>
      <c r="AS43" s="46">
        <v>0</v>
      </c>
      <c r="AT43" s="46">
        <v>0</v>
      </c>
      <c r="AU43" s="95">
        <f t="shared" si="6"/>
        <v>-1.8744269300235723</v>
      </c>
      <c r="AV43" s="47">
        <f t="shared" si="7"/>
        <v>0.1</v>
      </c>
      <c r="AW43" s="96">
        <f t="shared" si="35"/>
        <v>-2.0618696230259297</v>
      </c>
      <c r="AX43" s="95">
        <f t="shared" si="8"/>
        <v>-21.493428797603627</v>
      </c>
      <c r="AY43" s="11">
        <f t="shared" si="9"/>
        <v>0.1</v>
      </c>
      <c r="AZ43" s="96">
        <f t="shared" si="36"/>
        <v>-23.642771677363992</v>
      </c>
      <c r="BA43" s="95">
        <f t="shared" si="37"/>
        <v>-2.0484608924382464</v>
      </c>
      <c r="BB43" s="64">
        <f t="shared" si="38"/>
        <v>-1.645119626492763E-2</v>
      </c>
      <c r="BC43" s="95">
        <f t="shared" si="54"/>
        <v>-2.0618696230259297</v>
      </c>
      <c r="BD43" s="96">
        <f t="shared" si="54"/>
        <v>-1.6558881825035614E-2</v>
      </c>
      <c r="BE43" s="96">
        <f t="shared" si="40"/>
        <v>-2.0484608924382464</v>
      </c>
      <c r="BF43" s="96">
        <f t="shared" si="41"/>
        <v>-1.645119626492763E-2</v>
      </c>
      <c r="BG43" s="15">
        <f t="shared" si="42"/>
        <v>-322.72073747659323</v>
      </c>
      <c r="BH43" s="46">
        <f>(SUMPRODUCT(BE44:BE$605,$I43:$I$604)+SUMPRODUCT(BF44:BF$605,$I44:$I$605)) / $I43</f>
        <v>-320.62202309836232</v>
      </c>
      <c r="BJ43" s="46">
        <f t="shared" si="53"/>
        <v>-2.0484608924382464</v>
      </c>
      <c r="BK43" s="46">
        <f t="shared" si="43"/>
        <v>-31.521880666631265</v>
      </c>
      <c r="BM43" s="49">
        <f t="shared" si="10"/>
        <v>9046.1111338947503</v>
      </c>
      <c r="BN43" s="50">
        <f t="shared" si="44"/>
        <v>8980.9880547141711</v>
      </c>
      <c r="BP43" s="68">
        <f>INDEX(Others!$H$11:$I$60, MATCH(C43, Others!$A$11:$A$60, 0), MATCH(BP$3, Others!$H$10:$I$10, 0))</f>
        <v>2.6207256994140393E-2</v>
      </c>
      <c r="BQ43" s="16">
        <f t="shared" si="45"/>
        <v>2.1581363658165209E-3</v>
      </c>
      <c r="BR43" s="69">
        <f t="shared" si="46"/>
        <v>0.93310276600008668</v>
      </c>
      <c r="BT43" s="46">
        <f t="shared" si="47"/>
        <v>9729.9541894471167</v>
      </c>
      <c r="BU43" s="49">
        <f t="shared" si="50"/>
        <v>754.39704952746922</v>
      </c>
      <c r="BV43" s="46">
        <f t="shared" si="51"/>
        <v>748.96613473294565</v>
      </c>
      <c r="BX43" s="46">
        <f t="shared" si="52"/>
        <v>9800.5081834222201</v>
      </c>
    </row>
    <row r="44" spans="1:76" x14ac:dyDescent="0.25">
      <c r="A44" s="61">
        <f t="shared" si="0"/>
        <v>3.2500000000000013</v>
      </c>
      <c r="B44" s="32">
        <f t="shared" si="11"/>
        <v>3</v>
      </c>
      <c r="C44" s="62">
        <f t="shared" si="12"/>
        <v>4</v>
      </c>
      <c r="D44" s="64">
        <f t="shared" si="13"/>
        <v>3.7500000000000013</v>
      </c>
      <c r="E44" s="28">
        <f t="shared" si="14"/>
        <v>3</v>
      </c>
      <c r="G44" s="68">
        <f>INDEX(Others!$D$11:$E$60, MATCH(C44, Others!$A$11:$A$60, 0), MATCH(G$3, Others!$D$10:$E$10, 0))</f>
        <v>3.4943009325520524E-2</v>
      </c>
      <c r="H44" s="16">
        <f t="shared" si="15"/>
        <v>2.866296808335056E-3</v>
      </c>
      <c r="I44" s="69">
        <f t="shared" si="16"/>
        <v>0.9095119001339067</v>
      </c>
      <c r="K44" s="80">
        <f>INDEX(Mortality!$B$7:$F$32, MATCH( E44,Mortality!$A$7:$A$32, 0), MATCH( K$3,Mortality!$B$6:$F$6,0))</f>
        <v>0.33399999999999996</v>
      </c>
      <c r="L44" s="11" cm="1">
        <f t="array" ref="L44">PAD_Res_Mort</f>
        <v>0.15</v>
      </c>
      <c r="M44" s="80">
        <f t="shared" si="17"/>
        <v>0.38409999999999994</v>
      </c>
      <c r="N44" s="76">
        <f>INDEX('Myopia_(Reserve)'!$H:$H, MATCH(E44, 'Myopia_(Reserve)'!$A:$A, 0)) * Trend_Factor_Reserve^(A44)</f>
        <v>6.1697654661969237</v>
      </c>
      <c r="O44" s="11">
        <f t="shared" si="1"/>
        <v>0.3</v>
      </c>
      <c r="P44" s="80">
        <f t="shared" si="18"/>
        <v>8.0206951060560012</v>
      </c>
      <c r="Q44" s="76">
        <f>VLOOKUP(C44,Others!$L$10:$M$61,2)</f>
        <v>0</v>
      </c>
      <c r="R44" s="11">
        <f t="shared" si="2"/>
        <v>0</v>
      </c>
      <c r="S44" s="80">
        <f t="shared" si="19"/>
        <v>0</v>
      </c>
      <c r="T44" s="78">
        <f t="shared" si="20"/>
        <v>3.200833333333333E-5</v>
      </c>
      <c r="U44" s="81">
        <f t="shared" si="21"/>
        <v>6.6839125883800014E-4</v>
      </c>
      <c r="V44" s="81">
        <f t="shared" si="22"/>
        <v>0</v>
      </c>
      <c r="W44" s="77">
        <f t="shared" si="3"/>
        <v>0.99280098616779411</v>
      </c>
      <c r="X44" s="82">
        <f t="shared" si="23"/>
        <v>3.1767284861991494E-5</v>
      </c>
      <c r="Y44" s="82">
        <f t="shared" si="24"/>
        <v>6.6356888088337049E-4</v>
      </c>
      <c r="Z44" s="82">
        <f t="shared" si="25"/>
        <v>0</v>
      </c>
      <c r="AA44" s="82">
        <f t="shared" si="26"/>
        <v>0.99210565000204876</v>
      </c>
      <c r="AC44" s="46">
        <f t="shared" si="4"/>
        <v>0</v>
      </c>
      <c r="AD44" s="15">
        <f t="shared" si="27"/>
        <v>0</v>
      </c>
      <c r="AE44" s="46">
        <f t="shared" si="28"/>
        <v>0</v>
      </c>
      <c r="AF44" s="15">
        <f t="shared" si="29"/>
        <v>0</v>
      </c>
      <c r="AG44" s="46">
        <f>SUMPRODUCT(AE45:AE$605, $I44:$I$604) / $I44</f>
        <v>0</v>
      </c>
      <c r="AI44" s="46">
        <f t="shared" si="5"/>
        <v>-47000</v>
      </c>
      <c r="AJ44" s="46">
        <f>IF(E44&gt;Mat_Year,0,  -SUM($AD$5:AD44))</f>
        <v>-9306</v>
      </c>
      <c r="AK44" s="24">
        <f t="shared" si="30"/>
        <v>-0.29562635292569284</v>
      </c>
      <c r="AL44" s="79">
        <f t="shared" si="31"/>
        <v>-31.187737401518412</v>
      </c>
      <c r="AM44" s="24">
        <f t="shared" si="32"/>
        <v>-31.711656407564323</v>
      </c>
      <c r="AN44" s="79">
        <f t="shared" si="33"/>
        <v>-31.483363754444106</v>
      </c>
      <c r="AO44" s="15">
        <f t="shared" si="34"/>
        <v>-8716.4557327647781</v>
      </c>
      <c r="AP44" s="46">
        <f>SUMPRODUCT(AN45:AN$605, $I45:$I$605) / $I44</f>
        <v>-8653.7058473767938</v>
      </c>
      <c r="AR44" s="46">
        <v>0</v>
      </c>
      <c r="AS44" s="46">
        <v>0</v>
      </c>
      <c r="AT44" s="46">
        <v>0</v>
      </c>
      <c r="AU44" s="95">
        <f t="shared" si="6"/>
        <v>-1.8780587293127389</v>
      </c>
      <c r="AV44" s="47">
        <f t="shared" si="7"/>
        <v>0.1</v>
      </c>
      <c r="AW44" s="96">
        <f t="shared" si="35"/>
        <v>-2.0658646022440128</v>
      </c>
      <c r="AX44" s="95">
        <f t="shared" si="8"/>
        <v>-21.535073429452737</v>
      </c>
      <c r="AY44" s="11">
        <f t="shared" si="9"/>
        <v>0.1</v>
      </c>
      <c r="AZ44" s="96">
        <f t="shared" si="36"/>
        <v>-23.688580772398012</v>
      </c>
      <c r="BA44" s="95">
        <f t="shared" si="37"/>
        <v>-2.0509924143969935</v>
      </c>
      <c r="BB44" s="64">
        <f t="shared" si="38"/>
        <v>-1.6471526926228539E-2</v>
      </c>
      <c r="BC44" s="95">
        <f t="shared" si="54"/>
        <v>-2.0658646022440128</v>
      </c>
      <c r="BD44" s="96">
        <f t="shared" si="54"/>
        <v>-1.6590965516471268E-2</v>
      </c>
      <c r="BE44" s="96">
        <f t="shared" si="40"/>
        <v>-2.0509924143969935</v>
      </c>
      <c r="BF44" s="96">
        <f t="shared" si="41"/>
        <v>-1.6471526926228539E-2</v>
      </c>
      <c r="BG44" s="15">
        <f t="shared" si="42"/>
        <v>-321.78420724445482</v>
      </c>
      <c r="BH44" s="46">
        <f>(SUMPRODUCT(BE45:BE$605,$I44:$I$604)+SUMPRODUCT(BF45:BF$605,$I45:$I$605)) / $I44</f>
        <v>-319.46767828551657</v>
      </c>
      <c r="BJ44" s="46">
        <f t="shared" si="53"/>
        <v>-2.0509924143969935</v>
      </c>
      <c r="BK44" s="46">
        <f t="shared" si="43"/>
        <v>-31.499835281370334</v>
      </c>
      <c r="BM44" s="49">
        <f t="shared" si="10"/>
        <v>9044.5745628439727</v>
      </c>
      <c r="BN44" s="50">
        <f t="shared" si="44"/>
        <v>8973.173525662316</v>
      </c>
      <c r="BP44" s="68">
        <f>INDEX(Others!$H$11:$I$60, MATCH(C44, Others!$A$11:$A$60, 0), MATCH(BP$3, Others!$H$10:$I$10, 0))</f>
        <v>2.6207256994140393E-2</v>
      </c>
      <c r="BQ44" s="16">
        <f t="shared" si="45"/>
        <v>2.1581363658165209E-3</v>
      </c>
      <c r="BR44" s="69">
        <f t="shared" si="46"/>
        <v>0.93109333960391794</v>
      </c>
      <c r="BT44" s="46">
        <f t="shared" si="47"/>
        <v>9717.3975034040086</v>
      </c>
      <c r="BU44" s="49">
        <f t="shared" si="50"/>
        <v>750.14589196236886</v>
      </c>
      <c r="BV44" s="46">
        <f t="shared" si="51"/>
        <v>744.22397774169258</v>
      </c>
      <c r="BX44" s="46">
        <f t="shared" si="52"/>
        <v>9794.7204548063419</v>
      </c>
    </row>
    <row r="45" spans="1:76" x14ac:dyDescent="0.25">
      <c r="A45" s="61">
        <f t="shared" si="0"/>
        <v>3.3333333333333348</v>
      </c>
      <c r="B45" s="32">
        <f t="shared" si="11"/>
        <v>4</v>
      </c>
      <c r="C45" s="62">
        <f t="shared" si="12"/>
        <v>4</v>
      </c>
      <c r="D45" s="64">
        <f t="shared" si="13"/>
        <v>3.8333333333333348</v>
      </c>
      <c r="E45" s="28">
        <f t="shared" si="14"/>
        <v>3</v>
      </c>
      <c r="G45" s="68">
        <f>INDEX(Others!$D$11:$E$60, MATCH(C45, Others!$A$11:$A$60, 0), MATCH(G$3, Others!$D$10:$E$10, 0))</f>
        <v>3.4943009325520524E-2</v>
      </c>
      <c r="H45" s="16">
        <f t="shared" si="15"/>
        <v>2.866296808335056E-3</v>
      </c>
      <c r="I45" s="69">
        <f t="shared" si="16"/>
        <v>0.90691241995913841</v>
      </c>
      <c r="K45" s="80">
        <f>INDEX(Mortality!$B$7:$F$32, MATCH( E45,Mortality!$A$7:$A$32, 0), MATCH( K$3,Mortality!$B$6:$F$6,0))</f>
        <v>0.33399999999999996</v>
      </c>
      <c r="L45" s="11" cm="1">
        <f t="array" ref="L45">PAD_Res_Mort</f>
        <v>0.15</v>
      </c>
      <c r="M45" s="80">
        <f t="shared" si="17"/>
        <v>0.38409999999999994</v>
      </c>
      <c r="N45" s="76">
        <f>INDEX('Myopia_(Reserve)'!$H:$H, MATCH(E45, 'Myopia_(Reserve)'!$A:$A, 0)) * Trend_Factor_Reserve^(A45)</f>
        <v>6.1697654661969237</v>
      </c>
      <c r="O45" s="11">
        <f t="shared" si="1"/>
        <v>0.3</v>
      </c>
      <c r="P45" s="80">
        <f t="shared" si="18"/>
        <v>8.0206951060560012</v>
      </c>
      <c r="Q45" s="76">
        <f>VLOOKUP(C45,Others!$L$10:$M$61,2)</f>
        <v>0</v>
      </c>
      <c r="R45" s="11">
        <f t="shared" si="2"/>
        <v>0</v>
      </c>
      <c r="S45" s="80">
        <f t="shared" si="19"/>
        <v>0</v>
      </c>
      <c r="T45" s="78">
        <f t="shared" si="20"/>
        <v>3.200833333333333E-5</v>
      </c>
      <c r="U45" s="81">
        <f t="shared" si="21"/>
        <v>6.6839125883800014E-4</v>
      </c>
      <c r="V45" s="81">
        <f t="shared" si="22"/>
        <v>0</v>
      </c>
      <c r="W45" s="77">
        <f t="shared" si="3"/>
        <v>0.99210565000204876</v>
      </c>
      <c r="X45" s="82">
        <f t="shared" si="23"/>
        <v>3.1745035748261924E-5</v>
      </c>
      <c r="Y45" s="82">
        <f t="shared" si="24"/>
        <v>6.6310413170627476E-4</v>
      </c>
      <c r="Z45" s="82">
        <f t="shared" si="25"/>
        <v>0</v>
      </c>
      <c r="AA45" s="82">
        <f t="shared" si="26"/>
        <v>0.99141080083459421</v>
      </c>
      <c r="AC45" s="46">
        <f t="shared" si="4"/>
        <v>0</v>
      </c>
      <c r="AD45" s="15">
        <f t="shared" si="27"/>
        <v>0</v>
      </c>
      <c r="AE45" s="46">
        <f t="shared" si="28"/>
        <v>0</v>
      </c>
      <c r="AF45" s="15">
        <f t="shared" si="29"/>
        <v>0</v>
      </c>
      <c r="AG45" s="46">
        <f>SUMPRODUCT(AE46:AE$605, $I45:$I$604) / $I45</f>
        <v>0</v>
      </c>
      <c r="AI45" s="46">
        <f t="shared" si="5"/>
        <v>-47000</v>
      </c>
      <c r="AJ45" s="46">
        <f>IF(E45&gt;Mat_Year,0,  -SUM($AD$5:AD45))</f>
        <v>-9306</v>
      </c>
      <c r="AK45" s="24">
        <f t="shared" si="30"/>
        <v>-0.29541930267332545</v>
      </c>
      <c r="AL45" s="79">
        <f t="shared" si="31"/>
        <v>-31.165894190194916</v>
      </c>
      <c r="AM45" s="24">
        <f t="shared" si="32"/>
        <v>-31.71165640756433</v>
      </c>
      <c r="AN45" s="79">
        <f t="shared" si="33"/>
        <v>-31.461313492868243</v>
      </c>
      <c r="AO45" s="15">
        <f t="shared" si="34"/>
        <v>-8715.8546303175226</v>
      </c>
      <c r="AP45" s="46">
        <f>SUMPRODUCT(AN46:AN$605, $I46:$I$605) / $I45</f>
        <v>-8647.0486233345327</v>
      </c>
      <c r="AR45" s="46">
        <v>0</v>
      </c>
      <c r="AS45" s="46">
        <v>0</v>
      </c>
      <c r="AT45" s="46">
        <v>0</v>
      </c>
      <c r="AU45" s="95">
        <f t="shared" si="6"/>
        <v>-1.8816975654011883</v>
      </c>
      <c r="AV45" s="47">
        <f t="shared" si="7"/>
        <v>0.1</v>
      </c>
      <c r="AW45" s="96">
        <f t="shared" si="35"/>
        <v>-2.0698673219413073</v>
      </c>
      <c r="AX45" s="95">
        <f t="shared" si="8"/>
        <v>-21.576798749933623</v>
      </c>
      <c r="AY45" s="11">
        <f t="shared" si="9"/>
        <v>0.1</v>
      </c>
      <c r="AZ45" s="96">
        <f t="shared" si="36"/>
        <v>-23.734478624926986</v>
      </c>
      <c r="BA45" s="95">
        <f t="shared" si="37"/>
        <v>-2.0535270648525805</v>
      </c>
      <c r="BB45" s="64">
        <f t="shared" si="38"/>
        <v>-1.6491882712498011E-2</v>
      </c>
      <c r="BC45" s="95">
        <f t="shared" si="54"/>
        <v>-2.0698673219413073</v>
      </c>
      <c r="BD45" s="96">
        <f t="shared" si="54"/>
        <v>-1.6623111371721302E-2</v>
      </c>
      <c r="BE45" s="96">
        <f t="shared" si="40"/>
        <v>-2.0535270648525805</v>
      </c>
      <c r="BF45" s="96">
        <f t="shared" si="41"/>
        <v>-1.6491882712498011E-2</v>
      </c>
      <c r="BG45" s="15">
        <f t="shared" si="42"/>
        <v>-320.84028803369716</v>
      </c>
      <c r="BH45" s="46">
        <f>(SUMPRODUCT(BE46:BE$605,$I45:$I$604)+SUMPRODUCT(BF46:BF$605,$I46:$I$605)) / $I45</f>
        <v>-318.30746250651566</v>
      </c>
      <c r="BJ45" s="46">
        <f t="shared" si="53"/>
        <v>-2.0535270648525805</v>
      </c>
      <c r="BK45" s="46">
        <f t="shared" si="43"/>
        <v>-31.47780537558074</v>
      </c>
      <c r="BM45" s="49">
        <f t="shared" si="10"/>
        <v>9043.0284583280645</v>
      </c>
      <c r="BN45" s="50">
        <f t="shared" si="44"/>
        <v>8965.3560858410528</v>
      </c>
      <c r="BP45" s="68">
        <f>INDEX(Others!$H$11:$I$60, MATCH(C45, Others!$A$11:$A$60, 0), MATCH(BP$3, Others!$H$10:$I$10, 0))</f>
        <v>2.6207256994140393E-2</v>
      </c>
      <c r="BQ45" s="16">
        <f t="shared" si="45"/>
        <v>2.1581363658165209E-3</v>
      </c>
      <c r="BR45" s="69">
        <f t="shared" si="46"/>
        <v>0.92908824048507466</v>
      </c>
      <c r="BT45" s="46">
        <f t="shared" si="47"/>
        <v>9704.8332081053304</v>
      </c>
      <c r="BU45" s="49">
        <f t="shared" si="50"/>
        <v>745.88366562253248</v>
      </c>
      <c r="BV45" s="46">
        <f t="shared" si="51"/>
        <v>739.47712226427757</v>
      </c>
      <c r="BX45" s="46">
        <f t="shared" si="52"/>
        <v>9788.9121239505967</v>
      </c>
    </row>
    <row r="46" spans="1:76" x14ac:dyDescent="0.25">
      <c r="A46" s="61">
        <f t="shared" si="0"/>
        <v>3.4166666666666683</v>
      </c>
      <c r="B46" s="32">
        <f t="shared" si="11"/>
        <v>5</v>
      </c>
      <c r="C46" s="62">
        <f t="shared" si="12"/>
        <v>4</v>
      </c>
      <c r="D46" s="64">
        <f t="shared" si="13"/>
        <v>3.9166666666666683</v>
      </c>
      <c r="E46" s="28">
        <f t="shared" si="14"/>
        <v>3</v>
      </c>
      <c r="G46" s="68">
        <f>INDEX(Others!$D$11:$E$60, MATCH(C46, Others!$A$11:$A$60, 0), MATCH(G$3, Others!$D$10:$E$10, 0))</f>
        <v>3.4943009325520524E-2</v>
      </c>
      <c r="H46" s="16">
        <f t="shared" si="15"/>
        <v>2.866296808335056E-3</v>
      </c>
      <c r="I46" s="69">
        <f t="shared" si="16"/>
        <v>0.90432036937069882</v>
      </c>
      <c r="K46" s="80">
        <f>INDEX(Mortality!$B$7:$F$32, MATCH( E46,Mortality!$A$7:$A$32, 0), MATCH( K$3,Mortality!$B$6:$F$6,0))</f>
        <v>0.33399999999999996</v>
      </c>
      <c r="L46" s="11" cm="1">
        <f t="array" ref="L46">PAD_Res_Mort</f>
        <v>0.15</v>
      </c>
      <c r="M46" s="80">
        <f t="shared" si="17"/>
        <v>0.38409999999999994</v>
      </c>
      <c r="N46" s="76">
        <f>INDEX('Myopia_(Reserve)'!$H:$H, MATCH(E46, 'Myopia_(Reserve)'!$A:$A, 0)) * Trend_Factor_Reserve^(A46)</f>
        <v>6.1697654661969237</v>
      </c>
      <c r="O46" s="11">
        <f t="shared" si="1"/>
        <v>0.3</v>
      </c>
      <c r="P46" s="80">
        <f t="shared" si="18"/>
        <v>8.0206951060560012</v>
      </c>
      <c r="Q46" s="76">
        <f>VLOOKUP(C46,Others!$L$10:$M$61,2)</f>
        <v>0</v>
      </c>
      <c r="R46" s="11">
        <f t="shared" si="2"/>
        <v>0</v>
      </c>
      <c r="S46" s="80">
        <f t="shared" si="19"/>
        <v>0</v>
      </c>
      <c r="T46" s="78">
        <f t="shared" si="20"/>
        <v>3.200833333333333E-5</v>
      </c>
      <c r="U46" s="81">
        <f t="shared" si="21"/>
        <v>6.6839125883800014E-4</v>
      </c>
      <c r="V46" s="81">
        <f t="shared" si="22"/>
        <v>0</v>
      </c>
      <c r="W46" s="77">
        <f t="shared" si="3"/>
        <v>0.99141080083459421</v>
      </c>
      <c r="X46" s="82">
        <f t="shared" si="23"/>
        <v>3.1722802217326536E-5</v>
      </c>
      <c r="Y46" s="82">
        <f t="shared" si="24"/>
        <v>6.6263970802937018E-4</v>
      </c>
      <c r="Z46" s="82">
        <f t="shared" si="25"/>
        <v>0</v>
      </c>
      <c r="AA46" s="82">
        <f t="shared" si="26"/>
        <v>0.99071643832434753</v>
      </c>
      <c r="AC46" s="46">
        <f t="shared" si="4"/>
        <v>0</v>
      </c>
      <c r="AD46" s="15">
        <f t="shared" si="27"/>
        <v>0</v>
      </c>
      <c r="AE46" s="46">
        <f t="shared" si="28"/>
        <v>0</v>
      </c>
      <c r="AF46" s="15">
        <f t="shared" si="29"/>
        <v>0</v>
      </c>
      <c r="AG46" s="46">
        <f>SUMPRODUCT(AE47:AE$605, $I46:$I$604) / $I46</f>
        <v>0</v>
      </c>
      <c r="AI46" s="46">
        <f t="shared" si="5"/>
        <v>-47000</v>
      </c>
      <c r="AJ46" s="46">
        <f>IF(E46&gt;Mat_Year,0,  -SUM($AD$5:AD46))</f>
        <v>-9306</v>
      </c>
      <c r="AK46" s="24">
        <f t="shared" si="30"/>
        <v>-0.29521239743444072</v>
      </c>
      <c r="AL46" s="79">
        <f t="shared" si="31"/>
        <v>-31.1440662773804</v>
      </c>
      <c r="AM46" s="24">
        <f t="shared" si="32"/>
        <v>-31.711656407564327</v>
      </c>
      <c r="AN46" s="79">
        <f t="shared" si="33"/>
        <v>-31.43927867481484</v>
      </c>
      <c r="AO46" s="15">
        <f t="shared" si="34"/>
        <v>-8715.2513824305752</v>
      </c>
      <c r="AP46" s="46">
        <f>SUMPRODUCT(AN47:AN$605, $I47:$I$605) / $I46</f>
        <v>-8640.3943525303002</v>
      </c>
      <c r="AR46" s="46">
        <v>0</v>
      </c>
      <c r="AS46" s="46">
        <v>0</v>
      </c>
      <c r="AT46" s="46">
        <v>0</v>
      </c>
      <c r="AU46" s="95">
        <f t="shared" si="6"/>
        <v>-1.8853434519230832</v>
      </c>
      <c r="AV46" s="47">
        <f t="shared" si="7"/>
        <v>0.1</v>
      </c>
      <c r="AW46" s="96">
        <f t="shared" si="35"/>
        <v>-2.0738777971153914</v>
      </c>
      <c r="AX46" s="95">
        <f t="shared" si="8"/>
        <v>-21.618604915384683</v>
      </c>
      <c r="AY46" s="11">
        <f t="shared" si="9"/>
        <v>0.1</v>
      </c>
      <c r="AZ46" s="96">
        <f t="shared" si="36"/>
        <v>-23.780465406923152</v>
      </c>
      <c r="BA46" s="95">
        <f t="shared" si="37"/>
        <v>-2.0560648476712542</v>
      </c>
      <c r="BB46" s="64">
        <f t="shared" si="38"/>
        <v>-1.6512263654785895E-2</v>
      </c>
      <c r="BC46" s="95">
        <f t="shared" si="54"/>
        <v>-2.0738777971153914</v>
      </c>
      <c r="BD46" s="96">
        <f t="shared" si="54"/>
        <v>-1.665531951123133E-2</v>
      </c>
      <c r="BE46" s="96">
        <f t="shared" si="40"/>
        <v>-2.0560648476712542</v>
      </c>
      <c r="BF46" s="96">
        <f t="shared" si="41"/>
        <v>-1.6512263654785895E-2</v>
      </c>
      <c r="BG46" s="15">
        <f t="shared" si="42"/>
        <v>-319.88894563177359</v>
      </c>
      <c r="BH46" s="46">
        <f>(SUMPRODUCT(BE47:BE$605,$I46:$I$604)+SUMPRODUCT(BF47:BF$605,$I47:$I$605)) / $I46</f>
        <v>-317.14135576693064</v>
      </c>
      <c r="BJ46" s="46">
        <f t="shared" si="53"/>
        <v>-2.0560648476712542</v>
      </c>
      <c r="BK46" s="46">
        <f t="shared" si="43"/>
        <v>-31.455790938469626</v>
      </c>
      <c r="BM46" s="49">
        <f t="shared" si="10"/>
        <v>9041.4727784749393</v>
      </c>
      <c r="BN46" s="50">
        <f t="shared" si="44"/>
        <v>8957.535708297235</v>
      </c>
      <c r="BP46" s="68">
        <f>INDEX(Others!$H$11:$I$60, MATCH(C46, Others!$A$11:$A$60, 0), MATCH(BP$3, Others!$H$10:$I$10, 0))</f>
        <v>2.6207256994140393E-2</v>
      </c>
      <c r="BQ46" s="16">
        <f t="shared" si="45"/>
        <v>2.1581363658165209E-3</v>
      </c>
      <c r="BR46" s="69">
        <f t="shared" si="46"/>
        <v>0.92708745932481329</v>
      </c>
      <c r="BT46" s="46">
        <f t="shared" si="47"/>
        <v>9692.2612685214681</v>
      </c>
      <c r="BU46" s="49">
        <f t="shared" si="50"/>
        <v>741.61034560697738</v>
      </c>
      <c r="BV46" s="46">
        <f t="shared" si="51"/>
        <v>734.72556022423305</v>
      </c>
      <c r="BX46" s="46">
        <f t="shared" si="52"/>
        <v>9783.083124081917</v>
      </c>
    </row>
    <row r="47" spans="1:76" x14ac:dyDescent="0.25">
      <c r="A47" s="61">
        <f t="shared" si="0"/>
        <v>3.5000000000000018</v>
      </c>
      <c r="B47" s="32">
        <f t="shared" si="11"/>
        <v>6</v>
      </c>
      <c r="C47" s="62">
        <f t="shared" si="12"/>
        <v>4</v>
      </c>
      <c r="D47" s="64">
        <f t="shared" si="13"/>
        <v>4.0000000000000018</v>
      </c>
      <c r="E47" s="28">
        <f t="shared" si="14"/>
        <v>4</v>
      </c>
      <c r="G47" s="68">
        <f>INDEX(Others!$D$11:$E$60, MATCH(C47, Others!$A$11:$A$60, 0), MATCH(G$3, Others!$D$10:$E$10, 0))</f>
        <v>3.4943009325520524E-2</v>
      </c>
      <c r="H47" s="16">
        <f t="shared" si="15"/>
        <v>2.866296808335056E-3</v>
      </c>
      <c r="I47" s="69">
        <f t="shared" si="16"/>
        <v>0.90173572713405281</v>
      </c>
      <c r="K47" s="80">
        <f>INDEX(Mortality!$B$7:$F$32, MATCH( E47,Mortality!$A$7:$A$32, 0), MATCH( K$3,Mortality!$B$6:$F$6,0))</f>
        <v>0.33599999999999997</v>
      </c>
      <c r="L47" s="11" cm="1">
        <f t="array" ref="L47">PAD_Res_Mort</f>
        <v>0.15</v>
      </c>
      <c r="M47" s="80">
        <f t="shared" si="17"/>
        <v>0.38639999999999991</v>
      </c>
      <c r="N47" s="76">
        <f>INDEX('Myopia_(Reserve)'!$H:$H, MATCH(E47, 'Myopia_(Reserve)'!$A:$A, 0)) * Trend_Factor_Reserve^(A47)</f>
        <v>6.1319328784822247</v>
      </c>
      <c r="O47" s="11">
        <f t="shared" si="1"/>
        <v>0.3</v>
      </c>
      <c r="P47" s="80">
        <f t="shared" si="18"/>
        <v>7.9715127420268921</v>
      </c>
      <c r="Q47" s="76">
        <f>VLOOKUP(C47,Others!$L$10:$M$61,2)</f>
        <v>0</v>
      </c>
      <c r="R47" s="11">
        <f t="shared" si="2"/>
        <v>0</v>
      </c>
      <c r="S47" s="80">
        <f t="shared" si="19"/>
        <v>0</v>
      </c>
      <c r="T47" s="78">
        <f t="shared" si="20"/>
        <v>3.219999999999999E-5</v>
      </c>
      <c r="U47" s="81">
        <f t="shared" si="21"/>
        <v>6.6429272850224098E-4</v>
      </c>
      <c r="V47" s="81">
        <f t="shared" si="22"/>
        <v>0</v>
      </c>
      <c r="W47" s="77">
        <f t="shared" si="3"/>
        <v>0.99071643832434753</v>
      </c>
      <c r="X47" s="82">
        <f t="shared" si="23"/>
        <v>3.1890473489855594E-5</v>
      </c>
      <c r="Y47" s="82">
        <f t="shared" si="24"/>
        <v>6.5811513016231465E-4</v>
      </c>
      <c r="Z47" s="82">
        <f t="shared" si="25"/>
        <v>0</v>
      </c>
      <c r="AA47" s="82">
        <f t="shared" si="26"/>
        <v>0.99002643272069535</v>
      </c>
      <c r="AC47" s="46">
        <f t="shared" si="4"/>
        <v>0</v>
      </c>
      <c r="AD47" s="15">
        <f t="shared" si="27"/>
        <v>0</v>
      </c>
      <c r="AE47" s="46">
        <f t="shared" si="28"/>
        <v>0</v>
      </c>
      <c r="AF47" s="15">
        <f t="shared" si="29"/>
        <v>0</v>
      </c>
      <c r="AG47" s="46">
        <f>SUMPRODUCT(AE48:AE$605, $I47:$I$604) / $I47</f>
        <v>0</v>
      </c>
      <c r="AI47" s="46">
        <f t="shared" si="5"/>
        <v>-47000</v>
      </c>
      <c r="AJ47" s="46">
        <f>IF(E47&gt;Mat_Year,0,  -SUM($AD$5:AD47))</f>
        <v>-9306</v>
      </c>
      <c r="AK47" s="24">
        <f t="shared" si="30"/>
        <v>-0.29677274629659617</v>
      </c>
      <c r="AL47" s="79">
        <f t="shared" si="31"/>
        <v>-30.931411117628787</v>
      </c>
      <c r="AM47" s="24">
        <f t="shared" si="32"/>
        <v>-31.520809240576757</v>
      </c>
      <c r="AN47" s="79">
        <f t="shared" si="33"/>
        <v>-31.228183863925384</v>
      </c>
      <c r="AO47" s="15">
        <f t="shared" si="34"/>
        <v>-8714.8368286134682</v>
      </c>
      <c r="AP47" s="46">
        <f>SUMPRODUCT(AN48:AN$605, $I48:$I$605) / $I47</f>
        <v>-8633.9321034217883</v>
      </c>
      <c r="AR47" s="46">
        <v>0</v>
      </c>
      <c r="AS47" s="46">
        <v>0</v>
      </c>
      <c r="AT47" s="46">
        <v>0</v>
      </c>
      <c r="AU47" s="95">
        <f t="shared" si="6"/>
        <v>-1.8889964025390045</v>
      </c>
      <c r="AV47" s="47">
        <f t="shared" si="7"/>
        <v>0.1</v>
      </c>
      <c r="AW47" s="96">
        <f t="shared" si="35"/>
        <v>-2.0778960427929052</v>
      </c>
      <c r="AX47" s="95">
        <f t="shared" si="8"/>
        <v>-21.660492082447249</v>
      </c>
      <c r="AY47" s="11">
        <f t="shared" si="9"/>
        <v>0.1</v>
      </c>
      <c r="AZ47" s="96">
        <f t="shared" si="36"/>
        <v>-23.826541290691974</v>
      </c>
      <c r="BA47" s="95">
        <f t="shared" si="37"/>
        <v>-2.0586057667240429</v>
      </c>
      <c r="BB47" s="64">
        <f t="shared" si="38"/>
        <v>-1.6440447006227276E-2</v>
      </c>
      <c r="BC47" s="95">
        <f t="shared" si="54"/>
        <v>-2.0778960427929052</v>
      </c>
      <c r="BD47" s="96">
        <f t="shared" si="54"/>
        <v>-1.6594503099225746E-2</v>
      </c>
      <c r="BE47" s="96">
        <f t="shared" si="40"/>
        <v>-2.0586057667240429</v>
      </c>
      <c r="BF47" s="96">
        <f t="shared" si="41"/>
        <v>-1.6440447006227276E-2</v>
      </c>
      <c r="BG47" s="15">
        <f t="shared" si="42"/>
        <v>-318.93023877579304</v>
      </c>
      <c r="BH47" s="46">
        <f>(SUMPRODUCT(BE48:BE$605,$I47:$I$604)+SUMPRODUCT(BF48:BF$605,$I48:$I$605)) / $I47</f>
        <v>-315.96943023388741</v>
      </c>
      <c r="BJ47" s="46">
        <f t="shared" si="53"/>
        <v>-2.0586057667240429</v>
      </c>
      <c r="BK47" s="46">
        <f t="shared" si="43"/>
        <v>-31.244624310931613</v>
      </c>
      <c r="BM47" s="49">
        <f t="shared" si="10"/>
        <v>9040.0632123128489</v>
      </c>
      <c r="BN47" s="50">
        <f t="shared" si="44"/>
        <v>8949.9015336556804</v>
      </c>
      <c r="BP47" s="68">
        <f>INDEX(Others!$H$11:$I$60, MATCH(C47, Others!$A$11:$A$60, 0), MATCH(BP$3, Others!$H$10:$I$10, 0))</f>
        <v>2.6207256994140393E-2</v>
      </c>
      <c r="BQ47" s="16">
        <f t="shared" si="45"/>
        <v>2.1581363658165209E-3</v>
      </c>
      <c r="BR47" s="69">
        <f t="shared" si="46"/>
        <v>0.92509098682445834</v>
      </c>
      <c r="BT47" s="46">
        <f t="shared" si="47"/>
        <v>9679.8708172024344</v>
      </c>
      <c r="BU47" s="49">
        <f t="shared" si="50"/>
        <v>737.32302433655502</v>
      </c>
      <c r="BV47" s="46">
        <f t="shared" si="51"/>
        <v>729.96928354675401</v>
      </c>
      <c r="BX47" s="46">
        <f t="shared" si="52"/>
        <v>9777.3862366494031</v>
      </c>
    </row>
    <row r="48" spans="1:76" x14ac:dyDescent="0.25">
      <c r="A48" s="61">
        <f t="shared" si="0"/>
        <v>3.5833333333333353</v>
      </c>
      <c r="B48" s="32">
        <f t="shared" si="11"/>
        <v>7</v>
      </c>
      <c r="C48" s="62">
        <f t="shared" si="12"/>
        <v>4</v>
      </c>
      <c r="D48" s="64">
        <f t="shared" si="13"/>
        <v>4.0833333333333357</v>
      </c>
      <c r="E48" s="28">
        <f t="shared" si="14"/>
        <v>4</v>
      </c>
      <c r="G48" s="68">
        <f>INDEX(Others!$D$11:$E$60, MATCH(C48, Others!$A$11:$A$60, 0), MATCH(G$3, Others!$D$10:$E$10, 0))</f>
        <v>3.4943009325520524E-2</v>
      </c>
      <c r="H48" s="16">
        <f t="shared" si="15"/>
        <v>2.866296808335056E-3</v>
      </c>
      <c r="I48" s="69">
        <f t="shared" si="16"/>
        <v>0.89915847207535582</v>
      </c>
      <c r="K48" s="80">
        <f>INDEX(Mortality!$B$7:$F$32, MATCH( E48,Mortality!$A$7:$A$32, 0), MATCH( K$3,Mortality!$B$6:$F$6,0))</f>
        <v>0.33599999999999997</v>
      </c>
      <c r="L48" s="11" cm="1">
        <f t="array" ref="L48">PAD_Res_Mort</f>
        <v>0.15</v>
      </c>
      <c r="M48" s="80">
        <f t="shared" si="17"/>
        <v>0.38639999999999991</v>
      </c>
      <c r="N48" s="76">
        <f>INDEX('Myopia_(Reserve)'!$H:$H, MATCH(E48, 'Myopia_(Reserve)'!$A:$A, 0)) * Trend_Factor_Reserve^(A48)</f>
        <v>6.1319328784822247</v>
      </c>
      <c r="O48" s="11">
        <f t="shared" si="1"/>
        <v>0.3</v>
      </c>
      <c r="P48" s="80">
        <f t="shared" si="18"/>
        <v>7.9715127420268921</v>
      </c>
      <c r="Q48" s="76">
        <f>VLOOKUP(C48,Others!$L$10:$M$61,2)</f>
        <v>0</v>
      </c>
      <c r="R48" s="11">
        <f t="shared" si="2"/>
        <v>0</v>
      </c>
      <c r="S48" s="80">
        <f t="shared" si="19"/>
        <v>0</v>
      </c>
      <c r="T48" s="78">
        <f t="shared" si="20"/>
        <v>3.219999999999999E-5</v>
      </c>
      <c r="U48" s="81">
        <f t="shared" si="21"/>
        <v>6.6429272850224098E-4</v>
      </c>
      <c r="V48" s="81">
        <f t="shared" si="22"/>
        <v>0</v>
      </c>
      <c r="W48" s="77">
        <f t="shared" si="3"/>
        <v>0.99002643272069535</v>
      </c>
      <c r="X48" s="82">
        <f t="shared" si="23"/>
        <v>3.1868262689105847E-5</v>
      </c>
      <c r="Y48" s="82">
        <f t="shared" si="24"/>
        <v>6.5765677183687052E-4</v>
      </c>
      <c r="Z48" s="82">
        <f t="shared" si="25"/>
        <v>0</v>
      </c>
      <c r="AA48" s="82">
        <f t="shared" si="26"/>
        <v>0.98933690768616933</v>
      </c>
      <c r="AC48" s="46">
        <f t="shared" si="4"/>
        <v>0</v>
      </c>
      <c r="AD48" s="15">
        <f t="shared" si="27"/>
        <v>0</v>
      </c>
      <c r="AE48" s="46">
        <f t="shared" si="28"/>
        <v>0</v>
      </c>
      <c r="AF48" s="15">
        <f t="shared" si="29"/>
        <v>0</v>
      </c>
      <c r="AG48" s="46">
        <f>SUMPRODUCT(AE49:AE$605, $I48:$I$604) / $I48</f>
        <v>0</v>
      </c>
      <c r="AI48" s="46">
        <f t="shared" si="5"/>
        <v>-47000</v>
      </c>
      <c r="AJ48" s="46">
        <f>IF(E48&gt;Mat_Year,0,  -SUM($AD$5:AD48))</f>
        <v>-9306</v>
      </c>
      <c r="AK48" s="24">
        <f t="shared" si="30"/>
        <v>-0.296566052584819</v>
      </c>
      <c r="AL48" s="79">
        <f t="shared" si="31"/>
        <v>-30.909868276332915</v>
      </c>
      <c r="AM48" s="24">
        <f t="shared" si="32"/>
        <v>-31.520809240576753</v>
      </c>
      <c r="AN48" s="79">
        <f t="shared" si="33"/>
        <v>-31.206434328917734</v>
      </c>
      <c r="AO48" s="15">
        <f t="shared" si="34"/>
        <v>-8714.3866021991944</v>
      </c>
      <c r="AP48" s="46">
        <f>SUMPRODUCT(AN49:AN$605, $I49:$I$605) / $I48</f>
        <v>-8627.4730811242898</v>
      </c>
      <c r="AR48" s="46">
        <v>0</v>
      </c>
      <c r="AS48" s="46">
        <v>0</v>
      </c>
      <c r="AT48" s="46">
        <v>0</v>
      </c>
      <c r="AU48" s="95">
        <f t="shared" si="6"/>
        <v>-1.8926564309360001</v>
      </c>
      <c r="AV48" s="47">
        <f t="shared" si="7"/>
        <v>0.1</v>
      </c>
      <c r="AW48" s="96">
        <f t="shared" si="35"/>
        <v>-2.0819220740296003</v>
      </c>
      <c r="AX48" s="95">
        <f t="shared" si="8"/>
        <v>-21.702460408066131</v>
      </c>
      <c r="AY48" s="11">
        <f t="shared" si="9"/>
        <v>0.1</v>
      </c>
      <c r="AZ48" s="96">
        <f t="shared" si="36"/>
        <v>-23.872706448872744</v>
      </c>
      <c r="BA48" s="95">
        <f t="shared" si="37"/>
        <v>-2.0611578841539964</v>
      </c>
      <c r="BB48" s="64">
        <f t="shared" si="38"/>
        <v>-1.6460828738387476E-2</v>
      </c>
      <c r="BC48" s="95">
        <f t="shared" si="54"/>
        <v>-2.0819220740296003</v>
      </c>
      <c r="BD48" s="96">
        <f t="shared" si="54"/>
        <v>-1.6626655808725643E-2</v>
      </c>
      <c r="BE48" s="96">
        <f t="shared" si="40"/>
        <v>-2.0611578841539964</v>
      </c>
      <c r="BF48" s="96">
        <f t="shared" si="41"/>
        <v>-1.6460828738387476E-2</v>
      </c>
      <c r="BG48" s="15">
        <f t="shared" si="42"/>
        <v>-317.96278906923845</v>
      </c>
      <c r="BH48" s="46">
        <f>(SUMPRODUCT(BE49:BE$605,$I48:$I$604)+SUMPRODUCT(BF49:BF$605,$I49:$I$605)) / $I48</f>
        <v>-314.79156580014103</v>
      </c>
      <c r="BJ48" s="46">
        <f t="shared" si="53"/>
        <v>-2.0611578841539964</v>
      </c>
      <c r="BK48" s="46">
        <f t="shared" si="43"/>
        <v>-31.222895157656122</v>
      </c>
      <c r="BM48" s="49">
        <f t="shared" si="10"/>
        <v>9038.6445481330811</v>
      </c>
      <c r="BN48" s="50">
        <f t="shared" si="44"/>
        <v>8942.2646469244355</v>
      </c>
      <c r="BP48" s="68">
        <f>INDEX(Others!$H$11:$I$60, MATCH(C48, Others!$A$11:$A$60, 0), MATCH(BP$3, Others!$H$10:$I$10, 0))</f>
        <v>2.6207256994140393E-2</v>
      </c>
      <c r="BQ48" s="16">
        <f t="shared" si="45"/>
        <v>2.1581363658165209E-3</v>
      </c>
      <c r="BR48" s="69">
        <f t="shared" si="46"/>
        <v>0.92309881370535873</v>
      </c>
      <c r="BT48" s="46">
        <f t="shared" si="47"/>
        <v>9667.4727971278498</v>
      </c>
      <c r="BU48" s="49">
        <f t="shared" si="50"/>
        <v>733.02445766377889</v>
      </c>
      <c r="BV48" s="46">
        <f t="shared" si="51"/>
        <v>725.20815020341433</v>
      </c>
      <c r="BX48" s="46">
        <f t="shared" si="52"/>
        <v>9771.6690057968608</v>
      </c>
    </row>
    <row r="49" spans="1:76" x14ac:dyDescent="0.25">
      <c r="A49" s="61">
        <f t="shared" si="0"/>
        <v>3.6666666666666687</v>
      </c>
      <c r="B49" s="32">
        <f t="shared" si="11"/>
        <v>8</v>
      </c>
      <c r="C49" s="62">
        <f t="shared" si="12"/>
        <v>4</v>
      </c>
      <c r="D49" s="64">
        <f t="shared" si="13"/>
        <v>4.1666666666666687</v>
      </c>
      <c r="E49" s="28">
        <f t="shared" si="14"/>
        <v>4</v>
      </c>
      <c r="G49" s="68">
        <f>INDEX(Others!$D$11:$E$60, MATCH(C49, Others!$A$11:$A$60, 0), MATCH(G$3, Others!$D$10:$E$10, 0))</f>
        <v>3.4943009325520524E-2</v>
      </c>
      <c r="H49" s="16">
        <f t="shared" si="15"/>
        <v>2.866296808335056E-3</v>
      </c>
      <c r="I49" s="69">
        <f t="shared" si="16"/>
        <v>0.89658858308128031</v>
      </c>
      <c r="K49" s="80">
        <f>INDEX(Mortality!$B$7:$F$32, MATCH( E49,Mortality!$A$7:$A$32, 0), MATCH( K$3,Mortality!$B$6:$F$6,0))</f>
        <v>0.33599999999999997</v>
      </c>
      <c r="L49" s="11" cm="1">
        <f t="array" ref="L49">PAD_Res_Mort</f>
        <v>0.15</v>
      </c>
      <c r="M49" s="80">
        <f t="shared" si="17"/>
        <v>0.38639999999999991</v>
      </c>
      <c r="N49" s="76">
        <f>INDEX('Myopia_(Reserve)'!$H:$H, MATCH(E49, 'Myopia_(Reserve)'!$A:$A, 0)) * Trend_Factor_Reserve^(A49)</f>
        <v>6.1319328784822247</v>
      </c>
      <c r="O49" s="11">
        <f t="shared" si="1"/>
        <v>0.3</v>
      </c>
      <c r="P49" s="80">
        <f t="shared" si="18"/>
        <v>7.9715127420268921</v>
      </c>
      <c r="Q49" s="76">
        <f>VLOOKUP(C49,Others!$L$10:$M$61,2)</f>
        <v>0</v>
      </c>
      <c r="R49" s="11">
        <f t="shared" si="2"/>
        <v>0</v>
      </c>
      <c r="S49" s="80">
        <f t="shared" si="19"/>
        <v>0</v>
      </c>
      <c r="T49" s="78">
        <f t="shared" si="20"/>
        <v>3.219999999999999E-5</v>
      </c>
      <c r="U49" s="81">
        <f t="shared" si="21"/>
        <v>6.6429272850224098E-4</v>
      </c>
      <c r="V49" s="81">
        <f t="shared" si="22"/>
        <v>0</v>
      </c>
      <c r="W49" s="77">
        <f t="shared" si="3"/>
        <v>0.98933690768616933</v>
      </c>
      <c r="X49" s="82">
        <f t="shared" si="23"/>
        <v>3.1846067357542226E-5</v>
      </c>
      <c r="Y49" s="82">
        <f t="shared" si="24"/>
        <v>6.5719873274486273E-4</v>
      </c>
      <c r="Z49" s="82">
        <f t="shared" si="25"/>
        <v>0</v>
      </c>
      <c r="AA49" s="82">
        <f t="shared" si="26"/>
        <v>0.98864786288606687</v>
      </c>
      <c r="AC49" s="46">
        <f t="shared" si="4"/>
        <v>0</v>
      </c>
      <c r="AD49" s="15">
        <f t="shared" si="27"/>
        <v>0</v>
      </c>
      <c r="AE49" s="46">
        <f t="shared" si="28"/>
        <v>0</v>
      </c>
      <c r="AF49" s="15">
        <f t="shared" si="29"/>
        <v>0</v>
      </c>
      <c r="AG49" s="46">
        <f>SUMPRODUCT(AE50:AE$605, $I49:$I$604) / $I49</f>
        <v>0</v>
      </c>
      <c r="AI49" s="46">
        <f t="shared" si="5"/>
        <v>-47000</v>
      </c>
      <c r="AJ49" s="46">
        <f>IF(E49&gt;Mat_Year,0,  -SUM($AD$5:AD49))</f>
        <v>-9306</v>
      </c>
      <c r="AK49" s="24">
        <f t="shared" si="30"/>
        <v>-0.29635950282928797</v>
      </c>
      <c r="AL49" s="79">
        <f t="shared" si="31"/>
        <v>-30.888340439008548</v>
      </c>
      <c r="AM49" s="24">
        <f t="shared" si="32"/>
        <v>-31.520809240576749</v>
      </c>
      <c r="AN49" s="79">
        <f t="shared" si="33"/>
        <v>-31.184699941837835</v>
      </c>
      <c r="AO49" s="15">
        <f t="shared" si="34"/>
        <v>-8713.9347706146382</v>
      </c>
      <c r="AP49" s="46">
        <f>SUMPRODUCT(AN50:AN$605, $I50:$I$605) / $I49</f>
        <v>-8621.017279738875</v>
      </c>
      <c r="AR49" s="46">
        <v>0</v>
      </c>
      <c r="AS49" s="46">
        <v>0</v>
      </c>
      <c r="AT49" s="46">
        <v>0</v>
      </c>
      <c r="AU49" s="95">
        <f t="shared" si="6"/>
        <v>-1.896323550827637</v>
      </c>
      <c r="AV49" s="47">
        <f t="shared" si="7"/>
        <v>0.1</v>
      </c>
      <c r="AW49" s="96">
        <f t="shared" si="35"/>
        <v>-2.0859559059104007</v>
      </c>
      <c r="AX49" s="95">
        <f t="shared" si="8"/>
        <v>-21.744510049490234</v>
      </c>
      <c r="AY49" s="11">
        <f t="shared" si="9"/>
        <v>0.1</v>
      </c>
      <c r="AZ49" s="96">
        <f t="shared" si="36"/>
        <v>-23.918961054439258</v>
      </c>
      <c r="BA49" s="95">
        <f t="shared" si="37"/>
        <v>-2.0637131655230978</v>
      </c>
      <c r="BB49" s="64">
        <f t="shared" si="38"/>
        <v>-1.648123573841331E-2</v>
      </c>
      <c r="BC49" s="95">
        <f t="shared" si="54"/>
        <v>-2.0859559059104007</v>
      </c>
      <c r="BD49" s="96">
        <f t="shared" si="54"/>
        <v>-1.6658870815766003E-2</v>
      </c>
      <c r="BE49" s="96">
        <f t="shared" si="40"/>
        <v>-2.0637131655230978</v>
      </c>
      <c r="BF49" s="96">
        <f t="shared" si="41"/>
        <v>-1.648123573841331E-2</v>
      </c>
      <c r="BG49" s="15">
        <f t="shared" si="42"/>
        <v>-316.98781255236867</v>
      </c>
      <c r="BH49" s="46">
        <f>(SUMPRODUCT(BE50:BE$605,$I49:$I$604)+SUMPRODUCT(BF50:BF$605,$I50:$I$605)) / $I49</f>
        <v>-313.60774224476353</v>
      </c>
      <c r="BJ49" s="46">
        <f t="shared" si="53"/>
        <v>-2.0637131655230978</v>
      </c>
      <c r="BK49" s="46">
        <f t="shared" si="43"/>
        <v>-31.201181177576249</v>
      </c>
      <c r="BM49" s="49">
        <f t="shared" si="10"/>
        <v>9037.216745608117</v>
      </c>
      <c r="BN49" s="50">
        <f t="shared" si="44"/>
        <v>8934.625021983642</v>
      </c>
      <c r="BP49" s="68">
        <f>INDEX(Others!$H$11:$I$60, MATCH(C49, Others!$A$11:$A$60, 0), MATCH(BP$3, Others!$H$10:$I$10, 0))</f>
        <v>2.6207256994140393E-2</v>
      </c>
      <c r="BQ49" s="16">
        <f t="shared" si="45"/>
        <v>2.1581363658165209E-3</v>
      </c>
      <c r="BR49" s="69">
        <f t="shared" si="46"/>
        <v>0.92111093070884487</v>
      </c>
      <c r="BT49" s="46">
        <f t="shared" si="47"/>
        <v>9655.0671736193417</v>
      </c>
      <c r="BU49" s="49">
        <f t="shared" si="50"/>
        <v>728.71461991793581</v>
      </c>
      <c r="BV49" s="46">
        <f t="shared" si="51"/>
        <v>720.4421516356997</v>
      </c>
      <c r="BX49" s="46">
        <f t="shared" si="52"/>
        <v>9765.9313655260521</v>
      </c>
    </row>
    <row r="50" spans="1:76" x14ac:dyDescent="0.25">
      <c r="A50" s="61">
        <f t="shared" si="0"/>
        <v>3.7500000000000022</v>
      </c>
      <c r="B50" s="32">
        <f t="shared" si="11"/>
        <v>9</v>
      </c>
      <c r="C50" s="62">
        <f t="shared" si="12"/>
        <v>4</v>
      </c>
      <c r="D50" s="64">
        <f t="shared" si="13"/>
        <v>4.2500000000000018</v>
      </c>
      <c r="E50" s="28">
        <f t="shared" si="14"/>
        <v>4</v>
      </c>
      <c r="G50" s="68">
        <f>INDEX(Others!$D$11:$E$60, MATCH(C50, Others!$A$11:$A$60, 0), MATCH(G$3, Others!$D$10:$E$10, 0))</f>
        <v>3.4943009325520524E-2</v>
      </c>
      <c r="H50" s="16">
        <f t="shared" si="15"/>
        <v>2.866296808335056E-3</v>
      </c>
      <c r="I50" s="69">
        <f t="shared" si="16"/>
        <v>0.89402603909884282</v>
      </c>
      <c r="K50" s="80">
        <f>INDEX(Mortality!$B$7:$F$32, MATCH( E50,Mortality!$A$7:$A$32, 0), MATCH( K$3,Mortality!$B$6:$F$6,0))</f>
        <v>0.33599999999999997</v>
      </c>
      <c r="L50" s="11" cm="1">
        <f t="array" ref="L50">PAD_Res_Mort</f>
        <v>0.15</v>
      </c>
      <c r="M50" s="80">
        <f t="shared" si="17"/>
        <v>0.38639999999999991</v>
      </c>
      <c r="N50" s="76">
        <f>INDEX('Myopia_(Reserve)'!$H:$H, MATCH(E50, 'Myopia_(Reserve)'!$A:$A, 0)) * Trend_Factor_Reserve^(A50)</f>
        <v>6.1319328784822247</v>
      </c>
      <c r="O50" s="11">
        <f t="shared" si="1"/>
        <v>0.3</v>
      </c>
      <c r="P50" s="80">
        <f t="shared" si="18"/>
        <v>7.9715127420268921</v>
      </c>
      <c r="Q50" s="76">
        <f>VLOOKUP(C50,Others!$L$10:$M$61,2)</f>
        <v>0</v>
      </c>
      <c r="R50" s="11">
        <f t="shared" si="2"/>
        <v>0</v>
      </c>
      <c r="S50" s="80">
        <f t="shared" si="19"/>
        <v>0</v>
      </c>
      <c r="T50" s="78">
        <f t="shared" si="20"/>
        <v>3.219999999999999E-5</v>
      </c>
      <c r="U50" s="81">
        <f t="shared" si="21"/>
        <v>6.6429272850224098E-4</v>
      </c>
      <c r="V50" s="81">
        <f t="shared" si="22"/>
        <v>0</v>
      </c>
      <c r="W50" s="77">
        <f t="shared" si="3"/>
        <v>0.98864786288606687</v>
      </c>
      <c r="X50" s="82">
        <f t="shared" si="23"/>
        <v>3.1823887484390871E-5</v>
      </c>
      <c r="Y50" s="82">
        <f t="shared" si="24"/>
        <v>6.5674101266395438E-4</v>
      </c>
      <c r="Z50" s="82">
        <f t="shared" si="25"/>
        <v>0</v>
      </c>
      <c r="AA50" s="82">
        <f t="shared" si="26"/>
        <v>0.98795929798591853</v>
      </c>
      <c r="AC50" s="46">
        <f t="shared" si="4"/>
        <v>0</v>
      </c>
      <c r="AD50" s="15">
        <f t="shared" si="27"/>
        <v>0</v>
      </c>
      <c r="AE50" s="46">
        <f t="shared" si="28"/>
        <v>0</v>
      </c>
      <c r="AF50" s="15">
        <f t="shared" si="29"/>
        <v>0</v>
      </c>
      <c r="AG50" s="46">
        <f>SUMPRODUCT(AE51:AE$605, $I50:$I$604) / $I50</f>
        <v>0</v>
      </c>
      <c r="AI50" s="46">
        <f t="shared" si="5"/>
        <v>-47000</v>
      </c>
      <c r="AJ50" s="46">
        <f>IF(E50&gt;Mat_Year,0,  -SUM($AD$5:AD50))</f>
        <v>-9306</v>
      </c>
      <c r="AK50" s="24">
        <f t="shared" si="30"/>
        <v>-0.29615309692974146</v>
      </c>
      <c r="AL50" s="79">
        <f t="shared" si="31"/>
        <v>-30.866827595205855</v>
      </c>
      <c r="AM50" s="24">
        <f t="shared" si="32"/>
        <v>-31.520809240576757</v>
      </c>
      <c r="AN50" s="79">
        <f t="shared" si="33"/>
        <v>-31.162980692135598</v>
      </c>
      <c r="AO50" s="15">
        <f t="shared" si="34"/>
        <v>-8713.4813281369643</v>
      </c>
      <c r="AP50" s="46">
        <f>SUMPRODUCT(AN51:AN$605, $I51:$I$605) / $I50</f>
        <v>-8614.5646933602566</v>
      </c>
      <c r="AR50" s="46">
        <v>0</v>
      </c>
      <c r="AS50" s="46">
        <v>0</v>
      </c>
      <c r="AT50" s="46">
        <v>0</v>
      </c>
      <c r="AU50" s="95">
        <f t="shared" si="6"/>
        <v>-1.8999977759540545</v>
      </c>
      <c r="AV50" s="47">
        <f t="shared" si="7"/>
        <v>0.1</v>
      </c>
      <c r="AW50" s="96">
        <f t="shared" si="35"/>
        <v>-2.0899975535494599</v>
      </c>
      <c r="AX50" s="95">
        <f t="shared" si="8"/>
        <v>-21.786641164273153</v>
      </c>
      <c r="AY50" s="11">
        <f t="shared" si="9"/>
        <v>0.1</v>
      </c>
      <c r="AZ50" s="96">
        <f t="shared" si="36"/>
        <v>-23.96530528070047</v>
      </c>
      <c r="BA50" s="95">
        <f t="shared" si="37"/>
        <v>-2.0662716147537816</v>
      </c>
      <c r="BB50" s="64">
        <f t="shared" si="38"/>
        <v>-1.6501668037630129E-2</v>
      </c>
      <c r="BC50" s="95">
        <f t="shared" si="54"/>
        <v>-2.0899975535494599</v>
      </c>
      <c r="BD50" s="96">
        <f t="shared" si="54"/>
        <v>-1.6691148241051529E-2</v>
      </c>
      <c r="BE50" s="96">
        <f t="shared" si="40"/>
        <v>-2.0662716147537816</v>
      </c>
      <c r="BF50" s="96">
        <f t="shared" si="41"/>
        <v>-1.6501668037630129E-2</v>
      </c>
      <c r="BG50" s="15">
        <f t="shared" si="42"/>
        <v>-316.00527448963538</v>
      </c>
      <c r="BH50" s="46">
        <f>(SUMPRODUCT(BE51:BE$605,$I50:$I$604)+SUMPRODUCT(BF51:BF$605,$I51:$I$605)) / $I50</f>
        <v>-312.41793928490296</v>
      </c>
      <c r="BJ50" s="46">
        <f t="shared" si="53"/>
        <v>-2.0662716147537816</v>
      </c>
      <c r="BK50" s="46">
        <f t="shared" si="43"/>
        <v>-31.179482360173228</v>
      </c>
      <c r="BM50" s="49">
        <f t="shared" si="10"/>
        <v>9035.7797642513797</v>
      </c>
      <c r="BN50" s="50">
        <f t="shared" si="44"/>
        <v>8926.9826326451621</v>
      </c>
      <c r="BP50" s="68">
        <f>INDEX(Others!$H$11:$I$60, MATCH(C50, Others!$A$11:$A$60, 0), MATCH(BP$3, Others!$H$10:$I$10, 0))</f>
        <v>2.6207256994140393E-2</v>
      </c>
      <c r="BQ50" s="16">
        <f t="shared" si="45"/>
        <v>2.1581363658165209E-3</v>
      </c>
      <c r="BR50" s="69">
        <f t="shared" si="46"/>
        <v>0.91912732859618562</v>
      </c>
      <c r="BT50" s="46">
        <f t="shared" si="47"/>
        <v>9642.6539119302906</v>
      </c>
      <c r="BU50" s="49">
        <f t="shared" si="50"/>
        <v>724.3934853835741</v>
      </c>
      <c r="BV50" s="46">
        <f t="shared" si="51"/>
        <v>715.67127928512855</v>
      </c>
      <c r="BX50" s="46">
        <f t="shared" si="52"/>
        <v>9760.1732496349541</v>
      </c>
    </row>
    <row r="51" spans="1:76" x14ac:dyDescent="0.25">
      <c r="A51" s="61">
        <f t="shared" si="0"/>
        <v>3.8333333333333357</v>
      </c>
      <c r="B51" s="32">
        <f t="shared" si="11"/>
        <v>10</v>
      </c>
      <c r="C51" s="62">
        <f t="shared" si="12"/>
        <v>4</v>
      </c>
      <c r="D51" s="64">
        <f t="shared" si="13"/>
        <v>4.3333333333333357</v>
      </c>
      <c r="E51" s="28">
        <f t="shared" si="14"/>
        <v>4</v>
      </c>
      <c r="G51" s="68">
        <f>INDEX(Others!$D$11:$E$60, MATCH(C51, Others!$A$11:$A$60, 0), MATCH(G$3, Others!$D$10:$E$10, 0))</f>
        <v>3.4943009325520524E-2</v>
      </c>
      <c r="H51" s="16">
        <f t="shared" si="15"/>
        <v>2.866296808335056E-3</v>
      </c>
      <c r="I51" s="69">
        <f t="shared" si="16"/>
        <v>0.89147081913523163</v>
      </c>
      <c r="K51" s="80">
        <f>INDEX(Mortality!$B$7:$F$32, MATCH( E51,Mortality!$A$7:$A$32, 0), MATCH( K$3,Mortality!$B$6:$F$6,0))</f>
        <v>0.33599999999999997</v>
      </c>
      <c r="L51" s="11" cm="1">
        <f t="array" ref="L51">PAD_Res_Mort</f>
        <v>0.15</v>
      </c>
      <c r="M51" s="80">
        <f t="shared" si="17"/>
        <v>0.38639999999999991</v>
      </c>
      <c r="N51" s="76">
        <f>INDEX('Myopia_(Reserve)'!$H:$H, MATCH(E51, 'Myopia_(Reserve)'!$A:$A, 0)) * Trend_Factor_Reserve^(A51)</f>
        <v>6.1319328784822247</v>
      </c>
      <c r="O51" s="11">
        <f t="shared" si="1"/>
        <v>0.3</v>
      </c>
      <c r="P51" s="80">
        <f t="shared" si="18"/>
        <v>7.9715127420268921</v>
      </c>
      <c r="Q51" s="76">
        <f>VLOOKUP(C51,Others!$L$10:$M$61,2)</f>
        <v>0</v>
      </c>
      <c r="R51" s="11">
        <f t="shared" si="2"/>
        <v>0</v>
      </c>
      <c r="S51" s="80">
        <f t="shared" si="19"/>
        <v>0</v>
      </c>
      <c r="T51" s="78">
        <f t="shared" si="20"/>
        <v>3.219999999999999E-5</v>
      </c>
      <c r="U51" s="81">
        <f t="shared" si="21"/>
        <v>6.6429272850224098E-4</v>
      </c>
      <c r="V51" s="81">
        <f t="shared" si="22"/>
        <v>0</v>
      </c>
      <c r="W51" s="77">
        <f t="shared" si="3"/>
        <v>0.98795929798591853</v>
      </c>
      <c r="X51" s="82">
        <f t="shared" si="23"/>
        <v>3.180172305888546E-5</v>
      </c>
      <c r="Y51" s="82">
        <f t="shared" si="24"/>
        <v>6.5628361137196338E-4</v>
      </c>
      <c r="Z51" s="82">
        <f t="shared" si="25"/>
        <v>0</v>
      </c>
      <c r="AA51" s="82">
        <f t="shared" si="26"/>
        <v>0.98727121265148765</v>
      </c>
      <c r="AC51" s="46">
        <f t="shared" si="4"/>
        <v>0</v>
      </c>
      <c r="AD51" s="15">
        <f t="shared" si="27"/>
        <v>0</v>
      </c>
      <c r="AE51" s="46">
        <f t="shared" si="28"/>
        <v>0</v>
      </c>
      <c r="AF51" s="15">
        <f t="shared" si="29"/>
        <v>0</v>
      </c>
      <c r="AG51" s="46">
        <f>SUMPRODUCT(AE52:AE$605, $I51:$I$604) / $I51</f>
        <v>0</v>
      </c>
      <c r="AI51" s="46">
        <f t="shared" si="5"/>
        <v>-47000</v>
      </c>
      <c r="AJ51" s="46">
        <f>IF(E51&gt;Mat_Year,0,  -SUM($AD$5:AD51))</f>
        <v>-9306</v>
      </c>
      <c r="AK51" s="24">
        <f t="shared" si="30"/>
        <v>-0.2959468347859881</v>
      </c>
      <c r="AL51" s="79">
        <f t="shared" si="31"/>
        <v>-30.845329734482277</v>
      </c>
      <c r="AM51" s="24">
        <f t="shared" si="32"/>
        <v>-31.520809240576753</v>
      </c>
      <c r="AN51" s="79">
        <f t="shared" si="33"/>
        <v>-31.141276569268264</v>
      </c>
      <c r="AO51" s="15">
        <f t="shared" si="34"/>
        <v>-8713.0262690229338</v>
      </c>
      <c r="AP51" s="46">
        <f>SUMPRODUCT(AN52:AN$605, $I52:$I$605) / $I51</f>
        <v>-8608.1153160767644</v>
      </c>
      <c r="AR51" s="46">
        <v>0</v>
      </c>
      <c r="AS51" s="46">
        <v>0</v>
      </c>
      <c r="AT51" s="46">
        <v>0</v>
      </c>
      <c r="AU51" s="95">
        <f t="shared" si="6"/>
        <v>-1.903679120082012</v>
      </c>
      <c r="AV51" s="47">
        <f t="shared" si="7"/>
        <v>0.1</v>
      </c>
      <c r="AW51" s="96">
        <f t="shared" si="35"/>
        <v>-2.0940470320902134</v>
      </c>
      <c r="AX51" s="95">
        <f t="shared" si="8"/>
        <v>-21.828853910273732</v>
      </c>
      <c r="AY51" s="11">
        <f t="shared" si="9"/>
        <v>0.1</v>
      </c>
      <c r="AZ51" s="96">
        <f t="shared" si="36"/>
        <v>-24.011739301301109</v>
      </c>
      <c r="BA51" s="95">
        <f t="shared" si="37"/>
        <v>-2.0688332357733432</v>
      </c>
      <c r="BB51" s="64">
        <f t="shared" si="38"/>
        <v>-1.6522125667402132E-2</v>
      </c>
      <c r="BC51" s="95">
        <f t="shared" si="54"/>
        <v>-2.0940470320902134</v>
      </c>
      <c r="BD51" s="96">
        <f t="shared" si="54"/>
        <v>-1.6723488205520814E-2</v>
      </c>
      <c r="BE51" s="96">
        <f t="shared" si="40"/>
        <v>-2.0688332357733432</v>
      </c>
      <c r="BF51" s="96">
        <f t="shared" si="41"/>
        <v>-1.6522125667402132E-2</v>
      </c>
      <c r="BG51" s="15">
        <f t="shared" si="42"/>
        <v>-315.01514000634108</v>
      </c>
      <c r="BH51" s="46">
        <f>(SUMPRODUCT(BE52:BE$605,$I51:$I$604)+SUMPRODUCT(BF52:BF$605,$I52:$I$605)) / $I51</f>
        <v>-311.22213657560059</v>
      </c>
      <c r="BJ51" s="46">
        <f t="shared" si="53"/>
        <v>-2.0688332357733432</v>
      </c>
      <c r="BK51" s="46">
        <f t="shared" si="43"/>
        <v>-31.157798694935668</v>
      </c>
      <c r="BM51" s="49">
        <f t="shared" si="10"/>
        <v>9034.3335634166233</v>
      </c>
      <c r="BN51" s="50">
        <f t="shared" si="44"/>
        <v>8919.3374526523658</v>
      </c>
      <c r="BP51" s="68">
        <f>INDEX(Others!$H$11:$I$60, MATCH(C51, Others!$A$11:$A$60, 0), MATCH(BP$3, Others!$H$10:$I$10, 0))</f>
        <v>2.6207256994140393E-2</v>
      </c>
      <c r="BQ51" s="16">
        <f t="shared" si="45"/>
        <v>2.1581363658165209E-3</v>
      </c>
      <c r="BR51" s="69">
        <f t="shared" si="46"/>
        <v>0.91714799814854542</v>
      </c>
      <c r="BT51" s="46">
        <f t="shared" si="47"/>
        <v>9630.2329772456596</v>
      </c>
      <c r="BU51" s="49">
        <f t="shared" si="50"/>
        <v>720.06102830048189</v>
      </c>
      <c r="BV51" s="46">
        <f t="shared" si="51"/>
        <v>710.89552459329389</v>
      </c>
      <c r="BX51" s="46">
        <f t="shared" si="52"/>
        <v>9754.3945917171059</v>
      </c>
    </row>
    <row r="52" spans="1:76" x14ac:dyDescent="0.25">
      <c r="A52" s="61">
        <f t="shared" si="0"/>
        <v>3.9166666666666692</v>
      </c>
      <c r="B52" s="32">
        <f t="shared" si="11"/>
        <v>11</v>
      </c>
      <c r="C52" s="62">
        <f t="shared" si="12"/>
        <v>4</v>
      </c>
      <c r="D52" s="64">
        <f t="shared" si="13"/>
        <v>4.4166666666666696</v>
      </c>
      <c r="E52" s="28">
        <f t="shared" si="14"/>
        <v>4</v>
      </c>
      <c r="G52" s="68">
        <f>INDEX(Others!$D$11:$E$60, MATCH(C52, Others!$A$11:$A$60, 0), MATCH(G$3, Others!$D$10:$E$10, 0))</f>
        <v>3.4943009325520524E-2</v>
      </c>
      <c r="H52" s="16">
        <f t="shared" si="15"/>
        <v>2.866296808335056E-3</v>
      </c>
      <c r="I52" s="69">
        <f t="shared" si="16"/>
        <v>0.8889229022576346</v>
      </c>
      <c r="K52" s="80">
        <f>INDEX(Mortality!$B$7:$F$32, MATCH( E52,Mortality!$A$7:$A$32, 0), MATCH( K$3,Mortality!$B$6:$F$6,0))</f>
        <v>0.33599999999999997</v>
      </c>
      <c r="L52" s="11" cm="1">
        <f t="array" ref="L52">PAD_Res_Mort</f>
        <v>0.15</v>
      </c>
      <c r="M52" s="80">
        <f t="shared" si="17"/>
        <v>0.38639999999999991</v>
      </c>
      <c r="N52" s="76">
        <f>INDEX('Myopia_(Reserve)'!$H:$H, MATCH(E52, 'Myopia_(Reserve)'!$A:$A, 0)) * Trend_Factor_Reserve^(A52)</f>
        <v>6.1319328784822247</v>
      </c>
      <c r="O52" s="11">
        <f t="shared" si="1"/>
        <v>0.3</v>
      </c>
      <c r="P52" s="80">
        <f t="shared" si="18"/>
        <v>7.9715127420268921</v>
      </c>
      <c r="Q52" s="76">
        <f>VLOOKUP(C52,Others!$L$10:$M$61,2)</f>
        <v>0</v>
      </c>
      <c r="R52" s="11">
        <f t="shared" si="2"/>
        <v>0</v>
      </c>
      <c r="S52" s="80">
        <f t="shared" si="19"/>
        <v>0</v>
      </c>
      <c r="T52" s="78">
        <f t="shared" si="20"/>
        <v>3.219999999999999E-5</v>
      </c>
      <c r="U52" s="81">
        <f t="shared" si="21"/>
        <v>6.6429272850224098E-4</v>
      </c>
      <c r="V52" s="81">
        <f t="shared" si="22"/>
        <v>0</v>
      </c>
      <c r="W52" s="77">
        <f t="shared" si="3"/>
        <v>0.98727121265148765</v>
      </c>
      <c r="X52" s="82">
        <f t="shared" si="23"/>
        <v>3.1779574070267141E-5</v>
      </c>
      <c r="Y52" s="82">
        <f t="shared" si="24"/>
        <v>6.5582652864686216E-4</v>
      </c>
      <c r="Z52" s="82">
        <f t="shared" si="25"/>
        <v>0</v>
      </c>
      <c r="AA52" s="82">
        <f t="shared" si="26"/>
        <v>0.98658360654877053</v>
      </c>
      <c r="AC52" s="46">
        <f t="shared" si="4"/>
        <v>0</v>
      </c>
      <c r="AD52" s="15">
        <f t="shared" si="27"/>
        <v>0</v>
      </c>
      <c r="AE52" s="46">
        <f t="shared" si="28"/>
        <v>0</v>
      </c>
      <c r="AF52" s="15">
        <f t="shared" si="29"/>
        <v>0</v>
      </c>
      <c r="AG52" s="46">
        <f>SUMPRODUCT(AE53:AE$605, $I52:$I$604) / $I52</f>
        <v>0</v>
      </c>
      <c r="AI52" s="46">
        <f t="shared" si="5"/>
        <v>-47000</v>
      </c>
      <c r="AJ52" s="46">
        <f>IF(E52&gt;Mat_Year,0,  -SUM($AD$5:AD52))</f>
        <v>-9306</v>
      </c>
      <c r="AK52" s="24">
        <f t="shared" si="30"/>
        <v>-0.29574071629790599</v>
      </c>
      <c r="AL52" s="79">
        <f t="shared" si="31"/>
        <v>-30.823846846402521</v>
      </c>
      <c r="AM52" s="24">
        <f t="shared" si="32"/>
        <v>-31.520809240576753</v>
      </c>
      <c r="AN52" s="79">
        <f t="shared" si="33"/>
        <v>-31.119587562700428</v>
      </c>
      <c r="AO52" s="15">
        <f t="shared" si="34"/>
        <v>-8712.5695875088313</v>
      </c>
      <c r="AP52" s="46">
        <f>SUMPRODUCT(AN53:AN$605, $I53:$I$605) / $I52</f>
        <v>-8601.6691419703147</v>
      </c>
      <c r="AR52" s="46">
        <v>0</v>
      </c>
      <c r="AS52" s="46">
        <v>0</v>
      </c>
      <c r="AT52" s="46">
        <v>0</v>
      </c>
      <c r="AU52" s="95">
        <f t="shared" si="6"/>
        <v>-1.9073675970049444</v>
      </c>
      <c r="AV52" s="47">
        <f t="shared" si="7"/>
        <v>0.1</v>
      </c>
      <c r="AW52" s="96">
        <f t="shared" si="35"/>
        <v>-2.0981043567054392</v>
      </c>
      <c r="AX52" s="95">
        <f t="shared" si="8"/>
        <v>-21.871148445656694</v>
      </c>
      <c r="AY52" s="11">
        <f t="shared" si="9"/>
        <v>0.1</v>
      </c>
      <c r="AZ52" s="96">
        <f t="shared" si="36"/>
        <v>-24.058263290222364</v>
      </c>
      <c r="BA52" s="95">
        <f t="shared" si="37"/>
        <v>-2.0713980325139483</v>
      </c>
      <c r="BB52" s="64">
        <f t="shared" si="38"/>
        <v>-1.6542608659132381E-2</v>
      </c>
      <c r="BC52" s="95">
        <f t="shared" si="54"/>
        <v>-2.0981043567054392</v>
      </c>
      <c r="BD52" s="96">
        <f t="shared" si="54"/>
        <v>-1.6755890830346752E-2</v>
      </c>
      <c r="BE52" s="96">
        <f t="shared" si="40"/>
        <v>-2.0713980325139483</v>
      </c>
      <c r="BF52" s="96">
        <f t="shared" si="41"/>
        <v>-1.6542608659132381E-2</v>
      </c>
      <c r="BG52" s="15">
        <f t="shared" si="42"/>
        <v>-314.01737408811385</v>
      </c>
      <c r="BH52" s="46">
        <f>(SUMPRODUCT(BE53:BE$605,$I52:$I$604)+SUMPRODUCT(BF53:BF$605,$I53:$I$605)) / $I52</f>
        <v>-310.02031370960799</v>
      </c>
      <c r="BJ52" s="46">
        <f t="shared" si="53"/>
        <v>-2.0713980325139483</v>
      </c>
      <c r="BK52" s="46">
        <f t="shared" si="43"/>
        <v>-31.136130171359561</v>
      </c>
      <c r="BM52" s="49">
        <f t="shared" si="10"/>
        <v>9032.8781022973417</v>
      </c>
      <c r="BN52" s="50">
        <f t="shared" si="44"/>
        <v>8911.6894556799252</v>
      </c>
      <c r="BP52" s="68">
        <f>INDEX(Others!$H$11:$I$60, MATCH(C52, Others!$A$11:$A$60, 0), MATCH(BP$3, Others!$H$10:$I$10, 0))</f>
        <v>2.6207256994140393E-2</v>
      </c>
      <c r="BQ52" s="16">
        <f t="shared" si="45"/>
        <v>2.1581363658165209E-3</v>
      </c>
      <c r="BR52" s="69">
        <f t="shared" si="46"/>
        <v>0.91517293016694123</v>
      </c>
      <c r="BT52" s="46">
        <f t="shared" si="47"/>
        <v>9617.8043346818431</v>
      </c>
      <c r="BU52" s="49">
        <f t="shared" si="50"/>
        <v>715.71722286367822</v>
      </c>
      <c r="BV52" s="46">
        <f t="shared" si="51"/>
        <v>706.11487900191787</v>
      </c>
      <c r="BX52" s="46">
        <f t="shared" si="52"/>
        <v>9748.595325161019</v>
      </c>
    </row>
    <row r="53" spans="1:76" x14ac:dyDescent="0.25">
      <c r="A53" s="61">
        <f t="shared" si="0"/>
        <v>4.0000000000000027</v>
      </c>
      <c r="B53" s="32">
        <f t="shared" si="11"/>
        <v>12</v>
      </c>
      <c r="C53" s="62">
        <f t="shared" si="12"/>
        <v>4</v>
      </c>
      <c r="D53" s="64">
        <f t="shared" si="13"/>
        <v>4.5000000000000027</v>
      </c>
      <c r="E53" s="28">
        <f t="shared" si="14"/>
        <v>4</v>
      </c>
      <c r="G53" s="68">
        <f>INDEX(Others!$D$11:$E$60, MATCH(C53, Others!$A$11:$A$60, 0), MATCH(G$3, Others!$D$10:$E$10, 0))</f>
        <v>3.4943009325520524E-2</v>
      </c>
      <c r="H53" s="16">
        <f t="shared" si="15"/>
        <v>2.866296808335056E-3</v>
      </c>
      <c r="I53" s="69">
        <f t="shared" si="16"/>
        <v>0.88638226759306782</v>
      </c>
      <c r="K53" s="80">
        <f>INDEX(Mortality!$B$7:$F$32, MATCH( E53,Mortality!$A$7:$A$32, 0), MATCH( K$3,Mortality!$B$6:$F$6,0))</f>
        <v>0.33599999999999997</v>
      </c>
      <c r="L53" s="11" cm="1">
        <f t="array" ref="L53">PAD_Res_Mort</f>
        <v>0.15</v>
      </c>
      <c r="M53" s="80">
        <f t="shared" si="17"/>
        <v>0.38639999999999991</v>
      </c>
      <c r="N53" s="76">
        <f>INDEX('Myopia_(Reserve)'!$H:$H, MATCH(E53, 'Myopia_(Reserve)'!$A:$A, 0)) * Trend_Factor_Reserve^(A53)</f>
        <v>6.1319328784822247</v>
      </c>
      <c r="O53" s="11">
        <f t="shared" si="1"/>
        <v>0.3</v>
      </c>
      <c r="P53" s="80">
        <f t="shared" si="18"/>
        <v>7.9715127420268921</v>
      </c>
      <c r="Q53" s="76">
        <f>VLOOKUP(C53,Others!$L$10:$M$61,2)</f>
        <v>0</v>
      </c>
      <c r="R53" s="11">
        <f t="shared" si="2"/>
        <v>0</v>
      </c>
      <c r="S53" s="80">
        <f t="shared" si="19"/>
        <v>0</v>
      </c>
      <c r="T53" s="78">
        <f t="shared" si="20"/>
        <v>3.219999999999999E-5</v>
      </c>
      <c r="U53" s="81">
        <f t="shared" si="21"/>
        <v>6.6429272850224098E-4</v>
      </c>
      <c r="V53" s="81">
        <f t="shared" si="22"/>
        <v>0</v>
      </c>
      <c r="W53" s="77">
        <f t="shared" si="3"/>
        <v>0.98658360654877053</v>
      </c>
      <c r="X53" s="82">
        <f t="shared" si="23"/>
        <v>3.1757440507784574E-5</v>
      </c>
      <c r="Y53" s="82">
        <f t="shared" si="24"/>
        <v>6.5536976426677827E-4</v>
      </c>
      <c r="Z53" s="82">
        <f t="shared" si="25"/>
        <v>0</v>
      </c>
      <c r="AA53" s="82">
        <f t="shared" si="26"/>
        <v>0.98589647934399594</v>
      </c>
      <c r="AC53" s="46">
        <f t="shared" si="4"/>
        <v>0</v>
      </c>
      <c r="AD53" s="15">
        <f t="shared" si="27"/>
        <v>0</v>
      </c>
      <c r="AE53" s="46">
        <f t="shared" si="28"/>
        <v>0</v>
      </c>
      <c r="AF53" s="15">
        <f t="shared" si="29"/>
        <v>0</v>
      </c>
      <c r="AG53" s="46">
        <f>SUMPRODUCT(AE54:AE$605, $I53:$I$604) / $I53</f>
        <v>0</v>
      </c>
      <c r="AI53" s="46">
        <f t="shared" si="5"/>
        <v>-47000</v>
      </c>
      <c r="AJ53" s="46">
        <f>IF(E53&gt;Mat_Year,0,  -SUM($AD$5:AD53))</f>
        <v>-9306</v>
      </c>
      <c r="AK53" s="24">
        <f t="shared" si="30"/>
        <v>-0.29553474136544322</v>
      </c>
      <c r="AL53" s="79">
        <f t="shared" si="31"/>
        <v>-30.80237892053858</v>
      </c>
      <c r="AM53" s="24">
        <f t="shared" si="32"/>
        <v>-31.520809240576749</v>
      </c>
      <c r="AN53" s="79">
        <f t="shared" si="33"/>
        <v>-31.097913661904023</v>
      </c>
      <c r="AO53" s="15">
        <f t="shared" si="34"/>
        <v>-8712.1112778103907</v>
      </c>
      <c r="AP53" s="46">
        <f>SUMPRODUCT(AN54:AN$605, $I54:$I$605) / $I53</f>
        <v>-8595.2261651163935</v>
      </c>
      <c r="AR53" s="46">
        <v>0</v>
      </c>
      <c r="AS53" s="46">
        <v>0</v>
      </c>
      <c r="AT53" s="46">
        <v>0</v>
      </c>
      <c r="AU53" s="95">
        <f t="shared" si="6"/>
        <v>-1.9110632205430114</v>
      </c>
      <c r="AV53" s="47">
        <f t="shared" si="7"/>
        <v>0.1</v>
      </c>
      <c r="AW53" s="96">
        <f t="shared" si="35"/>
        <v>-2.1021695425973128</v>
      </c>
      <c r="AX53" s="95">
        <f t="shared" si="8"/>
        <v>-21.913524928893192</v>
      </c>
      <c r="AY53" s="11">
        <f t="shared" si="9"/>
        <v>0.1</v>
      </c>
      <c r="AZ53" s="96">
        <f t="shared" si="36"/>
        <v>-24.104877421782515</v>
      </c>
      <c r="BA53" s="95">
        <f t="shared" si="37"/>
        <v>-2.0739660089126364</v>
      </c>
      <c r="BB53" s="64">
        <f t="shared" si="38"/>
        <v>-1.6563117044262891E-2</v>
      </c>
      <c r="BC53" s="95">
        <f t="shared" si="54"/>
        <v>-2.1021695425973128</v>
      </c>
      <c r="BD53" s="96">
        <f t="shared" si="54"/>
        <v>-1.678835623693704E-2</v>
      </c>
      <c r="BE53" s="96">
        <f t="shared" si="40"/>
        <v>-2.0739660089126364</v>
      </c>
      <c r="BF53" s="96">
        <f t="shared" si="41"/>
        <v>-1.6563117044262891E-2</v>
      </c>
      <c r="BG53" s="15">
        <f t="shared" si="42"/>
        <v>-313.01194158037976</v>
      </c>
      <c r="BH53" s="46">
        <f>(SUMPRODUCT(BE54:BE$605,$I53:$I$604)+SUMPRODUCT(BF54:BF$605,$I54:$I$605)) / $I53</f>
        <v>-308.81245021720412</v>
      </c>
      <c r="BJ53" s="46">
        <f t="shared" si="53"/>
        <v>-2.0739660089126364</v>
      </c>
      <c r="BK53" s="46">
        <f t="shared" si="43"/>
        <v>-31.114476778948287</v>
      </c>
      <c r="BM53" s="49">
        <f t="shared" si="10"/>
        <v>9031.4133399261591</v>
      </c>
      <c r="BN53" s="50">
        <f t="shared" si="44"/>
        <v>8904.0386153336003</v>
      </c>
      <c r="BP53" s="68">
        <f>INDEX(Others!$H$11:$I$60, MATCH(C53, Others!$A$11:$A$60, 0), MATCH(BP$3, Others!$H$10:$I$10, 0))</f>
        <v>2.6207256994140393E-2</v>
      </c>
      <c r="BQ53" s="16">
        <f t="shared" si="45"/>
        <v>2.1581363658165209E-3</v>
      </c>
      <c r="BR53" s="69">
        <f t="shared" si="46"/>
        <v>0.91320211547220009</v>
      </c>
      <c r="BT53" s="46">
        <f t="shared" si="47"/>
        <v>9605.3679492865012</v>
      </c>
      <c r="BU53" s="49">
        <f t="shared" si="50"/>
        <v>711.36204322339938</v>
      </c>
      <c r="BV53" s="46">
        <f t="shared" si="51"/>
        <v>701.32933395290092</v>
      </c>
      <c r="BX53" s="46">
        <f t="shared" si="52"/>
        <v>9742.7753831495593</v>
      </c>
    </row>
    <row r="54" spans="1:76" x14ac:dyDescent="0.25">
      <c r="A54" s="61">
        <f t="shared" si="0"/>
        <v>4.0833333333333357</v>
      </c>
      <c r="B54" s="32">
        <f t="shared" si="11"/>
        <v>1</v>
      </c>
      <c r="C54" s="62">
        <f t="shared" si="12"/>
        <v>5</v>
      </c>
      <c r="D54" s="64">
        <f t="shared" si="13"/>
        <v>4.5833333333333357</v>
      </c>
      <c r="E54" s="28">
        <f t="shared" si="14"/>
        <v>4</v>
      </c>
      <c r="G54" s="68">
        <f>INDEX(Others!$D$11:$E$60, MATCH(C54, Others!$A$11:$A$60, 0), MATCH(G$3, Others!$D$10:$E$10, 0))</f>
        <v>3.7831057328246098E-2</v>
      </c>
      <c r="H54" s="16">
        <f t="shared" si="15"/>
        <v>3.099210455032253E-3</v>
      </c>
      <c r="I54" s="69">
        <f t="shared" si="16"/>
        <v>0.88364366989281296</v>
      </c>
      <c r="K54" s="80">
        <f>INDEX(Mortality!$B$7:$F$32, MATCH( E54,Mortality!$A$7:$A$32, 0), MATCH( K$3,Mortality!$B$6:$F$6,0))</f>
        <v>0.33599999999999997</v>
      </c>
      <c r="L54" s="11" cm="1">
        <f t="array" ref="L54">PAD_Res_Mort</f>
        <v>0.15</v>
      </c>
      <c r="M54" s="80">
        <f t="shared" si="17"/>
        <v>0.38639999999999991</v>
      </c>
      <c r="N54" s="76">
        <f>INDEX('Myopia_(Reserve)'!$H:$H, MATCH(E54, 'Myopia_(Reserve)'!$A:$A, 0)) * Trend_Factor_Reserve^(A54)</f>
        <v>6.1319328784822247</v>
      </c>
      <c r="O54" s="11">
        <f t="shared" si="1"/>
        <v>0.3</v>
      </c>
      <c r="P54" s="80">
        <f t="shared" si="18"/>
        <v>7.9715127420268921</v>
      </c>
      <c r="Q54" s="76">
        <f>VLOOKUP(C54,Others!$L$10:$M$61,2)</f>
        <v>0</v>
      </c>
      <c r="R54" s="11">
        <f t="shared" si="2"/>
        <v>0</v>
      </c>
      <c r="S54" s="80">
        <f t="shared" si="19"/>
        <v>0</v>
      </c>
      <c r="T54" s="78">
        <f t="shared" si="20"/>
        <v>3.219999999999999E-5</v>
      </c>
      <c r="U54" s="81">
        <f t="shared" si="21"/>
        <v>6.6429272850224098E-4</v>
      </c>
      <c r="V54" s="81">
        <f t="shared" si="22"/>
        <v>0</v>
      </c>
      <c r="W54" s="77">
        <f t="shared" si="3"/>
        <v>0.98589647934399594</v>
      </c>
      <c r="X54" s="82">
        <f t="shared" si="23"/>
        <v>3.1735322360693877E-5</v>
      </c>
      <c r="Y54" s="82">
        <f t="shared" si="24"/>
        <v>6.5491331800999358E-4</v>
      </c>
      <c r="Z54" s="82">
        <f t="shared" si="25"/>
        <v>0</v>
      </c>
      <c r="AA54" s="82">
        <f t="shared" si="26"/>
        <v>0.98520983070362522</v>
      </c>
      <c r="AC54" s="46">
        <f t="shared" si="4"/>
        <v>0</v>
      </c>
      <c r="AD54" s="15">
        <f t="shared" si="27"/>
        <v>0</v>
      </c>
      <c r="AE54" s="46">
        <f t="shared" si="28"/>
        <v>0</v>
      </c>
      <c r="AF54" s="15">
        <f t="shared" si="29"/>
        <v>0</v>
      </c>
      <c r="AG54" s="46">
        <f>SUMPRODUCT(AE55:AE$605, $I54:$I$604) / $I54</f>
        <v>0</v>
      </c>
      <c r="AI54" s="46">
        <f t="shared" si="5"/>
        <v>-47000</v>
      </c>
      <c r="AJ54" s="46">
        <f>IF(E54&gt;Mat_Year,0,  -SUM($AD$5:AD54))</f>
        <v>-9306</v>
      </c>
      <c r="AK54" s="24">
        <f t="shared" si="30"/>
        <v>-0.29532890988861721</v>
      </c>
      <c r="AL54" s="79">
        <f t="shared" si="31"/>
        <v>-30.780925946469697</v>
      </c>
      <c r="AM54" s="24">
        <f t="shared" si="32"/>
        <v>-31.520809240576753</v>
      </c>
      <c r="AN54" s="79">
        <f t="shared" si="33"/>
        <v>-31.076254856358315</v>
      </c>
      <c r="AO54" s="15">
        <f t="shared" si="34"/>
        <v>-8713.6819179743306</v>
      </c>
      <c r="AP54" s="46">
        <f>SUMPRODUCT(AN55:AN$605, $I55:$I$605) / $I54</f>
        <v>-8590.7883250543309</v>
      </c>
      <c r="AR54" s="46">
        <v>0</v>
      </c>
      <c r="AS54" s="46">
        <v>0</v>
      </c>
      <c r="AT54" s="46">
        <v>0</v>
      </c>
      <c r="AU54" s="95">
        <f t="shared" si="6"/>
        <v>-1.91476600454315</v>
      </c>
      <c r="AV54" s="47">
        <f t="shared" si="7"/>
        <v>0.1</v>
      </c>
      <c r="AW54" s="96">
        <f t="shared" si="35"/>
        <v>-2.1062426049974654</v>
      </c>
      <c r="AX54" s="95">
        <f t="shared" si="8"/>
        <v>-21.955983518761453</v>
      </c>
      <c r="AY54" s="11">
        <f t="shared" si="9"/>
        <v>0.1</v>
      </c>
      <c r="AZ54" s="96">
        <f t="shared" si="36"/>
        <v>-24.1515818706376</v>
      </c>
      <c r="BA54" s="95">
        <f t="shared" si="37"/>
        <v>-2.0765371689113277</v>
      </c>
      <c r="BB54" s="64">
        <f t="shared" si="38"/>
        <v>-1.6583650854274653E-2</v>
      </c>
      <c r="BC54" s="95">
        <f t="shared" si="54"/>
        <v>-2.1062426049974654</v>
      </c>
      <c r="BD54" s="96">
        <f t="shared" si="54"/>
        <v>-1.6820884546934603E-2</v>
      </c>
      <c r="BE54" s="96">
        <f t="shared" si="40"/>
        <v>-2.0765371689113277</v>
      </c>
      <c r="BF54" s="96">
        <f t="shared" si="41"/>
        <v>-1.6583650854274653E-2</v>
      </c>
      <c r="BG54" s="15">
        <f t="shared" si="42"/>
        <v>-312.07127217941951</v>
      </c>
      <c r="BH54" s="46">
        <f>(SUMPRODUCT(BE55:BE$605,$I54:$I$604)+SUMPRODUCT(BF55:BF$605,$I55:$I$605)) / $I54</f>
        <v>-307.66996854609158</v>
      </c>
      <c r="BJ54" s="46">
        <f t="shared" si="53"/>
        <v>-2.0765371689113277</v>
      </c>
      <c r="BK54" s="46">
        <f t="shared" si="43"/>
        <v>-31.092838507212591</v>
      </c>
      <c r="BM54" s="49">
        <f t="shared" si="10"/>
        <v>9032.0437497515122</v>
      </c>
      <c r="BN54" s="50">
        <f t="shared" si="44"/>
        <v>8898.4582936004244</v>
      </c>
      <c r="BP54" s="68">
        <f>INDEX(Others!$H$11:$I$60, MATCH(C54, Others!$A$11:$A$60, 0), MATCH(BP$3, Others!$H$10:$I$10, 0))</f>
        <v>2.8373292996184574E-2</v>
      </c>
      <c r="BQ54" s="16">
        <f t="shared" si="45"/>
        <v>2.3342389871940927E-3</v>
      </c>
      <c r="BR54" s="69">
        <f t="shared" si="46"/>
        <v>0.91107544764203874</v>
      </c>
      <c r="BT54" s="46">
        <f t="shared" si="47"/>
        <v>9594.6149508299295</v>
      </c>
      <c r="BU54" s="49">
        <f t="shared" si="50"/>
        <v>706.60750180732384</v>
      </c>
      <c r="BV54" s="46">
        <f t="shared" si="51"/>
        <v>696.15665722950507</v>
      </c>
      <c r="BX54" s="46">
        <f t="shared" si="52"/>
        <v>9738.6512515588365</v>
      </c>
    </row>
    <row r="55" spans="1:76" x14ac:dyDescent="0.25">
      <c r="A55" s="61">
        <f t="shared" si="0"/>
        <v>4.1666666666666687</v>
      </c>
      <c r="B55" s="32">
        <f t="shared" si="11"/>
        <v>2</v>
      </c>
      <c r="C55" s="62">
        <f t="shared" si="12"/>
        <v>5</v>
      </c>
      <c r="D55" s="64">
        <f t="shared" si="13"/>
        <v>4.6666666666666687</v>
      </c>
      <c r="E55" s="28">
        <f t="shared" si="14"/>
        <v>4</v>
      </c>
      <c r="G55" s="68">
        <f>INDEX(Others!$D$11:$E$60, MATCH(C55, Others!$A$11:$A$60, 0), MATCH(G$3, Others!$D$10:$E$10, 0))</f>
        <v>3.7831057328246098E-2</v>
      </c>
      <c r="H55" s="16">
        <f t="shared" si="15"/>
        <v>3.099210455032253E-3</v>
      </c>
      <c r="I55" s="69">
        <f t="shared" si="16"/>
        <v>0.88091353345993451</v>
      </c>
      <c r="K55" s="80">
        <f>INDEX(Mortality!$B$7:$F$32, MATCH( E55,Mortality!$A$7:$A$32, 0), MATCH( K$3,Mortality!$B$6:$F$6,0))</f>
        <v>0.33599999999999997</v>
      </c>
      <c r="L55" s="11" cm="1">
        <f t="array" ref="L55">PAD_Res_Mort</f>
        <v>0.15</v>
      </c>
      <c r="M55" s="80">
        <f t="shared" si="17"/>
        <v>0.38639999999999991</v>
      </c>
      <c r="N55" s="76">
        <f>INDEX('Myopia_(Reserve)'!$H:$H, MATCH(E55, 'Myopia_(Reserve)'!$A:$A, 0)) * Trend_Factor_Reserve^(A55)</f>
        <v>6.1319328784822247</v>
      </c>
      <c r="O55" s="11">
        <f t="shared" si="1"/>
        <v>0.3</v>
      </c>
      <c r="P55" s="80">
        <f t="shared" si="18"/>
        <v>7.9715127420268921</v>
      </c>
      <c r="Q55" s="76">
        <f>VLOOKUP(C55,Others!$L$10:$M$61,2)</f>
        <v>0</v>
      </c>
      <c r="R55" s="11">
        <f t="shared" si="2"/>
        <v>0</v>
      </c>
      <c r="S55" s="80">
        <f t="shared" si="19"/>
        <v>0</v>
      </c>
      <c r="T55" s="78">
        <f t="shared" si="20"/>
        <v>3.219999999999999E-5</v>
      </c>
      <c r="U55" s="81">
        <f t="shared" si="21"/>
        <v>6.6429272850224098E-4</v>
      </c>
      <c r="V55" s="81">
        <f t="shared" si="22"/>
        <v>0</v>
      </c>
      <c r="W55" s="77">
        <f t="shared" si="3"/>
        <v>0.98520983070362522</v>
      </c>
      <c r="X55" s="82">
        <f t="shared" si="23"/>
        <v>3.1713219618258698E-5</v>
      </c>
      <c r="Y55" s="82">
        <f t="shared" si="24"/>
        <v>6.5445718965494409E-4</v>
      </c>
      <c r="Z55" s="82">
        <f t="shared" si="25"/>
        <v>0</v>
      </c>
      <c r="AA55" s="82">
        <f t="shared" si="26"/>
        <v>0.98452366029435201</v>
      </c>
      <c r="AC55" s="46">
        <f t="shared" si="4"/>
        <v>0</v>
      </c>
      <c r="AD55" s="15">
        <f t="shared" si="27"/>
        <v>0</v>
      </c>
      <c r="AE55" s="46">
        <f t="shared" si="28"/>
        <v>0</v>
      </c>
      <c r="AF55" s="15">
        <f t="shared" si="29"/>
        <v>0</v>
      </c>
      <c r="AG55" s="46">
        <f>SUMPRODUCT(AE56:AE$605, $I55:$I$604) / $I55</f>
        <v>0</v>
      </c>
      <c r="AI55" s="46">
        <f t="shared" si="5"/>
        <v>-47000</v>
      </c>
      <c r="AJ55" s="46">
        <f>IF(E55&gt;Mat_Year,0,  -SUM($AD$5:AD55))</f>
        <v>-9306</v>
      </c>
      <c r="AK55" s="24">
        <f t="shared" si="30"/>
        <v>-0.29512322176751543</v>
      </c>
      <c r="AL55" s="79">
        <f t="shared" si="31"/>
        <v>-30.759487913782372</v>
      </c>
      <c r="AM55" s="24">
        <f t="shared" si="32"/>
        <v>-31.520809240576753</v>
      </c>
      <c r="AN55" s="79">
        <f t="shared" si="33"/>
        <v>-31.054611135549887</v>
      </c>
      <c r="AO55" s="15">
        <f t="shared" si="34"/>
        <v>-8715.2585239435575</v>
      </c>
      <c r="AP55" s="46">
        <f>SUMPRODUCT(AN56:AN$605, $I56:$I$605) / $I55</f>
        <v>-8586.3583749127592</v>
      </c>
      <c r="AR55" s="46">
        <v>0</v>
      </c>
      <c r="AS55" s="46">
        <v>0</v>
      </c>
      <c r="AT55" s="46">
        <v>0</v>
      </c>
      <c r="AU55" s="95">
        <f t="shared" si="6"/>
        <v>-1.9184759628791266</v>
      </c>
      <c r="AV55" s="47">
        <f t="shared" si="7"/>
        <v>0.1</v>
      </c>
      <c r="AW55" s="96">
        <f t="shared" si="35"/>
        <v>-2.1103235591670395</v>
      </c>
      <c r="AX55" s="95">
        <f t="shared" si="8"/>
        <v>-21.998524374347316</v>
      </c>
      <c r="AY55" s="11">
        <f t="shared" si="9"/>
        <v>0.1</v>
      </c>
      <c r="AZ55" s="96">
        <f t="shared" si="36"/>
        <v>-24.198376811782047</v>
      </c>
      <c r="BA55" s="95">
        <f t="shared" si="37"/>
        <v>-2.0791115164568308</v>
      </c>
      <c r="BB55" s="64">
        <f t="shared" si="38"/>
        <v>-1.6604210120687669E-2</v>
      </c>
      <c r="BC55" s="95">
        <f t="shared" si="54"/>
        <v>-2.1103235591670395</v>
      </c>
      <c r="BD55" s="96">
        <f t="shared" si="54"/>
        <v>-1.6853475882218045E-2</v>
      </c>
      <c r="BE55" s="96">
        <f t="shared" si="40"/>
        <v>-2.0791115164568308</v>
      </c>
      <c r="BF55" s="96">
        <f t="shared" si="41"/>
        <v>-1.6604210120687669E-2</v>
      </c>
      <c r="BG55" s="15">
        <f t="shared" si="42"/>
        <v>-311.12290361502858</v>
      </c>
      <c r="BH55" s="46">
        <f>(SUMPRODUCT(BE56:BE$605,$I55:$I$604)+SUMPRODUCT(BF56:BF$605,$I56:$I$605)) / $I55</f>
        <v>-306.5213431985826</v>
      </c>
      <c r="BJ55" s="46">
        <f t="shared" si="53"/>
        <v>-2.0791115164568308</v>
      </c>
      <c r="BK55" s="46">
        <f t="shared" si="43"/>
        <v>-31.071215345670574</v>
      </c>
      <c r="BM55" s="49">
        <f t="shared" si="10"/>
        <v>9032.6724250106454</v>
      </c>
      <c r="BN55" s="50">
        <f t="shared" si="44"/>
        <v>8892.8797181113423</v>
      </c>
      <c r="BP55" s="68">
        <f>INDEX(Others!$H$11:$I$60, MATCH(C55, Others!$A$11:$A$60, 0), MATCH(BP$3, Others!$H$10:$I$10, 0))</f>
        <v>2.8373292996184574E-2</v>
      </c>
      <c r="BQ55" s="16">
        <f t="shared" si="45"/>
        <v>2.3342389871940927E-3</v>
      </c>
      <c r="BR55" s="69">
        <f t="shared" si="46"/>
        <v>0.9089537324023097</v>
      </c>
      <c r="BT55" s="46">
        <f t="shared" si="47"/>
        <v>9583.855895109984</v>
      </c>
      <c r="BU55" s="49">
        <f t="shared" si="50"/>
        <v>701.83806125294564</v>
      </c>
      <c r="BV55" s="46">
        <f t="shared" si="51"/>
        <v>690.97617699864168</v>
      </c>
      <c r="BX55" s="46">
        <f t="shared" si="52"/>
        <v>9734.5104862635908</v>
      </c>
    </row>
    <row r="56" spans="1:76" x14ac:dyDescent="0.25">
      <c r="A56" s="61">
        <f t="shared" si="0"/>
        <v>4.2500000000000018</v>
      </c>
      <c r="B56" s="32">
        <f t="shared" si="11"/>
        <v>3</v>
      </c>
      <c r="C56" s="62">
        <f t="shared" si="12"/>
        <v>5</v>
      </c>
      <c r="D56" s="64">
        <f t="shared" si="13"/>
        <v>4.7500000000000018</v>
      </c>
      <c r="E56" s="28">
        <f t="shared" si="14"/>
        <v>4</v>
      </c>
      <c r="G56" s="68">
        <f>INDEX(Others!$D$11:$E$60, MATCH(C56, Others!$A$11:$A$60, 0), MATCH(G$3, Others!$D$10:$E$10, 0))</f>
        <v>3.7831057328246098E-2</v>
      </c>
      <c r="H56" s="16">
        <f t="shared" si="15"/>
        <v>3.099210455032253E-3</v>
      </c>
      <c r="I56" s="69">
        <f t="shared" si="16"/>
        <v>0.87819183215220442</v>
      </c>
      <c r="K56" s="80">
        <f>INDEX(Mortality!$B$7:$F$32, MATCH( E56,Mortality!$A$7:$A$32, 0), MATCH( K$3,Mortality!$B$6:$F$6,0))</f>
        <v>0.33599999999999997</v>
      </c>
      <c r="L56" s="11" cm="1">
        <f t="array" ref="L56">PAD_Res_Mort</f>
        <v>0.15</v>
      </c>
      <c r="M56" s="80">
        <f t="shared" si="17"/>
        <v>0.38639999999999991</v>
      </c>
      <c r="N56" s="76">
        <f>INDEX('Myopia_(Reserve)'!$H:$H, MATCH(E56, 'Myopia_(Reserve)'!$A:$A, 0)) * Trend_Factor_Reserve^(A56)</f>
        <v>6.1319328784822247</v>
      </c>
      <c r="O56" s="11">
        <f t="shared" si="1"/>
        <v>0.3</v>
      </c>
      <c r="P56" s="80">
        <f t="shared" si="18"/>
        <v>7.9715127420268921</v>
      </c>
      <c r="Q56" s="76">
        <f>VLOOKUP(C56,Others!$L$10:$M$61,2)</f>
        <v>0</v>
      </c>
      <c r="R56" s="11">
        <f t="shared" si="2"/>
        <v>0</v>
      </c>
      <c r="S56" s="80">
        <f t="shared" si="19"/>
        <v>0</v>
      </c>
      <c r="T56" s="78">
        <f t="shared" si="20"/>
        <v>3.219999999999999E-5</v>
      </c>
      <c r="U56" s="81">
        <f t="shared" si="21"/>
        <v>6.6429272850224098E-4</v>
      </c>
      <c r="V56" s="81">
        <f t="shared" si="22"/>
        <v>0</v>
      </c>
      <c r="W56" s="77">
        <f t="shared" si="3"/>
        <v>0.98452366029435201</v>
      </c>
      <c r="X56" s="82">
        <f t="shared" si="23"/>
        <v>3.1691132269750117E-5</v>
      </c>
      <c r="Y56" s="82">
        <f t="shared" si="24"/>
        <v>6.5400137898022055E-4</v>
      </c>
      <c r="Z56" s="82">
        <f t="shared" si="25"/>
        <v>0</v>
      </c>
      <c r="AA56" s="82">
        <f t="shared" si="26"/>
        <v>0.98383796778310206</v>
      </c>
      <c r="AC56" s="46">
        <f t="shared" si="4"/>
        <v>0</v>
      </c>
      <c r="AD56" s="15">
        <f t="shared" si="27"/>
        <v>0</v>
      </c>
      <c r="AE56" s="46">
        <f t="shared" si="28"/>
        <v>0</v>
      </c>
      <c r="AF56" s="15">
        <f t="shared" si="29"/>
        <v>0</v>
      </c>
      <c r="AG56" s="46">
        <f>SUMPRODUCT(AE57:AE$605, $I56:$I$604) / $I56</f>
        <v>0</v>
      </c>
      <c r="AI56" s="46">
        <f t="shared" si="5"/>
        <v>-47000</v>
      </c>
      <c r="AJ56" s="46">
        <f>IF(E56&gt;Mat_Year,0,  -SUM($AD$5:AD56))</f>
        <v>-9306</v>
      </c>
      <c r="AK56" s="24">
        <f t="shared" si="30"/>
        <v>-0.29491767690229459</v>
      </c>
      <c r="AL56" s="79">
        <f t="shared" si="31"/>
        <v>-30.738064812070366</v>
      </c>
      <c r="AM56" s="24">
        <f t="shared" si="32"/>
        <v>-31.520809240576753</v>
      </c>
      <c r="AN56" s="79">
        <f t="shared" si="33"/>
        <v>-31.03298248897266</v>
      </c>
      <c r="AO56" s="15">
        <f t="shared" si="34"/>
        <v>-8716.8411183781518</v>
      </c>
      <c r="AP56" s="46">
        <f>SUMPRODUCT(AN57:AN$605, $I57:$I$605) / $I56</f>
        <v>-8581.9363240699713</v>
      </c>
      <c r="AR56" s="46">
        <v>0</v>
      </c>
      <c r="AS56" s="46">
        <v>0</v>
      </c>
      <c r="AT56" s="46">
        <v>0</v>
      </c>
      <c r="AU56" s="95">
        <f t="shared" si="6"/>
        <v>-1.9221931094515883</v>
      </c>
      <c r="AV56" s="47">
        <f t="shared" si="7"/>
        <v>0.1</v>
      </c>
      <c r="AW56" s="96">
        <f t="shared" si="35"/>
        <v>-2.1144124203967474</v>
      </c>
      <c r="AX56" s="95">
        <f t="shared" si="8"/>
        <v>-22.041147655044877</v>
      </c>
      <c r="AY56" s="11">
        <f t="shared" si="9"/>
        <v>0.1</v>
      </c>
      <c r="AZ56" s="96">
        <f t="shared" si="36"/>
        <v>-24.245262420549366</v>
      </c>
      <c r="BA56" s="95">
        <f t="shared" si="37"/>
        <v>-2.081689055500846</v>
      </c>
      <c r="BB56" s="64">
        <f t="shared" si="38"/>
        <v>-1.6624794875061036E-2</v>
      </c>
      <c r="BC56" s="95">
        <f t="shared" si="54"/>
        <v>-2.1144124203967474</v>
      </c>
      <c r="BD56" s="96">
        <f t="shared" si="54"/>
        <v>-1.6886130364902118E-2</v>
      </c>
      <c r="BE56" s="96">
        <f t="shared" si="40"/>
        <v>-2.081689055500846</v>
      </c>
      <c r="BF56" s="96">
        <f t="shared" si="41"/>
        <v>-1.6624794875061036E-2</v>
      </c>
      <c r="BG56" s="15">
        <f t="shared" si="42"/>
        <v>-310.16679864855166</v>
      </c>
      <c r="BH56" s="46">
        <f>(SUMPRODUCT(BE57:BE$605,$I56:$I$604)+SUMPRODUCT(BF57:BF$605,$I57:$I$605)) / $I56</f>
        <v>-305.36655190725338</v>
      </c>
      <c r="BJ56" s="46">
        <f t="shared" si="53"/>
        <v>-2.081689055500846</v>
      </c>
      <c r="BK56" s="46">
        <f t="shared" si="43"/>
        <v>-31.04960728384772</v>
      </c>
      <c r="BM56" s="49">
        <f t="shared" si="10"/>
        <v>9033.2993511148252</v>
      </c>
      <c r="BN56" s="50">
        <f t="shared" si="44"/>
        <v>8887.3028759772242</v>
      </c>
      <c r="BP56" s="68">
        <f>INDEX(Others!$H$11:$I$60, MATCH(C56, Others!$A$11:$A$60, 0), MATCH(BP$3, Others!$H$10:$I$10, 0))</f>
        <v>2.8373292996184574E-2</v>
      </c>
      <c r="BQ56" s="16">
        <f t="shared" si="45"/>
        <v>2.3342389871940927E-3</v>
      </c>
      <c r="BR56" s="69">
        <f t="shared" si="46"/>
        <v>0.90683695821940546</v>
      </c>
      <c r="BT56" s="46">
        <f t="shared" si="47"/>
        <v>9573.0907496888976</v>
      </c>
      <c r="BU56" s="49">
        <f t="shared" si="50"/>
        <v>697.05367770769237</v>
      </c>
      <c r="BV56" s="46">
        <f t="shared" si="51"/>
        <v>685.78787371167346</v>
      </c>
      <c r="BX56" s="46">
        <f t="shared" si="52"/>
        <v>9730.3530288225174</v>
      </c>
    </row>
    <row r="57" spans="1:76" x14ac:dyDescent="0.25">
      <c r="A57" s="61">
        <f t="shared" si="0"/>
        <v>4.3333333333333348</v>
      </c>
      <c r="B57" s="32">
        <f t="shared" si="11"/>
        <v>4</v>
      </c>
      <c r="C57" s="62">
        <f t="shared" si="12"/>
        <v>5</v>
      </c>
      <c r="D57" s="64">
        <f t="shared" si="13"/>
        <v>4.8333333333333348</v>
      </c>
      <c r="E57" s="28">
        <f t="shared" si="14"/>
        <v>4</v>
      </c>
      <c r="G57" s="68">
        <f>INDEX(Others!$D$11:$E$60, MATCH(C57, Others!$A$11:$A$60, 0), MATCH(G$3, Others!$D$10:$E$10, 0))</f>
        <v>3.7831057328246098E-2</v>
      </c>
      <c r="H57" s="16">
        <f t="shared" si="15"/>
        <v>3.099210455032253E-3</v>
      </c>
      <c r="I57" s="69">
        <f t="shared" si="16"/>
        <v>0.87547853990816471</v>
      </c>
      <c r="K57" s="80">
        <f>INDEX(Mortality!$B$7:$F$32, MATCH( E57,Mortality!$A$7:$A$32, 0), MATCH( K$3,Mortality!$B$6:$F$6,0))</f>
        <v>0.33599999999999997</v>
      </c>
      <c r="L57" s="11" cm="1">
        <f t="array" ref="L57">PAD_Res_Mort</f>
        <v>0.15</v>
      </c>
      <c r="M57" s="80">
        <f t="shared" si="17"/>
        <v>0.38639999999999991</v>
      </c>
      <c r="N57" s="76">
        <f>INDEX('Myopia_(Reserve)'!$H:$H, MATCH(E57, 'Myopia_(Reserve)'!$A:$A, 0)) * Trend_Factor_Reserve^(A57)</f>
        <v>6.1319328784822247</v>
      </c>
      <c r="O57" s="11">
        <f t="shared" si="1"/>
        <v>0.3</v>
      </c>
      <c r="P57" s="80">
        <f t="shared" si="18"/>
        <v>7.9715127420268921</v>
      </c>
      <c r="Q57" s="76">
        <f>VLOOKUP(C57,Others!$L$10:$M$61,2)</f>
        <v>0</v>
      </c>
      <c r="R57" s="11">
        <f t="shared" si="2"/>
        <v>0</v>
      </c>
      <c r="S57" s="80">
        <f t="shared" si="19"/>
        <v>0</v>
      </c>
      <c r="T57" s="78">
        <f t="shared" si="20"/>
        <v>3.219999999999999E-5</v>
      </c>
      <c r="U57" s="81">
        <f t="shared" si="21"/>
        <v>6.6429272850224098E-4</v>
      </c>
      <c r="V57" s="81">
        <f t="shared" si="22"/>
        <v>0</v>
      </c>
      <c r="W57" s="77">
        <f t="shared" si="3"/>
        <v>0.98383796778310206</v>
      </c>
      <c r="X57" s="82">
        <f t="shared" si="23"/>
        <v>3.166906030444671E-5</v>
      </c>
      <c r="Y57" s="82">
        <f t="shared" si="24"/>
        <v>6.5354588576456755E-4</v>
      </c>
      <c r="Z57" s="82">
        <f t="shared" si="25"/>
        <v>0</v>
      </c>
      <c r="AA57" s="82">
        <f t="shared" si="26"/>
        <v>0.98315275283703307</v>
      </c>
      <c r="AC57" s="46">
        <f t="shared" si="4"/>
        <v>0</v>
      </c>
      <c r="AD57" s="15">
        <f t="shared" si="27"/>
        <v>0</v>
      </c>
      <c r="AE57" s="46">
        <f t="shared" si="28"/>
        <v>0</v>
      </c>
      <c r="AF57" s="15">
        <f t="shared" si="29"/>
        <v>0</v>
      </c>
      <c r="AG57" s="46">
        <f>SUMPRODUCT(AE58:AE$605, $I57:$I$604) / $I57</f>
        <v>0</v>
      </c>
      <c r="AI57" s="46">
        <f t="shared" si="5"/>
        <v>-47000</v>
      </c>
      <c r="AJ57" s="46">
        <f>IF(E57&gt;Mat_Year,0,  -SUM($AD$5:AD57))</f>
        <v>-9306</v>
      </c>
      <c r="AK57" s="24">
        <f t="shared" si="30"/>
        <v>-0.29471227519318111</v>
      </c>
      <c r="AL57" s="79">
        <f t="shared" si="31"/>
        <v>-30.716656630934676</v>
      </c>
      <c r="AM57" s="24">
        <f t="shared" si="32"/>
        <v>-31.520809240576753</v>
      </c>
      <c r="AN57" s="79">
        <f t="shared" si="33"/>
        <v>-31.011368906127856</v>
      </c>
      <c r="AO57" s="15">
        <f t="shared" si="34"/>
        <v>-8718.4297240242613</v>
      </c>
      <c r="AP57" s="46">
        <f>SUMPRODUCT(AN58:AN$605, $I58:$I$605) / $I57</f>
        <v>-8577.5221819438211</v>
      </c>
      <c r="AR57" s="46">
        <v>0</v>
      </c>
      <c r="AS57" s="46">
        <v>0</v>
      </c>
      <c r="AT57" s="46">
        <v>0</v>
      </c>
      <c r="AU57" s="95">
        <f t="shared" si="6"/>
        <v>-1.9259174581881164</v>
      </c>
      <c r="AV57" s="47">
        <f t="shared" si="7"/>
        <v>0.1</v>
      </c>
      <c r="AW57" s="96">
        <f t="shared" si="35"/>
        <v>-2.1185092040069282</v>
      </c>
      <c r="AX57" s="95">
        <f t="shared" si="8"/>
        <v>-22.083853520557064</v>
      </c>
      <c r="AY57" s="11">
        <f t="shared" si="9"/>
        <v>0.1</v>
      </c>
      <c r="AZ57" s="96">
        <f t="shared" si="36"/>
        <v>-24.292238872612771</v>
      </c>
      <c r="BA57" s="95">
        <f t="shared" si="37"/>
        <v>-2.0842697899999734</v>
      </c>
      <c r="BB57" s="64">
        <f t="shared" si="38"/>
        <v>-1.6645405148992969E-2</v>
      </c>
      <c r="BC57" s="95">
        <f t="shared" si="54"/>
        <v>-2.1185092040069282</v>
      </c>
      <c r="BD57" s="96">
        <f t="shared" si="54"/>
        <v>-1.6918848117338191E-2</v>
      </c>
      <c r="BE57" s="96">
        <f t="shared" si="40"/>
        <v>-2.0842697899999734</v>
      </c>
      <c r="BF57" s="96">
        <f t="shared" si="41"/>
        <v>-1.6645405148992969E-2</v>
      </c>
      <c r="BG57" s="15">
        <f t="shared" si="42"/>
        <v>-309.20291988439868</v>
      </c>
      <c r="BH57" s="46">
        <f>(SUMPRODUCT(BE58:BE$605,$I57:$I$604)+SUMPRODUCT(BF58:BF$605,$I58:$I$605)) / $I57</f>
        <v>-304.20557233166812</v>
      </c>
      <c r="BJ57" s="46">
        <f t="shared" si="53"/>
        <v>-2.0842697899999734</v>
      </c>
      <c r="BK57" s="46">
        <f t="shared" si="43"/>
        <v>-31.028014311276849</v>
      </c>
      <c r="BM57" s="49">
        <f t="shared" si="10"/>
        <v>9033.9245134043995</v>
      </c>
      <c r="BN57" s="50">
        <f t="shared" si="44"/>
        <v>8881.7277542754891</v>
      </c>
      <c r="BP57" s="68">
        <f>INDEX(Others!$H$11:$I$60, MATCH(C57, Others!$A$11:$A$60, 0), MATCH(BP$3, Others!$H$10:$I$10, 0))</f>
        <v>2.8373292996184574E-2</v>
      </c>
      <c r="BQ57" s="16">
        <f t="shared" si="45"/>
        <v>2.3342389871940927E-3</v>
      </c>
      <c r="BR57" s="69">
        <f t="shared" si="46"/>
        <v>0.90472511358657803</v>
      </c>
      <c r="BT57" s="46">
        <f t="shared" si="47"/>
        <v>9562.3194820596891</v>
      </c>
      <c r="BU57" s="49">
        <f t="shared" si="50"/>
        <v>692.25430719717929</v>
      </c>
      <c r="BV57" s="46">
        <f t="shared" si="51"/>
        <v>680.59172778419997</v>
      </c>
      <c r="BX57" s="46">
        <f t="shared" si="52"/>
        <v>9726.178820601579</v>
      </c>
    </row>
    <row r="58" spans="1:76" x14ac:dyDescent="0.25">
      <c r="A58" s="61">
        <f t="shared" si="0"/>
        <v>4.4166666666666679</v>
      </c>
      <c r="B58" s="32">
        <f t="shared" si="11"/>
        <v>5</v>
      </c>
      <c r="C58" s="62">
        <f t="shared" si="12"/>
        <v>5</v>
      </c>
      <c r="D58" s="64">
        <f t="shared" si="13"/>
        <v>4.9166666666666679</v>
      </c>
      <c r="E58" s="28">
        <f t="shared" si="14"/>
        <v>4</v>
      </c>
      <c r="G58" s="68">
        <f>INDEX(Others!$D$11:$E$60, MATCH(C58, Others!$A$11:$A$60, 0), MATCH(G$3, Others!$D$10:$E$10, 0))</f>
        <v>3.7831057328246098E-2</v>
      </c>
      <c r="H58" s="16">
        <f t="shared" si="15"/>
        <v>3.099210455032253E-3</v>
      </c>
      <c r="I58" s="69">
        <f t="shared" si="16"/>
        <v>0.87277363074687753</v>
      </c>
      <c r="K58" s="80">
        <f>INDEX(Mortality!$B$7:$F$32, MATCH( E58,Mortality!$A$7:$A$32, 0), MATCH( K$3,Mortality!$B$6:$F$6,0))</f>
        <v>0.33599999999999997</v>
      </c>
      <c r="L58" s="11" cm="1">
        <f t="array" ref="L58">PAD_Res_Mort</f>
        <v>0.15</v>
      </c>
      <c r="M58" s="80">
        <f t="shared" si="17"/>
        <v>0.38639999999999991</v>
      </c>
      <c r="N58" s="76">
        <f>INDEX('Myopia_(Reserve)'!$H:$H, MATCH(E58, 'Myopia_(Reserve)'!$A:$A, 0)) * Trend_Factor_Reserve^(A58)</f>
        <v>6.1319328784822247</v>
      </c>
      <c r="O58" s="11">
        <f t="shared" si="1"/>
        <v>0.3</v>
      </c>
      <c r="P58" s="80">
        <f t="shared" si="18"/>
        <v>7.9715127420268921</v>
      </c>
      <c r="Q58" s="76">
        <f>VLOOKUP(C58,Others!$L$10:$M$61,2)</f>
        <v>0</v>
      </c>
      <c r="R58" s="11">
        <f t="shared" si="2"/>
        <v>0</v>
      </c>
      <c r="S58" s="80">
        <f t="shared" si="19"/>
        <v>0</v>
      </c>
      <c r="T58" s="78">
        <f t="shared" si="20"/>
        <v>3.219999999999999E-5</v>
      </c>
      <c r="U58" s="81">
        <f t="shared" si="21"/>
        <v>6.6429272850224098E-4</v>
      </c>
      <c r="V58" s="81">
        <f t="shared" si="22"/>
        <v>0</v>
      </c>
      <c r="W58" s="77">
        <f t="shared" si="3"/>
        <v>0.98315275283703307</v>
      </c>
      <c r="X58" s="82">
        <f t="shared" si="23"/>
        <v>3.1647003711634512E-5</v>
      </c>
      <c r="Y58" s="82">
        <f t="shared" si="24"/>
        <v>6.5309070978688416E-4</v>
      </c>
      <c r="Z58" s="82">
        <f t="shared" si="25"/>
        <v>0</v>
      </c>
      <c r="AA58" s="82">
        <f t="shared" si="26"/>
        <v>0.98246801512353454</v>
      </c>
      <c r="AC58" s="46">
        <f t="shared" si="4"/>
        <v>0</v>
      </c>
      <c r="AD58" s="15">
        <f t="shared" si="27"/>
        <v>0</v>
      </c>
      <c r="AE58" s="46">
        <f t="shared" si="28"/>
        <v>0</v>
      </c>
      <c r="AF58" s="15">
        <f t="shared" si="29"/>
        <v>0</v>
      </c>
      <c r="AG58" s="46">
        <f>SUMPRODUCT(AE59:AE$605, $I58:$I$604) / $I58</f>
        <v>0</v>
      </c>
      <c r="AI58" s="46">
        <f t="shared" si="5"/>
        <v>-47000</v>
      </c>
      <c r="AJ58" s="46">
        <f>IF(E58&gt;Mat_Year,0,  -SUM($AD$5:AD58))</f>
        <v>-9306</v>
      </c>
      <c r="AK58" s="24">
        <f t="shared" si="30"/>
        <v>-0.29450701654047079</v>
      </c>
      <c r="AL58" s="79">
        <f t="shared" si="31"/>
        <v>-30.695263359983556</v>
      </c>
      <c r="AM58" s="24">
        <f t="shared" si="32"/>
        <v>-31.520809240576757</v>
      </c>
      <c r="AN58" s="79">
        <f t="shared" si="33"/>
        <v>-30.989770376524028</v>
      </c>
      <c r="AO58" s="15">
        <f t="shared" si="34"/>
        <v>-8720.0243637144395</v>
      </c>
      <c r="AP58" s="46">
        <f>SUMPRODUCT(AN59:AN$605, $I59:$I$605) / $I58</f>
        <v>-8573.1159579918494</v>
      </c>
      <c r="AR58" s="46">
        <v>0</v>
      </c>
      <c r="AS58" s="46">
        <v>0</v>
      </c>
      <c r="AT58" s="46">
        <v>0</v>
      </c>
      <c r="AU58" s="95">
        <f t="shared" si="6"/>
        <v>-1.9296490230432761</v>
      </c>
      <c r="AV58" s="47">
        <f t="shared" si="7"/>
        <v>0.1</v>
      </c>
      <c r="AW58" s="96">
        <f t="shared" si="35"/>
        <v>-2.1226139253476037</v>
      </c>
      <c r="AX58" s="95">
        <f t="shared" si="8"/>
        <v>-22.126642130896229</v>
      </c>
      <c r="AY58" s="11">
        <f t="shared" si="9"/>
        <v>0.1</v>
      </c>
      <c r="AZ58" s="96">
        <f t="shared" si="36"/>
        <v>-24.339306343985854</v>
      </c>
      <c r="BA58" s="95">
        <f t="shared" si="37"/>
        <v>-2.0868537239157172</v>
      </c>
      <c r="BB58" s="64">
        <f t="shared" si="38"/>
        <v>-1.6666040974120864E-2</v>
      </c>
      <c r="BC58" s="95">
        <f t="shared" si="54"/>
        <v>-2.1226139253476037</v>
      </c>
      <c r="BD58" s="96">
        <f t="shared" si="54"/>
        <v>-1.6951629262114694E-2</v>
      </c>
      <c r="BE58" s="96">
        <f t="shared" si="40"/>
        <v>-2.0868537239157172</v>
      </c>
      <c r="BF58" s="96">
        <f t="shared" si="41"/>
        <v>-1.6666040974120864E-2</v>
      </c>
      <c r="BG58" s="15">
        <f t="shared" si="42"/>
        <v>-308.23122976941914</v>
      </c>
      <c r="BH58" s="46">
        <f>(SUMPRODUCT(BE59:BE$605,$I58:$I$604)+SUMPRODUCT(BF59:BF$605,$I59:$I$605)) / $I58</f>
        <v>-303.0383820581485</v>
      </c>
      <c r="BJ58" s="46">
        <f t="shared" si="53"/>
        <v>-2.0868537239157172</v>
      </c>
      <c r="BK58" s="46">
        <f t="shared" si="43"/>
        <v>-31.006436417498151</v>
      </c>
      <c r="BM58" s="49">
        <f t="shared" si="10"/>
        <v>9034.5478971485081</v>
      </c>
      <c r="BN58" s="50">
        <f t="shared" si="44"/>
        <v>8876.1543400499977</v>
      </c>
      <c r="BP58" s="68">
        <f>INDEX(Others!$H$11:$I$60, MATCH(C58, Others!$A$11:$A$60, 0), MATCH(BP$3, Others!$H$10:$I$10, 0))</f>
        <v>2.8373292996184574E-2</v>
      </c>
      <c r="BQ58" s="16">
        <f t="shared" si="45"/>
        <v>2.3342389871940927E-3</v>
      </c>
      <c r="BR58" s="69">
        <f t="shared" si="46"/>
        <v>0.90261818702387642</v>
      </c>
      <c r="BT58" s="46">
        <f t="shared" si="47"/>
        <v>9551.5420596459808</v>
      </c>
      <c r="BU58" s="49">
        <f t="shared" si="50"/>
        <v>687.43990562487727</v>
      </c>
      <c r="BV58" s="46">
        <f t="shared" si="51"/>
        <v>675.38771959598307</v>
      </c>
      <c r="BX58" s="46">
        <f t="shared" si="52"/>
        <v>9721.9878027733848</v>
      </c>
    </row>
    <row r="59" spans="1:76" x14ac:dyDescent="0.25">
      <c r="A59" s="61">
        <f t="shared" si="0"/>
        <v>4.5000000000000009</v>
      </c>
      <c r="B59" s="32">
        <f t="shared" si="11"/>
        <v>6</v>
      </c>
      <c r="C59" s="62">
        <f t="shared" si="12"/>
        <v>5</v>
      </c>
      <c r="D59" s="64">
        <f t="shared" si="13"/>
        <v>5.0000000000000009</v>
      </c>
      <c r="E59" s="28">
        <f t="shared" si="14"/>
        <v>5</v>
      </c>
      <c r="G59" s="68">
        <f>INDEX(Others!$D$11:$E$60, MATCH(C59, Others!$A$11:$A$60, 0), MATCH(G$3, Others!$D$10:$E$10, 0))</f>
        <v>3.7831057328246098E-2</v>
      </c>
      <c r="H59" s="16">
        <f t="shared" si="15"/>
        <v>3.099210455032253E-3</v>
      </c>
      <c r="I59" s="69">
        <f t="shared" si="16"/>
        <v>0.87007707876767681</v>
      </c>
      <c r="K59" s="80">
        <f>INDEX(Mortality!$B$7:$F$32, MATCH( E59,Mortality!$A$7:$A$32, 0), MATCH( K$3,Mortality!$B$6:$F$6,0))</f>
        <v>0.33799999999999997</v>
      </c>
      <c r="L59" s="11" cm="1">
        <f t="array" ref="L59">PAD_Res_Mort</f>
        <v>0.15</v>
      </c>
      <c r="M59" s="80">
        <f t="shared" si="17"/>
        <v>0.38869999999999993</v>
      </c>
      <c r="N59" s="76">
        <f>INDEX('Myopia_(Reserve)'!$H:$H, MATCH(E59, 'Myopia_(Reserve)'!$A:$A, 0)) * Trend_Factor_Reserve^(A59)</f>
        <v>6.0945614368278163</v>
      </c>
      <c r="O59" s="11">
        <f t="shared" si="1"/>
        <v>0.3</v>
      </c>
      <c r="P59" s="80">
        <f t="shared" si="18"/>
        <v>7.922929867876161</v>
      </c>
      <c r="Q59" s="76">
        <f>VLOOKUP(C59,Others!$L$10:$M$61,2)</f>
        <v>0</v>
      </c>
      <c r="R59" s="11">
        <f t="shared" si="2"/>
        <v>0</v>
      </c>
      <c r="S59" s="80">
        <f t="shared" si="19"/>
        <v>0</v>
      </c>
      <c r="T59" s="78">
        <f t="shared" si="20"/>
        <v>3.2391666666666663E-5</v>
      </c>
      <c r="U59" s="81">
        <f t="shared" si="21"/>
        <v>6.6024415565634669E-4</v>
      </c>
      <c r="V59" s="81">
        <f t="shared" si="22"/>
        <v>0</v>
      </c>
      <c r="W59" s="77">
        <f t="shared" si="3"/>
        <v>0.98246801512353454</v>
      </c>
      <c r="X59" s="82">
        <f t="shared" si="23"/>
        <v>3.1813270725334981E-5</v>
      </c>
      <c r="Y59" s="82">
        <f t="shared" si="24"/>
        <v>6.4865825937339677E-4</v>
      </c>
      <c r="Z59" s="82">
        <f t="shared" si="25"/>
        <v>0</v>
      </c>
      <c r="AA59" s="82">
        <f t="shared" si="26"/>
        <v>0.98178754359343579</v>
      </c>
      <c r="AC59" s="46">
        <f t="shared" si="4"/>
        <v>0</v>
      </c>
      <c r="AD59" s="15">
        <f t="shared" si="27"/>
        <v>0</v>
      </c>
      <c r="AE59" s="46">
        <f t="shared" si="28"/>
        <v>0</v>
      </c>
      <c r="AF59" s="15">
        <f t="shared" si="29"/>
        <v>0</v>
      </c>
      <c r="AG59" s="46">
        <f>SUMPRODUCT(AE60:AE$605, $I59:$I$604) / $I59</f>
        <v>0</v>
      </c>
      <c r="AI59" s="46">
        <f t="shared" si="5"/>
        <v>-47000</v>
      </c>
      <c r="AJ59" s="46">
        <f>IF(E59&gt;Mat_Year,0,  -SUM($AD$5:AD59))</f>
        <v>-9306</v>
      </c>
      <c r="AK59" s="24">
        <f t="shared" si="30"/>
        <v>-0.29605429736996736</v>
      </c>
      <c r="AL59" s="79">
        <f t="shared" si="31"/>
        <v>-30.486938190549647</v>
      </c>
      <c r="AM59" s="24">
        <f t="shared" si="32"/>
        <v>-31.332310074286735</v>
      </c>
      <c r="AN59" s="79">
        <f t="shared" si="33"/>
        <v>-30.782992487919614</v>
      </c>
      <c r="AO59" s="15">
        <f t="shared" si="34"/>
        <v>-8721.8135595342483</v>
      </c>
      <c r="AP59" s="46">
        <f>SUMPRODUCT(AN60:AN$605, $I60:$I$605) / $I59</f>
        <v>-8568.9028561131418</v>
      </c>
      <c r="AR59" s="46">
        <v>0</v>
      </c>
      <c r="AS59" s="46">
        <v>0</v>
      </c>
      <c r="AT59" s="46">
        <v>0</v>
      </c>
      <c r="AU59" s="95">
        <f t="shared" si="6"/>
        <v>-1.9333878179986712</v>
      </c>
      <c r="AV59" s="47">
        <f t="shared" si="7"/>
        <v>0.1</v>
      </c>
      <c r="AW59" s="96">
        <f t="shared" si="35"/>
        <v>-2.1267265997985385</v>
      </c>
      <c r="AX59" s="95">
        <f t="shared" si="8"/>
        <v>-22.169513646384761</v>
      </c>
      <c r="AY59" s="11">
        <f t="shared" si="9"/>
        <v>0.1</v>
      </c>
      <c r="AZ59" s="96">
        <f t="shared" si="36"/>
        <v>-24.38646501102324</v>
      </c>
      <c r="BA59" s="95">
        <f t="shared" si="37"/>
        <v>-2.0894408612144937</v>
      </c>
      <c r="BB59" s="64">
        <f t="shared" si="38"/>
        <v>-1.659429515975017E-2</v>
      </c>
      <c r="BC59" s="95">
        <f t="shared" si="54"/>
        <v>-2.1267265997985385</v>
      </c>
      <c r="BD59" s="96">
        <f t="shared" si="54"/>
        <v>-1.689041770755623E-2</v>
      </c>
      <c r="BE59" s="96">
        <f t="shared" si="40"/>
        <v>-2.0894408612144937</v>
      </c>
      <c r="BF59" s="96">
        <f t="shared" si="41"/>
        <v>-1.659429515975017E-2</v>
      </c>
      <c r="BG59" s="15">
        <f t="shared" si="42"/>
        <v>-307.25178464848693</v>
      </c>
      <c r="BH59" s="46">
        <f>(SUMPRODUCT(BE60:BE$605,$I59:$I$604)+SUMPRODUCT(BF60:BF$605,$I60:$I$605)) / $I59</f>
        <v>-301.86505100676266</v>
      </c>
      <c r="BJ59" s="46">
        <f t="shared" si="53"/>
        <v>-2.0894408612144937</v>
      </c>
      <c r="BK59" s="46">
        <f t="shared" si="43"/>
        <v>-30.799586783079363</v>
      </c>
      <c r="BM59" s="49">
        <f t="shared" si="10"/>
        <v>9035.3233395608677</v>
      </c>
      <c r="BN59" s="50">
        <f t="shared" si="44"/>
        <v>8870.7679071199036</v>
      </c>
      <c r="BP59" s="68">
        <f>INDEX(Others!$H$11:$I$60, MATCH(C59, Others!$A$11:$A$60, 0), MATCH(BP$3, Others!$H$10:$I$10, 0))</f>
        <v>2.8373292996184574E-2</v>
      </c>
      <c r="BQ59" s="16">
        <f t="shared" si="45"/>
        <v>2.3342389871940927E-3</v>
      </c>
      <c r="BR59" s="69">
        <f t="shared" si="46"/>
        <v>0.90051616707808413</v>
      </c>
      <c r="BT59" s="46">
        <f t="shared" si="47"/>
        <v>9540.9437366108159</v>
      </c>
      <c r="BU59" s="49">
        <f t="shared" si="50"/>
        <v>682.60779418529285</v>
      </c>
      <c r="BV59" s="46">
        <f t="shared" si="51"/>
        <v>670.17582949091229</v>
      </c>
      <c r="BX59" s="46">
        <f t="shared" si="52"/>
        <v>9717.9311337461604</v>
      </c>
    </row>
    <row r="60" spans="1:76" x14ac:dyDescent="0.25">
      <c r="A60" s="61">
        <f t="shared" si="0"/>
        <v>4.5833333333333339</v>
      </c>
      <c r="B60" s="32">
        <f t="shared" si="11"/>
        <v>7</v>
      </c>
      <c r="C60" s="62">
        <f t="shared" si="12"/>
        <v>5</v>
      </c>
      <c r="D60" s="64">
        <f t="shared" si="13"/>
        <v>5.0833333333333339</v>
      </c>
      <c r="E60" s="28">
        <f t="shared" si="14"/>
        <v>5</v>
      </c>
      <c r="G60" s="68">
        <f>INDEX(Others!$D$11:$E$60, MATCH(C60, Others!$A$11:$A$60, 0), MATCH(G$3, Others!$D$10:$E$10, 0))</f>
        <v>3.7831057328246098E-2</v>
      </c>
      <c r="H60" s="16">
        <f t="shared" si="15"/>
        <v>3.099210455032253E-3</v>
      </c>
      <c r="I60" s="69">
        <f t="shared" si="16"/>
        <v>0.86738885814992006</v>
      </c>
      <c r="K60" s="80">
        <f>INDEX(Mortality!$B$7:$F$32, MATCH( E60,Mortality!$A$7:$A$32, 0), MATCH( K$3,Mortality!$B$6:$F$6,0))</f>
        <v>0.33799999999999997</v>
      </c>
      <c r="L60" s="11" cm="1">
        <f t="array" ref="L60">PAD_Res_Mort</f>
        <v>0.15</v>
      </c>
      <c r="M60" s="80">
        <f t="shared" si="17"/>
        <v>0.38869999999999993</v>
      </c>
      <c r="N60" s="76">
        <f>INDEX('Myopia_(Reserve)'!$H:$H, MATCH(E60, 'Myopia_(Reserve)'!$A:$A, 0)) * Trend_Factor_Reserve^(A60)</f>
        <v>6.0945614368278163</v>
      </c>
      <c r="O60" s="11">
        <f t="shared" si="1"/>
        <v>0.3</v>
      </c>
      <c r="P60" s="80">
        <f t="shared" si="18"/>
        <v>7.922929867876161</v>
      </c>
      <c r="Q60" s="76">
        <f>VLOOKUP(C60,Others!$L$10:$M$61,2)</f>
        <v>0</v>
      </c>
      <c r="R60" s="11">
        <f t="shared" si="2"/>
        <v>0</v>
      </c>
      <c r="S60" s="80">
        <f t="shared" si="19"/>
        <v>0</v>
      </c>
      <c r="T60" s="78">
        <f t="shared" si="20"/>
        <v>3.2391666666666663E-5</v>
      </c>
      <c r="U60" s="81">
        <f t="shared" si="21"/>
        <v>6.6024415565634669E-4</v>
      </c>
      <c r="V60" s="81">
        <f t="shared" si="22"/>
        <v>0</v>
      </c>
      <c r="W60" s="77">
        <f t="shared" si="3"/>
        <v>0.98178754359343579</v>
      </c>
      <c r="X60" s="82">
        <f t="shared" si="23"/>
        <v>3.1791236394776957E-5</v>
      </c>
      <c r="Y60" s="82">
        <f t="shared" si="24"/>
        <v>6.4820898929897959E-4</v>
      </c>
      <c r="Z60" s="82">
        <f t="shared" si="25"/>
        <v>0</v>
      </c>
      <c r="AA60" s="82">
        <f t="shared" si="26"/>
        <v>0.98110754336774197</v>
      </c>
      <c r="AC60" s="46">
        <f t="shared" si="4"/>
        <v>0</v>
      </c>
      <c r="AD60" s="15">
        <f t="shared" si="27"/>
        <v>0</v>
      </c>
      <c r="AE60" s="46">
        <f t="shared" si="28"/>
        <v>0</v>
      </c>
      <c r="AF60" s="15">
        <f t="shared" si="29"/>
        <v>0</v>
      </c>
      <c r="AG60" s="46">
        <f>SUMPRODUCT(AE61:AE$605, $I60:$I$604) / $I60</f>
        <v>0</v>
      </c>
      <c r="AI60" s="46">
        <f t="shared" si="5"/>
        <v>-47000</v>
      </c>
      <c r="AJ60" s="46">
        <f>IF(E60&gt;Mat_Year,0,  -SUM($AD$5:AD60))</f>
        <v>-9306</v>
      </c>
      <c r="AK60" s="24">
        <f t="shared" si="30"/>
        <v>-0.29584924588979439</v>
      </c>
      <c r="AL60" s="79">
        <f t="shared" si="31"/>
        <v>-30.465822497052041</v>
      </c>
      <c r="AM60" s="24">
        <f t="shared" si="32"/>
        <v>-31.332310074286735</v>
      </c>
      <c r="AN60" s="79">
        <f t="shared" si="33"/>
        <v>-30.761671742941836</v>
      </c>
      <c r="AO60" s="15">
        <f t="shared" si="34"/>
        <v>-8723.5757609456032</v>
      </c>
      <c r="AP60" s="46">
        <f>SUMPRODUCT(AN61:AN$605, $I61:$I$605) / $I60</f>
        <v>-8564.6980176900215</v>
      </c>
      <c r="AR60" s="46">
        <v>0</v>
      </c>
      <c r="AS60" s="46">
        <v>0</v>
      </c>
      <c r="AT60" s="46">
        <v>0</v>
      </c>
      <c r="AU60" s="95">
        <f t="shared" si="6"/>
        <v>-1.9371338570629959</v>
      </c>
      <c r="AV60" s="47">
        <f t="shared" si="7"/>
        <v>0.1</v>
      </c>
      <c r="AW60" s="96">
        <f t="shared" si="35"/>
        <v>-2.1308472427692955</v>
      </c>
      <c r="AX60" s="95">
        <f t="shared" si="8"/>
        <v>-22.212468227655684</v>
      </c>
      <c r="AY60" s="11">
        <f t="shared" si="9"/>
        <v>0.1</v>
      </c>
      <c r="AZ60" s="96">
        <f t="shared" si="36"/>
        <v>-24.433715050421256</v>
      </c>
      <c r="BA60" s="95">
        <f t="shared" si="37"/>
        <v>-2.0920392802513121</v>
      </c>
      <c r="BB60" s="64">
        <f t="shared" si="38"/>
        <v>-1.6614931748823392E-2</v>
      </c>
      <c r="BC60" s="95">
        <f t="shared" si="54"/>
        <v>-2.1308472427692955</v>
      </c>
      <c r="BD60" s="96">
        <f t="shared" si="54"/>
        <v>-1.6923143766940821E-2</v>
      </c>
      <c r="BE60" s="96">
        <f t="shared" si="40"/>
        <v>-2.0920392802513121</v>
      </c>
      <c r="BF60" s="96">
        <f t="shared" si="41"/>
        <v>-1.6614931748823392E-2</v>
      </c>
      <c r="BG60" s="15">
        <f t="shared" si="42"/>
        <v>-306.26326276895361</v>
      </c>
      <c r="BH60" s="46">
        <f>(SUMPRODUCT(BE61:BE$605,$I60:$I$604)+SUMPRODUCT(BF61:BF$605,$I61:$I$605)) / $I60</f>
        <v>-300.6854564468419</v>
      </c>
      <c r="BJ60" s="46">
        <f t="shared" si="53"/>
        <v>-2.0920392802513121</v>
      </c>
      <c r="BK60" s="46">
        <f t="shared" si="43"/>
        <v>-30.778286674690658</v>
      </c>
      <c r="BM60" s="49">
        <f t="shared" si="10"/>
        <v>9036.0975553257067</v>
      </c>
      <c r="BN60" s="50">
        <f t="shared" si="44"/>
        <v>8865.3834741368628</v>
      </c>
      <c r="BP60" s="68">
        <f>INDEX(Others!$H$11:$I$60, MATCH(C60, Others!$A$11:$A$60, 0), MATCH(BP$3, Others!$H$10:$I$10, 0))</f>
        <v>2.8373292996184574E-2</v>
      </c>
      <c r="BQ60" s="16">
        <f t="shared" si="45"/>
        <v>2.3342389871940927E-3</v>
      </c>
      <c r="BR60" s="69">
        <f t="shared" si="46"/>
        <v>0.89841904232265701</v>
      </c>
      <c r="BT60" s="46">
        <f t="shared" si="47"/>
        <v>9530.3393701808454</v>
      </c>
      <c r="BU60" s="49">
        <f t="shared" si="50"/>
        <v>677.76045606729338</v>
      </c>
      <c r="BV60" s="46">
        <f t="shared" si="51"/>
        <v>664.95589604398265</v>
      </c>
      <c r="BX60" s="46">
        <f t="shared" si="52"/>
        <v>9713.8580113930002</v>
      </c>
    </row>
    <row r="61" spans="1:76" x14ac:dyDescent="0.25">
      <c r="A61" s="61">
        <f t="shared" si="0"/>
        <v>4.666666666666667</v>
      </c>
      <c r="B61" s="32">
        <f t="shared" si="11"/>
        <v>8</v>
      </c>
      <c r="C61" s="62">
        <f t="shared" si="12"/>
        <v>5</v>
      </c>
      <c r="D61" s="64">
        <f t="shared" si="13"/>
        <v>5.166666666666667</v>
      </c>
      <c r="E61" s="28">
        <f t="shared" si="14"/>
        <v>5</v>
      </c>
      <c r="G61" s="68">
        <f>INDEX(Others!$D$11:$E$60, MATCH(C61, Others!$A$11:$A$60, 0), MATCH(G$3, Others!$D$10:$E$10, 0))</f>
        <v>3.7831057328246098E-2</v>
      </c>
      <c r="H61" s="16">
        <f t="shared" si="15"/>
        <v>3.099210455032253E-3</v>
      </c>
      <c r="I61" s="69">
        <f t="shared" si="16"/>
        <v>0.86470894315274116</v>
      </c>
      <c r="K61" s="80">
        <f>INDEX(Mortality!$B$7:$F$32, MATCH( E61,Mortality!$A$7:$A$32, 0), MATCH( K$3,Mortality!$B$6:$F$6,0))</f>
        <v>0.33799999999999997</v>
      </c>
      <c r="L61" s="11" cm="1">
        <f t="array" ref="L61">PAD_Res_Mort</f>
        <v>0.15</v>
      </c>
      <c r="M61" s="80">
        <f t="shared" si="17"/>
        <v>0.38869999999999993</v>
      </c>
      <c r="N61" s="76">
        <f>INDEX('Myopia_(Reserve)'!$H:$H, MATCH(E61, 'Myopia_(Reserve)'!$A:$A, 0)) * Trend_Factor_Reserve^(A61)</f>
        <v>6.0945614368278163</v>
      </c>
      <c r="O61" s="11">
        <f t="shared" si="1"/>
        <v>0.3</v>
      </c>
      <c r="P61" s="80">
        <f t="shared" si="18"/>
        <v>7.922929867876161</v>
      </c>
      <c r="Q61" s="76">
        <f>VLOOKUP(C61,Others!$L$10:$M$61,2)</f>
        <v>0</v>
      </c>
      <c r="R61" s="11">
        <f t="shared" si="2"/>
        <v>0</v>
      </c>
      <c r="S61" s="80">
        <f t="shared" si="19"/>
        <v>0</v>
      </c>
      <c r="T61" s="78">
        <f t="shared" si="20"/>
        <v>3.2391666666666663E-5</v>
      </c>
      <c r="U61" s="81">
        <f t="shared" si="21"/>
        <v>6.6024415565634669E-4</v>
      </c>
      <c r="V61" s="81">
        <f t="shared" si="22"/>
        <v>0</v>
      </c>
      <c r="W61" s="77">
        <f t="shared" si="3"/>
        <v>0.98110754336774197</v>
      </c>
      <c r="X61" s="82">
        <f t="shared" si="23"/>
        <v>3.1769217325514369E-5</v>
      </c>
      <c r="Y61" s="82">
        <f t="shared" si="24"/>
        <v>6.4776003039550159E-4</v>
      </c>
      <c r="Z61" s="82">
        <f t="shared" si="25"/>
        <v>0</v>
      </c>
      <c r="AA61" s="82">
        <f t="shared" si="26"/>
        <v>0.98042801412002101</v>
      </c>
      <c r="AC61" s="46">
        <f t="shared" si="4"/>
        <v>0</v>
      </c>
      <c r="AD61" s="15">
        <f t="shared" si="27"/>
        <v>0</v>
      </c>
      <c r="AE61" s="46">
        <f t="shared" si="28"/>
        <v>0</v>
      </c>
      <c r="AF61" s="15">
        <f t="shared" si="29"/>
        <v>0</v>
      </c>
      <c r="AG61" s="46">
        <f>SUMPRODUCT(AE62:AE$605, $I61:$I$604) / $I61</f>
        <v>0</v>
      </c>
      <c r="AI61" s="46">
        <f t="shared" si="5"/>
        <v>-47000</v>
      </c>
      <c r="AJ61" s="46">
        <f>IF(E61&gt;Mat_Year,0,  -SUM($AD$5:AD61))</f>
        <v>-9306</v>
      </c>
      <c r="AK61" s="24">
        <f t="shared" si="30"/>
        <v>-0.29564433643123672</v>
      </c>
      <c r="AL61" s="79">
        <f t="shared" si="31"/>
        <v>-30.444721428588576</v>
      </c>
      <c r="AM61" s="24">
        <f t="shared" si="32"/>
        <v>-31.332310074286738</v>
      </c>
      <c r="AN61" s="79">
        <f t="shared" si="33"/>
        <v>-30.740365765019813</v>
      </c>
      <c r="AO61" s="15">
        <f t="shared" si="34"/>
        <v>-8725.3446489473645</v>
      </c>
      <c r="AP61" s="46">
        <f>SUMPRODUCT(AN62:AN$605, $I62:$I$605) / $I61</f>
        <v>-8560.501453565621</v>
      </c>
      <c r="AR61" s="46">
        <v>0</v>
      </c>
      <c r="AS61" s="46">
        <v>0</v>
      </c>
      <c r="AT61" s="46">
        <v>0</v>
      </c>
      <c r="AU61" s="95">
        <f t="shared" si="6"/>
        <v>-1.9408871542720865</v>
      </c>
      <c r="AV61" s="47">
        <f t="shared" si="7"/>
        <v>0.1</v>
      </c>
      <c r="AW61" s="96">
        <f t="shared" si="35"/>
        <v>-2.1349758696992951</v>
      </c>
      <c r="AX61" s="95">
        <f t="shared" si="8"/>
        <v>-22.255506035653255</v>
      </c>
      <c r="AY61" s="11">
        <f t="shared" si="9"/>
        <v>0.1</v>
      </c>
      <c r="AZ61" s="96">
        <f t="shared" si="36"/>
        <v>-24.481056639218583</v>
      </c>
      <c r="BA61" s="95">
        <f t="shared" si="37"/>
        <v>-2.0946409306700837</v>
      </c>
      <c r="BB61" s="64">
        <f t="shared" si="38"/>
        <v>-1.6635594001463784E-2</v>
      </c>
      <c r="BC61" s="95">
        <f t="shared" si="54"/>
        <v>-2.1349758696992951</v>
      </c>
      <c r="BD61" s="96">
        <f t="shared" si="54"/>
        <v>-1.6955933234760967E-2</v>
      </c>
      <c r="BE61" s="96">
        <f t="shared" si="40"/>
        <v>-2.0946409306700837</v>
      </c>
      <c r="BF61" s="96">
        <f t="shared" si="41"/>
        <v>-1.6635594001463784E-2</v>
      </c>
      <c r="BG61" s="15">
        <f t="shared" si="42"/>
        <v>-305.26681577774309</v>
      </c>
      <c r="BH61" s="46">
        <f>(SUMPRODUCT(BE62:BE$605,$I61:$I$604)+SUMPRODUCT(BF62:BF$605,$I62:$I$605)) / $I61</f>
        <v>-299.4995756993946</v>
      </c>
      <c r="BJ61" s="46">
        <f t="shared" si="53"/>
        <v>-2.0946409306700837</v>
      </c>
      <c r="BK61" s="46">
        <f t="shared" si="43"/>
        <v>-30.757001359021277</v>
      </c>
      <c r="BM61" s="49">
        <f t="shared" si="10"/>
        <v>9036.8705317108579</v>
      </c>
      <c r="BN61" s="50">
        <f t="shared" si="44"/>
        <v>8860.0010292650149</v>
      </c>
      <c r="BP61" s="68">
        <f>INDEX(Others!$H$11:$I$60, MATCH(C61, Others!$A$11:$A$60, 0), MATCH(BP$3, Others!$H$10:$I$10, 0))</f>
        <v>2.8373292996184574E-2</v>
      </c>
      <c r="BQ61" s="16">
        <f t="shared" si="45"/>
        <v>2.3342389871940927E-3</v>
      </c>
      <c r="BR61" s="69">
        <f t="shared" si="46"/>
        <v>0.89632680135766096</v>
      </c>
      <c r="BT61" s="46">
        <f t="shared" si="47"/>
        <v>9519.7289282176971</v>
      </c>
      <c r="BU61" s="49">
        <f t="shared" si="50"/>
        <v>672.89784609512424</v>
      </c>
      <c r="BV61" s="46">
        <f t="shared" si="51"/>
        <v>659.72789895268215</v>
      </c>
      <c r="BX61" s="46">
        <f t="shared" si="52"/>
        <v>9709.7683778059818</v>
      </c>
    </row>
    <row r="62" spans="1:76" x14ac:dyDescent="0.25">
      <c r="A62" s="61">
        <f t="shared" si="0"/>
        <v>4.75</v>
      </c>
      <c r="B62" s="32">
        <f t="shared" si="11"/>
        <v>9</v>
      </c>
      <c r="C62" s="62">
        <f t="shared" si="12"/>
        <v>5</v>
      </c>
      <c r="D62" s="64">
        <f t="shared" si="13"/>
        <v>5.25</v>
      </c>
      <c r="E62" s="28">
        <f t="shared" si="14"/>
        <v>5</v>
      </c>
      <c r="G62" s="68">
        <f>INDEX(Others!$D$11:$E$60, MATCH(C62, Others!$A$11:$A$60, 0), MATCH(G$3, Others!$D$10:$E$10, 0))</f>
        <v>3.7831057328246098E-2</v>
      </c>
      <c r="H62" s="16">
        <f t="shared" si="15"/>
        <v>3.099210455032253E-3</v>
      </c>
      <c r="I62" s="69">
        <f t="shared" si="16"/>
        <v>0.86203730811480395</v>
      </c>
      <c r="K62" s="80">
        <f>INDEX(Mortality!$B$7:$F$32, MATCH( E62,Mortality!$A$7:$A$32, 0), MATCH( K$3,Mortality!$B$6:$F$6,0))</f>
        <v>0.33799999999999997</v>
      </c>
      <c r="L62" s="11" cm="1">
        <f t="array" ref="L62">PAD_Res_Mort</f>
        <v>0.15</v>
      </c>
      <c r="M62" s="80">
        <f t="shared" si="17"/>
        <v>0.38869999999999993</v>
      </c>
      <c r="N62" s="76">
        <f>INDEX('Myopia_(Reserve)'!$H:$H, MATCH(E62, 'Myopia_(Reserve)'!$A:$A, 0)) * Trend_Factor_Reserve^(A62)</f>
        <v>6.0945614368278163</v>
      </c>
      <c r="O62" s="11">
        <f t="shared" si="1"/>
        <v>0.3</v>
      </c>
      <c r="P62" s="80">
        <f t="shared" si="18"/>
        <v>7.922929867876161</v>
      </c>
      <c r="Q62" s="76">
        <f>VLOOKUP(C62,Others!$L$10:$M$61,2)</f>
        <v>0</v>
      </c>
      <c r="R62" s="11">
        <f t="shared" si="2"/>
        <v>0</v>
      </c>
      <c r="S62" s="80">
        <f t="shared" si="19"/>
        <v>0</v>
      </c>
      <c r="T62" s="78">
        <f t="shared" si="20"/>
        <v>3.2391666666666663E-5</v>
      </c>
      <c r="U62" s="81">
        <f t="shared" si="21"/>
        <v>6.6024415565634669E-4</v>
      </c>
      <c r="V62" s="81">
        <f t="shared" si="22"/>
        <v>0</v>
      </c>
      <c r="W62" s="77">
        <f t="shared" si="3"/>
        <v>0.98042801412002101</v>
      </c>
      <c r="X62" s="82">
        <f t="shared" si="23"/>
        <v>3.1747213506977017E-5</v>
      </c>
      <c r="Y62" s="82">
        <f t="shared" si="24"/>
        <v>6.4731138244744136E-4</v>
      </c>
      <c r="Z62" s="82">
        <f t="shared" si="25"/>
        <v>0</v>
      </c>
      <c r="AA62" s="82">
        <f t="shared" si="26"/>
        <v>0.9797489555240666</v>
      </c>
      <c r="AC62" s="46">
        <f t="shared" si="4"/>
        <v>0</v>
      </c>
      <c r="AD62" s="15">
        <f t="shared" si="27"/>
        <v>0</v>
      </c>
      <c r="AE62" s="46">
        <f t="shared" si="28"/>
        <v>0</v>
      </c>
      <c r="AF62" s="15">
        <f t="shared" si="29"/>
        <v>0</v>
      </c>
      <c r="AG62" s="46">
        <f>SUMPRODUCT(AE63:AE$605, $I62:$I$604) / $I62</f>
        <v>0</v>
      </c>
      <c r="AI62" s="46">
        <f t="shared" si="5"/>
        <v>-47000</v>
      </c>
      <c r="AJ62" s="46">
        <f>IF(E62&gt;Mat_Year,0,  -SUM($AD$5:AD62))</f>
        <v>-9306</v>
      </c>
      <c r="AK62" s="24">
        <f t="shared" si="30"/>
        <v>-0.29543956889592815</v>
      </c>
      <c r="AL62" s="79">
        <f t="shared" si="31"/>
        <v>-30.423634975029746</v>
      </c>
      <c r="AM62" s="24">
        <f t="shared" si="32"/>
        <v>-31.332310074286738</v>
      </c>
      <c r="AN62" s="79">
        <f t="shared" si="33"/>
        <v>-30.719074543925675</v>
      </c>
      <c r="AO62" s="15">
        <f t="shared" si="34"/>
        <v>-8727.1202489114785</v>
      </c>
      <c r="AP62" s="46">
        <f>SUMPRODUCT(AN63:AN$605, $I63:$I$605) / $I62</f>
        <v>-8556.3131746269046</v>
      </c>
      <c r="AR62" s="46">
        <v>0</v>
      </c>
      <c r="AS62" s="46">
        <v>0</v>
      </c>
      <c r="AT62" s="46">
        <v>0</v>
      </c>
      <c r="AU62" s="95">
        <f t="shared" si="6"/>
        <v>-1.9446477236889745</v>
      </c>
      <c r="AV62" s="47">
        <f t="shared" si="7"/>
        <v>0.1</v>
      </c>
      <c r="AW62" s="96">
        <f t="shared" si="35"/>
        <v>-2.139112496057872</v>
      </c>
      <c r="AX62" s="95">
        <f t="shared" si="8"/>
        <v>-22.298627231633574</v>
      </c>
      <c r="AY62" s="11">
        <f t="shared" si="9"/>
        <v>0.1</v>
      </c>
      <c r="AZ62" s="96">
        <f t="shared" si="36"/>
        <v>-24.528489954796935</v>
      </c>
      <c r="BA62" s="95">
        <f t="shared" si="37"/>
        <v>-2.0972458164893406</v>
      </c>
      <c r="BB62" s="64">
        <f t="shared" si="38"/>
        <v>-1.6656281949586463E-2</v>
      </c>
      <c r="BC62" s="95">
        <f t="shared" si="54"/>
        <v>-2.139112496057872</v>
      </c>
      <c r="BD62" s="96">
        <f t="shared" si="54"/>
        <v>-1.6988786233873822E-2</v>
      </c>
      <c r="BE62" s="96">
        <f t="shared" si="40"/>
        <v>-2.0972458164893406</v>
      </c>
      <c r="BF62" s="96">
        <f t="shared" si="41"/>
        <v>-1.6656281949586463E-2</v>
      </c>
      <c r="BG62" s="15">
        <f t="shared" si="42"/>
        <v>-304.2624055156403</v>
      </c>
      <c r="BH62" s="46">
        <f>(SUMPRODUCT(BE63:BE$605,$I62:$I$604)+SUMPRODUCT(BF63:BF$605,$I63:$I$605)) / $I62</f>
        <v>-298.30738601107976</v>
      </c>
      <c r="BJ62" s="46">
        <f t="shared" si="53"/>
        <v>-2.0972458164893406</v>
      </c>
      <c r="BK62" s="46">
        <f t="shared" si="43"/>
        <v>-30.735730825875262</v>
      </c>
      <c r="BM62" s="49">
        <f t="shared" si="10"/>
        <v>9037.6422559202001</v>
      </c>
      <c r="BN62" s="50">
        <f t="shared" si="44"/>
        <v>8854.6205606379845</v>
      </c>
      <c r="BP62" s="68">
        <f>INDEX(Others!$H$11:$I$60, MATCH(C62, Others!$A$11:$A$60, 0), MATCH(BP$3, Others!$H$10:$I$10, 0))</f>
        <v>2.8373292996184574E-2</v>
      </c>
      <c r="BQ62" s="16">
        <f t="shared" si="45"/>
        <v>2.3342389871940927E-3</v>
      </c>
      <c r="BR62" s="69">
        <f t="shared" si="46"/>
        <v>0.89423943280971019</v>
      </c>
      <c r="BT62" s="46">
        <f t="shared" si="47"/>
        <v>9509.1123785141481</v>
      </c>
      <c r="BU62" s="49">
        <f t="shared" si="50"/>
        <v>668.01991896595257</v>
      </c>
      <c r="BV62" s="46">
        <f t="shared" si="51"/>
        <v>654.49181787616362</v>
      </c>
      <c r="BX62" s="46">
        <f t="shared" si="52"/>
        <v>9705.6621748861526</v>
      </c>
    </row>
    <row r="63" spans="1:76" x14ac:dyDescent="0.25">
      <c r="A63" s="61">
        <f t="shared" si="0"/>
        <v>4.833333333333333</v>
      </c>
      <c r="B63" s="32">
        <f t="shared" si="11"/>
        <v>10</v>
      </c>
      <c r="C63" s="62">
        <f t="shared" si="12"/>
        <v>5</v>
      </c>
      <c r="D63" s="64">
        <f t="shared" si="13"/>
        <v>5.333333333333333</v>
      </c>
      <c r="E63" s="28">
        <f t="shared" si="14"/>
        <v>5</v>
      </c>
      <c r="G63" s="68">
        <f>INDEX(Others!$D$11:$E$60, MATCH(C63, Others!$A$11:$A$60, 0), MATCH(G$3, Others!$D$10:$E$10, 0))</f>
        <v>3.7831057328246098E-2</v>
      </c>
      <c r="H63" s="16">
        <f t="shared" si="15"/>
        <v>3.099210455032253E-3</v>
      </c>
      <c r="I63" s="69">
        <f t="shared" si="16"/>
        <v>0.85937392745405616</v>
      </c>
      <c r="K63" s="80">
        <f>INDEX(Mortality!$B$7:$F$32, MATCH( E63,Mortality!$A$7:$A$32, 0), MATCH( K$3,Mortality!$B$6:$F$6,0))</f>
        <v>0.33799999999999997</v>
      </c>
      <c r="L63" s="11" cm="1">
        <f t="array" ref="L63">PAD_Res_Mort</f>
        <v>0.15</v>
      </c>
      <c r="M63" s="80">
        <f t="shared" si="17"/>
        <v>0.38869999999999993</v>
      </c>
      <c r="N63" s="76">
        <f>INDEX('Myopia_(Reserve)'!$H:$H, MATCH(E63, 'Myopia_(Reserve)'!$A:$A, 0)) * Trend_Factor_Reserve^(A63)</f>
        <v>6.0945614368278163</v>
      </c>
      <c r="O63" s="11">
        <f t="shared" si="1"/>
        <v>0.3</v>
      </c>
      <c r="P63" s="80">
        <f t="shared" si="18"/>
        <v>7.922929867876161</v>
      </c>
      <c r="Q63" s="76">
        <f>VLOOKUP(C63,Others!$L$10:$M$61,2)</f>
        <v>0</v>
      </c>
      <c r="R63" s="11">
        <f t="shared" si="2"/>
        <v>0</v>
      </c>
      <c r="S63" s="80">
        <f t="shared" si="19"/>
        <v>0</v>
      </c>
      <c r="T63" s="78">
        <f t="shared" si="20"/>
        <v>3.2391666666666663E-5</v>
      </c>
      <c r="U63" s="81">
        <f t="shared" si="21"/>
        <v>6.6024415565634669E-4</v>
      </c>
      <c r="V63" s="81">
        <f t="shared" si="22"/>
        <v>0</v>
      </c>
      <c r="W63" s="77">
        <f t="shared" si="3"/>
        <v>0.9797489555240666</v>
      </c>
      <c r="X63" s="82">
        <f t="shared" si="23"/>
        <v>3.1725224928602028E-5</v>
      </c>
      <c r="Y63" s="82">
        <f t="shared" si="24"/>
        <v>6.4686304523942648E-4</v>
      </c>
      <c r="Z63" s="82">
        <f t="shared" si="25"/>
        <v>0</v>
      </c>
      <c r="AA63" s="82">
        <f t="shared" si="26"/>
        <v>0.97907036725389862</v>
      </c>
      <c r="AC63" s="46">
        <f t="shared" si="4"/>
        <v>0</v>
      </c>
      <c r="AD63" s="15">
        <f t="shared" si="27"/>
        <v>0</v>
      </c>
      <c r="AE63" s="46">
        <f t="shared" si="28"/>
        <v>0</v>
      </c>
      <c r="AF63" s="15">
        <f t="shared" si="29"/>
        <v>0</v>
      </c>
      <c r="AG63" s="46">
        <f>SUMPRODUCT(AE64:AE$605, $I63:$I$604) / $I63</f>
        <v>0</v>
      </c>
      <c r="AI63" s="46">
        <f t="shared" si="5"/>
        <v>-47000</v>
      </c>
      <c r="AJ63" s="46">
        <f>IF(E63&gt;Mat_Year,0,  -SUM($AD$5:AD63))</f>
        <v>-9306</v>
      </c>
      <c r="AK63" s="24">
        <f t="shared" si="30"/>
        <v>-0.29523494318557048</v>
      </c>
      <c r="AL63" s="79">
        <f t="shared" si="31"/>
        <v>-30.402563126253046</v>
      </c>
      <c r="AM63" s="24">
        <f t="shared" si="32"/>
        <v>-31.332310074286731</v>
      </c>
      <c r="AN63" s="79">
        <f t="shared" si="33"/>
        <v>-30.697798069438615</v>
      </c>
      <c r="AO63" s="15">
        <f t="shared" si="34"/>
        <v>-8728.9025863061761</v>
      </c>
      <c r="AP63" s="46">
        <f>SUMPRODUCT(AN64:AN$605, $I64:$I$605) / $I63</f>
        <v>-8552.1331918047999</v>
      </c>
      <c r="AR63" s="46">
        <v>0</v>
      </c>
      <c r="AS63" s="46">
        <v>0</v>
      </c>
      <c r="AT63" s="46">
        <v>0</v>
      </c>
      <c r="AU63" s="95">
        <f t="shared" si="6"/>
        <v>-1.9484155794039391</v>
      </c>
      <c r="AV63" s="47">
        <f t="shared" si="7"/>
        <v>0.1</v>
      </c>
      <c r="AW63" s="96">
        <f t="shared" si="35"/>
        <v>-2.143257137344333</v>
      </c>
      <c r="AX63" s="95">
        <f t="shared" si="8"/>
        <v>-22.341831977165167</v>
      </c>
      <c r="AY63" s="11">
        <f t="shared" si="9"/>
        <v>0.1</v>
      </c>
      <c r="AZ63" s="96">
        <f t="shared" si="36"/>
        <v>-24.576015174881686</v>
      </c>
      <c r="BA63" s="95">
        <f t="shared" si="37"/>
        <v>-2.0998539417326114</v>
      </c>
      <c r="BB63" s="64">
        <f t="shared" si="38"/>
        <v>-1.6676995625146181E-2</v>
      </c>
      <c r="BC63" s="95">
        <f t="shared" si="54"/>
        <v>-2.1432571373443334</v>
      </c>
      <c r="BD63" s="96">
        <f t="shared" si="54"/>
        <v>-1.7021702887374528E-2</v>
      </c>
      <c r="BE63" s="96">
        <f t="shared" si="40"/>
        <v>-2.0998539417326114</v>
      </c>
      <c r="BF63" s="96">
        <f t="shared" si="41"/>
        <v>-1.6676995625146181E-2</v>
      </c>
      <c r="BG63" s="15">
        <f t="shared" si="42"/>
        <v>-303.24999366296584</v>
      </c>
      <c r="BH63" s="46">
        <f>(SUMPRODUCT(BE64:BE$605,$I63:$I$604)+SUMPRODUCT(BF64:BF$605,$I64:$I$605)) / $I63</f>
        <v>-297.10886455397059</v>
      </c>
      <c r="BJ63" s="46">
        <f t="shared" si="53"/>
        <v>-2.0998539417326114</v>
      </c>
      <c r="BK63" s="46">
        <f t="shared" si="43"/>
        <v>-30.714475065063763</v>
      </c>
      <c r="BM63" s="49">
        <f t="shared" si="10"/>
        <v>9038.4127150933673</v>
      </c>
      <c r="BN63" s="50">
        <f t="shared" si="44"/>
        <v>8849.2420563587693</v>
      </c>
      <c r="BP63" s="68">
        <f>INDEX(Others!$H$11:$I$60, MATCH(C63, Others!$A$11:$A$60, 0), MATCH(BP$3, Others!$H$10:$I$10, 0))</f>
        <v>2.8373292996184574E-2</v>
      </c>
      <c r="BQ63" s="16">
        <f t="shared" si="45"/>
        <v>2.3342389871940927E-3</v>
      </c>
      <c r="BR63" s="69">
        <f t="shared" si="46"/>
        <v>0.89215692533190527</v>
      </c>
      <c r="BT63" s="46">
        <f t="shared" si="47"/>
        <v>9498.4896887939503</v>
      </c>
      <c r="BU63" s="49">
        <f t="shared" si="50"/>
        <v>663.12662924953383</v>
      </c>
      <c r="BV63" s="46">
        <f t="shared" si="51"/>
        <v>649.247632435181</v>
      </c>
      <c r="BX63" s="46">
        <f t="shared" si="52"/>
        <v>9701.539344342902</v>
      </c>
    </row>
    <row r="64" spans="1:76" x14ac:dyDescent="0.25">
      <c r="A64" s="61">
        <f t="shared" si="0"/>
        <v>4.9166666666666661</v>
      </c>
      <c r="B64" s="32">
        <f t="shared" si="11"/>
        <v>11</v>
      </c>
      <c r="C64" s="62">
        <f t="shared" si="12"/>
        <v>5</v>
      </c>
      <c r="D64" s="64">
        <f t="shared" si="13"/>
        <v>5.4166666666666661</v>
      </c>
      <c r="E64" s="28">
        <f t="shared" si="14"/>
        <v>5</v>
      </c>
      <c r="G64" s="68">
        <f>INDEX(Others!$D$11:$E$60, MATCH(C64, Others!$A$11:$A$60, 0), MATCH(G$3, Others!$D$10:$E$10, 0))</f>
        <v>3.7831057328246098E-2</v>
      </c>
      <c r="H64" s="16">
        <f t="shared" si="15"/>
        <v>3.099210455032253E-3</v>
      </c>
      <c r="I64" s="69">
        <f t="shared" si="16"/>
        <v>0.85671877566748511</v>
      </c>
      <c r="K64" s="80">
        <f>INDEX(Mortality!$B$7:$F$32, MATCH( E64,Mortality!$A$7:$A$32, 0), MATCH( K$3,Mortality!$B$6:$F$6,0))</f>
        <v>0.33799999999999997</v>
      </c>
      <c r="L64" s="11" cm="1">
        <f t="array" ref="L64">PAD_Res_Mort</f>
        <v>0.15</v>
      </c>
      <c r="M64" s="80">
        <f t="shared" si="17"/>
        <v>0.38869999999999993</v>
      </c>
      <c r="N64" s="76">
        <f>INDEX('Myopia_(Reserve)'!$H:$H, MATCH(E64, 'Myopia_(Reserve)'!$A:$A, 0)) * Trend_Factor_Reserve^(A64)</f>
        <v>6.0945614368278163</v>
      </c>
      <c r="O64" s="11">
        <f t="shared" si="1"/>
        <v>0.3</v>
      </c>
      <c r="P64" s="80">
        <f t="shared" si="18"/>
        <v>7.922929867876161</v>
      </c>
      <c r="Q64" s="76">
        <f>VLOOKUP(C64,Others!$L$10:$M$61,2)</f>
        <v>0</v>
      </c>
      <c r="R64" s="11">
        <f t="shared" si="2"/>
        <v>0</v>
      </c>
      <c r="S64" s="80">
        <f t="shared" si="19"/>
        <v>0</v>
      </c>
      <c r="T64" s="78">
        <f t="shared" si="20"/>
        <v>3.2391666666666663E-5</v>
      </c>
      <c r="U64" s="81">
        <f t="shared" si="21"/>
        <v>6.6024415565634669E-4</v>
      </c>
      <c r="V64" s="81">
        <f t="shared" si="22"/>
        <v>0</v>
      </c>
      <c r="W64" s="77">
        <f t="shared" si="3"/>
        <v>0.97907036725389862</v>
      </c>
      <c r="X64" s="82">
        <f t="shared" si="23"/>
        <v>3.1703251579833847E-5</v>
      </c>
      <c r="Y64" s="82">
        <f t="shared" si="24"/>
        <v>6.4641501855623425E-4</v>
      </c>
      <c r="Z64" s="82">
        <f t="shared" si="25"/>
        <v>0</v>
      </c>
      <c r="AA64" s="82">
        <f t="shared" si="26"/>
        <v>0.97839224898376254</v>
      </c>
      <c r="AC64" s="46">
        <f t="shared" si="4"/>
        <v>0</v>
      </c>
      <c r="AD64" s="15">
        <f t="shared" si="27"/>
        <v>0</v>
      </c>
      <c r="AE64" s="46">
        <f t="shared" si="28"/>
        <v>0</v>
      </c>
      <c r="AF64" s="15">
        <f t="shared" si="29"/>
        <v>0</v>
      </c>
      <c r="AG64" s="46">
        <f>SUMPRODUCT(AE65:AE$605, $I64:$I$604) / $I64</f>
        <v>0</v>
      </c>
      <c r="AI64" s="46">
        <f t="shared" si="5"/>
        <v>-47000</v>
      </c>
      <c r="AJ64" s="46">
        <f>IF(E64&gt;Mat_Year,0,  -SUM($AD$5:AD64))</f>
        <v>-9306</v>
      </c>
      <c r="AK64" s="24">
        <f t="shared" si="30"/>
        <v>-0.29503045920193377</v>
      </c>
      <c r="AL64" s="79">
        <f t="shared" si="31"/>
        <v>-30.381505872143009</v>
      </c>
      <c r="AM64" s="24">
        <f t="shared" si="32"/>
        <v>-31.332310074286735</v>
      </c>
      <c r="AN64" s="79">
        <f t="shared" si="33"/>
        <v>-30.676536331344941</v>
      </c>
      <c r="AO64" s="15">
        <f t="shared" si="34"/>
        <v>-8730.6916866963202</v>
      </c>
      <c r="AP64" s="46">
        <f>SUMPRODUCT(AN65:AN$605, $I65:$I$605) / $I64</f>
        <v>-8547.9615160743251</v>
      </c>
      <c r="AR64" s="46">
        <v>0</v>
      </c>
      <c r="AS64" s="46">
        <v>0</v>
      </c>
      <c r="AT64" s="46">
        <v>0</v>
      </c>
      <c r="AU64" s="95">
        <f t="shared" si="6"/>
        <v>-1.9521907355345605</v>
      </c>
      <c r="AV64" s="47">
        <f t="shared" si="7"/>
        <v>0.1</v>
      </c>
      <c r="AW64" s="96">
        <f t="shared" si="35"/>
        <v>-2.1474098090880167</v>
      </c>
      <c r="AX64" s="95">
        <f t="shared" si="8"/>
        <v>-22.385120434129625</v>
      </c>
      <c r="AY64" s="11">
        <f t="shared" si="9"/>
        <v>0.1</v>
      </c>
      <c r="AZ64" s="96">
        <f t="shared" si="36"/>
        <v>-24.623632477542589</v>
      </c>
      <c r="BA64" s="95">
        <f t="shared" si="37"/>
        <v>-2.1024653104284288</v>
      </c>
      <c r="BB64" s="64">
        <f t="shared" si="38"/>
        <v>-1.6697735060137487E-2</v>
      </c>
      <c r="BC64" s="95">
        <f t="shared" si="54"/>
        <v>-2.1474098090880167</v>
      </c>
      <c r="BD64" s="96">
        <f t="shared" si="54"/>
        <v>-1.7054683318596778E-2</v>
      </c>
      <c r="BE64" s="96">
        <f t="shared" si="40"/>
        <v>-2.1024653104284288</v>
      </c>
      <c r="BF64" s="96">
        <f t="shared" si="41"/>
        <v>-1.6697735060137487E-2</v>
      </c>
      <c r="BG64" s="15">
        <f t="shared" si="42"/>
        <v>-302.22954173893748</v>
      </c>
      <c r="BH64" s="46">
        <f>(SUMPRODUCT(BE65:BE$605,$I64:$I$604)+SUMPRODUCT(BF65:BF$605,$I65:$I$605)) / $I64</f>
        <v>-295.90398842531903</v>
      </c>
      <c r="BJ64" s="46">
        <f t="shared" si="53"/>
        <v>-2.1024653104284288</v>
      </c>
      <c r="BK64" s="46">
        <f t="shared" si="43"/>
        <v>-30.693234066405079</v>
      </c>
      <c r="BM64" s="49">
        <f t="shared" si="10"/>
        <v>9039.1818963054939</v>
      </c>
      <c r="BN64" s="50">
        <f t="shared" si="44"/>
        <v>8843.8655044996431</v>
      </c>
      <c r="BP64" s="68">
        <f>INDEX(Others!$H$11:$I$60, MATCH(C64, Others!$A$11:$A$60, 0), MATCH(BP$3, Others!$H$10:$I$10, 0))</f>
        <v>2.8373292996184574E-2</v>
      </c>
      <c r="BQ64" s="16">
        <f t="shared" si="45"/>
        <v>2.3342389871940927E-3</v>
      </c>
      <c r="BR64" s="69">
        <f t="shared" si="46"/>
        <v>0.89007926760377143</v>
      </c>
      <c r="BT64" s="46">
        <f t="shared" si="47"/>
        <v>9487.8608267116633</v>
      </c>
      <c r="BU64" s="49">
        <f t="shared" si="50"/>
        <v>658.21793138787223</v>
      </c>
      <c r="BV64" s="46">
        <f t="shared" si="51"/>
        <v>643.99532221202026</v>
      </c>
      <c r="BX64" s="46">
        <f t="shared" si="52"/>
        <v>9697.3998276933653</v>
      </c>
    </row>
    <row r="65" spans="1:76" x14ac:dyDescent="0.25">
      <c r="A65" s="61">
        <f t="shared" si="0"/>
        <v>4.9999999999999991</v>
      </c>
      <c r="B65" s="32">
        <f t="shared" si="11"/>
        <v>12</v>
      </c>
      <c r="C65" s="62">
        <f t="shared" si="12"/>
        <v>5</v>
      </c>
      <c r="D65" s="64">
        <f t="shared" si="13"/>
        <v>5.4999999999999991</v>
      </c>
      <c r="E65" s="28">
        <f t="shared" si="14"/>
        <v>5</v>
      </c>
      <c r="G65" s="68">
        <f>INDEX(Others!$D$11:$E$60, MATCH(C65, Others!$A$11:$A$60, 0), MATCH(G$3, Others!$D$10:$E$10, 0))</f>
        <v>3.7831057328246098E-2</v>
      </c>
      <c r="H65" s="16">
        <f t="shared" si="15"/>
        <v>3.099210455032253E-3</v>
      </c>
      <c r="I65" s="69">
        <f t="shared" si="16"/>
        <v>0.85407182733087272</v>
      </c>
      <c r="K65" s="80">
        <f>INDEX(Mortality!$B$7:$F$32, MATCH( E65,Mortality!$A$7:$A$32, 0), MATCH( K$3,Mortality!$B$6:$F$6,0))</f>
        <v>0.33799999999999997</v>
      </c>
      <c r="L65" s="11" cm="1">
        <f t="array" ref="L65">PAD_Res_Mort</f>
        <v>0.15</v>
      </c>
      <c r="M65" s="80">
        <f t="shared" si="17"/>
        <v>0.38869999999999993</v>
      </c>
      <c r="N65" s="76">
        <f>INDEX('Myopia_(Reserve)'!$H:$H, MATCH(E65, 'Myopia_(Reserve)'!$A:$A, 0)) * Trend_Factor_Reserve^(A65)</f>
        <v>6.0945614368278163</v>
      </c>
      <c r="O65" s="11">
        <f t="shared" si="1"/>
        <v>0.3</v>
      </c>
      <c r="P65" s="80">
        <f t="shared" si="18"/>
        <v>7.922929867876161</v>
      </c>
      <c r="Q65" s="76">
        <f>VLOOKUP(C65,Others!$L$10:$M$61,2)</f>
        <v>0</v>
      </c>
      <c r="R65" s="11">
        <f t="shared" si="2"/>
        <v>0</v>
      </c>
      <c r="S65" s="80">
        <f t="shared" si="19"/>
        <v>0</v>
      </c>
      <c r="T65" s="78">
        <f t="shared" si="20"/>
        <v>3.2391666666666663E-5</v>
      </c>
      <c r="U65" s="81">
        <f t="shared" si="21"/>
        <v>6.6024415565634669E-4</v>
      </c>
      <c r="V65" s="81">
        <f t="shared" si="22"/>
        <v>0</v>
      </c>
      <c r="W65" s="77">
        <f t="shared" si="3"/>
        <v>0.97839224898376254</v>
      </c>
      <c r="X65" s="82">
        <f t="shared" si="23"/>
        <v>3.1681293450124223E-5</v>
      </c>
      <c r="Y65" s="82">
        <f t="shared" si="24"/>
        <v>6.459673021827903E-4</v>
      </c>
      <c r="Z65" s="82">
        <f t="shared" si="25"/>
        <v>0</v>
      </c>
      <c r="AA65" s="82">
        <f t="shared" si="26"/>
        <v>0.97771460038812963</v>
      </c>
      <c r="AC65" s="46">
        <f t="shared" si="4"/>
        <v>0</v>
      </c>
      <c r="AD65" s="15">
        <f t="shared" si="27"/>
        <v>0</v>
      </c>
      <c r="AE65" s="46">
        <f t="shared" si="28"/>
        <v>0</v>
      </c>
      <c r="AF65" s="15">
        <f t="shared" si="29"/>
        <v>0</v>
      </c>
      <c r="AG65" s="46">
        <f>SUMPRODUCT(AE66:AE$605, $I65:$I$604) / $I65</f>
        <v>0</v>
      </c>
      <c r="AI65" s="46">
        <f t="shared" si="5"/>
        <v>-47000</v>
      </c>
      <c r="AJ65" s="46">
        <f>IF(E65&gt;Mat_Year,0,  -SUM($AD$5:AD65))</f>
        <v>-9306</v>
      </c>
      <c r="AK65" s="24">
        <f t="shared" si="30"/>
        <v>-0.294826116846856</v>
      </c>
      <c r="AL65" s="79">
        <f t="shared" si="31"/>
        <v>-30.360463202591145</v>
      </c>
      <c r="AM65" s="24">
        <f t="shared" si="32"/>
        <v>-31.332310074286738</v>
      </c>
      <c r="AN65" s="79">
        <f t="shared" si="33"/>
        <v>-30.655289319438001</v>
      </c>
      <c r="AO65" s="15">
        <f t="shared" si="34"/>
        <v>-8732.4875757437767</v>
      </c>
      <c r="AP65" s="46">
        <f>SUMPRODUCT(AN66:AN$605, $I66:$I$605) / $I65</f>
        <v>-8543.7981584547178</v>
      </c>
      <c r="AR65" s="46">
        <v>0</v>
      </c>
      <c r="AS65" s="46">
        <v>0</v>
      </c>
      <c r="AT65" s="46">
        <v>0</v>
      </c>
      <c r="AU65" s="95">
        <f t="shared" si="6"/>
        <v>-1.955973206225772</v>
      </c>
      <c r="AV65" s="47">
        <f t="shared" si="7"/>
        <v>0.1</v>
      </c>
      <c r="AW65" s="96">
        <f t="shared" si="35"/>
        <v>-2.1515705268483494</v>
      </c>
      <c r="AX65" s="95">
        <f t="shared" si="8"/>
        <v>-22.428492764722183</v>
      </c>
      <c r="AY65" s="11">
        <f t="shared" si="9"/>
        <v>0.1</v>
      </c>
      <c r="AZ65" s="96">
        <f t="shared" si="36"/>
        <v>-24.671342041194404</v>
      </c>
      <c r="BA65" s="95">
        <f t="shared" si="37"/>
        <v>-2.1050799266103355</v>
      </c>
      <c r="BB65" s="64">
        <f t="shared" si="38"/>
        <v>-1.6718500286594669E-2</v>
      </c>
      <c r="BC65" s="95">
        <f t="shared" si="54"/>
        <v>-2.1515705268483494</v>
      </c>
      <c r="BD65" s="96">
        <f t="shared" si="54"/>
        <v>-1.7087727651113199E-2</v>
      </c>
      <c r="BE65" s="96">
        <f t="shared" si="40"/>
        <v>-2.1050799266103355</v>
      </c>
      <c r="BF65" s="96">
        <f t="shared" si="41"/>
        <v>-1.6718500286594669E-2</v>
      </c>
      <c r="BG65" s="15">
        <f t="shared" si="42"/>
        <v>-301.20101110102843</v>
      </c>
      <c r="BH65" s="46">
        <f>(SUMPRODUCT(BE66:BE$605,$I65:$I$604)+SUMPRODUCT(BF66:BF$605,$I66:$I$605)) / $I65</f>
        <v>-294.69273464731845</v>
      </c>
      <c r="BJ65" s="46">
        <f t="shared" si="53"/>
        <v>-2.1050799266103355</v>
      </c>
      <c r="BK65" s="46">
        <f t="shared" si="43"/>
        <v>-30.672007819724595</v>
      </c>
      <c r="BM65" s="49">
        <f t="shared" si="10"/>
        <v>9039.94978656692</v>
      </c>
      <c r="BN65" s="50">
        <f t="shared" si="44"/>
        <v>8838.4908931020345</v>
      </c>
      <c r="BP65" s="68">
        <f>INDEX(Others!$H$11:$I$60, MATCH(C65, Others!$A$11:$A$60, 0), MATCH(BP$3, Others!$H$10:$I$10, 0))</f>
        <v>2.8373292996184574E-2</v>
      </c>
      <c r="BQ65" s="16">
        <f t="shared" si="45"/>
        <v>2.3342389871940927E-3</v>
      </c>
      <c r="BR65" s="69">
        <f t="shared" si="46"/>
        <v>0.88800644833119702</v>
      </c>
      <c r="BT65" s="46">
        <f t="shared" si="47"/>
        <v>9477.2257598524739</v>
      </c>
      <c r="BU65" s="49">
        <f t="shared" si="50"/>
        <v>653.29377969488917</v>
      </c>
      <c r="BV65" s="46">
        <f t="shared" si="51"/>
        <v>638.73486675043932</v>
      </c>
      <c r="BX65" s="46">
        <f t="shared" si="52"/>
        <v>9693.24356626181</v>
      </c>
    </row>
    <row r="66" spans="1:76" x14ac:dyDescent="0.25">
      <c r="A66" s="61">
        <f t="shared" si="0"/>
        <v>5.0833333333333321</v>
      </c>
      <c r="B66" s="32">
        <f t="shared" si="11"/>
        <v>1</v>
      </c>
      <c r="C66" s="62">
        <f t="shared" si="12"/>
        <v>6</v>
      </c>
      <c r="D66" s="64">
        <f t="shared" si="13"/>
        <v>5.5833333333333321</v>
      </c>
      <c r="E66" s="28">
        <f t="shared" si="14"/>
        <v>5</v>
      </c>
      <c r="G66" s="68">
        <f>INDEX(Others!$D$11:$E$60, MATCH(C66, Others!$A$11:$A$60, 0), MATCH(G$3, Others!$D$10:$E$10, 0))</f>
        <v>4.0721103265794367E-2</v>
      </c>
      <c r="H66" s="16">
        <f t="shared" si="15"/>
        <v>3.3316912372947094E-3</v>
      </c>
      <c r="I66" s="69">
        <f t="shared" si="16"/>
        <v>0.85123577256654104</v>
      </c>
      <c r="K66" s="80">
        <f>INDEX(Mortality!$B$7:$F$32, MATCH( E66,Mortality!$A$7:$A$32, 0), MATCH( K$3,Mortality!$B$6:$F$6,0))</f>
        <v>0.33799999999999997</v>
      </c>
      <c r="L66" s="11" cm="1">
        <f t="array" ref="L66">PAD_Res_Mort</f>
        <v>0.15</v>
      </c>
      <c r="M66" s="80">
        <f t="shared" si="17"/>
        <v>0.38869999999999993</v>
      </c>
      <c r="N66" s="76">
        <f>INDEX('Myopia_(Reserve)'!$H:$H, MATCH(E66, 'Myopia_(Reserve)'!$A:$A, 0)) * Trend_Factor_Reserve^(A66)</f>
        <v>6.0945614368278163</v>
      </c>
      <c r="O66" s="11">
        <f t="shared" si="1"/>
        <v>0.3</v>
      </c>
      <c r="P66" s="80">
        <f t="shared" si="18"/>
        <v>7.922929867876161</v>
      </c>
      <c r="Q66" s="76">
        <f>VLOOKUP(C66,Others!$L$10:$M$61,2)</f>
        <v>0</v>
      </c>
      <c r="R66" s="11">
        <f t="shared" si="2"/>
        <v>0</v>
      </c>
      <c r="S66" s="80">
        <f t="shared" si="19"/>
        <v>0</v>
      </c>
      <c r="T66" s="78">
        <f t="shared" si="20"/>
        <v>3.2391666666666663E-5</v>
      </c>
      <c r="U66" s="81">
        <f t="shared" si="21"/>
        <v>6.6024415565634669E-4</v>
      </c>
      <c r="V66" s="81">
        <f t="shared" si="22"/>
        <v>0</v>
      </c>
      <c r="W66" s="77">
        <f t="shared" si="3"/>
        <v>0.97771460038812963</v>
      </c>
      <c r="X66" s="82">
        <f t="shared" si="23"/>
        <v>3.1659350528932232E-5</v>
      </c>
      <c r="Y66" s="82">
        <f t="shared" si="24"/>
        <v>6.4551989590416975E-4</v>
      </c>
      <c r="Z66" s="82">
        <f t="shared" si="25"/>
        <v>0</v>
      </c>
      <c r="AA66" s="82">
        <f t="shared" si="26"/>
        <v>0.97703742114169656</v>
      </c>
      <c r="AC66" s="46">
        <f t="shared" si="4"/>
        <v>0</v>
      </c>
      <c r="AD66" s="15">
        <f t="shared" si="27"/>
        <v>0</v>
      </c>
      <c r="AE66" s="46">
        <f t="shared" si="28"/>
        <v>0</v>
      </c>
      <c r="AF66" s="15">
        <f t="shared" si="29"/>
        <v>0</v>
      </c>
      <c r="AG66" s="46">
        <f>SUMPRODUCT(AE67:AE$605, $I66:$I$604) / $I66</f>
        <v>0</v>
      </c>
      <c r="AI66" s="46">
        <f t="shared" si="5"/>
        <v>-47000</v>
      </c>
      <c r="AJ66" s="46">
        <f>IF(E66&gt;Mat_Year,0,  -SUM($AD$5:AD66))</f>
        <v>-9306</v>
      </c>
      <c r="AK66" s="24">
        <f t="shared" si="30"/>
        <v>-0.29462191602224336</v>
      </c>
      <c r="AL66" s="79">
        <f t="shared" si="31"/>
        <v>-30.339435107495976</v>
      </c>
      <c r="AM66" s="24">
        <f t="shared" si="32"/>
        <v>-31.332310074286731</v>
      </c>
      <c r="AN66" s="79">
        <f t="shared" si="33"/>
        <v>-30.634057023518221</v>
      </c>
      <c r="AO66" s="15">
        <f t="shared" si="34"/>
        <v>-8736.3218218262391</v>
      </c>
      <c r="AP66" s="46">
        <f>SUMPRODUCT(AN67:AN$605, $I67:$I$605) / $I66</f>
        <v>-8541.6293988889374</v>
      </c>
      <c r="AR66" s="46">
        <v>0</v>
      </c>
      <c r="AS66" s="46">
        <v>0</v>
      </c>
      <c r="AT66" s="46">
        <v>0</v>
      </c>
      <c r="AU66" s="95">
        <f t="shared" si="6"/>
        <v>-1.959763005649914</v>
      </c>
      <c r="AV66" s="47">
        <f t="shared" si="7"/>
        <v>0.1</v>
      </c>
      <c r="AW66" s="96">
        <f t="shared" si="35"/>
        <v>-2.1557393062149055</v>
      </c>
      <c r="AX66" s="95">
        <f t="shared" si="8"/>
        <v>-22.471949131452345</v>
      </c>
      <c r="AY66" s="11">
        <f t="shared" si="9"/>
        <v>0.1</v>
      </c>
      <c r="AZ66" s="96">
        <f t="shared" si="36"/>
        <v>-24.719144044597581</v>
      </c>
      <c r="BA66" s="95">
        <f t="shared" si="37"/>
        <v>-2.10769779431689</v>
      </c>
      <c r="BB66" s="64">
        <f t="shared" si="38"/>
        <v>-1.673929133659189E-2</v>
      </c>
      <c r="BC66" s="95">
        <f t="shared" si="54"/>
        <v>-2.1557393062149055</v>
      </c>
      <c r="BD66" s="96">
        <f t="shared" si="54"/>
        <v>-1.7120836008735867E-2</v>
      </c>
      <c r="BE66" s="96">
        <f t="shared" si="40"/>
        <v>-2.10769779431689</v>
      </c>
      <c r="BF66" s="96">
        <f t="shared" si="41"/>
        <v>-1.673929133659189E-2</v>
      </c>
      <c r="BG66" s="15">
        <f t="shared" si="42"/>
        <v>-300.23393375590581</v>
      </c>
      <c r="BH66" s="46">
        <f>(SUMPRODUCT(BE67:BE$605,$I66:$I$604)+SUMPRODUCT(BF67:BF$605,$I67:$I$605)) / $I66</f>
        <v>-293.54310056511162</v>
      </c>
      <c r="BJ66" s="46">
        <f t="shared" si="53"/>
        <v>-2.10769779431689</v>
      </c>
      <c r="BK66" s="46">
        <f t="shared" si="43"/>
        <v>-30.650796314854812</v>
      </c>
      <c r="BM66" s="49">
        <f t="shared" si="10"/>
        <v>9042.8189425230958</v>
      </c>
      <c r="BN66" s="50">
        <f t="shared" si="44"/>
        <v>8835.1724994540491</v>
      </c>
      <c r="BP66" s="68">
        <f>INDEX(Others!$H$11:$I$60, MATCH(C66, Others!$A$11:$A$60, 0), MATCH(BP$3, Others!$H$10:$I$10, 0))</f>
        <v>3.0540827449345775E-2</v>
      </c>
      <c r="BQ66" s="16">
        <f t="shared" si="45"/>
        <v>2.5101234003981343E-3</v>
      </c>
      <c r="BR66" s="69">
        <f t="shared" si="46"/>
        <v>0.88578302363589312</v>
      </c>
      <c r="BT66" s="46">
        <f t="shared" si="47"/>
        <v>9468.2509813124088</v>
      </c>
      <c r="BU66" s="49">
        <f t="shared" si="50"/>
        <v>647.95725133904205</v>
      </c>
      <c r="BV66" s="46">
        <f t="shared" si="51"/>
        <v>633.07848185835974</v>
      </c>
      <c r="BX66" s="46">
        <f t="shared" si="52"/>
        <v>9690.776193862137</v>
      </c>
    </row>
    <row r="67" spans="1:76" x14ac:dyDescent="0.25">
      <c r="A67" s="61">
        <f t="shared" si="0"/>
        <v>5.1666666666666652</v>
      </c>
      <c r="B67" s="32">
        <f t="shared" si="11"/>
        <v>2</v>
      </c>
      <c r="C67" s="62">
        <f t="shared" si="12"/>
        <v>6</v>
      </c>
      <c r="D67" s="64">
        <f t="shared" si="13"/>
        <v>5.6666666666666652</v>
      </c>
      <c r="E67" s="28">
        <f t="shared" si="14"/>
        <v>5</v>
      </c>
      <c r="G67" s="68">
        <f>INDEX(Others!$D$11:$E$60, MATCH(C67, Others!$A$11:$A$60, 0), MATCH(G$3, Others!$D$10:$E$10, 0))</f>
        <v>4.0721103265794367E-2</v>
      </c>
      <c r="H67" s="16">
        <f t="shared" si="15"/>
        <v>3.3316912372947094E-3</v>
      </c>
      <c r="I67" s="69">
        <f t="shared" si="16"/>
        <v>0.84840913528487161</v>
      </c>
      <c r="K67" s="80">
        <f>INDEX(Mortality!$B$7:$F$32, MATCH( E67,Mortality!$A$7:$A$32, 0), MATCH( K$3,Mortality!$B$6:$F$6,0))</f>
        <v>0.33799999999999997</v>
      </c>
      <c r="L67" s="11" cm="1">
        <f t="array" ref="L67">PAD_Res_Mort</f>
        <v>0.15</v>
      </c>
      <c r="M67" s="80">
        <f t="shared" si="17"/>
        <v>0.38869999999999993</v>
      </c>
      <c r="N67" s="76">
        <f>INDEX('Myopia_(Reserve)'!$H:$H, MATCH(E67, 'Myopia_(Reserve)'!$A:$A, 0)) * Trend_Factor_Reserve^(A67)</f>
        <v>6.0945614368278163</v>
      </c>
      <c r="O67" s="11">
        <f t="shared" si="1"/>
        <v>0.3</v>
      </c>
      <c r="P67" s="80">
        <f t="shared" si="18"/>
        <v>7.922929867876161</v>
      </c>
      <c r="Q67" s="76">
        <f>VLOOKUP(C67,Others!$L$10:$M$61,2)</f>
        <v>0</v>
      </c>
      <c r="R67" s="11">
        <f t="shared" si="2"/>
        <v>0</v>
      </c>
      <c r="S67" s="80">
        <f t="shared" si="19"/>
        <v>0</v>
      </c>
      <c r="T67" s="78">
        <f t="shared" si="20"/>
        <v>3.2391666666666663E-5</v>
      </c>
      <c r="U67" s="81">
        <f t="shared" si="21"/>
        <v>6.6024415565634669E-4</v>
      </c>
      <c r="V67" s="81">
        <f t="shared" si="22"/>
        <v>0</v>
      </c>
      <c r="W67" s="77">
        <f t="shared" si="3"/>
        <v>0.97703742114169656</v>
      </c>
      <c r="X67" s="82">
        <f t="shared" si="23"/>
        <v>3.1637422805724224E-5</v>
      </c>
      <c r="Y67" s="82">
        <f t="shared" si="24"/>
        <v>6.4507279950559661E-4</v>
      </c>
      <c r="Z67" s="82">
        <f t="shared" si="25"/>
        <v>0</v>
      </c>
      <c r="AA67" s="82">
        <f t="shared" si="26"/>
        <v>0.97636071091938526</v>
      </c>
      <c r="AC67" s="46">
        <f t="shared" si="4"/>
        <v>0</v>
      </c>
      <c r="AD67" s="15">
        <f t="shared" si="27"/>
        <v>0</v>
      </c>
      <c r="AE67" s="46">
        <f t="shared" si="28"/>
        <v>0</v>
      </c>
      <c r="AF67" s="15">
        <f t="shared" si="29"/>
        <v>0</v>
      </c>
      <c r="AG67" s="46">
        <f>SUMPRODUCT(AE68:AE$605, $I67:$I$604) / $I67</f>
        <v>0</v>
      </c>
      <c r="AI67" s="46">
        <f t="shared" si="5"/>
        <v>-47000</v>
      </c>
      <c r="AJ67" s="46">
        <f>IF(E67&gt;Mat_Year,0,  -SUM($AD$5:AD67))</f>
        <v>-9306</v>
      </c>
      <c r="AK67" s="24">
        <f t="shared" si="30"/>
        <v>-0.29441785663006964</v>
      </c>
      <c r="AL67" s="79">
        <f t="shared" si="31"/>
        <v>-30.31842157676304</v>
      </c>
      <c r="AM67" s="24">
        <f t="shared" si="32"/>
        <v>-31.332310074286735</v>
      </c>
      <c r="AN67" s="79">
        <f t="shared" si="33"/>
        <v>-30.612839433393109</v>
      </c>
      <c r="AO67" s="15">
        <f t="shared" si="34"/>
        <v>-8740.1715087815355</v>
      </c>
      <c r="AP67" s="46">
        <f>SUMPRODUCT(AN68:AN$605, $I68:$I$605) / $I67</f>
        <v>-8539.4746312760417</v>
      </c>
      <c r="AR67" s="46">
        <v>0</v>
      </c>
      <c r="AS67" s="46">
        <v>0</v>
      </c>
      <c r="AT67" s="46">
        <v>0</v>
      </c>
      <c r="AU67" s="95">
        <f t="shared" si="6"/>
        <v>-1.9635601480067861</v>
      </c>
      <c r="AV67" s="47">
        <f t="shared" si="7"/>
        <v>0.1</v>
      </c>
      <c r="AW67" s="96">
        <f t="shared" si="35"/>
        <v>-2.1599161628074648</v>
      </c>
      <c r="AX67" s="95">
        <f t="shared" si="8"/>
        <v>-22.515489697144478</v>
      </c>
      <c r="AY67" s="11">
        <f t="shared" si="9"/>
        <v>0.1</v>
      </c>
      <c r="AZ67" s="96">
        <f t="shared" si="36"/>
        <v>-24.767038666858927</v>
      </c>
      <c r="BA67" s="95">
        <f t="shared" si="37"/>
        <v>-2.1103189175916741</v>
      </c>
      <c r="BB67" s="64">
        <f t="shared" si="38"/>
        <v>-1.6760108242243183E-2</v>
      </c>
      <c r="BC67" s="95">
        <f t="shared" si="54"/>
        <v>-2.1599161628074648</v>
      </c>
      <c r="BD67" s="96">
        <f t="shared" si="54"/>
        <v>-1.7154008515516746E-2</v>
      </c>
      <c r="BE67" s="96">
        <f t="shared" si="40"/>
        <v>-2.1103189175916741</v>
      </c>
      <c r="BF67" s="96">
        <f t="shared" si="41"/>
        <v>-1.6760108242243183E-2</v>
      </c>
      <c r="BG67" s="15">
        <f t="shared" si="42"/>
        <v>-299.25873795344557</v>
      </c>
      <c r="BH67" s="46">
        <f>(SUMPRODUCT(BE68:BE$605,$I67:$I$604)+SUMPRODUCT(BF68:BF$605,$I68:$I$605)) / $I67</f>
        <v>-292.38698558415319</v>
      </c>
      <c r="BJ67" s="46">
        <f t="shared" si="53"/>
        <v>-2.1103189175916741</v>
      </c>
      <c r="BK67" s="46">
        <f t="shared" si="43"/>
        <v>-30.629599541635351</v>
      </c>
      <c r="BM67" s="49">
        <f t="shared" si="10"/>
        <v>9045.6954259698923</v>
      </c>
      <c r="BN67" s="50">
        <f t="shared" si="44"/>
        <v>8831.8616168601948</v>
      </c>
      <c r="BP67" s="68">
        <f>INDEX(Others!$H$11:$I$60, MATCH(C67, Others!$A$11:$A$60, 0), MATCH(BP$3, Others!$H$10:$I$10, 0))</f>
        <v>3.0540827449345775E-2</v>
      </c>
      <c r="BQ67" s="16">
        <f t="shared" si="45"/>
        <v>2.5101234003981343E-3</v>
      </c>
      <c r="BR67" s="69">
        <f t="shared" si="46"/>
        <v>0.88356516603684732</v>
      </c>
      <c r="BT67" s="46">
        <f t="shared" si="47"/>
        <v>9459.2722440413181</v>
      </c>
      <c r="BU67" s="49">
        <f t="shared" si="50"/>
        <v>642.60126422982057</v>
      </c>
      <c r="BV67" s="46">
        <f t="shared" si="51"/>
        <v>627.41062718112335</v>
      </c>
      <c r="BX67" s="46">
        <f t="shared" si="52"/>
        <v>9688.2966901997133</v>
      </c>
    </row>
    <row r="68" spans="1:76" x14ac:dyDescent="0.25">
      <c r="A68" s="61">
        <f t="shared" si="0"/>
        <v>5.2499999999999982</v>
      </c>
      <c r="B68" s="32">
        <f t="shared" si="11"/>
        <v>3</v>
      </c>
      <c r="C68" s="62">
        <f t="shared" si="12"/>
        <v>6</v>
      </c>
      <c r="D68" s="64">
        <f t="shared" si="13"/>
        <v>5.7499999999999982</v>
      </c>
      <c r="E68" s="28">
        <f t="shared" si="14"/>
        <v>5</v>
      </c>
      <c r="G68" s="68">
        <f>INDEX(Others!$D$11:$E$60, MATCH(C68, Others!$A$11:$A$60, 0), MATCH(G$3, Others!$D$10:$E$10, 0))</f>
        <v>4.0721103265794367E-2</v>
      </c>
      <c r="H68" s="16">
        <f t="shared" si="15"/>
        <v>3.3316912372947094E-3</v>
      </c>
      <c r="I68" s="69">
        <f t="shared" si="16"/>
        <v>0.84559188421390863</v>
      </c>
      <c r="K68" s="80">
        <f>INDEX(Mortality!$B$7:$F$32, MATCH( E68,Mortality!$A$7:$A$32, 0), MATCH( K$3,Mortality!$B$6:$F$6,0))</f>
        <v>0.33799999999999997</v>
      </c>
      <c r="L68" s="11" cm="1">
        <f t="array" ref="L68">PAD_Res_Mort</f>
        <v>0.15</v>
      </c>
      <c r="M68" s="80">
        <f t="shared" si="17"/>
        <v>0.38869999999999993</v>
      </c>
      <c r="N68" s="76">
        <f>INDEX('Myopia_(Reserve)'!$H:$H, MATCH(E68, 'Myopia_(Reserve)'!$A:$A, 0)) * Trend_Factor_Reserve^(A68)</f>
        <v>6.0945614368278163</v>
      </c>
      <c r="O68" s="11">
        <f t="shared" si="1"/>
        <v>0.3</v>
      </c>
      <c r="P68" s="80">
        <f t="shared" si="18"/>
        <v>7.922929867876161</v>
      </c>
      <c r="Q68" s="76">
        <f>VLOOKUP(C68,Others!$L$10:$M$61,2)</f>
        <v>0</v>
      </c>
      <c r="R68" s="11">
        <f t="shared" si="2"/>
        <v>0</v>
      </c>
      <c r="S68" s="80">
        <f t="shared" si="19"/>
        <v>0</v>
      </c>
      <c r="T68" s="78">
        <f t="shared" si="20"/>
        <v>3.2391666666666663E-5</v>
      </c>
      <c r="U68" s="81">
        <f t="shared" si="21"/>
        <v>6.6024415565634669E-4</v>
      </c>
      <c r="V68" s="81">
        <f t="shared" si="22"/>
        <v>0</v>
      </c>
      <c r="W68" s="77">
        <f t="shared" si="3"/>
        <v>0.97636071091938526</v>
      </c>
      <c r="X68" s="82">
        <f t="shared" si="23"/>
        <v>3.1615510269973852E-5</v>
      </c>
      <c r="Y68" s="82">
        <f t="shared" si="24"/>
        <v>6.446260127724434E-4</v>
      </c>
      <c r="Z68" s="82">
        <f t="shared" si="25"/>
        <v>0</v>
      </c>
      <c r="AA68" s="82">
        <f t="shared" si="26"/>
        <v>0.97568446939634279</v>
      </c>
      <c r="AC68" s="46">
        <f t="shared" si="4"/>
        <v>0</v>
      </c>
      <c r="AD68" s="15">
        <f t="shared" si="27"/>
        <v>0</v>
      </c>
      <c r="AE68" s="46">
        <f t="shared" si="28"/>
        <v>0</v>
      </c>
      <c r="AF68" s="15">
        <f t="shared" si="29"/>
        <v>0</v>
      </c>
      <c r="AG68" s="46">
        <f>SUMPRODUCT(AE69:AE$605, $I68:$I$604) / $I68</f>
        <v>0</v>
      </c>
      <c r="AI68" s="46">
        <f t="shared" si="5"/>
        <v>-47000</v>
      </c>
      <c r="AJ68" s="46">
        <f>IF(E68&gt;Mat_Year,0,  -SUM($AD$5:AD68))</f>
        <v>-9306</v>
      </c>
      <c r="AK68" s="24">
        <f t="shared" si="30"/>
        <v>-0.29421393857237665</v>
      </c>
      <c r="AL68" s="79">
        <f t="shared" si="31"/>
        <v>-30.297422600304841</v>
      </c>
      <c r="AM68" s="24">
        <f t="shared" si="32"/>
        <v>-31.332310074286738</v>
      </c>
      <c r="AN68" s="79">
        <f t="shared" si="33"/>
        <v>-30.591636538877218</v>
      </c>
      <c r="AO68" s="15">
        <f t="shared" si="34"/>
        <v>-8744.036698791524</v>
      </c>
      <c r="AP68" s="46">
        <f>SUMPRODUCT(AN69:AN$605, $I69:$I$605) / $I68</f>
        <v>-8537.3338875372865</v>
      </c>
      <c r="AR68" s="46">
        <v>0</v>
      </c>
      <c r="AS68" s="46">
        <v>0</v>
      </c>
      <c r="AT68" s="46">
        <v>0</v>
      </c>
      <c r="AU68" s="95">
        <f t="shared" si="6"/>
        <v>-1.9673646475237005</v>
      </c>
      <c r="AV68" s="47">
        <f t="shared" si="7"/>
        <v>0.1</v>
      </c>
      <c r="AW68" s="96">
        <f t="shared" si="35"/>
        <v>-2.1641011122760707</v>
      </c>
      <c r="AX68" s="95">
        <f t="shared" si="8"/>
        <v>-22.559114624938431</v>
      </c>
      <c r="AY68" s="11">
        <f t="shared" si="9"/>
        <v>0.1</v>
      </c>
      <c r="AZ68" s="96">
        <f t="shared" si="36"/>
        <v>-24.815026087432276</v>
      </c>
      <c r="BA68" s="95">
        <f t="shared" si="37"/>
        <v>-2.1129433004832969</v>
      </c>
      <c r="BB68" s="64">
        <f t="shared" si="38"/>
        <v>-1.678095103570252E-2</v>
      </c>
      <c r="BC68" s="95">
        <f t="shared" si="54"/>
        <v>-2.1641011122760707</v>
      </c>
      <c r="BD68" s="96">
        <f t="shared" si="54"/>
        <v>-1.7187245295748145E-2</v>
      </c>
      <c r="BE68" s="96">
        <f t="shared" si="40"/>
        <v>-2.1129433004832969</v>
      </c>
      <c r="BF68" s="96">
        <f t="shared" si="41"/>
        <v>-1.678095103570252E-2</v>
      </c>
      <c r="BG68" s="15">
        <f t="shared" si="42"/>
        <v>-298.27538281573698</v>
      </c>
      <c r="BH68" s="46">
        <f>(SUMPRODUCT(BE69:BE$605,$I68:$I$604)+SUMPRODUCT(BF69:BF$605,$I69:$I$605)) / $I68</f>
        <v>-291.22436481572475</v>
      </c>
      <c r="BJ68" s="46">
        <f t="shared" si="53"/>
        <v>-2.1129433004832969</v>
      </c>
      <c r="BK68" s="46">
        <f t="shared" si="43"/>
        <v>-30.60841748991292</v>
      </c>
      <c r="BM68" s="49">
        <f t="shared" si="10"/>
        <v>9048.5792582260256</v>
      </c>
      <c r="BN68" s="50">
        <f t="shared" si="44"/>
        <v>8828.558252353012</v>
      </c>
      <c r="BP68" s="68">
        <f>INDEX(Others!$H$11:$I$60, MATCH(C68, Others!$A$11:$A$60, 0), MATCH(BP$3, Others!$H$10:$I$10, 0))</f>
        <v>3.0540827449345775E-2</v>
      </c>
      <c r="BQ68" s="16">
        <f t="shared" si="45"/>
        <v>2.5101234003981343E-3</v>
      </c>
      <c r="BR68" s="69">
        <f t="shared" si="46"/>
        <v>0.88135286159494997</v>
      </c>
      <c r="BT68" s="46">
        <f t="shared" si="47"/>
        <v>9450.2895201130032</v>
      </c>
      <c r="BU68" s="49">
        <f t="shared" si="50"/>
        <v>637.22574998519462</v>
      </c>
      <c r="BV68" s="46">
        <f t="shared" si="51"/>
        <v>621.73126775999117</v>
      </c>
      <c r="BX68" s="46">
        <f t="shared" si="52"/>
        <v>9685.8050082112204</v>
      </c>
    </row>
    <row r="69" spans="1:76" x14ac:dyDescent="0.25">
      <c r="A69" s="61">
        <f t="shared" si="0"/>
        <v>5.3333333333333313</v>
      </c>
      <c r="B69" s="32">
        <f t="shared" si="11"/>
        <v>4</v>
      </c>
      <c r="C69" s="62">
        <f t="shared" si="12"/>
        <v>6</v>
      </c>
      <c r="D69" s="64">
        <f t="shared" si="13"/>
        <v>5.8333333333333313</v>
      </c>
      <c r="E69" s="28">
        <f t="shared" si="14"/>
        <v>5</v>
      </c>
      <c r="G69" s="68">
        <f>INDEX(Others!$D$11:$E$60, MATCH(C69, Others!$A$11:$A$60, 0), MATCH(G$3, Others!$D$10:$E$10, 0))</f>
        <v>4.0721103265794367E-2</v>
      </c>
      <c r="H69" s="16">
        <f t="shared" si="15"/>
        <v>3.3316912372947094E-3</v>
      </c>
      <c r="I69" s="69">
        <f t="shared" si="16"/>
        <v>0.84278398818553857</v>
      </c>
      <c r="K69" s="80">
        <f>INDEX(Mortality!$B$7:$F$32, MATCH( E69,Mortality!$A$7:$A$32, 0), MATCH( K$3,Mortality!$B$6:$F$6,0))</f>
        <v>0.33799999999999997</v>
      </c>
      <c r="L69" s="11" cm="1">
        <f t="array" ref="L69">PAD_Res_Mort</f>
        <v>0.15</v>
      </c>
      <c r="M69" s="80">
        <f t="shared" si="17"/>
        <v>0.38869999999999993</v>
      </c>
      <c r="N69" s="76">
        <f>INDEX('Myopia_(Reserve)'!$H:$H, MATCH(E69, 'Myopia_(Reserve)'!$A:$A, 0)) * Trend_Factor_Reserve^(A69)</f>
        <v>6.0945614368278163</v>
      </c>
      <c r="O69" s="11">
        <f t="shared" si="1"/>
        <v>0.3</v>
      </c>
      <c r="P69" s="80">
        <f t="shared" si="18"/>
        <v>7.922929867876161</v>
      </c>
      <c r="Q69" s="76">
        <f>VLOOKUP(C69,Others!$L$10:$M$61,2)</f>
        <v>0</v>
      </c>
      <c r="R69" s="11">
        <f t="shared" si="2"/>
        <v>0</v>
      </c>
      <c r="S69" s="80">
        <f t="shared" si="19"/>
        <v>0</v>
      </c>
      <c r="T69" s="78">
        <f t="shared" si="20"/>
        <v>3.2391666666666663E-5</v>
      </c>
      <c r="U69" s="81">
        <f t="shared" si="21"/>
        <v>6.6024415565634669E-4</v>
      </c>
      <c r="V69" s="81">
        <f t="shared" si="22"/>
        <v>0</v>
      </c>
      <c r="W69" s="77">
        <f t="shared" si="3"/>
        <v>0.97568446939634279</v>
      </c>
      <c r="X69" s="82">
        <f t="shared" si="23"/>
        <v>3.1593612911162064E-5</v>
      </c>
      <c r="Y69" s="82">
        <f t="shared" si="24"/>
        <v>6.4417953549023119E-4</v>
      </c>
      <c r="Z69" s="82">
        <f t="shared" si="25"/>
        <v>0</v>
      </c>
      <c r="AA69" s="82">
        <f t="shared" si="26"/>
        <v>0.9750086962479414</v>
      </c>
      <c r="AC69" s="46">
        <f t="shared" si="4"/>
        <v>0</v>
      </c>
      <c r="AD69" s="15">
        <f t="shared" si="27"/>
        <v>0</v>
      </c>
      <c r="AE69" s="46">
        <f t="shared" si="28"/>
        <v>0</v>
      </c>
      <c r="AF69" s="15">
        <f t="shared" si="29"/>
        <v>0</v>
      </c>
      <c r="AG69" s="46">
        <f>SUMPRODUCT(AE70:AE$605, $I69:$I$604) / $I69</f>
        <v>0</v>
      </c>
      <c r="AI69" s="46">
        <f t="shared" si="5"/>
        <v>-47000</v>
      </c>
      <c r="AJ69" s="46">
        <f>IF(E69&gt;Mat_Year,0,  -SUM($AD$5:AD69))</f>
        <v>-9306</v>
      </c>
      <c r="AK69" s="24">
        <f t="shared" si="30"/>
        <v>-0.29401016175127415</v>
      </c>
      <c r="AL69" s="79">
        <f t="shared" si="31"/>
        <v>-30.276438168040865</v>
      </c>
      <c r="AM69" s="24">
        <f t="shared" si="32"/>
        <v>-31.332310074286735</v>
      </c>
      <c r="AN69" s="79">
        <f t="shared" si="33"/>
        <v>-30.570448329792139</v>
      </c>
      <c r="AO69" s="15">
        <f t="shared" si="34"/>
        <v>-8747.9174542884812</v>
      </c>
      <c r="AP69" s="46">
        <f>SUMPRODUCT(AN70:AN$605, $I70:$I$605) / $I69</f>
        <v>-8535.2071997104631</v>
      </c>
      <c r="AR69" s="46">
        <v>0</v>
      </c>
      <c r="AS69" s="46">
        <v>0</v>
      </c>
      <c r="AT69" s="46">
        <v>0</v>
      </c>
      <c r="AU69" s="95">
        <f t="shared" si="6"/>
        <v>-1.971176518455537</v>
      </c>
      <c r="AV69" s="47">
        <f t="shared" si="7"/>
        <v>0.1</v>
      </c>
      <c r="AW69" s="96">
        <f t="shared" si="35"/>
        <v>-2.168294170301091</v>
      </c>
      <c r="AX69" s="95">
        <f t="shared" si="8"/>
        <v>-22.602824078290155</v>
      </c>
      <c r="AY69" s="11">
        <f t="shared" si="9"/>
        <v>0.1</v>
      </c>
      <c r="AZ69" s="96">
        <f t="shared" si="36"/>
        <v>-24.863106486119172</v>
      </c>
      <c r="BA69" s="95">
        <f t="shared" si="37"/>
        <v>-2.1155709470454034</v>
      </c>
      <c r="BB69" s="64">
        <f t="shared" si="38"/>
        <v>-1.6801819749163855E-2</v>
      </c>
      <c r="BC69" s="95">
        <f t="shared" si="54"/>
        <v>-2.168294170301091</v>
      </c>
      <c r="BD69" s="96">
        <f t="shared" si="54"/>
        <v>-1.7220546473963209E-2</v>
      </c>
      <c r="BE69" s="96">
        <f t="shared" si="40"/>
        <v>-2.1155709470454034</v>
      </c>
      <c r="BF69" s="96">
        <f t="shared" si="41"/>
        <v>-1.6801819749163855E-2</v>
      </c>
      <c r="BG69" s="15">
        <f t="shared" si="42"/>
        <v>-297.2838272843934</v>
      </c>
      <c r="BH69" s="46">
        <f>(SUMPRODUCT(BE70:BE$605,$I69:$I$604)+SUMPRODUCT(BF70:BF$605,$I70:$I$605)) / $I69</f>
        <v>-290.05521328408736</v>
      </c>
      <c r="BJ69" s="46">
        <f t="shared" si="53"/>
        <v>-2.1155709470454034</v>
      </c>
      <c r="BK69" s="46">
        <f t="shared" si="43"/>
        <v>-30.587250149541305</v>
      </c>
      <c r="BM69" s="49">
        <f t="shared" si="10"/>
        <v>9051.4704606801934</v>
      </c>
      <c r="BN69" s="50">
        <f t="shared" si="44"/>
        <v>8825.2624129945489</v>
      </c>
      <c r="BP69" s="68">
        <f>INDEX(Others!$H$11:$I$60, MATCH(C69, Others!$A$11:$A$60, 0), MATCH(BP$3, Others!$H$10:$I$10, 0))</f>
        <v>3.0540827449345775E-2</v>
      </c>
      <c r="BQ69" s="16">
        <f t="shared" si="45"/>
        <v>2.5101234003981343E-3</v>
      </c>
      <c r="BR69" s="69">
        <f t="shared" si="46"/>
        <v>0.87914609640599262</v>
      </c>
      <c r="BT69" s="46">
        <f t="shared" si="47"/>
        <v>9441.3027815372498</v>
      </c>
      <c r="BU69" s="49">
        <f t="shared" si="50"/>
        <v>631.83063998646014</v>
      </c>
      <c r="BV69" s="46">
        <f t="shared" si="51"/>
        <v>616.04036854270089</v>
      </c>
      <c r="BX69" s="46">
        <f t="shared" si="52"/>
        <v>9683.3011006666529</v>
      </c>
    </row>
    <row r="70" spans="1:76" x14ac:dyDescent="0.25">
      <c r="A70" s="61">
        <f t="shared" ref="A70:A133" si="55">A69+1/12</f>
        <v>5.4166666666666643</v>
      </c>
      <c r="B70" s="32">
        <f t="shared" si="11"/>
        <v>5</v>
      </c>
      <c r="C70" s="62">
        <f t="shared" si="12"/>
        <v>6</v>
      </c>
      <c r="D70" s="64">
        <f t="shared" si="13"/>
        <v>5.9166666666666643</v>
      </c>
      <c r="E70" s="28">
        <f t="shared" si="14"/>
        <v>5</v>
      </c>
      <c r="G70" s="68">
        <f>INDEX(Others!$D$11:$E$60, MATCH(C70, Others!$A$11:$A$60, 0), MATCH(G$3, Others!$D$10:$E$10, 0))</f>
        <v>4.0721103265794367E-2</v>
      </c>
      <c r="H70" s="16">
        <f t="shared" si="15"/>
        <v>3.3316912372947094E-3</v>
      </c>
      <c r="I70" s="69">
        <f t="shared" si="16"/>
        <v>0.83998541613514577</v>
      </c>
      <c r="K70" s="80">
        <f>INDEX(Mortality!$B$7:$F$32, MATCH( E70,Mortality!$A$7:$A$32, 0), MATCH( K$3,Mortality!$B$6:$F$6,0))</f>
        <v>0.33799999999999997</v>
      </c>
      <c r="L70" s="11" cm="1">
        <f t="array" ref="L70">PAD_Res_Mort</f>
        <v>0.15</v>
      </c>
      <c r="M70" s="80">
        <f t="shared" si="17"/>
        <v>0.38869999999999993</v>
      </c>
      <c r="N70" s="76">
        <f>INDEX('Myopia_(Reserve)'!$H:$H, MATCH(E70, 'Myopia_(Reserve)'!$A:$A, 0)) * Trend_Factor_Reserve^(A70)</f>
        <v>6.0945614368278163</v>
      </c>
      <c r="O70" s="11">
        <f t="shared" ref="O70:O133" si="56">PAD_Res_Incid</f>
        <v>0.3</v>
      </c>
      <c r="P70" s="80">
        <f t="shared" si="18"/>
        <v>7.922929867876161</v>
      </c>
      <c r="Q70" s="76">
        <f>VLOOKUP(C70,Others!$L$10:$M$61,2)</f>
        <v>0</v>
      </c>
      <c r="R70" s="11">
        <f t="shared" ref="R70:R133" si="57">PAD_Res_Laspe</f>
        <v>0</v>
      </c>
      <c r="S70" s="80">
        <f t="shared" si="19"/>
        <v>0</v>
      </c>
      <c r="T70" s="78">
        <f t="shared" si="20"/>
        <v>3.2391666666666663E-5</v>
      </c>
      <c r="U70" s="81">
        <f t="shared" si="21"/>
        <v>6.6024415565634669E-4</v>
      </c>
      <c r="V70" s="81">
        <f t="shared" si="22"/>
        <v>0</v>
      </c>
      <c r="W70" s="77">
        <f t="shared" ref="W70:W133" si="58">IF(E70&gt;Mat_Year, 0, AA69)</f>
        <v>0.9750086962479414</v>
      </c>
      <c r="X70" s="82">
        <f t="shared" si="23"/>
        <v>3.1571730718777106E-5</v>
      </c>
      <c r="Y70" s="82">
        <f t="shared" si="24"/>
        <v>6.4373336744462991E-4</v>
      </c>
      <c r="Z70" s="82">
        <f t="shared" si="25"/>
        <v>0</v>
      </c>
      <c r="AA70" s="82">
        <f t="shared" si="26"/>
        <v>0.97433339114977802</v>
      </c>
      <c r="AC70" s="46">
        <f t="shared" ref="AC70:AC133" si="59">IF(C70&gt;Prem_Term,0,Ann_Prem)</f>
        <v>0</v>
      </c>
      <c r="AD70" s="15">
        <f t="shared" si="27"/>
        <v>0</v>
      </c>
      <c r="AE70" s="46">
        <f t="shared" si="28"/>
        <v>0</v>
      </c>
      <c r="AF70" s="15">
        <f t="shared" si="29"/>
        <v>0</v>
      </c>
      <c r="AG70" s="46">
        <f>SUMPRODUCT(AE71:AE$605, $I70:$I$604) / $I70</f>
        <v>0</v>
      </c>
      <c r="AI70" s="46">
        <f t="shared" ref="AI70:AI133" si="60">IF(E70&gt;Mat_Year,0, -Sum_Assured)</f>
        <v>-47000</v>
      </c>
      <c r="AJ70" s="46">
        <f>IF(E70&gt;Mat_Year,0,  -SUM($AD$5:AD70))</f>
        <v>-9306</v>
      </c>
      <c r="AK70" s="24">
        <f t="shared" si="30"/>
        <v>-0.29380652606893976</v>
      </c>
      <c r="AL70" s="79">
        <f t="shared" si="31"/>
        <v>-30.255468269897605</v>
      </c>
      <c r="AM70" s="24">
        <f t="shared" si="32"/>
        <v>-31.332310074286731</v>
      </c>
      <c r="AN70" s="79">
        <f t="shared" si="33"/>
        <v>-30.549274795966546</v>
      </c>
      <c r="AO70" s="15">
        <f t="shared" si="34"/>
        <v>-8751.8138379560969</v>
      </c>
      <c r="AP70" s="46">
        <f>SUMPRODUCT(AN71:AN$605, $I71:$I$605) / $I70</f>
        <v>-8533.0945999502655</v>
      </c>
      <c r="AR70" s="46">
        <v>0</v>
      </c>
      <c r="AS70" s="46">
        <v>0</v>
      </c>
      <c r="AT70" s="46">
        <v>0</v>
      </c>
      <c r="AU70" s="95">
        <f t="shared" ref="AU70:AU133" si="61">IF(E70&gt;Mat_Year,0,
-Exp_Main/12 * (1+Exp_Main_Infl_Reserve)^(A69))</f>
        <v>-1.9749957750847931</v>
      </c>
      <c r="AV70" s="47">
        <f t="shared" ref="AV70:AV133" si="62">PAD_Res_Exp_Main</f>
        <v>0.1</v>
      </c>
      <c r="AW70" s="96">
        <f t="shared" si="35"/>
        <v>-2.1724953525932724</v>
      </c>
      <c r="AX70" s="95">
        <f t="shared" ref="AX70:AX133" si="63">IF(E70&gt;Mat_Year,0,
-Exp_Claim* (1+Exp_Main_Infl_Reserve)^(A69))</f>
        <v>-22.646618220972289</v>
      </c>
      <c r="AY70" s="11">
        <f t="shared" ref="AY70:AY133" si="64">PAD_Res_Exp_Claim</f>
        <v>0.1</v>
      </c>
      <c r="AZ70" s="96">
        <f t="shared" si="36"/>
        <v>-24.911280043069521</v>
      </c>
      <c r="BA70" s="95">
        <f t="shared" si="37"/>
        <v>-2.1182018613366784</v>
      </c>
      <c r="BB70" s="64">
        <f t="shared" si="38"/>
        <v>-1.6822714414861186E-2</v>
      </c>
      <c r="BC70" s="95">
        <f t="shared" si="54"/>
        <v>-2.1724953525932724</v>
      </c>
      <c r="BD70" s="96">
        <f t="shared" si="54"/>
        <v>-1.7253912174936364E-2</v>
      </c>
      <c r="BE70" s="96">
        <f t="shared" si="40"/>
        <v>-2.1182018613366784</v>
      </c>
      <c r="BF70" s="96">
        <f t="shared" si="41"/>
        <v>-1.6822714414861186E-2</v>
      </c>
      <c r="BG70" s="15">
        <f t="shared" si="42"/>
        <v>-296.28403011979367</v>
      </c>
      <c r="BH70" s="46">
        <f>(SUMPRODUCT(BE71:BE$605,$I70:$I$604)+SUMPRODUCT(BF71:BF$605,$I71:$I$605)) / $I70</f>
        <v>-288.8795059261858</v>
      </c>
      <c r="BJ70" s="46">
        <f t="shared" si="53"/>
        <v>-2.1182018613366784</v>
      </c>
      <c r="BK70" s="46">
        <f t="shared" si="43"/>
        <v>-30.566097510381407</v>
      </c>
      <c r="BM70" s="49">
        <f t="shared" ref="BM70:BM133" si="65">IF($AA70 = 0, 0, BN70/$AA70)</f>
        <v>9054.3690547913338</v>
      </c>
      <c r="BN70" s="50">
        <f t="shared" si="44"/>
        <v>8821.9741058764503</v>
      </c>
      <c r="BP70" s="68">
        <f>INDEX(Others!$H$11:$I$60, MATCH(C70, Others!$A$11:$A$60, 0), MATCH(BP$3, Others!$H$10:$I$10, 0))</f>
        <v>3.0540827449345775E-2</v>
      </c>
      <c r="BQ70" s="16">
        <f t="shared" si="45"/>
        <v>2.5101234003981343E-3</v>
      </c>
      <c r="BR70" s="69">
        <f t="shared" si="46"/>
        <v>0.87694485660058075</v>
      </c>
      <c r="BT70" s="46">
        <f t="shared" si="47"/>
        <v>9432.3120002596534</v>
      </c>
      <c r="BU70" s="49">
        <f t="shared" ref="BU70:BU133" si="66">IF($AA70 = 0, 0, BV70/$AA70)</f>
        <v>626.41586537741864</v>
      </c>
      <c r="BV70" s="46">
        <f t="shared" si="51"/>
        <v>610.33789438320309</v>
      </c>
      <c r="BX70" s="46">
        <f t="shared" si="52"/>
        <v>9680.7849201687532</v>
      </c>
    </row>
    <row r="71" spans="1:76" x14ac:dyDescent="0.25">
      <c r="A71" s="61">
        <f t="shared" si="55"/>
        <v>5.4999999999999973</v>
      </c>
      <c r="B71" s="32">
        <f t="shared" ref="B71:B134" si="67">IF(B70=12,1,B70+1)</f>
        <v>6</v>
      </c>
      <c r="C71" s="62">
        <f t="shared" ref="C71:C134" si="68">IF(B70=12,C70+1,C70)</f>
        <v>6</v>
      </c>
      <c r="D71" s="64">
        <f t="shared" ref="D71:D134" si="69">$D$5+A71</f>
        <v>5.9999999999999973</v>
      </c>
      <c r="E71" s="28">
        <f t="shared" ref="E71:E134" si="70">INT(D71+0.001)</f>
        <v>6</v>
      </c>
      <c r="G71" s="68">
        <f>INDEX(Others!$D$11:$E$60, MATCH(C71, Others!$A$11:$A$60, 0), MATCH(G$3, Others!$D$10:$E$10, 0))</f>
        <v>4.0721103265794367E-2</v>
      </c>
      <c r="H71" s="16">
        <f t="shared" ref="H71:H134" si="71">(1+G71)^(1/12) - 1</f>
        <v>3.3316912372947094E-3</v>
      </c>
      <c r="I71" s="69">
        <f t="shared" ref="I71:I134" si="72">I70/(1+H71)</f>
        <v>0.8371961371012685</v>
      </c>
      <c r="K71" s="80">
        <f>INDEX(Mortality!$B$7:$F$32, MATCH( E71,Mortality!$A$7:$A$32, 0), MATCH( K$3,Mortality!$B$6:$F$6,0))</f>
        <v>0.34099999999999997</v>
      </c>
      <c r="L71" s="11" cm="1">
        <f t="array" ref="L71">PAD_Res_Mort</f>
        <v>0.15</v>
      </c>
      <c r="M71" s="80">
        <f t="shared" ref="M71:M134" si="73">IFERROR( K71*(1+L71), 0)</f>
        <v>0.39214999999999994</v>
      </c>
      <c r="N71" s="76">
        <f>INDEX('Myopia_(Reserve)'!$H:$H, MATCH(E71, 'Myopia_(Reserve)'!$A:$A, 0)) * Trend_Factor_Reserve^(A71)</f>
        <v>6.0576427608593999</v>
      </c>
      <c r="O71" s="11">
        <f t="shared" si="56"/>
        <v>0.3</v>
      </c>
      <c r="P71" s="80">
        <f t="shared" ref="P71:P134" si="74">IFERROR( N71*(1+O71), 0)</f>
        <v>7.8749355891172206</v>
      </c>
      <c r="Q71" s="76">
        <f>VLOOKUP(C71,Others!$L$10:$M$61,2)</f>
        <v>0</v>
      </c>
      <c r="R71" s="11">
        <f t="shared" si="57"/>
        <v>0</v>
      </c>
      <c r="S71" s="80">
        <f t="shared" ref="S71:S134" si="75">IFERROR( Q71*(1+R71), 0)</f>
        <v>0</v>
      </c>
      <c r="T71" s="78">
        <f t="shared" ref="T71:T134" si="76">(M71/1000)/12</f>
        <v>3.2679166666666664E-5</v>
      </c>
      <c r="U71" s="81">
        <f t="shared" ref="U71:U134" si="77">(P71/1000)/12</f>
        <v>6.5624463242643495E-4</v>
      </c>
      <c r="V71" s="81">
        <f t="shared" ref="V71:V134" si="78">(S71/1000)/12</f>
        <v>0</v>
      </c>
      <c r="W71" s="77">
        <f t="shared" si="58"/>
        <v>0.97433339114977802</v>
      </c>
      <c r="X71" s="82">
        <f t="shared" ref="X71:X134" si="79">W71 * (T71)*(1-U71/2)</f>
        <v>3.1829955731409286E-5</v>
      </c>
      <c r="Y71" s="82">
        <f t="shared" ref="Y71:Y134" si="80">W71 * (1-T71/2)*(U71)</f>
        <v>6.393906105890151E-4</v>
      </c>
      <c r="Z71" s="82">
        <f t="shared" ref="Z71:Z134" si="81">W71 * (1-T71)*(1-U71)*(V71)</f>
        <v>0</v>
      </c>
      <c r="AA71" s="82">
        <f t="shared" ref="AA71:AA134" si="82">W71-SUM(X71:Z71)</f>
        <v>0.97366217058345761</v>
      </c>
      <c r="AC71" s="46">
        <f t="shared" si="59"/>
        <v>0</v>
      </c>
      <c r="AD71" s="15">
        <f t="shared" ref="AD71:AD134" si="83">IF(Prem_Mode="Mth",AC71/12,
IF(B71=1, AC71, 0))</f>
        <v>0</v>
      </c>
      <c r="AE71" s="46">
        <f t="shared" ref="AE71:AE134" si="84">AD71*$W71</f>
        <v>0</v>
      </c>
      <c r="AF71" s="15">
        <f t="shared" ref="AF71:AF134" si="85">IF($W71 = 0, 0, AG71/$W71)</f>
        <v>0</v>
      </c>
      <c r="AG71" s="46">
        <f>SUMPRODUCT(AE72:AE$605, $I71:$I$604) / $I71</f>
        <v>0</v>
      </c>
      <c r="AI71" s="46">
        <f t="shared" si="60"/>
        <v>-47000</v>
      </c>
      <c r="AJ71" s="46">
        <f>IF(E71&gt;Mat_Year,0,  -SUM($AD$5:AD71))</f>
        <v>-9306</v>
      </c>
      <c r="AK71" s="24">
        <f t="shared" ref="AK71:AK134" si="86">AJ71*X71</f>
        <v>-0.29620956803649484</v>
      </c>
      <c r="AL71" s="79">
        <f t="shared" ref="AL71:AL134" si="87">AI71*Y71</f>
        <v>-30.05135869768371</v>
      </c>
      <c r="AM71" s="24">
        <f t="shared" ref="AM71:AM134" si="88">IF($W71 = 0, 0, AN71/$W71)</f>
        <v>-31.14700629310062</v>
      </c>
      <c r="AN71" s="79">
        <f t="shared" ref="AN71:AN134" si="89">SUM(AK71:AL71)</f>
        <v>-30.347568265720206</v>
      </c>
      <c r="AO71" s="15">
        <f t="shared" ref="AO71:AO134" si="90">IF($W71 = 0, 0, AP71/$W71)</f>
        <v>-8755.9112165116821</v>
      </c>
      <c r="AP71" s="46">
        <f>SUMPRODUCT(AN72:AN$605, $I72:$I$605) / $I71</f>
        <v>-8531.1766681902063</v>
      </c>
      <c r="AR71" s="46">
        <v>0</v>
      </c>
      <c r="AS71" s="46">
        <v>0</v>
      </c>
      <c r="AT71" s="46">
        <v>0</v>
      </c>
      <c r="AU71" s="95">
        <f t="shared" si="61"/>
        <v>-1.9788224317216401</v>
      </c>
      <c r="AV71" s="47">
        <f t="shared" si="62"/>
        <v>0.1</v>
      </c>
      <c r="AW71" s="96">
        <f t="shared" ref="AW71:AW134" si="91">AU71*(1+AV71)</f>
        <v>-2.1767046748938044</v>
      </c>
      <c r="AX71" s="95">
        <f t="shared" si="63"/>
        <v>-22.690497217074803</v>
      </c>
      <c r="AY71" s="11">
        <f t="shared" si="64"/>
        <v>0.1</v>
      </c>
      <c r="AZ71" s="96">
        <f t="shared" ref="AZ71:AZ134" si="92">AX71*(1+AY71)</f>
        <v>-24.959546938782285</v>
      </c>
      <c r="BA71" s="95">
        <f t="shared" ref="BA71:BA134" si="93">AW71*$W71</f>
        <v>-2.1208360474208554</v>
      </c>
      <c r="BB71" s="64">
        <f t="shared" ref="BB71:BB134" si="94">AZ71*SUM(X71:Y71)</f>
        <v>-1.6753361231350662E-2</v>
      </c>
      <c r="BC71" s="95">
        <f t="shared" si="54"/>
        <v>-2.1767046748938044</v>
      </c>
      <c r="BD71" s="96">
        <f t="shared" si="54"/>
        <v>-1.7194690630052804E-2</v>
      </c>
      <c r="BE71" s="96">
        <f t="shared" ref="BE71:BE134" si="95">SUM(AT71,BA71)</f>
        <v>-2.1208360474208554</v>
      </c>
      <c r="BF71" s="96">
        <f t="shared" ref="BF71:BF134" si="96">SUM(BB71)</f>
        <v>-1.6753361231350662E-2</v>
      </c>
      <c r="BG71" s="15">
        <f t="shared" ref="BG71:BG134" si="97">IF($W71 = 0, 0, BH71/$W71)</f>
        <v>-295.27604255221621</v>
      </c>
      <c r="BH71" s="46">
        <f>(SUMPRODUCT(BE72:BE$605,$I71:$I$604)+SUMPRODUCT(BF72:BF$605,$I72:$I$605)) / $I71</f>
        <v>-287.69730786518699</v>
      </c>
      <c r="BJ71" s="46">
        <f t="shared" ref="BJ71:BJ134" si="98">SUM(AE71,BE71)</f>
        <v>-2.1208360474208554</v>
      </c>
      <c r="BK71" s="46">
        <f t="shared" ref="BK71:BK134" si="99">SUM(AN71,BF71)</f>
        <v>-30.364321626951558</v>
      </c>
      <c r="BM71" s="49">
        <f t="shared" si="65"/>
        <v>9057.4269418013519</v>
      </c>
      <c r="BN71" s="50">
        <f t="shared" ref="BN71:BN134" si="100">MAX(BN72/(1+H72) - (BJ72 + BK72/(1+H72)),0)</f>
        <v>8818.8739760553926</v>
      </c>
      <c r="BP71" s="68">
        <f>INDEX(Others!$H$11:$I$60, MATCH(C71, Others!$A$11:$A$60, 0), MATCH(BP$3, Others!$H$10:$I$10, 0))</f>
        <v>3.0540827449345775E-2</v>
      </c>
      <c r="BQ71" s="16">
        <f t="shared" ref="BQ71:BQ134" si="101">(1+BP71)^(1/12) - 1</f>
        <v>2.5101234003981343E-3</v>
      </c>
      <c r="BR71" s="69">
        <f t="shared" ref="BR71:BR134" si="102">BR70/(1+BQ71)</f>
        <v>0.8747491283440465</v>
      </c>
      <c r="BT71" s="46">
        <f t="shared" ref="BT71:BT134" si="103">MAX(BT72/(1+BQ72) - (BJ72 + BK72/(1+BQ72)),0)</f>
        <v>9423.4977860967974</v>
      </c>
      <c r="BU71" s="49">
        <f t="shared" si="66"/>
        <v>620.97905034051985</v>
      </c>
      <c r="BV71" s="46">
        <f t="shared" si="51"/>
        <v>604.62381004140479</v>
      </c>
      <c r="BX71" s="46">
        <f t="shared" si="52"/>
        <v>9678.405992141872</v>
      </c>
    </row>
    <row r="72" spans="1:76" x14ac:dyDescent="0.25">
      <c r="A72" s="61">
        <f t="shared" si="55"/>
        <v>5.5833333333333304</v>
      </c>
      <c r="B72" s="32">
        <f t="shared" si="67"/>
        <v>7</v>
      </c>
      <c r="C72" s="62">
        <f t="shared" si="68"/>
        <v>6</v>
      </c>
      <c r="D72" s="64">
        <f t="shared" si="69"/>
        <v>6.0833333333333304</v>
      </c>
      <c r="E72" s="28">
        <f t="shared" si="70"/>
        <v>6</v>
      </c>
      <c r="G72" s="68">
        <f>INDEX(Others!$D$11:$E$60, MATCH(C72, Others!$A$11:$A$60, 0), MATCH(G$3, Others!$D$10:$E$10, 0))</f>
        <v>4.0721103265794367E-2</v>
      </c>
      <c r="H72" s="16">
        <f t="shared" si="71"/>
        <v>3.3316912372947094E-3</v>
      </c>
      <c r="I72" s="69">
        <f t="shared" si="72"/>
        <v>0.83441612022525657</v>
      </c>
      <c r="K72" s="80">
        <f>INDEX(Mortality!$B$7:$F$32, MATCH( E72,Mortality!$A$7:$A$32, 0), MATCH( K$3,Mortality!$B$6:$F$6,0))</f>
        <v>0.34099999999999997</v>
      </c>
      <c r="L72" s="11" cm="1">
        <f t="array" ref="L72">PAD_Res_Mort</f>
        <v>0.15</v>
      </c>
      <c r="M72" s="80">
        <f t="shared" si="73"/>
        <v>0.39214999999999994</v>
      </c>
      <c r="N72" s="76">
        <f>INDEX('Myopia_(Reserve)'!$H:$H, MATCH(E72, 'Myopia_(Reserve)'!$A:$A, 0)) * Trend_Factor_Reserve^(A72)</f>
        <v>6.0576427608593999</v>
      </c>
      <c r="O72" s="11">
        <f t="shared" si="56"/>
        <v>0.3</v>
      </c>
      <c r="P72" s="80">
        <f t="shared" si="74"/>
        <v>7.8749355891172206</v>
      </c>
      <c r="Q72" s="76">
        <f>VLOOKUP(C72,Others!$L$10:$M$61,2)</f>
        <v>0</v>
      </c>
      <c r="R72" s="11">
        <f t="shared" si="57"/>
        <v>0</v>
      </c>
      <c r="S72" s="80">
        <f t="shared" si="75"/>
        <v>0</v>
      </c>
      <c r="T72" s="78">
        <f t="shared" si="76"/>
        <v>3.2679166666666664E-5</v>
      </c>
      <c r="U72" s="81">
        <f t="shared" si="77"/>
        <v>6.5624463242643495E-4</v>
      </c>
      <c r="V72" s="81">
        <f t="shared" si="78"/>
        <v>0</v>
      </c>
      <c r="W72" s="77">
        <f t="shared" si="58"/>
        <v>0.97366217058345761</v>
      </c>
      <c r="X72" s="82">
        <f t="shared" si="79"/>
        <v>3.1808027999992032E-5</v>
      </c>
      <c r="Y72" s="82">
        <f t="shared" si="80"/>
        <v>6.389501328925327E-4</v>
      </c>
      <c r="Z72" s="82">
        <f t="shared" si="81"/>
        <v>0</v>
      </c>
      <c r="AA72" s="82">
        <f t="shared" si="82"/>
        <v>0.97299141242256504</v>
      </c>
      <c r="AC72" s="46">
        <f t="shared" si="59"/>
        <v>0</v>
      </c>
      <c r="AD72" s="15">
        <f t="shared" si="83"/>
        <v>0</v>
      </c>
      <c r="AE72" s="46">
        <f t="shared" si="84"/>
        <v>0</v>
      </c>
      <c r="AF72" s="15">
        <f t="shared" si="85"/>
        <v>0</v>
      </c>
      <c r="AG72" s="46">
        <f>SUMPRODUCT(AE73:AE$605, $I72:$I$604) / $I72</f>
        <v>0</v>
      </c>
      <c r="AI72" s="46">
        <f t="shared" si="60"/>
        <v>-47000</v>
      </c>
      <c r="AJ72" s="46">
        <f>IF(E72&gt;Mat_Year,0,  -SUM($AD$5:AD72))</f>
        <v>-9306</v>
      </c>
      <c r="AK72" s="24">
        <f t="shared" si="86"/>
        <v>-0.29600550856792585</v>
      </c>
      <c r="AL72" s="79">
        <f t="shared" si="87"/>
        <v>-30.030656245949036</v>
      </c>
      <c r="AM72" s="24">
        <f t="shared" si="88"/>
        <v>-31.14700629310062</v>
      </c>
      <c r="AN72" s="79">
        <f t="shared" si="89"/>
        <v>-30.326661754516962</v>
      </c>
      <c r="AO72" s="15">
        <f t="shared" si="90"/>
        <v>-8759.9924395479266</v>
      </c>
      <c r="AP72" s="46">
        <f>SUMPRODUCT(AN73:AN$605, $I73:$I$605) / $I72</f>
        <v>-8529.2732529849127</v>
      </c>
      <c r="AR72" s="46">
        <v>0</v>
      </c>
      <c r="AS72" s="46">
        <v>0</v>
      </c>
      <c r="AT72" s="46">
        <v>0</v>
      </c>
      <c r="AU72" s="95">
        <f t="shared" si="61"/>
        <v>-1.9826565027039764</v>
      </c>
      <c r="AV72" s="47">
        <f t="shared" si="62"/>
        <v>0.1</v>
      </c>
      <c r="AW72" s="96">
        <f t="shared" si="91"/>
        <v>-2.1809221529743743</v>
      </c>
      <c r="AX72" s="95">
        <f t="shared" si="63"/>
        <v>-22.734461231005593</v>
      </c>
      <c r="AY72" s="11">
        <f t="shared" si="64"/>
        <v>0.1</v>
      </c>
      <c r="AZ72" s="96">
        <f t="shared" si="92"/>
        <v>-25.007907354106155</v>
      </c>
      <c r="BA72" s="95">
        <f t="shared" si="93"/>
        <v>-2.1234813973385767</v>
      </c>
      <c r="BB72" s="64">
        <f t="shared" si="94"/>
        <v>-1.6774257944610887E-2</v>
      </c>
      <c r="BC72" s="95">
        <f t="shared" si="54"/>
        <v>-2.1809221529743743</v>
      </c>
      <c r="BD72" s="96">
        <f t="shared" si="54"/>
        <v>-1.7228006233988812E-2</v>
      </c>
      <c r="BE72" s="96">
        <f t="shared" si="95"/>
        <v>-2.1234813973385767</v>
      </c>
      <c r="BF72" s="96">
        <f t="shared" si="96"/>
        <v>-1.6774257944610887E-2</v>
      </c>
      <c r="BG72" s="15">
        <f t="shared" si="97"/>
        <v>-294.25862961632788</v>
      </c>
      <c r="BH72" s="46">
        <f>(SUMPRODUCT(BE73:BE$605,$I72:$I$604)+SUMPRODUCT(BF73:BF$605,$I73:$I$605)) / $I72</f>
        <v>-286.50849602514751</v>
      </c>
      <c r="BJ72" s="46">
        <f t="shared" si="98"/>
        <v>-2.1234813973385767</v>
      </c>
      <c r="BK72" s="46">
        <f t="shared" si="99"/>
        <v>-30.343436012461574</v>
      </c>
      <c r="BM72" s="49">
        <f t="shared" si="65"/>
        <v>9060.4928640227408</v>
      </c>
      <c r="BN72" s="50">
        <f t="shared" si="100"/>
        <v>8815.7817490100588</v>
      </c>
      <c r="BP72" s="68">
        <f>INDEX(Others!$H$11:$I$60, MATCH(C72, Others!$A$11:$A$60, 0), MATCH(BP$3, Others!$H$10:$I$10, 0))</f>
        <v>3.0540827449345775E-2</v>
      </c>
      <c r="BQ72" s="16">
        <f t="shared" si="101"/>
        <v>2.5101234003981343E-3</v>
      </c>
      <c r="BR72" s="69">
        <f t="shared" si="102"/>
        <v>0.87255889783636187</v>
      </c>
      <c r="BT72" s="46">
        <f t="shared" si="103"/>
        <v>9414.6796807931332</v>
      </c>
      <c r="BU72" s="49">
        <f t="shared" si="66"/>
        <v>615.52232027611797</v>
      </c>
      <c r="BV72" s="46">
        <f t="shared" ref="BV72:BV135" si="104">BT72-BN72</f>
        <v>598.89793178307445</v>
      </c>
      <c r="BX72" s="46">
        <f t="shared" ref="BX72:BX135" si="105">BM72+BU72</f>
        <v>9676.015184298858</v>
      </c>
    </row>
    <row r="73" spans="1:76" x14ac:dyDescent="0.25">
      <c r="A73" s="61">
        <f t="shared" si="55"/>
        <v>5.6666666666666634</v>
      </c>
      <c r="B73" s="32">
        <f t="shared" si="67"/>
        <v>8</v>
      </c>
      <c r="C73" s="62">
        <f t="shared" si="68"/>
        <v>6</v>
      </c>
      <c r="D73" s="64">
        <f t="shared" si="69"/>
        <v>6.1666666666666634</v>
      </c>
      <c r="E73" s="28">
        <f t="shared" si="70"/>
        <v>6</v>
      </c>
      <c r="G73" s="68">
        <f>INDEX(Others!$D$11:$E$60, MATCH(C73, Others!$A$11:$A$60, 0), MATCH(G$3, Others!$D$10:$E$10, 0))</f>
        <v>4.0721103265794367E-2</v>
      </c>
      <c r="H73" s="16">
        <f t="shared" si="71"/>
        <v>3.3316912372947094E-3</v>
      </c>
      <c r="I73" s="69">
        <f t="shared" si="72"/>
        <v>0.83164533475092983</v>
      </c>
      <c r="K73" s="80">
        <f>INDEX(Mortality!$B$7:$F$32, MATCH( E73,Mortality!$A$7:$A$32, 0), MATCH( K$3,Mortality!$B$6:$F$6,0))</f>
        <v>0.34099999999999997</v>
      </c>
      <c r="L73" s="11" cm="1">
        <f t="array" ref="L73">PAD_Res_Mort</f>
        <v>0.15</v>
      </c>
      <c r="M73" s="80">
        <f t="shared" si="73"/>
        <v>0.39214999999999994</v>
      </c>
      <c r="N73" s="76">
        <f>INDEX('Myopia_(Reserve)'!$H:$H, MATCH(E73, 'Myopia_(Reserve)'!$A:$A, 0)) * Trend_Factor_Reserve^(A73)</f>
        <v>6.0576427608593999</v>
      </c>
      <c r="O73" s="11">
        <f t="shared" si="56"/>
        <v>0.3</v>
      </c>
      <c r="P73" s="80">
        <f t="shared" si="74"/>
        <v>7.8749355891172206</v>
      </c>
      <c r="Q73" s="76">
        <f>VLOOKUP(C73,Others!$L$10:$M$61,2)</f>
        <v>0</v>
      </c>
      <c r="R73" s="11">
        <f t="shared" si="57"/>
        <v>0</v>
      </c>
      <c r="S73" s="80">
        <f t="shared" si="75"/>
        <v>0</v>
      </c>
      <c r="T73" s="78">
        <f t="shared" si="76"/>
        <v>3.2679166666666664E-5</v>
      </c>
      <c r="U73" s="81">
        <f t="shared" si="77"/>
        <v>6.5624463242643495E-4</v>
      </c>
      <c r="V73" s="81">
        <f t="shared" si="78"/>
        <v>0</v>
      </c>
      <c r="W73" s="77">
        <f t="shared" si="58"/>
        <v>0.97299141242256504</v>
      </c>
      <c r="X73" s="82">
        <f t="shared" si="79"/>
        <v>3.1786115374640563E-5</v>
      </c>
      <c r="Y73" s="82">
        <f t="shared" si="80"/>
        <v>6.3850995864217204E-4</v>
      </c>
      <c r="Z73" s="82">
        <f t="shared" si="81"/>
        <v>0</v>
      </c>
      <c r="AA73" s="82">
        <f t="shared" si="82"/>
        <v>0.97232111634854823</v>
      </c>
      <c r="AC73" s="46">
        <f t="shared" si="59"/>
        <v>0</v>
      </c>
      <c r="AD73" s="15">
        <f t="shared" si="83"/>
        <v>0</v>
      </c>
      <c r="AE73" s="46">
        <f t="shared" si="84"/>
        <v>0</v>
      </c>
      <c r="AF73" s="15">
        <f t="shared" si="85"/>
        <v>0</v>
      </c>
      <c r="AG73" s="46">
        <f>SUMPRODUCT(AE74:AE$605, $I73:$I$604) / $I73</f>
        <v>0</v>
      </c>
      <c r="AI73" s="46">
        <f t="shared" si="60"/>
        <v>-47000</v>
      </c>
      <c r="AJ73" s="46">
        <f>IF(E73&gt;Mat_Year,0,  -SUM($AD$5:AD73))</f>
        <v>-9306</v>
      </c>
      <c r="AK73" s="24">
        <f t="shared" si="86"/>
        <v>-0.29580158967640507</v>
      </c>
      <c r="AL73" s="79">
        <f t="shared" si="87"/>
        <v>-30.009968056182085</v>
      </c>
      <c r="AM73" s="24">
        <f t="shared" si="88"/>
        <v>-31.147006293100617</v>
      </c>
      <c r="AN73" s="79">
        <f t="shared" si="89"/>
        <v>-30.30576964585849</v>
      </c>
      <c r="AO73" s="15">
        <f t="shared" si="90"/>
        <v>-8764.0900828353042</v>
      </c>
      <c r="AP73" s="46">
        <f>SUMPRODUCT(AN74:AN$605, $I74:$I$605) / $I73</f>
        <v>-8527.3843882965175</v>
      </c>
      <c r="AR73" s="46">
        <v>0</v>
      </c>
      <c r="AS73" s="46">
        <v>0</v>
      </c>
      <c r="AT73" s="46">
        <v>0</v>
      </c>
      <c r="AU73" s="95">
        <f t="shared" si="61"/>
        <v>-1.9864980023974808</v>
      </c>
      <c r="AV73" s="47">
        <f t="shared" si="62"/>
        <v>0.1</v>
      </c>
      <c r="AW73" s="96">
        <f t="shared" si="91"/>
        <v>-2.1851478026372289</v>
      </c>
      <c r="AX73" s="95">
        <f t="shared" si="63"/>
        <v>-22.77851042749111</v>
      </c>
      <c r="AY73" s="11">
        <f t="shared" si="64"/>
        <v>0.1</v>
      </c>
      <c r="AZ73" s="96">
        <f t="shared" si="92"/>
        <v>-25.056361470240223</v>
      </c>
      <c r="BA73" s="95">
        <f t="shared" si="93"/>
        <v>-2.1261300468400619</v>
      </c>
      <c r="BB73" s="64">
        <f t="shared" si="94"/>
        <v>-1.6795180722648149E-2</v>
      </c>
      <c r="BC73" s="95">
        <f t="shared" si="54"/>
        <v>-2.1851478026372289</v>
      </c>
      <c r="BD73" s="96">
        <f t="shared" si="54"/>
        <v>-1.72613863886335E-2</v>
      </c>
      <c r="BE73" s="96">
        <f t="shared" si="95"/>
        <v>-2.1261300468400619</v>
      </c>
      <c r="BF73" s="96">
        <f t="shared" si="96"/>
        <v>-1.6795180722648149E-2</v>
      </c>
      <c r="BG73" s="15">
        <f t="shared" si="97"/>
        <v>-293.23285014816332</v>
      </c>
      <c r="BH73" s="46">
        <f>(SUMPRODUCT(BE74:BE$605,$I73:$I$604)+SUMPRODUCT(BF74:BF$605,$I74:$I$605)) / $I73</f>
        <v>-285.31304503435581</v>
      </c>
      <c r="BJ73" s="46">
        <f t="shared" si="98"/>
        <v>-2.1261300468400619</v>
      </c>
      <c r="BK73" s="46">
        <f t="shared" si="99"/>
        <v>-30.322564826581139</v>
      </c>
      <c r="BM73" s="49">
        <f t="shared" si="65"/>
        <v>9063.5668455150371</v>
      </c>
      <c r="BN73" s="50">
        <f t="shared" si="100"/>
        <v>8812.6974333308699</v>
      </c>
      <c r="BP73" s="68">
        <f>INDEX(Others!$H$11:$I$60, MATCH(C73, Others!$A$11:$A$60, 0), MATCH(BP$3, Others!$H$10:$I$10, 0))</f>
        <v>3.0540827449345775E-2</v>
      </c>
      <c r="BQ73" s="16">
        <f t="shared" si="101"/>
        <v>2.5101234003981343E-3</v>
      </c>
      <c r="BR73" s="69">
        <f t="shared" si="102"/>
        <v>0.87037415131205187</v>
      </c>
      <c r="BT73" s="46">
        <f t="shared" si="103"/>
        <v>9405.8576568449407</v>
      </c>
      <c r="BU73" s="49">
        <f t="shared" si="66"/>
        <v>610.04560483230364</v>
      </c>
      <c r="BV73" s="46">
        <f t="shared" si="104"/>
        <v>593.16022351407082</v>
      </c>
      <c r="BX73" s="46">
        <f t="shared" si="105"/>
        <v>9673.6124503473402</v>
      </c>
    </row>
    <row r="74" spans="1:76" x14ac:dyDescent="0.25">
      <c r="A74" s="61">
        <f t="shared" si="55"/>
        <v>5.7499999999999964</v>
      </c>
      <c r="B74" s="32">
        <f t="shared" si="67"/>
        <v>9</v>
      </c>
      <c r="C74" s="62">
        <f t="shared" si="68"/>
        <v>6</v>
      </c>
      <c r="D74" s="64">
        <f t="shared" si="69"/>
        <v>6.2499999999999964</v>
      </c>
      <c r="E74" s="28">
        <f t="shared" si="70"/>
        <v>6</v>
      </c>
      <c r="G74" s="68">
        <f>INDEX(Others!$D$11:$E$60, MATCH(C74, Others!$A$11:$A$60, 0), MATCH(G$3, Others!$D$10:$E$10, 0))</f>
        <v>4.0721103265794367E-2</v>
      </c>
      <c r="H74" s="16">
        <f t="shared" si="71"/>
        <v>3.3316912372947094E-3</v>
      </c>
      <c r="I74" s="69">
        <f t="shared" si="72"/>
        <v>0.82888375002423809</v>
      </c>
      <c r="K74" s="80">
        <f>INDEX(Mortality!$B$7:$F$32, MATCH( E74,Mortality!$A$7:$A$32, 0), MATCH( K$3,Mortality!$B$6:$F$6,0))</f>
        <v>0.34099999999999997</v>
      </c>
      <c r="L74" s="11" cm="1">
        <f t="array" ref="L74">PAD_Res_Mort</f>
        <v>0.15</v>
      </c>
      <c r="M74" s="80">
        <f t="shared" si="73"/>
        <v>0.39214999999999994</v>
      </c>
      <c r="N74" s="76">
        <f>INDEX('Myopia_(Reserve)'!$H:$H, MATCH(E74, 'Myopia_(Reserve)'!$A:$A, 0)) * Trend_Factor_Reserve^(A74)</f>
        <v>6.0576427608593999</v>
      </c>
      <c r="O74" s="11">
        <f t="shared" si="56"/>
        <v>0.3</v>
      </c>
      <c r="P74" s="80">
        <f t="shared" si="74"/>
        <v>7.8749355891172206</v>
      </c>
      <c r="Q74" s="76">
        <f>VLOOKUP(C74,Others!$L$10:$M$61,2)</f>
        <v>0</v>
      </c>
      <c r="R74" s="11">
        <f t="shared" si="57"/>
        <v>0</v>
      </c>
      <c r="S74" s="80">
        <f t="shared" si="75"/>
        <v>0</v>
      </c>
      <c r="T74" s="78">
        <f t="shared" si="76"/>
        <v>3.2679166666666664E-5</v>
      </c>
      <c r="U74" s="81">
        <f t="shared" si="77"/>
        <v>6.5624463242643495E-4</v>
      </c>
      <c r="V74" s="81">
        <f t="shared" si="78"/>
        <v>0</v>
      </c>
      <c r="W74" s="77">
        <f t="shared" si="58"/>
        <v>0.97232111634854823</v>
      </c>
      <c r="X74" s="82">
        <f t="shared" si="79"/>
        <v>3.1764217844948274E-5</v>
      </c>
      <c r="Y74" s="82">
        <f t="shared" si="80"/>
        <v>6.3807008762888854E-4</v>
      </c>
      <c r="Z74" s="82">
        <f t="shared" si="81"/>
        <v>0</v>
      </c>
      <c r="AA74" s="82">
        <f t="shared" si="82"/>
        <v>0.97165128204307438</v>
      </c>
      <c r="AC74" s="46">
        <f t="shared" si="59"/>
        <v>0</v>
      </c>
      <c r="AD74" s="15">
        <f t="shared" si="83"/>
        <v>0</v>
      </c>
      <c r="AE74" s="46">
        <f t="shared" si="84"/>
        <v>0</v>
      </c>
      <c r="AF74" s="15">
        <f t="shared" si="85"/>
        <v>0</v>
      </c>
      <c r="AG74" s="46">
        <f>SUMPRODUCT(AE75:AE$605, $I74:$I$604) / $I74</f>
        <v>0</v>
      </c>
      <c r="AI74" s="46">
        <f t="shared" si="60"/>
        <v>-47000</v>
      </c>
      <c r="AJ74" s="46">
        <f>IF(E74&gt;Mat_Year,0,  -SUM($AD$5:AD74))</f>
        <v>-9306</v>
      </c>
      <c r="AK74" s="24">
        <f t="shared" si="86"/>
        <v>-0.29559781126508861</v>
      </c>
      <c r="AL74" s="79">
        <f t="shared" si="87"/>
        <v>-29.989294118557762</v>
      </c>
      <c r="AM74" s="24">
        <f t="shared" si="88"/>
        <v>-31.14700629310062</v>
      </c>
      <c r="AN74" s="79">
        <f t="shared" si="89"/>
        <v>-30.284891929822852</v>
      </c>
      <c r="AO74" s="15">
        <f t="shared" si="90"/>
        <v>-8768.2042124384807</v>
      </c>
      <c r="AP74" s="46">
        <f>SUMPRODUCT(AN75:AN$605, $I75:$I$605) / $I74</f>
        <v>-8525.5101082102265</v>
      </c>
      <c r="AR74" s="46">
        <v>0</v>
      </c>
      <c r="AS74" s="46">
        <v>0</v>
      </c>
      <c r="AT74" s="46">
        <v>0</v>
      </c>
      <c r="AU74" s="95">
        <f t="shared" si="61"/>
        <v>-1.9903469451956657</v>
      </c>
      <c r="AV74" s="47">
        <f t="shared" si="62"/>
        <v>0.1</v>
      </c>
      <c r="AW74" s="96">
        <f t="shared" si="91"/>
        <v>-2.1893816397152324</v>
      </c>
      <c r="AX74" s="95">
        <f t="shared" si="63"/>
        <v>-22.822644971576963</v>
      </c>
      <c r="AY74" s="11">
        <f t="shared" si="64"/>
        <v>0.1</v>
      </c>
      <c r="AZ74" s="96">
        <f t="shared" si="92"/>
        <v>-25.104909468734661</v>
      </c>
      <c r="BA74" s="95">
        <f t="shared" si="93"/>
        <v>-2.1287820000409297</v>
      </c>
      <c r="BB74" s="64">
        <f t="shared" si="94"/>
        <v>-1.681612959797343E-2</v>
      </c>
      <c r="BC74" s="95">
        <f t="shared" si="54"/>
        <v>-2.1893816397152324</v>
      </c>
      <c r="BD74" s="96">
        <f t="shared" si="54"/>
        <v>-1.729483121905721E-2</v>
      </c>
      <c r="BE74" s="96">
        <f t="shared" si="95"/>
        <v>-2.1287820000409297</v>
      </c>
      <c r="BF74" s="96">
        <f t="shared" si="96"/>
        <v>-1.681612959797343E-2</v>
      </c>
      <c r="BG74" s="15">
        <f t="shared" si="97"/>
        <v>-292.19866220673822</v>
      </c>
      <c r="BH74" s="46">
        <f>(SUMPRODUCT(BE75:BE$605,$I74:$I$604)+SUMPRODUCT(BF75:BF$605,$I75:$I$605)) / $I74</f>
        <v>-284.11092943240806</v>
      </c>
      <c r="BJ74" s="46">
        <f t="shared" si="98"/>
        <v>-2.1287820000409297</v>
      </c>
      <c r="BK74" s="46">
        <f t="shared" si="99"/>
        <v>-30.301708059420825</v>
      </c>
      <c r="BM74" s="49">
        <f t="shared" si="65"/>
        <v>9066.648910418553</v>
      </c>
      <c r="BN74" s="50">
        <f t="shared" si="100"/>
        <v>8809.6210376426297</v>
      </c>
      <c r="BP74" s="68">
        <f>INDEX(Others!$H$11:$I$60, MATCH(C74, Others!$A$11:$A$60, 0), MATCH(BP$3, Others!$H$10:$I$10, 0))</f>
        <v>3.0540827449345775E-2</v>
      </c>
      <c r="BQ74" s="16">
        <f t="shared" si="101"/>
        <v>2.5101234003981343E-3</v>
      </c>
      <c r="BR74" s="69">
        <f t="shared" si="102"/>
        <v>0.86819487504010795</v>
      </c>
      <c r="BT74" s="46">
        <f t="shared" si="103"/>
        <v>9397.0316866852263</v>
      </c>
      <c r="BU74" s="49">
        <f t="shared" si="66"/>
        <v>604.54883341218704</v>
      </c>
      <c r="BV74" s="46">
        <f t="shared" si="104"/>
        <v>587.41064904259656</v>
      </c>
      <c r="BX74" s="46">
        <f t="shared" si="105"/>
        <v>9671.1977438307404</v>
      </c>
    </row>
    <row r="75" spans="1:76" x14ac:dyDescent="0.25">
      <c r="A75" s="61">
        <f t="shared" si="55"/>
        <v>5.8333333333333295</v>
      </c>
      <c r="B75" s="32">
        <f t="shared" si="67"/>
        <v>10</v>
      </c>
      <c r="C75" s="62">
        <f t="shared" si="68"/>
        <v>6</v>
      </c>
      <c r="D75" s="64">
        <f t="shared" si="69"/>
        <v>6.3333333333333295</v>
      </c>
      <c r="E75" s="28">
        <f t="shared" si="70"/>
        <v>6</v>
      </c>
      <c r="G75" s="68">
        <f>INDEX(Others!$D$11:$E$60, MATCH(C75, Others!$A$11:$A$60, 0), MATCH(G$3, Others!$D$10:$E$10, 0))</f>
        <v>4.0721103265794367E-2</v>
      </c>
      <c r="H75" s="16">
        <f t="shared" si="71"/>
        <v>3.3316912372947094E-3</v>
      </c>
      <c r="I75" s="69">
        <f t="shared" si="72"/>
        <v>0.82613133549292173</v>
      </c>
      <c r="K75" s="80">
        <f>INDEX(Mortality!$B$7:$F$32, MATCH( E75,Mortality!$A$7:$A$32, 0), MATCH( K$3,Mortality!$B$6:$F$6,0))</f>
        <v>0.34099999999999997</v>
      </c>
      <c r="L75" s="11" cm="1">
        <f t="array" ref="L75">PAD_Res_Mort</f>
        <v>0.15</v>
      </c>
      <c r="M75" s="80">
        <f t="shared" si="73"/>
        <v>0.39214999999999994</v>
      </c>
      <c r="N75" s="76">
        <f>INDEX('Myopia_(Reserve)'!$H:$H, MATCH(E75, 'Myopia_(Reserve)'!$A:$A, 0)) * Trend_Factor_Reserve^(A75)</f>
        <v>6.0576427608593999</v>
      </c>
      <c r="O75" s="11">
        <f t="shared" si="56"/>
        <v>0.3</v>
      </c>
      <c r="P75" s="80">
        <f t="shared" si="74"/>
        <v>7.8749355891172206</v>
      </c>
      <c r="Q75" s="76">
        <f>VLOOKUP(C75,Others!$L$10:$M$61,2)</f>
        <v>0</v>
      </c>
      <c r="R75" s="11">
        <f t="shared" si="57"/>
        <v>0</v>
      </c>
      <c r="S75" s="80">
        <f t="shared" si="75"/>
        <v>0</v>
      </c>
      <c r="T75" s="78">
        <f t="shared" si="76"/>
        <v>3.2679166666666664E-5</v>
      </c>
      <c r="U75" s="81">
        <f t="shared" si="77"/>
        <v>6.5624463242643495E-4</v>
      </c>
      <c r="V75" s="81">
        <f t="shared" si="78"/>
        <v>0</v>
      </c>
      <c r="W75" s="77">
        <f t="shared" si="58"/>
        <v>0.97165128204307438</v>
      </c>
      <c r="X75" s="82">
        <f t="shared" si="79"/>
        <v>3.1742335400515726E-5</v>
      </c>
      <c r="Y75" s="82">
        <f t="shared" si="80"/>
        <v>6.3763051964378138E-4</v>
      </c>
      <c r="Z75" s="82">
        <f t="shared" si="81"/>
        <v>0</v>
      </c>
      <c r="AA75" s="82">
        <f t="shared" si="82"/>
        <v>0.97098190918803007</v>
      </c>
      <c r="AC75" s="46">
        <f t="shared" si="59"/>
        <v>0</v>
      </c>
      <c r="AD75" s="15">
        <f t="shared" si="83"/>
        <v>0</v>
      </c>
      <c r="AE75" s="46">
        <f t="shared" si="84"/>
        <v>0</v>
      </c>
      <c r="AF75" s="15">
        <f t="shared" si="85"/>
        <v>0</v>
      </c>
      <c r="AG75" s="46">
        <f>SUMPRODUCT(AE76:AE$605, $I75:$I$604) / $I75</f>
        <v>0</v>
      </c>
      <c r="AI75" s="46">
        <f t="shared" si="60"/>
        <v>-47000</v>
      </c>
      <c r="AJ75" s="46">
        <f>IF(E75&gt;Mat_Year,0,  -SUM($AD$5:AD75))</f>
        <v>-9306</v>
      </c>
      <c r="AK75" s="24">
        <f t="shared" si="86"/>
        <v>-0.29539417323719935</v>
      </c>
      <c r="AL75" s="79">
        <f t="shared" si="87"/>
        <v>-29.968634423257726</v>
      </c>
      <c r="AM75" s="24">
        <f t="shared" si="88"/>
        <v>-31.14700629310062</v>
      </c>
      <c r="AN75" s="79">
        <f t="shared" si="89"/>
        <v>-30.264028596494924</v>
      </c>
      <c r="AO75" s="15">
        <f t="shared" si="90"/>
        <v>-8772.3348946879269</v>
      </c>
      <c r="AP75" s="46">
        <f>SUMPRODUCT(AN76:AN$605, $I76:$I$605) / $I75</f>
        <v>-8523.6504469347219</v>
      </c>
      <c r="AR75" s="46">
        <v>0</v>
      </c>
      <c r="AS75" s="46">
        <v>0</v>
      </c>
      <c r="AT75" s="46">
        <v>0</v>
      </c>
      <c r="AU75" s="95">
        <f t="shared" si="61"/>
        <v>-1.9942033455199317</v>
      </c>
      <c r="AV75" s="47">
        <f t="shared" si="62"/>
        <v>0.1</v>
      </c>
      <c r="AW75" s="96">
        <f t="shared" si="91"/>
        <v>-2.1936236800719251</v>
      </c>
      <c r="AX75" s="95">
        <f t="shared" si="63"/>
        <v>-22.866865028628549</v>
      </c>
      <c r="AY75" s="11">
        <f t="shared" si="64"/>
        <v>0.1</v>
      </c>
      <c r="AZ75" s="96">
        <f t="shared" si="92"/>
        <v>-25.153551531491406</v>
      </c>
      <c r="BA75" s="95">
        <f t="shared" si="93"/>
        <v>-2.131437261061933</v>
      </c>
      <c r="BB75" s="64">
        <f t="shared" si="94"/>
        <v>-1.6837104603138253E-2</v>
      </c>
      <c r="BC75" s="95">
        <f t="shared" si="54"/>
        <v>-2.1936236800719251</v>
      </c>
      <c r="BD75" s="96">
        <f t="shared" si="54"/>
        <v>-1.732834085057261E-2</v>
      </c>
      <c r="BE75" s="96">
        <f t="shared" si="95"/>
        <v>-2.131437261061933</v>
      </c>
      <c r="BF75" s="96">
        <f t="shared" si="96"/>
        <v>-1.6837104603138253E-2</v>
      </c>
      <c r="BG75" s="15">
        <f t="shared" si="97"/>
        <v>-291.15602366628252</v>
      </c>
      <c r="BH75" s="46">
        <f>(SUMPRODUCT(BE76:BE$605,$I75:$I$604)+SUMPRODUCT(BF76:BF$605,$I76:$I$605)) / $I75</f>
        <v>-282.9021236699071</v>
      </c>
      <c r="BJ75" s="46">
        <f t="shared" si="98"/>
        <v>-2.131437261061933</v>
      </c>
      <c r="BK75" s="46">
        <f t="shared" si="99"/>
        <v>-30.280865701098062</v>
      </c>
      <c r="BM75" s="49">
        <f t="shared" si="65"/>
        <v>9069.7390829546766</v>
      </c>
      <c r="BN75" s="50">
        <f t="shared" si="100"/>
        <v>8806.5525706046246</v>
      </c>
      <c r="BP75" s="68">
        <f>INDEX(Others!$H$11:$I$60, MATCH(C75, Others!$A$11:$A$60, 0), MATCH(BP$3, Others!$H$10:$I$10, 0))</f>
        <v>3.0540827449345775E-2</v>
      </c>
      <c r="BQ75" s="16">
        <f t="shared" si="101"/>
        <v>2.5101234003981343E-3</v>
      </c>
      <c r="BR75" s="69">
        <f t="shared" si="102"/>
        <v>0.86602105532390194</v>
      </c>
      <c r="BT75" s="46">
        <f t="shared" si="103"/>
        <v>9388.2017426835519</v>
      </c>
      <c r="BU75" s="49">
        <f t="shared" si="66"/>
        <v>599.03193517304885</v>
      </c>
      <c r="BV75" s="46">
        <f t="shared" si="104"/>
        <v>581.64917207892722</v>
      </c>
      <c r="BX75" s="46">
        <f t="shared" si="105"/>
        <v>9668.7710181277253</v>
      </c>
    </row>
    <row r="76" spans="1:76" x14ac:dyDescent="0.25">
      <c r="A76" s="61">
        <f t="shared" si="55"/>
        <v>5.9166666666666625</v>
      </c>
      <c r="B76" s="32">
        <f t="shared" si="67"/>
        <v>11</v>
      </c>
      <c r="C76" s="62">
        <f t="shared" si="68"/>
        <v>6</v>
      </c>
      <c r="D76" s="64">
        <f t="shared" si="69"/>
        <v>6.4166666666666625</v>
      </c>
      <c r="E76" s="28">
        <f t="shared" si="70"/>
        <v>6</v>
      </c>
      <c r="G76" s="68">
        <f>INDEX(Others!$D$11:$E$60, MATCH(C76, Others!$A$11:$A$60, 0), MATCH(G$3, Others!$D$10:$E$10, 0))</f>
        <v>4.0721103265794367E-2</v>
      </c>
      <c r="H76" s="16">
        <f t="shared" si="71"/>
        <v>3.3316912372947094E-3</v>
      </c>
      <c r="I76" s="69">
        <f t="shared" si="72"/>
        <v>0.82338806070617387</v>
      </c>
      <c r="K76" s="80">
        <f>INDEX(Mortality!$B$7:$F$32, MATCH( E76,Mortality!$A$7:$A$32, 0), MATCH( K$3,Mortality!$B$6:$F$6,0))</f>
        <v>0.34099999999999997</v>
      </c>
      <c r="L76" s="11" cm="1">
        <f t="array" ref="L76">PAD_Res_Mort</f>
        <v>0.15</v>
      </c>
      <c r="M76" s="80">
        <f t="shared" si="73"/>
        <v>0.39214999999999994</v>
      </c>
      <c r="N76" s="76">
        <f>INDEX('Myopia_(Reserve)'!$H:$H, MATCH(E76, 'Myopia_(Reserve)'!$A:$A, 0)) * Trend_Factor_Reserve^(A76)</f>
        <v>6.0576427608593999</v>
      </c>
      <c r="O76" s="11">
        <f t="shared" si="56"/>
        <v>0.3</v>
      </c>
      <c r="P76" s="80">
        <f t="shared" si="74"/>
        <v>7.8749355891172206</v>
      </c>
      <c r="Q76" s="76">
        <f>VLOOKUP(C76,Others!$L$10:$M$61,2)</f>
        <v>0</v>
      </c>
      <c r="R76" s="11">
        <f t="shared" si="57"/>
        <v>0</v>
      </c>
      <c r="S76" s="80">
        <f t="shared" si="75"/>
        <v>0</v>
      </c>
      <c r="T76" s="78">
        <f t="shared" si="76"/>
        <v>3.2679166666666664E-5</v>
      </c>
      <c r="U76" s="81">
        <f t="shared" si="77"/>
        <v>6.5624463242643495E-4</v>
      </c>
      <c r="V76" s="81">
        <f t="shared" si="78"/>
        <v>0</v>
      </c>
      <c r="W76" s="77">
        <f t="shared" si="58"/>
        <v>0.97098190918803007</v>
      </c>
      <c r="X76" s="82">
        <f t="shared" si="79"/>
        <v>3.1720468030950646E-5</v>
      </c>
      <c r="Y76" s="82">
        <f t="shared" si="80"/>
        <v>6.371912544780936E-4</v>
      </c>
      <c r="Z76" s="82">
        <f t="shared" si="81"/>
        <v>0</v>
      </c>
      <c r="AA76" s="82">
        <f t="shared" si="82"/>
        <v>0.97031299746552102</v>
      </c>
      <c r="AC76" s="46">
        <f t="shared" si="59"/>
        <v>0</v>
      </c>
      <c r="AD76" s="15">
        <f t="shared" si="83"/>
        <v>0</v>
      </c>
      <c r="AE76" s="46">
        <f t="shared" si="84"/>
        <v>0</v>
      </c>
      <c r="AF76" s="15">
        <f t="shared" si="85"/>
        <v>0</v>
      </c>
      <c r="AG76" s="46">
        <f>SUMPRODUCT(AE77:AE$605, $I76:$I$604) / $I76</f>
        <v>0</v>
      </c>
      <c r="AI76" s="46">
        <f t="shared" si="60"/>
        <v>-47000</v>
      </c>
      <c r="AJ76" s="46">
        <f>IF(E76&gt;Mat_Year,0,  -SUM($AD$5:AD76))</f>
        <v>-9306</v>
      </c>
      <c r="AK76" s="24">
        <f t="shared" si="86"/>
        <v>-0.29519067549602673</v>
      </c>
      <c r="AL76" s="79">
        <f t="shared" si="87"/>
        <v>-29.947988960470401</v>
      </c>
      <c r="AM76" s="24">
        <f t="shared" si="88"/>
        <v>-31.14700629310062</v>
      </c>
      <c r="AN76" s="79">
        <f t="shared" si="89"/>
        <v>-30.243179635966428</v>
      </c>
      <c r="AO76" s="15">
        <f t="shared" si="90"/>
        <v>-8776.4821961809885</v>
      </c>
      <c r="AP76" s="46">
        <f>SUMPRODUCT(AN77:AN$605, $I77:$I$605) / $I76</f>
        <v>-8521.8054388025721</v>
      </c>
      <c r="AR76" s="46">
        <v>0</v>
      </c>
      <c r="AS76" s="46">
        <v>0</v>
      </c>
      <c r="AT76" s="46">
        <v>0</v>
      </c>
      <c r="AU76" s="95">
        <f t="shared" si="61"/>
        <v>-1.9980672178196228</v>
      </c>
      <c r="AV76" s="47">
        <f t="shared" si="62"/>
        <v>0.1</v>
      </c>
      <c r="AW76" s="96">
        <f t="shared" si="91"/>
        <v>-2.1978739396015854</v>
      </c>
      <c r="AX76" s="95">
        <f t="shared" si="63"/>
        <v>-22.911170764331672</v>
      </c>
      <c r="AY76" s="11">
        <f t="shared" si="64"/>
        <v>0.1</v>
      </c>
      <c r="AZ76" s="96">
        <f t="shared" si="92"/>
        <v>-25.202287840764843</v>
      </c>
      <c r="BA76" s="95">
        <f t="shared" si="93"/>
        <v>-2.1340958340289644</v>
      </c>
      <c r="BB76" s="64">
        <f t="shared" si="94"/>
        <v>-1.6858105770734752E-2</v>
      </c>
      <c r="BC76" s="95">
        <f t="shared" si="54"/>
        <v>-2.1978739396015854</v>
      </c>
      <c r="BD76" s="96">
        <f t="shared" si="54"/>
        <v>-1.7361915408735169E-2</v>
      </c>
      <c r="BE76" s="96">
        <f t="shared" si="95"/>
        <v>-2.1340958340289644</v>
      </c>
      <c r="BF76" s="96">
        <f t="shared" si="96"/>
        <v>-1.6858105770734752E-2</v>
      </c>
      <c r="BG76" s="15">
        <f t="shared" si="97"/>
        <v>-290.10489221546584</v>
      </c>
      <c r="BH76" s="46">
        <f>(SUMPRODUCT(BE77:BE$605,$I76:$I$604)+SUMPRODUCT(BF77:BF$605,$I77:$I$605)) / $I76</f>
        <v>-281.68660210816068</v>
      </c>
      <c r="BJ76" s="46">
        <f t="shared" si="98"/>
        <v>-2.1340958340289644</v>
      </c>
      <c r="BK76" s="46">
        <f t="shared" si="99"/>
        <v>-30.260037741737161</v>
      </c>
      <c r="BM76" s="49">
        <f t="shared" si="65"/>
        <v>9072.8373874261633</v>
      </c>
      <c r="BN76" s="50">
        <f t="shared" si="100"/>
        <v>8803.4920409107272</v>
      </c>
      <c r="BP76" s="68">
        <f>INDEX(Others!$H$11:$I$60, MATCH(C76, Others!$A$11:$A$60, 0), MATCH(BP$3, Others!$H$10:$I$10, 0))</f>
        <v>3.0540827449345775E-2</v>
      </c>
      <c r="BQ76" s="16">
        <f t="shared" si="101"/>
        <v>2.5101234003981343E-3</v>
      </c>
      <c r="BR76" s="69">
        <f t="shared" si="102"/>
        <v>0.8638526785010997</v>
      </c>
      <c r="BT76" s="46">
        <f t="shared" si="103"/>
        <v>9379.3677971458637</v>
      </c>
      <c r="BU76" s="49">
        <f t="shared" si="66"/>
        <v>593.49483902548639</v>
      </c>
      <c r="BV76" s="46">
        <f t="shared" si="104"/>
        <v>575.87575623513658</v>
      </c>
      <c r="BX76" s="46">
        <f t="shared" si="105"/>
        <v>9666.3322264516501</v>
      </c>
    </row>
    <row r="77" spans="1:76" x14ac:dyDescent="0.25">
      <c r="A77" s="61">
        <f t="shared" si="55"/>
        <v>5.9999999999999956</v>
      </c>
      <c r="B77" s="32">
        <f t="shared" si="67"/>
        <v>12</v>
      </c>
      <c r="C77" s="62">
        <f t="shared" si="68"/>
        <v>6</v>
      </c>
      <c r="D77" s="64">
        <f t="shared" si="69"/>
        <v>6.4999999999999956</v>
      </c>
      <c r="E77" s="28">
        <f t="shared" si="70"/>
        <v>6</v>
      </c>
      <c r="G77" s="68">
        <f>INDEX(Others!$D$11:$E$60, MATCH(C77, Others!$A$11:$A$60, 0), MATCH(G$3, Others!$D$10:$E$10, 0))</f>
        <v>4.0721103265794367E-2</v>
      </c>
      <c r="H77" s="16">
        <f t="shared" si="71"/>
        <v>3.3316912372947094E-3</v>
      </c>
      <c r="I77" s="69">
        <f t="shared" si="72"/>
        <v>0.82065389531430344</v>
      </c>
      <c r="K77" s="80">
        <f>INDEX(Mortality!$B$7:$F$32, MATCH( E77,Mortality!$A$7:$A$32, 0), MATCH( K$3,Mortality!$B$6:$F$6,0))</f>
        <v>0.34099999999999997</v>
      </c>
      <c r="L77" s="11" cm="1">
        <f t="array" ref="L77">PAD_Res_Mort</f>
        <v>0.15</v>
      </c>
      <c r="M77" s="80">
        <f t="shared" si="73"/>
        <v>0.39214999999999994</v>
      </c>
      <c r="N77" s="76">
        <f>INDEX('Myopia_(Reserve)'!$H:$H, MATCH(E77, 'Myopia_(Reserve)'!$A:$A, 0)) * Trend_Factor_Reserve^(A77)</f>
        <v>6.0576427608593999</v>
      </c>
      <c r="O77" s="11">
        <f t="shared" si="56"/>
        <v>0.3</v>
      </c>
      <c r="P77" s="80">
        <f t="shared" si="74"/>
        <v>7.8749355891172206</v>
      </c>
      <c r="Q77" s="76">
        <f>VLOOKUP(C77,Others!$L$10:$M$61,2)</f>
        <v>0</v>
      </c>
      <c r="R77" s="11">
        <f t="shared" si="57"/>
        <v>0</v>
      </c>
      <c r="S77" s="80">
        <f t="shared" si="75"/>
        <v>0</v>
      </c>
      <c r="T77" s="78">
        <f t="shared" si="76"/>
        <v>3.2679166666666664E-5</v>
      </c>
      <c r="U77" s="81">
        <f t="shared" si="77"/>
        <v>6.5624463242643495E-4</v>
      </c>
      <c r="V77" s="81">
        <f t="shared" si="78"/>
        <v>0</v>
      </c>
      <c r="W77" s="77">
        <f t="shared" si="58"/>
        <v>0.97031299746552102</v>
      </c>
      <c r="X77" s="82">
        <f t="shared" si="79"/>
        <v>3.1698615725867929E-5</v>
      </c>
      <c r="Y77" s="82">
        <f t="shared" si="80"/>
        <v>6.3675229192321236E-4</v>
      </c>
      <c r="Z77" s="82">
        <f t="shared" si="81"/>
        <v>0</v>
      </c>
      <c r="AA77" s="82">
        <f t="shared" si="82"/>
        <v>0.96964454655787191</v>
      </c>
      <c r="AC77" s="46">
        <f t="shared" si="59"/>
        <v>0</v>
      </c>
      <c r="AD77" s="15">
        <f t="shared" si="83"/>
        <v>0</v>
      </c>
      <c r="AE77" s="46">
        <f t="shared" si="84"/>
        <v>0</v>
      </c>
      <c r="AF77" s="15">
        <f t="shared" si="85"/>
        <v>0</v>
      </c>
      <c r="AG77" s="46">
        <f>SUMPRODUCT(AE78:AE$605, $I77:$I$604) / $I77</f>
        <v>0</v>
      </c>
      <c r="AI77" s="46">
        <f t="shared" si="60"/>
        <v>-47000</v>
      </c>
      <c r="AJ77" s="46">
        <f>IF(E77&gt;Mat_Year,0,  -SUM($AD$5:AD77))</f>
        <v>-9306</v>
      </c>
      <c r="AK77" s="24">
        <f t="shared" si="86"/>
        <v>-0.29498731794492694</v>
      </c>
      <c r="AL77" s="79">
        <f t="shared" si="87"/>
        <v>-29.92735772039098</v>
      </c>
      <c r="AM77" s="24">
        <f t="shared" si="88"/>
        <v>-31.147006293100617</v>
      </c>
      <c r="AN77" s="79">
        <f t="shared" si="89"/>
        <v>-30.222345038335906</v>
      </c>
      <c r="AO77" s="15">
        <f t="shared" si="90"/>
        <v>-8780.6461837829538</v>
      </c>
      <c r="AP77" s="46">
        <f>SUMPRODUCT(AN78:AN$605, $I78:$I$605) / $I77</f>
        <v>-8519.9751182706259</v>
      </c>
      <c r="AR77" s="46">
        <v>0</v>
      </c>
      <c r="AS77" s="46">
        <v>0</v>
      </c>
      <c r="AT77" s="46">
        <v>0</v>
      </c>
      <c r="AU77" s="95">
        <f t="shared" si="61"/>
        <v>-2.0019385765720776</v>
      </c>
      <c r="AV77" s="47">
        <f t="shared" si="62"/>
        <v>0.1</v>
      </c>
      <c r="AW77" s="96">
        <f t="shared" si="91"/>
        <v>-2.2021324342292856</v>
      </c>
      <c r="AX77" s="95">
        <f t="shared" si="63"/>
        <v>-22.955562344693156</v>
      </c>
      <c r="AY77" s="11">
        <f t="shared" si="64"/>
        <v>0.1</v>
      </c>
      <c r="AZ77" s="96">
        <f t="shared" si="92"/>
        <v>-25.251118579162473</v>
      </c>
      <c r="BA77" s="95">
        <f t="shared" si="93"/>
        <v>-2.1367577230730626</v>
      </c>
      <c r="BB77" s="64">
        <f t="shared" si="94"/>
        <v>-1.6879133133395709E-2</v>
      </c>
      <c r="BC77" s="95">
        <f t="shared" si="54"/>
        <v>-2.2021324342292856</v>
      </c>
      <c r="BD77" s="96">
        <f t="shared" si="54"/>
        <v>-1.7395555019343631E-2</v>
      </c>
      <c r="BE77" s="96">
        <f t="shared" si="95"/>
        <v>-2.1367577230730626</v>
      </c>
      <c r="BF77" s="96">
        <f t="shared" si="96"/>
        <v>-1.6879133133395709E-2</v>
      </c>
      <c r="BG77" s="15">
        <f t="shared" si="97"/>
        <v>-289.04522535662028</v>
      </c>
      <c r="BH77" s="46">
        <f>(SUMPRODUCT(BE78:BE$605,$I77:$I$604)+SUMPRODUCT(BF78:BF$605,$I78:$I$605)) / $I77</f>
        <v>-280.46433901887923</v>
      </c>
      <c r="BJ77" s="46">
        <f t="shared" si="98"/>
        <v>-2.1367577230730626</v>
      </c>
      <c r="BK77" s="46">
        <f t="shared" si="99"/>
        <v>-30.239224171469303</v>
      </c>
      <c r="BM77" s="49">
        <f t="shared" si="65"/>
        <v>9075.9438482174319</v>
      </c>
      <c r="BN77" s="50">
        <f t="shared" si="100"/>
        <v>8800.439457289498</v>
      </c>
      <c r="BP77" s="68">
        <f>INDEX(Others!$H$11:$I$60, MATCH(C77, Others!$A$11:$A$60, 0), MATCH(BP$3, Others!$H$10:$I$10, 0))</f>
        <v>3.0540827449345775E-2</v>
      </c>
      <c r="BQ77" s="16">
        <f t="shared" si="101"/>
        <v>2.5101234003981343E-3</v>
      </c>
      <c r="BR77" s="69">
        <f t="shared" si="102"/>
        <v>0.86168973094357548</v>
      </c>
      <c r="BT77" s="46">
        <f t="shared" si="103"/>
        <v>9370.5298223143163</v>
      </c>
      <c r="BU77" s="49">
        <f t="shared" si="66"/>
        <v>587.93747363255375</v>
      </c>
      <c r="BV77" s="46">
        <f t="shared" si="104"/>
        <v>570.09036502481831</v>
      </c>
      <c r="BX77" s="46">
        <f t="shared" si="105"/>
        <v>9663.8813218499854</v>
      </c>
    </row>
    <row r="78" spans="1:76" x14ac:dyDescent="0.25">
      <c r="A78" s="61">
        <f t="shared" si="55"/>
        <v>6.0833333333333286</v>
      </c>
      <c r="B78" s="32">
        <f t="shared" si="67"/>
        <v>1</v>
      </c>
      <c r="C78" s="62">
        <f t="shared" si="68"/>
        <v>7</v>
      </c>
      <c r="D78" s="64">
        <f t="shared" si="69"/>
        <v>6.5833333333333286</v>
      </c>
      <c r="E78" s="28">
        <f t="shared" si="70"/>
        <v>6</v>
      </c>
      <c r="G78" s="68">
        <f>INDEX(Others!$D$11:$E$60, MATCH(C78, Others!$A$11:$A$60, 0), MATCH(G$3, Others!$D$10:$E$10, 0))</f>
        <v>4.3613141551184675E-2</v>
      </c>
      <c r="H78" s="16">
        <f t="shared" si="71"/>
        <v>3.5637406369586344E-3</v>
      </c>
      <c r="I78" s="69">
        <f t="shared" si="72"/>
        <v>0.8177396831749193</v>
      </c>
      <c r="K78" s="80">
        <f>INDEX(Mortality!$B$7:$F$32, MATCH( E78,Mortality!$A$7:$A$32, 0), MATCH( K$3,Mortality!$B$6:$F$6,0))</f>
        <v>0.34099999999999997</v>
      </c>
      <c r="L78" s="11" cm="1">
        <f t="array" ref="L78">PAD_Res_Mort</f>
        <v>0.15</v>
      </c>
      <c r="M78" s="80">
        <f t="shared" si="73"/>
        <v>0.39214999999999994</v>
      </c>
      <c r="N78" s="76">
        <f>INDEX('Myopia_(Reserve)'!$H:$H, MATCH(E78, 'Myopia_(Reserve)'!$A:$A, 0)) * Trend_Factor_Reserve^(A78)</f>
        <v>6.0576427608593999</v>
      </c>
      <c r="O78" s="11">
        <f t="shared" si="56"/>
        <v>0.3</v>
      </c>
      <c r="P78" s="80">
        <f t="shared" si="74"/>
        <v>7.8749355891172206</v>
      </c>
      <c r="Q78" s="76">
        <f>VLOOKUP(C78,Others!$L$10:$M$61,2)</f>
        <v>0</v>
      </c>
      <c r="R78" s="11">
        <f t="shared" si="57"/>
        <v>0</v>
      </c>
      <c r="S78" s="80">
        <f t="shared" si="75"/>
        <v>0</v>
      </c>
      <c r="T78" s="78">
        <f t="shared" si="76"/>
        <v>3.2679166666666664E-5</v>
      </c>
      <c r="U78" s="81">
        <f t="shared" si="77"/>
        <v>6.5624463242643495E-4</v>
      </c>
      <c r="V78" s="81">
        <f t="shared" si="78"/>
        <v>0</v>
      </c>
      <c r="W78" s="77">
        <f t="shared" si="58"/>
        <v>0.96964454655787191</v>
      </c>
      <c r="X78" s="82">
        <f t="shared" si="79"/>
        <v>3.1676778474889613E-5</v>
      </c>
      <c r="Y78" s="82">
        <f t="shared" si="80"/>
        <v>6.3631363177066834E-4</v>
      </c>
      <c r="Z78" s="82">
        <f t="shared" si="81"/>
        <v>0</v>
      </c>
      <c r="AA78" s="82">
        <f t="shared" si="82"/>
        <v>0.96897655614762634</v>
      </c>
      <c r="AC78" s="46">
        <f t="shared" si="59"/>
        <v>0</v>
      </c>
      <c r="AD78" s="15">
        <f t="shared" si="83"/>
        <v>0</v>
      </c>
      <c r="AE78" s="46">
        <f t="shared" si="84"/>
        <v>0</v>
      </c>
      <c r="AF78" s="15">
        <f t="shared" si="85"/>
        <v>0</v>
      </c>
      <c r="AG78" s="46">
        <f>SUMPRODUCT(AE79:AE$605, $I78:$I$604) / $I78</f>
        <v>0</v>
      </c>
      <c r="AI78" s="46">
        <f t="shared" si="60"/>
        <v>-47000</v>
      </c>
      <c r="AJ78" s="46">
        <f>IF(E78&gt;Mat_Year,0,  -SUM($AD$5:AD78))</f>
        <v>-9306</v>
      </c>
      <c r="AK78" s="24">
        <f t="shared" si="86"/>
        <v>-0.29478410048732273</v>
      </c>
      <c r="AL78" s="79">
        <f t="shared" si="87"/>
        <v>-29.906740693221412</v>
      </c>
      <c r="AM78" s="24">
        <f t="shared" si="88"/>
        <v>-31.14700629310062</v>
      </c>
      <c r="AN78" s="79">
        <f t="shared" si="89"/>
        <v>-30.201524793708735</v>
      </c>
      <c r="AO78" s="15">
        <f t="shared" si="90"/>
        <v>-8786.8658729400286</v>
      </c>
      <c r="AP78" s="46">
        <f>SUMPRODUCT(AN79:AN$605, $I79:$I$605) / $I78</f>
        <v>-8520.1365750317727</v>
      </c>
      <c r="AR78" s="46">
        <v>0</v>
      </c>
      <c r="AS78" s="46">
        <v>0</v>
      </c>
      <c r="AT78" s="46">
        <v>0</v>
      </c>
      <c r="AU78" s="95">
        <f t="shared" si="61"/>
        <v>-2.0058174362826868</v>
      </c>
      <c r="AV78" s="47">
        <f t="shared" si="62"/>
        <v>0.1</v>
      </c>
      <c r="AW78" s="96">
        <f t="shared" si="91"/>
        <v>-2.2063991799109557</v>
      </c>
      <c r="AX78" s="95">
        <f t="shared" si="63"/>
        <v>-23.000039936041475</v>
      </c>
      <c r="AY78" s="11">
        <f t="shared" si="64"/>
        <v>0.1</v>
      </c>
      <c r="AZ78" s="96">
        <f t="shared" si="92"/>
        <v>-25.300043929645625</v>
      </c>
      <c r="BA78" s="95">
        <f t="shared" si="93"/>
        <v>-2.1394229323304192</v>
      </c>
      <c r="BB78" s="64">
        <f t="shared" si="94"/>
        <v>-1.6900186723794619E-2</v>
      </c>
      <c r="BC78" s="95">
        <f t="shared" si="54"/>
        <v>-2.2063991799109557</v>
      </c>
      <c r="BD78" s="96">
        <f t="shared" si="54"/>
        <v>-1.7429259808440487E-2</v>
      </c>
      <c r="BE78" s="96">
        <f t="shared" si="95"/>
        <v>-2.1394229323304192</v>
      </c>
      <c r="BF78" s="96">
        <f t="shared" si="96"/>
        <v>-1.6900186723794619E-2</v>
      </c>
      <c r="BG78" s="15">
        <f t="shared" si="97"/>
        <v>-288.04358742081695</v>
      </c>
      <c r="BH78" s="46">
        <f>(SUMPRODUCT(BE79:BE$605,$I78:$I$604)+SUMPRODUCT(BF79:BF$605,$I79:$I$605)) / $I78</f>
        <v>-279.29989371356078</v>
      </c>
      <c r="BJ78" s="46">
        <f t="shared" si="98"/>
        <v>-2.1394229323304192</v>
      </c>
      <c r="BK78" s="46">
        <f t="shared" si="99"/>
        <v>-30.21842498043253</v>
      </c>
      <c r="BM78" s="49">
        <f t="shared" si="65"/>
        <v>9081.1654966445949</v>
      </c>
      <c r="BN78" s="50">
        <f t="shared" si="100"/>
        <v>8799.436468745329</v>
      </c>
      <c r="BP78" s="68">
        <f>INDEX(Others!$H$11:$I$60, MATCH(C78, Others!$A$11:$A$60, 0), MATCH(BP$3, Others!$H$10:$I$10, 0))</f>
        <v>3.2709856163388507E-2</v>
      </c>
      <c r="BQ78" s="16">
        <f t="shared" si="101"/>
        <v>2.6857899323000645E-3</v>
      </c>
      <c r="BR78" s="69">
        <f t="shared" si="102"/>
        <v>0.85938161246082445</v>
      </c>
      <c r="BT78" s="46">
        <f t="shared" si="103"/>
        <v>9363.3335030180697</v>
      </c>
      <c r="BU78" s="49">
        <f t="shared" si="66"/>
        <v>581.95116351899583</v>
      </c>
      <c r="BV78" s="46">
        <f t="shared" si="104"/>
        <v>563.89703427274071</v>
      </c>
      <c r="BX78" s="46">
        <f t="shared" si="105"/>
        <v>9663.1166601635905</v>
      </c>
    </row>
    <row r="79" spans="1:76" x14ac:dyDescent="0.25">
      <c r="A79" s="61">
        <f t="shared" si="55"/>
        <v>6.1666666666666616</v>
      </c>
      <c r="B79" s="32">
        <f t="shared" si="67"/>
        <v>2</v>
      </c>
      <c r="C79" s="62">
        <f t="shared" si="68"/>
        <v>7</v>
      </c>
      <c r="D79" s="64">
        <f t="shared" si="69"/>
        <v>6.6666666666666616</v>
      </c>
      <c r="E79" s="28">
        <f t="shared" si="70"/>
        <v>6</v>
      </c>
      <c r="G79" s="68">
        <f>INDEX(Others!$D$11:$E$60, MATCH(C79, Others!$A$11:$A$60, 0), MATCH(G$3, Others!$D$10:$E$10, 0))</f>
        <v>4.3613141551184675E-2</v>
      </c>
      <c r="H79" s="16">
        <f t="shared" si="71"/>
        <v>3.5637406369586344E-3</v>
      </c>
      <c r="I79" s="69">
        <f t="shared" si="72"/>
        <v>0.81483581965197605</v>
      </c>
      <c r="K79" s="80">
        <f>INDEX(Mortality!$B$7:$F$32, MATCH( E79,Mortality!$A$7:$A$32, 0), MATCH( K$3,Mortality!$B$6:$F$6,0))</f>
        <v>0.34099999999999997</v>
      </c>
      <c r="L79" s="11" cm="1">
        <f t="array" ref="L79">PAD_Res_Mort</f>
        <v>0.15</v>
      </c>
      <c r="M79" s="80">
        <f t="shared" si="73"/>
        <v>0.39214999999999994</v>
      </c>
      <c r="N79" s="76">
        <f>INDEX('Myopia_(Reserve)'!$H:$H, MATCH(E79, 'Myopia_(Reserve)'!$A:$A, 0)) * Trend_Factor_Reserve^(A79)</f>
        <v>6.0576427608593999</v>
      </c>
      <c r="O79" s="11">
        <f t="shared" si="56"/>
        <v>0.3</v>
      </c>
      <c r="P79" s="80">
        <f t="shared" si="74"/>
        <v>7.8749355891172206</v>
      </c>
      <c r="Q79" s="76">
        <f>VLOOKUP(C79,Others!$L$10:$M$61,2)</f>
        <v>0</v>
      </c>
      <c r="R79" s="11">
        <f t="shared" si="57"/>
        <v>0</v>
      </c>
      <c r="S79" s="80">
        <f t="shared" si="75"/>
        <v>0</v>
      </c>
      <c r="T79" s="78">
        <f t="shared" si="76"/>
        <v>3.2679166666666664E-5</v>
      </c>
      <c r="U79" s="81">
        <f t="shared" si="77"/>
        <v>6.5624463242643495E-4</v>
      </c>
      <c r="V79" s="81">
        <f t="shared" si="78"/>
        <v>0</v>
      </c>
      <c r="W79" s="77">
        <f t="shared" si="58"/>
        <v>0.96897655614762634</v>
      </c>
      <c r="X79" s="82">
        <f t="shared" si="79"/>
        <v>3.1654956267644895E-5</v>
      </c>
      <c r="Y79" s="82">
        <f t="shared" si="80"/>
        <v>6.3587527381213577E-4</v>
      </c>
      <c r="Z79" s="82">
        <f t="shared" si="81"/>
        <v>0</v>
      </c>
      <c r="AA79" s="82">
        <f t="shared" si="82"/>
        <v>0.96830902591754653</v>
      </c>
      <c r="AC79" s="46">
        <f t="shared" si="59"/>
        <v>0</v>
      </c>
      <c r="AD79" s="15">
        <f t="shared" si="83"/>
        <v>0</v>
      </c>
      <c r="AE79" s="46">
        <f t="shared" si="84"/>
        <v>0</v>
      </c>
      <c r="AF79" s="15">
        <f t="shared" si="85"/>
        <v>0</v>
      </c>
      <c r="AG79" s="46">
        <f>SUMPRODUCT(AE80:AE$605, $I79:$I$604) / $I79</f>
        <v>0</v>
      </c>
      <c r="AI79" s="46">
        <f t="shared" si="60"/>
        <v>-47000</v>
      </c>
      <c r="AJ79" s="46">
        <f>IF(E79&gt;Mat_Year,0,  -SUM($AD$5:AD79))</f>
        <v>-9306</v>
      </c>
      <c r="AK79" s="24">
        <f t="shared" si="86"/>
        <v>-0.29458102302670341</v>
      </c>
      <c r="AL79" s="79">
        <f t="shared" si="87"/>
        <v>-29.88613786917038</v>
      </c>
      <c r="AM79" s="24">
        <f t="shared" si="88"/>
        <v>-31.14700629310062</v>
      </c>
      <c r="AN79" s="79">
        <f t="shared" si="89"/>
        <v>-30.180718892197085</v>
      </c>
      <c r="AO79" s="15">
        <f t="shared" si="90"/>
        <v>-8793.1120304487122</v>
      </c>
      <c r="AP79" s="46">
        <f>SUMPRODUCT(AN80:AN$605, $I80:$I$605) / $I79</f>
        <v>-8520.3194130844549</v>
      </c>
      <c r="AR79" s="46">
        <v>0</v>
      </c>
      <c r="AS79" s="46">
        <v>0</v>
      </c>
      <c r="AT79" s="46">
        <v>0</v>
      </c>
      <c r="AU79" s="95">
        <f t="shared" si="61"/>
        <v>-2.0097038114849455</v>
      </c>
      <c r="AV79" s="47">
        <f t="shared" si="62"/>
        <v>0.1</v>
      </c>
      <c r="AW79" s="96">
        <f t="shared" si="91"/>
        <v>-2.2106741926334403</v>
      </c>
      <c r="AX79" s="95">
        <f t="shared" si="63"/>
        <v>-23.04460370502737</v>
      </c>
      <c r="AY79" s="11">
        <f t="shared" si="64"/>
        <v>0.1</v>
      </c>
      <c r="AZ79" s="96">
        <f t="shared" si="92"/>
        <v>-25.349064075530109</v>
      </c>
      <c r="BA79" s="95">
        <f t="shared" si="93"/>
        <v>-2.1420914659423853</v>
      </c>
      <c r="BB79" s="64">
        <f t="shared" si="94"/>
        <v>-1.6921266574645717E-2</v>
      </c>
      <c r="BC79" s="95">
        <f t="shared" si="54"/>
        <v>-2.2106741926334403</v>
      </c>
      <c r="BD79" s="96">
        <f t="shared" si="54"/>
        <v>-1.7463029902312428E-2</v>
      </c>
      <c r="BE79" s="96">
        <f t="shared" si="95"/>
        <v>-2.1420914659423853</v>
      </c>
      <c r="BF79" s="96">
        <f t="shared" si="96"/>
        <v>-1.6921266574645717E-2</v>
      </c>
      <c r="BG79" s="15">
        <f t="shared" si="97"/>
        <v>-287.03336292213663</v>
      </c>
      <c r="BH79" s="46">
        <f>(SUMPRODUCT(BE80:BE$605,$I79:$I$604)+SUMPRODUCT(BF80:BF$605,$I80:$I$605)) / $I79</f>
        <v>-278.12859950376372</v>
      </c>
      <c r="BJ79" s="46">
        <f t="shared" si="98"/>
        <v>-2.1420914659423853</v>
      </c>
      <c r="BK79" s="46">
        <f t="shared" si="99"/>
        <v>-30.19764015877173</v>
      </c>
      <c r="BM79" s="49">
        <f t="shared" si="65"/>
        <v>9086.4050391877881</v>
      </c>
      <c r="BN79" s="50">
        <f t="shared" si="100"/>
        <v>8798.4480125882128</v>
      </c>
      <c r="BP79" s="68">
        <f>INDEX(Others!$H$11:$I$60, MATCH(C79, Others!$A$11:$A$60, 0), MATCH(BP$3, Others!$H$10:$I$10, 0))</f>
        <v>3.2709856163388507E-2</v>
      </c>
      <c r="BQ79" s="16">
        <f t="shared" si="101"/>
        <v>2.6857899323000645E-3</v>
      </c>
      <c r="BR79" s="69">
        <f t="shared" si="102"/>
        <v>0.85707967649451644</v>
      </c>
      <c r="BT79" s="46">
        <f t="shared" si="103"/>
        <v>9356.1359650408358</v>
      </c>
      <c r="BU79" s="49">
        <f t="shared" si="66"/>
        <v>575.94005376968494</v>
      </c>
      <c r="BV79" s="46">
        <f t="shared" si="104"/>
        <v>557.68795245262299</v>
      </c>
      <c r="BX79" s="46">
        <f t="shared" si="105"/>
        <v>9662.3450929574738</v>
      </c>
    </row>
    <row r="80" spans="1:76" x14ac:dyDescent="0.25">
      <c r="A80" s="61">
        <f t="shared" si="55"/>
        <v>6.2499999999999947</v>
      </c>
      <c r="B80" s="32">
        <f t="shared" si="67"/>
        <v>3</v>
      </c>
      <c r="C80" s="62">
        <f t="shared" si="68"/>
        <v>7</v>
      </c>
      <c r="D80" s="64">
        <f t="shared" si="69"/>
        <v>6.7499999999999947</v>
      </c>
      <c r="E80" s="28">
        <f t="shared" si="70"/>
        <v>6</v>
      </c>
      <c r="G80" s="68">
        <f>INDEX(Others!$D$11:$E$60, MATCH(C80, Others!$A$11:$A$60, 0), MATCH(G$3, Others!$D$10:$E$10, 0))</f>
        <v>4.3613141551184675E-2</v>
      </c>
      <c r="H80" s="16">
        <f t="shared" si="71"/>
        <v>3.5637406369586344E-3</v>
      </c>
      <c r="I80" s="69">
        <f t="shared" si="72"/>
        <v>0.81194226799665203</v>
      </c>
      <c r="K80" s="80">
        <f>INDEX(Mortality!$B$7:$F$32, MATCH( E80,Mortality!$A$7:$A$32, 0), MATCH( K$3,Mortality!$B$6:$F$6,0))</f>
        <v>0.34099999999999997</v>
      </c>
      <c r="L80" s="11" cm="1">
        <f t="array" ref="L80">PAD_Res_Mort</f>
        <v>0.15</v>
      </c>
      <c r="M80" s="80">
        <f t="shared" si="73"/>
        <v>0.39214999999999994</v>
      </c>
      <c r="N80" s="76">
        <f>INDEX('Myopia_(Reserve)'!$H:$H, MATCH(E80, 'Myopia_(Reserve)'!$A:$A, 0)) * Trend_Factor_Reserve^(A80)</f>
        <v>6.0576427608593999</v>
      </c>
      <c r="O80" s="11">
        <f t="shared" si="56"/>
        <v>0.3</v>
      </c>
      <c r="P80" s="80">
        <f t="shared" si="74"/>
        <v>7.8749355891172206</v>
      </c>
      <c r="Q80" s="76">
        <f>VLOOKUP(C80,Others!$L$10:$M$61,2)</f>
        <v>0</v>
      </c>
      <c r="R80" s="11">
        <f t="shared" si="57"/>
        <v>0</v>
      </c>
      <c r="S80" s="80">
        <f t="shared" si="75"/>
        <v>0</v>
      </c>
      <c r="T80" s="78">
        <f t="shared" si="76"/>
        <v>3.2679166666666664E-5</v>
      </c>
      <c r="U80" s="81">
        <f t="shared" si="77"/>
        <v>6.5624463242643495E-4</v>
      </c>
      <c r="V80" s="81">
        <f t="shared" si="78"/>
        <v>0</v>
      </c>
      <c r="W80" s="77">
        <f t="shared" si="58"/>
        <v>0.96830902591754653</v>
      </c>
      <c r="X80" s="82">
        <f t="shared" si="79"/>
        <v>3.1633149093770099E-5</v>
      </c>
      <c r="Y80" s="82">
        <f t="shared" si="80"/>
        <v>6.3543721783943256E-4</v>
      </c>
      <c r="Z80" s="82">
        <f t="shared" si="81"/>
        <v>0</v>
      </c>
      <c r="AA80" s="82">
        <f t="shared" si="82"/>
        <v>0.96764195555061328</v>
      </c>
      <c r="AC80" s="46">
        <f t="shared" si="59"/>
        <v>0</v>
      </c>
      <c r="AD80" s="15">
        <f t="shared" si="83"/>
        <v>0</v>
      </c>
      <c r="AE80" s="46">
        <f t="shared" si="84"/>
        <v>0</v>
      </c>
      <c r="AF80" s="15">
        <f t="shared" si="85"/>
        <v>0</v>
      </c>
      <c r="AG80" s="46">
        <f>SUMPRODUCT(AE81:AE$605, $I80:$I$604) / $I80</f>
        <v>0</v>
      </c>
      <c r="AI80" s="46">
        <f t="shared" si="60"/>
        <v>-47000</v>
      </c>
      <c r="AJ80" s="46">
        <f>IF(E80&gt;Mat_Year,0,  -SUM($AD$5:AD80))</f>
        <v>-9306</v>
      </c>
      <c r="AK80" s="24">
        <f t="shared" si="86"/>
        <v>-0.29437808546662453</v>
      </c>
      <c r="AL80" s="79">
        <f t="shared" si="87"/>
        <v>-29.86554923845333</v>
      </c>
      <c r="AM80" s="24">
        <f t="shared" si="88"/>
        <v>-31.147006293100624</v>
      </c>
      <c r="AN80" s="79">
        <f t="shared" si="89"/>
        <v>-30.159927323919955</v>
      </c>
      <c r="AO80" s="15">
        <f t="shared" si="90"/>
        <v>-8799.3847689470476</v>
      </c>
      <c r="AP80" s="46">
        <f>SUMPRODUCT(AN81:AN$605, $I81:$I$605) / $I80</f>
        <v>-8520.5236942928113</v>
      </c>
      <c r="AR80" s="46">
        <v>0</v>
      </c>
      <c r="AS80" s="46">
        <v>0</v>
      </c>
      <c r="AT80" s="46">
        <v>0</v>
      </c>
      <c r="AU80" s="95">
        <f t="shared" si="61"/>
        <v>-2.0135977167405077</v>
      </c>
      <c r="AV80" s="47">
        <f t="shared" si="62"/>
        <v>0.1</v>
      </c>
      <c r="AW80" s="96">
        <f t="shared" si="91"/>
        <v>-2.2149574884145586</v>
      </c>
      <c r="AX80" s="95">
        <f t="shared" si="63"/>
        <v>-23.089253818624485</v>
      </c>
      <c r="AY80" s="11">
        <f t="shared" si="64"/>
        <v>0.1</v>
      </c>
      <c r="AZ80" s="96">
        <f t="shared" si="92"/>
        <v>-25.398179200486936</v>
      </c>
      <c r="BA80" s="95">
        <f t="shared" si="93"/>
        <v>-2.1447633280554768</v>
      </c>
      <c r="BB80" s="64">
        <f t="shared" si="94"/>
        <v>-1.6942372718704055E-2</v>
      </c>
      <c r="BC80" s="95">
        <f t="shared" si="54"/>
        <v>-2.2149574884145586</v>
      </c>
      <c r="BD80" s="96">
        <f t="shared" si="54"/>
        <v>-1.7496865427490845E-2</v>
      </c>
      <c r="BE80" s="96">
        <f t="shared" si="95"/>
        <v>-2.1447633280554768</v>
      </c>
      <c r="BF80" s="96">
        <f t="shared" si="96"/>
        <v>-1.6942372718704055E-2</v>
      </c>
      <c r="BG80" s="15">
        <f t="shared" si="97"/>
        <v>-286.01450694181131</v>
      </c>
      <c r="BH80" s="46">
        <f>(SUMPRODUCT(BE81:BE$605,$I80:$I$604)+SUMPRODUCT(BF81:BF$605,$I81:$I$605)) / $I80</f>
        <v>-276.95042861511263</v>
      </c>
      <c r="BJ80" s="46">
        <f t="shared" si="98"/>
        <v>-2.1447633280554768</v>
      </c>
      <c r="BK80" s="46">
        <f t="shared" si="99"/>
        <v>-30.176869696638658</v>
      </c>
      <c r="BM80" s="49">
        <f t="shared" si="65"/>
        <v>9091.6625436129725</v>
      </c>
      <c r="BN80" s="50">
        <f t="shared" si="100"/>
        <v>8797.4741229079191</v>
      </c>
      <c r="BP80" s="68">
        <f>INDEX(Others!$H$11:$I$60, MATCH(C80, Others!$A$11:$A$60, 0), MATCH(BP$3, Others!$H$10:$I$10, 0))</f>
        <v>3.2709856163388507E-2</v>
      </c>
      <c r="BQ80" s="16">
        <f t="shared" si="101"/>
        <v>2.6857899323000645E-3</v>
      </c>
      <c r="BR80" s="69">
        <f t="shared" si="102"/>
        <v>0.85478390648418912</v>
      </c>
      <c r="BT80" s="46">
        <f t="shared" si="103"/>
        <v>9348.9371874125245</v>
      </c>
      <c r="BU80" s="49">
        <f t="shared" si="66"/>
        <v>569.90404492207938</v>
      </c>
      <c r="BV80" s="46">
        <f t="shared" si="104"/>
        <v>551.46306450460543</v>
      </c>
      <c r="BX80" s="46">
        <f t="shared" si="105"/>
        <v>9661.5665885350518</v>
      </c>
    </row>
    <row r="81" spans="1:76" x14ac:dyDescent="0.25">
      <c r="A81" s="61">
        <f t="shared" si="55"/>
        <v>6.3333333333333277</v>
      </c>
      <c r="B81" s="32">
        <f t="shared" si="67"/>
        <v>4</v>
      </c>
      <c r="C81" s="62">
        <f t="shared" si="68"/>
        <v>7</v>
      </c>
      <c r="D81" s="64">
        <f t="shared" si="69"/>
        <v>6.8333333333333277</v>
      </c>
      <c r="E81" s="28">
        <f t="shared" si="70"/>
        <v>6</v>
      </c>
      <c r="G81" s="68">
        <f>INDEX(Others!$D$11:$E$60, MATCH(C81, Others!$A$11:$A$60, 0), MATCH(G$3, Others!$D$10:$E$10, 0))</f>
        <v>4.3613141551184675E-2</v>
      </c>
      <c r="H81" s="16">
        <f t="shared" si="71"/>
        <v>3.5637406369586344E-3</v>
      </c>
      <c r="I81" s="69">
        <f t="shared" si="72"/>
        <v>0.80905899159062378</v>
      </c>
      <c r="K81" s="80">
        <f>INDEX(Mortality!$B$7:$F$32, MATCH( E81,Mortality!$A$7:$A$32, 0), MATCH( K$3,Mortality!$B$6:$F$6,0))</f>
        <v>0.34099999999999997</v>
      </c>
      <c r="L81" s="11" cm="1">
        <f t="array" ref="L81">PAD_Res_Mort</f>
        <v>0.15</v>
      </c>
      <c r="M81" s="80">
        <f t="shared" si="73"/>
        <v>0.39214999999999994</v>
      </c>
      <c r="N81" s="76">
        <f>INDEX('Myopia_(Reserve)'!$H:$H, MATCH(E81, 'Myopia_(Reserve)'!$A:$A, 0)) * Trend_Factor_Reserve^(A81)</f>
        <v>6.0576427608593999</v>
      </c>
      <c r="O81" s="11">
        <f t="shared" si="56"/>
        <v>0.3</v>
      </c>
      <c r="P81" s="80">
        <f t="shared" si="74"/>
        <v>7.8749355891172206</v>
      </c>
      <c r="Q81" s="76">
        <f>VLOOKUP(C81,Others!$L$10:$M$61,2)</f>
        <v>0</v>
      </c>
      <c r="R81" s="11">
        <f t="shared" si="57"/>
        <v>0</v>
      </c>
      <c r="S81" s="80">
        <f t="shared" si="75"/>
        <v>0</v>
      </c>
      <c r="T81" s="78">
        <f t="shared" si="76"/>
        <v>3.2679166666666664E-5</v>
      </c>
      <c r="U81" s="81">
        <f t="shared" si="77"/>
        <v>6.5624463242643495E-4</v>
      </c>
      <c r="V81" s="81">
        <f t="shared" si="78"/>
        <v>0</v>
      </c>
      <c r="W81" s="77">
        <f t="shared" si="58"/>
        <v>0.96764195555061328</v>
      </c>
      <c r="X81" s="82">
        <f t="shared" si="79"/>
        <v>3.1611356942908715E-5</v>
      </c>
      <c r="Y81" s="82">
        <f t="shared" si="80"/>
        <v>6.3499946364451983E-4</v>
      </c>
      <c r="Z81" s="82">
        <f t="shared" si="81"/>
        <v>0</v>
      </c>
      <c r="AA81" s="82">
        <f t="shared" si="82"/>
        <v>0.96697534473002589</v>
      </c>
      <c r="AC81" s="46">
        <f t="shared" si="59"/>
        <v>0</v>
      </c>
      <c r="AD81" s="15">
        <f t="shared" si="83"/>
        <v>0</v>
      </c>
      <c r="AE81" s="46">
        <f t="shared" si="84"/>
        <v>0</v>
      </c>
      <c r="AF81" s="15">
        <f t="shared" si="85"/>
        <v>0</v>
      </c>
      <c r="AG81" s="46">
        <f>SUMPRODUCT(AE82:AE$605, $I81:$I$604) / $I81</f>
        <v>0</v>
      </c>
      <c r="AI81" s="46">
        <f t="shared" si="60"/>
        <v>-47000</v>
      </c>
      <c r="AJ81" s="46">
        <f>IF(E81&gt;Mat_Year,0,  -SUM($AD$5:AD81))</f>
        <v>-9306</v>
      </c>
      <c r="AK81" s="24">
        <f t="shared" si="86"/>
        <v>-0.2941752877107085</v>
      </c>
      <c r="AL81" s="79">
        <f t="shared" si="87"/>
        <v>-29.844974791292433</v>
      </c>
      <c r="AM81" s="24">
        <f t="shared" si="88"/>
        <v>-31.14700629310062</v>
      </c>
      <c r="AN81" s="79">
        <f t="shared" si="89"/>
        <v>-30.139150079003141</v>
      </c>
      <c r="AO81" s="15">
        <f t="shared" si="90"/>
        <v>-8805.6842015524235</v>
      </c>
      <c r="AP81" s="46">
        <f>SUMPRODUCT(AN82:AN$605, $I82:$I$605) / $I81</f>
        <v>-8520.7494807513285</v>
      </c>
      <c r="AR81" s="46">
        <v>0</v>
      </c>
      <c r="AS81" s="46">
        <v>0</v>
      </c>
      <c r="AT81" s="46">
        <v>0</v>
      </c>
      <c r="AU81" s="95">
        <f t="shared" si="61"/>
        <v>-2.0174991666392423</v>
      </c>
      <c r="AV81" s="47">
        <f t="shared" si="62"/>
        <v>0.1</v>
      </c>
      <c r="AW81" s="96">
        <f t="shared" si="91"/>
        <v>-2.2192490833031666</v>
      </c>
      <c r="AX81" s="95">
        <f t="shared" si="63"/>
        <v>-23.133990444129974</v>
      </c>
      <c r="AY81" s="11">
        <f t="shared" si="64"/>
        <v>0.1</v>
      </c>
      <c r="AZ81" s="96">
        <f t="shared" si="92"/>
        <v>-25.447389488542974</v>
      </c>
      <c r="BA81" s="95">
        <f t="shared" si="93"/>
        <v>-2.1474385228213819</v>
      </c>
      <c r="BB81" s="64">
        <f t="shared" si="94"/>
        <v>-1.6963505188765535E-2</v>
      </c>
      <c r="BC81" s="95">
        <f t="shared" si="54"/>
        <v>-2.2192490833031666</v>
      </c>
      <c r="BD81" s="96">
        <f t="shared" si="54"/>
        <v>-1.7530766510752277E-2</v>
      </c>
      <c r="BE81" s="96">
        <f t="shared" si="95"/>
        <v>-2.1474385228213819</v>
      </c>
      <c r="BF81" s="96">
        <f t="shared" si="96"/>
        <v>-1.6963505188765535E-2</v>
      </c>
      <c r="BG81" s="15">
        <f t="shared" si="97"/>
        <v>-284.98697435368484</v>
      </c>
      <c r="BH81" s="46">
        <f>(SUMPRODUCT(BE82:BE$605,$I81:$I$604)+SUMPRODUCT(BF82:BF$605,$I82:$I$605)) / $I81</f>
        <v>-275.76535317005209</v>
      </c>
      <c r="BJ81" s="46">
        <f t="shared" si="98"/>
        <v>-2.1474385228213819</v>
      </c>
      <c r="BK81" s="46">
        <f t="shared" si="99"/>
        <v>-30.156113584191907</v>
      </c>
      <c r="BM81" s="49">
        <f t="shared" si="65"/>
        <v>9096.938077958248</v>
      </c>
      <c r="BN81" s="50">
        <f t="shared" si="100"/>
        <v>8796.5148339213756</v>
      </c>
      <c r="BP81" s="68">
        <f>INDEX(Others!$H$11:$I$60, MATCH(C81, Others!$A$11:$A$60, 0), MATCH(BP$3, Others!$H$10:$I$10, 0))</f>
        <v>3.2709856163388507E-2</v>
      </c>
      <c r="BQ81" s="16">
        <f t="shared" si="101"/>
        <v>2.6857899323000645E-3</v>
      </c>
      <c r="BR81" s="69">
        <f t="shared" si="102"/>
        <v>0.85249428591373866</v>
      </c>
      <c r="BT81" s="46">
        <f t="shared" si="103"/>
        <v>9341.7371491124049</v>
      </c>
      <c r="BU81" s="49">
        <f t="shared" si="66"/>
        <v>563.84303711823429</v>
      </c>
      <c r="BV81" s="46">
        <f t="shared" si="104"/>
        <v>545.22231519102934</v>
      </c>
      <c r="BX81" s="46">
        <f t="shared" si="105"/>
        <v>9660.7811150764828</v>
      </c>
    </row>
    <row r="82" spans="1:76" x14ac:dyDescent="0.25">
      <c r="A82" s="61">
        <f t="shared" si="55"/>
        <v>6.4166666666666607</v>
      </c>
      <c r="B82" s="32">
        <f t="shared" si="67"/>
        <v>5</v>
      </c>
      <c r="C82" s="62">
        <f t="shared" si="68"/>
        <v>7</v>
      </c>
      <c r="D82" s="64">
        <f t="shared" si="69"/>
        <v>6.9166666666666607</v>
      </c>
      <c r="E82" s="28">
        <f t="shared" si="70"/>
        <v>6</v>
      </c>
      <c r="G82" s="68">
        <f>INDEX(Others!$D$11:$E$60, MATCH(C82, Others!$A$11:$A$60, 0), MATCH(G$3, Others!$D$10:$E$10, 0))</f>
        <v>4.3613141551184675E-2</v>
      </c>
      <c r="H82" s="16">
        <f t="shared" si="71"/>
        <v>3.5637406369586344E-3</v>
      </c>
      <c r="I82" s="69">
        <f t="shared" si="72"/>
        <v>0.80618595394560255</v>
      </c>
      <c r="K82" s="80">
        <f>INDEX(Mortality!$B$7:$F$32, MATCH( E82,Mortality!$A$7:$A$32, 0), MATCH( K$3,Mortality!$B$6:$F$6,0))</f>
        <v>0.34099999999999997</v>
      </c>
      <c r="L82" s="11" cm="1">
        <f t="array" ref="L82">PAD_Res_Mort</f>
        <v>0.15</v>
      </c>
      <c r="M82" s="80">
        <f t="shared" si="73"/>
        <v>0.39214999999999994</v>
      </c>
      <c r="N82" s="76">
        <f>INDEX('Myopia_(Reserve)'!$H:$H, MATCH(E82, 'Myopia_(Reserve)'!$A:$A, 0)) * Trend_Factor_Reserve^(A82)</f>
        <v>6.0576427608593999</v>
      </c>
      <c r="O82" s="11">
        <f t="shared" si="56"/>
        <v>0.3</v>
      </c>
      <c r="P82" s="80">
        <f t="shared" si="74"/>
        <v>7.8749355891172206</v>
      </c>
      <c r="Q82" s="76">
        <f>VLOOKUP(C82,Others!$L$10:$M$61,2)</f>
        <v>0</v>
      </c>
      <c r="R82" s="11">
        <f t="shared" si="57"/>
        <v>0</v>
      </c>
      <c r="S82" s="80">
        <f t="shared" si="75"/>
        <v>0</v>
      </c>
      <c r="T82" s="78">
        <f t="shared" si="76"/>
        <v>3.2679166666666664E-5</v>
      </c>
      <c r="U82" s="81">
        <f t="shared" si="77"/>
        <v>6.5624463242643495E-4</v>
      </c>
      <c r="V82" s="81">
        <f t="shared" si="78"/>
        <v>0</v>
      </c>
      <c r="W82" s="77">
        <f t="shared" si="58"/>
        <v>0.96697534473002589</v>
      </c>
      <c r="X82" s="82">
        <f t="shared" si="79"/>
        <v>3.1589579804711355E-5</v>
      </c>
      <c r="Y82" s="82">
        <f t="shared" si="80"/>
        <v>6.3456201101950245E-4</v>
      </c>
      <c r="Z82" s="82">
        <f t="shared" si="81"/>
        <v>0</v>
      </c>
      <c r="AA82" s="82">
        <f t="shared" si="82"/>
        <v>0.96630919313920172</v>
      </c>
      <c r="AC82" s="46">
        <f t="shared" si="59"/>
        <v>0</v>
      </c>
      <c r="AD82" s="15">
        <f t="shared" si="83"/>
        <v>0</v>
      </c>
      <c r="AE82" s="46">
        <f t="shared" si="84"/>
        <v>0</v>
      </c>
      <c r="AF82" s="15">
        <f t="shared" si="85"/>
        <v>0</v>
      </c>
      <c r="AG82" s="46">
        <f>SUMPRODUCT(AE83:AE$605, $I82:$I$604) / $I82</f>
        <v>0</v>
      </c>
      <c r="AI82" s="46">
        <f t="shared" si="60"/>
        <v>-47000</v>
      </c>
      <c r="AJ82" s="46">
        <f>IF(E82&gt;Mat_Year,0,  -SUM($AD$5:AD82))</f>
        <v>-9306</v>
      </c>
      <c r="AK82" s="24">
        <f t="shared" si="86"/>
        <v>-0.29397262966264387</v>
      </c>
      <c r="AL82" s="79">
        <f t="shared" si="87"/>
        <v>-29.824414517916615</v>
      </c>
      <c r="AM82" s="24">
        <f t="shared" si="88"/>
        <v>-31.14700629310062</v>
      </c>
      <c r="AN82" s="79">
        <f t="shared" si="89"/>
        <v>-30.118387147579259</v>
      </c>
      <c r="AO82" s="15">
        <f t="shared" si="90"/>
        <v>-8812.0104418636038</v>
      </c>
      <c r="AP82" s="46">
        <f>SUMPRODUCT(AN83:AN$605, $I83:$I$605) / $I82</f>
        <v>-8520.9968347856466</v>
      </c>
      <c r="AR82" s="46">
        <v>0</v>
      </c>
      <c r="AS82" s="46">
        <v>0</v>
      </c>
      <c r="AT82" s="46">
        <v>0</v>
      </c>
      <c r="AU82" s="95">
        <f t="shared" si="61"/>
        <v>-2.0214081757992854</v>
      </c>
      <c r="AV82" s="47">
        <f t="shared" si="62"/>
        <v>0.1</v>
      </c>
      <c r="AW82" s="96">
        <f t="shared" si="91"/>
        <v>-2.2235489933792141</v>
      </c>
      <c r="AX82" s="95">
        <f t="shared" si="63"/>
        <v>-23.178813749165137</v>
      </c>
      <c r="AY82" s="11">
        <f t="shared" si="64"/>
        <v>0.1</v>
      </c>
      <c r="AZ82" s="96">
        <f t="shared" si="92"/>
        <v>-25.496695124081654</v>
      </c>
      <c r="BA82" s="95">
        <f t="shared" si="93"/>
        <v>-2.1501170543969677</v>
      </c>
      <c r="BB82" s="64">
        <f t="shared" si="94"/>
        <v>-1.6984664017666969E-2</v>
      </c>
      <c r="BC82" s="95">
        <f t="shared" si="54"/>
        <v>-2.2235489933792141</v>
      </c>
      <c r="BD82" s="96">
        <f t="shared" si="54"/>
        <v>-1.7564733279118911E-2</v>
      </c>
      <c r="BE82" s="96">
        <f t="shared" si="95"/>
        <v>-2.1501170543969677</v>
      </c>
      <c r="BF82" s="96">
        <f t="shared" si="96"/>
        <v>-1.6984664017666969E-2</v>
      </c>
      <c r="BG82" s="15">
        <f t="shared" si="97"/>
        <v>-283.95071982329927</v>
      </c>
      <c r="BH82" s="46">
        <f>(SUMPRODUCT(BE83:BE$605,$I82:$I$604)+SUMPRODUCT(BF83:BF$605,$I83:$I$605)) / $I82</f>
        <v>-274.57334518747382</v>
      </c>
      <c r="BJ82" s="46">
        <f t="shared" si="98"/>
        <v>-2.1501170543969677</v>
      </c>
      <c r="BK82" s="46">
        <f t="shared" si="99"/>
        <v>-30.135371811596926</v>
      </c>
      <c r="BM82" s="49">
        <f t="shared" si="65"/>
        <v>9102.2317105349812</v>
      </c>
      <c r="BN82" s="50">
        <f t="shared" si="100"/>
        <v>8795.5701799731141</v>
      </c>
      <c r="BP82" s="68">
        <f>INDEX(Others!$H$11:$I$60, MATCH(C82, Others!$A$11:$A$60, 0), MATCH(BP$3, Others!$H$10:$I$10, 0))</f>
        <v>3.2709856163388507E-2</v>
      </c>
      <c r="BQ82" s="16">
        <f t="shared" si="101"/>
        <v>2.6857899323000645E-3</v>
      </c>
      <c r="BR82" s="69">
        <f t="shared" si="102"/>
        <v>0.85021079831130142</v>
      </c>
      <c r="BT82" s="46">
        <f t="shared" si="103"/>
        <v>9334.5358290689528</v>
      </c>
      <c r="BU82" s="49">
        <f t="shared" si="66"/>
        <v>557.756930103218</v>
      </c>
      <c r="BV82" s="46">
        <f t="shared" si="104"/>
        <v>538.96564909583867</v>
      </c>
      <c r="BX82" s="46">
        <f t="shared" si="105"/>
        <v>9659.9886406381993</v>
      </c>
    </row>
    <row r="83" spans="1:76" x14ac:dyDescent="0.25">
      <c r="A83" s="61">
        <f t="shared" si="55"/>
        <v>6.4999999999999938</v>
      </c>
      <c r="B83" s="32">
        <f t="shared" si="67"/>
        <v>6</v>
      </c>
      <c r="C83" s="62">
        <f t="shared" si="68"/>
        <v>7</v>
      </c>
      <c r="D83" s="64">
        <f t="shared" si="69"/>
        <v>6.9999999999999938</v>
      </c>
      <c r="E83" s="28">
        <f t="shared" si="70"/>
        <v>7</v>
      </c>
      <c r="G83" s="68">
        <f>INDEX(Others!$D$11:$E$60, MATCH(C83, Others!$A$11:$A$60, 0), MATCH(G$3, Others!$D$10:$E$10, 0))</f>
        <v>4.3613141551184675E-2</v>
      </c>
      <c r="H83" s="16">
        <f t="shared" si="71"/>
        <v>3.5637406369586344E-3</v>
      </c>
      <c r="I83" s="69">
        <f t="shared" si="72"/>
        <v>0.80332311870287276</v>
      </c>
      <c r="K83" s="80">
        <f>INDEX(Mortality!$B$7:$F$32, MATCH( E83,Mortality!$A$7:$A$32, 0), MATCH( K$3,Mortality!$B$6:$F$6,0))</f>
        <v>0.34400000000000003</v>
      </c>
      <c r="L83" s="11" cm="1">
        <f t="array" ref="L83">PAD_Res_Mort</f>
        <v>0.15</v>
      </c>
      <c r="M83" s="80">
        <f t="shared" si="73"/>
        <v>0.39560000000000001</v>
      </c>
      <c r="N83" s="76">
        <f>INDEX('Myopia_(Reserve)'!$H:$H, MATCH(E83, 'Myopia_(Reserve)'!$A:$A, 0)) * Trend_Factor_Reserve^(A83)</f>
        <v>12.16603036559686</v>
      </c>
      <c r="O83" s="11">
        <f t="shared" si="56"/>
        <v>0.3</v>
      </c>
      <c r="P83" s="80">
        <f t="shared" si="74"/>
        <v>15.815839475275919</v>
      </c>
      <c r="Q83" s="76">
        <f>VLOOKUP(C83,Others!$L$10:$M$61,2)</f>
        <v>0</v>
      </c>
      <c r="R83" s="11">
        <f t="shared" si="57"/>
        <v>0</v>
      </c>
      <c r="S83" s="80">
        <f t="shared" si="75"/>
        <v>0</v>
      </c>
      <c r="T83" s="78">
        <f t="shared" si="76"/>
        <v>3.2966666666666671E-5</v>
      </c>
      <c r="U83" s="81">
        <f t="shared" si="77"/>
        <v>1.3179866229396599E-3</v>
      </c>
      <c r="V83" s="81">
        <f t="shared" si="78"/>
        <v>0</v>
      </c>
      <c r="W83" s="77">
        <f t="shared" si="58"/>
        <v>0.96630919313920172</v>
      </c>
      <c r="X83" s="82">
        <f t="shared" si="79"/>
        <v>3.1835000180794205E-5</v>
      </c>
      <c r="Y83" s="82">
        <f t="shared" si="80"/>
        <v>1.2735615972947225E-3</v>
      </c>
      <c r="Z83" s="82">
        <f t="shared" si="81"/>
        <v>0</v>
      </c>
      <c r="AA83" s="82">
        <f t="shared" si="82"/>
        <v>0.96500379654172619</v>
      </c>
      <c r="AC83" s="46">
        <f t="shared" si="59"/>
        <v>0</v>
      </c>
      <c r="AD83" s="15">
        <f t="shared" si="83"/>
        <v>0</v>
      </c>
      <c r="AE83" s="46">
        <f t="shared" si="84"/>
        <v>0</v>
      </c>
      <c r="AF83" s="15">
        <f t="shared" si="85"/>
        <v>0</v>
      </c>
      <c r="AG83" s="46">
        <f>SUMPRODUCT(AE84:AE$605, $I83:$I$604) / $I83</f>
        <v>0</v>
      </c>
      <c r="AI83" s="46">
        <f t="shared" si="60"/>
        <v>-47000</v>
      </c>
      <c r="AJ83" s="46">
        <f>IF(E83&gt;Mat_Year,0,  -SUM($AD$5:AD83))</f>
        <v>-9306</v>
      </c>
      <c r="AK83" s="24">
        <f t="shared" si="86"/>
        <v>-0.29625651168247086</v>
      </c>
      <c r="AL83" s="79">
        <f t="shared" si="87"/>
        <v>-59.857395072851958</v>
      </c>
      <c r="AM83" s="24">
        <f t="shared" si="88"/>
        <v>-62.250935840852542</v>
      </c>
      <c r="AN83" s="79">
        <f t="shared" si="89"/>
        <v>-60.15365158453443</v>
      </c>
      <c r="AO83" s="15">
        <f t="shared" si="90"/>
        <v>-8787.2596744150305</v>
      </c>
      <c r="AP83" s="46">
        <f>SUMPRODUCT(AN84:AN$605, $I84:$I$605) / $I83</f>
        <v>-8491.2098058886331</v>
      </c>
      <c r="AR83" s="46">
        <v>0</v>
      </c>
      <c r="AS83" s="46">
        <v>0</v>
      </c>
      <c r="AT83" s="46">
        <v>0</v>
      </c>
      <c r="AU83" s="95">
        <f t="shared" si="61"/>
        <v>-2.0253247588670988</v>
      </c>
      <c r="AV83" s="47">
        <f t="shared" si="62"/>
        <v>0.1</v>
      </c>
      <c r="AW83" s="96">
        <f t="shared" si="91"/>
        <v>-2.227857234753809</v>
      </c>
      <c r="AX83" s="95">
        <f t="shared" si="63"/>
        <v>-23.223723901676063</v>
      </c>
      <c r="AY83" s="11">
        <f t="shared" si="64"/>
        <v>0.1</v>
      </c>
      <c r="AZ83" s="96">
        <f t="shared" si="92"/>
        <v>-25.546096291843671</v>
      </c>
      <c r="BA83" s="95">
        <f t="shared" si="93"/>
        <v>-2.1527989269442864</v>
      </c>
      <c r="BB83" s="64">
        <f t="shared" si="94"/>
        <v>-3.3347787178154641E-2</v>
      </c>
      <c r="BC83" s="95">
        <f t="shared" si="54"/>
        <v>-2.227857234753809</v>
      </c>
      <c r="BD83" s="96">
        <f t="shared" si="54"/>
        <v>-3.4510472853744985E-2</v>
      </c>
      <c r="BE83" s="96">
        <f t="shared" si="95"/>
        <v>-2.1527989269442864</v>
      </c>
      <c r="BF83" s="96">
        <f t="shared" si="96"/>
        <v>-3.3347787178154641E-2</v>
      </c>
      <c r="BG83" s="15">
        <f t="shared" si="97"/>
        <v>-282.88878609998278</v>
      </c>
      <c r="BH83" s="46">
        <f>(SUMPRODUCT(BE84:BE$605,$I83:$I$604)+SUMPRODUCT(BF84:BF$605,$I84:$I$605)) / $I83</f>
        <v>-273.35803464440261</v>
      </c>
      <c r="BJ83" s="46">
        <f t="shared" si="98"/>
        <v>-2.1527989269442864</v>
      </c>
      <c r="BK83" s="46">
        <f t="shared" si="99"/>
        <v>-60.186999371712581</v>
      </c>
      <c r="BM83" s="49">
        <f t="shared" si="65"/>
        <v>9082.4179883462839</v>
      </c>
      <c r="BN83" s="50">
        <f t="shared" si="100"/>
        <v>8764.5678405330309</v>
      </c>
      <c r="BP83" s="68">
        <f>INDEX(Others!$H$11:$I$60, MATCH(C83, Others!$A$11:$A$60, 0), MATCH(BP$3, Others!$H$10:$I$10, 0))</f>
        <v>3.2709856163388507E-2</v>
      </c>
      <c r="BQ83" s="16">
        <f t="shared" si="101"/>
        <v>2.6857899323000645E-3</v>
      </c>
      <c r="BR83" s="69">
        <f t="shared" si="102"/>
        <v>0.84793342724913501</v>
      </c>
      <c r="BT83" s="46">
        <f t="shared" si="103"/>
        <v>9297.2608511570197</v>
      </c>
      <c r="BU83" s="49">
        <f t="shared" si="66"/>
        <v>552.01131076685408</v>
      </c>
      <c r="BV83" s="46">
        <f t="shared" si="104"/>
        <v>532.69301062398881</v>
      </c>
      <c r="BX83" s="46">
        <f t="shared" si="105"/>
        <v>9634.4292991131388</v>
      </c>
    </row>
    <row r="84" spans="1:76" x14ac:dyDescent="0.25">
      <c r="A84" s="61">
        <f t="shared" si="55"/>
        <v>6.5833333333333268</v>
      </c>
      <c r="B84" s="32">
        <f t="shared" si="67"/>
        <v>7</v>
      </c>
      <c r="C84" s="62">
        <f t="shared" si="68"/>
        <v>7</v>
      </c>
      <c r="D84" s="64">
        <f t="shared" si="69"/>
        <v>7.0833333333333268</v>
      </c>
      <c r="E84" s="28">
        <f t="shared" si="70"/>
        <v>7</v>
      </c>
      <c r="G84" s="68">
        <f>INDEX(Others!$D$11:$E$60, MATCH(C84, Others!$A$11:$A$60, 0), MATCH(G$3, Others!$D$10:$E$10, 0))</f>
        <v>4.3613141551184675E-2</v>
      </c>
      <c r="H84" s="16">
        <f t="shared" si="71"/>
        <v>3.5637406369586344E-3</v>
      </c>
      <c r="I84" s="69">
        <f t="shared" si="72"/>
        <v>0.80047044963283165</v>
      </c>
      <c r="K84" s="80">
        <f>INDEX(Mortality!$B$7:$F$32, MATCH( E84,Mortality!$A$7:$A$32, 0), MATCH( K$3,Mortality!$B$6:$F$6,0))</f>
        <v>0.34400000000000003</v>
      </c>
      <c r="L84" s="11" cm="1">
        <f t="array" ref="L84">PAD_Res_Mort</f>
        <v>0.15</v>
      </c>
      <c r="M84" s="80">
        <f t="shared" si="73"/>
        <v>0.39560000000000001</v>
      </c>
      <c r="N84" s="76">
        <f>INDEX('Myopia_(Reserve)'!$H:$H, MATCH(E84, 'Myopia_(Reserve)'!$A:$A, 0)) * Trend_Factor_Reserve^(A84)</f>
        <v>12.16603036559686</v>
      </c>
      <c r="O84" s="11">
        <f t="shared" si="56"/>
        <v>0.3</v>
      </c>
      <c r="P84" s="80">
        <f t="shared" si="74"/>
        <v>15.815839475275919</v>
      </c>
      <c r="Q84" s="76">
        <f>VLOOKUP(C84,Others!$L$10:$M$61,2)</f>
        <v>0</v>
      </c>
      <c r="R84" s="11">
        <f t="shared" si="57"/>
        <v>0</v>
      </c>
      <c r="S84" s="80">
        <f t="shared" si="75"/>
        <v>0</v>
      </c>
      <c r="T84" s="78">
        <f t="shared" si="76"/>
        <v>3.2966666666666671E-5</v>
      </c>
      <c r="U84" s="81">
        <f t="shared" si="77"/>
        <v>1.3179866229396599E-3</v>
      </c>
      <c r="V84" s="81">
        <f t="shared" si="78"/>
        <v>0</v>
      </c>
      <c r="W84" s="77">
        <f t="shared" si="58"/>
        <v>0.96500379654172619</v>
      </c>
      <c r="X84" s="82">
        <f t="shared" si="79"/>
        <v>3.1791993965794187E-5</v>
      </c>
      <c r="Y84" s="82">
        <f t="shared" si="80"/>
        <v>1.2718411304011156E-3</v>
      </c>
      <c r="Z84" s="82">
        <f t="shared" si="81"/>
        <v>0</v>
      </c>
      <c r="AA84" s="82">
        <f t="shared" si="82"/>
        <v>0.96370016341735931</v>
      </c>
      <c r="AC84" s="46">
        <f t="shared" si="59"/>
        <v>0</v>
      </c>
      <c r="AD84" s="15">
        <f t="shared" si="83"/>
        <v>0</v>
      </c>
      <c r="AE84" s="46">
        <f t="shared" si="84"/>
        <v>0</v>
      </c>
      <c r="AF84" s="15">
        <f t="shared" si="85"/>
        <v>0</v>
      </c>
      <c r="AG84" s="46">
        <f>SUMPRODUCT(AE85:AE$605, $I84:$I$604) / $I84</f>
        <v>0</v>
      </c>
      <c r="AI84" s="46">
        <f t="shared" si="60"/>
        <v>-47000</v>
      </c>
      <c r="AJ84" s="46">
        <f>IF(E84&gt;Mat_Year,0,  -SUM($AD$5:AD84))</f>
        <v>-9306</v>
      </c>
      <c r="AK84" s="24">
        <f t="shared" si="86"/>
        <v>-0.29585629584568068</v>
      </c>
      <c r="AL84" s="79">
        <f t="shared" si="87"/>
        <v>-59.776533128852435</v>
      </c>
      <c r="AM84" s="24">
        <f t="shared" si="88"/>
        <v>-62.250935840852542</v>
      </c>
      <c r="AN84" s="79">
        <f t="shared" si="89"/>
        <v>-60.072389424698116</v>
      </c>
      <c r="AO84" s="15">
        <f t="shared" si="90"/>
        <v>-8768.2534682548849</v>
      </c>
      <c r="AP84" s="46">
        <f>SUMPRODUCT(AN85:AN$605, $I85:$I$605) / $I84</f>
        <v>-8461.3978859061226</v>
      </c>
      <c r="AR84" s="46">
        <v>0</v>
      </c>
      <c r="AS84" s="46">
        <v>0</v>
      </c>
      <c r="AT84" s="46">
        <v>0</v>
      </c>
      <c r="AU84" s="95">
        <f t="shared" si="61"/>
        <v>-2.0292489305175199</v>
      </c>
      <c r="AV84" s="47">
        <f t="shared" si="62"/>
        <v>0.1</v>
      </c>
      <c r="AW84" s="96">
        <f t="shared" si="91"/>
        <v>-2.2321738235692719</v>
      </c>
      <c r="AX84" s="95">
        <f t="shared" si="63"/>
        <v>-23.268721069934227</v>
      </c>
      <c r="AY84" s="11">
        <f t="shared" si="64"/>
        <v>0.1</v>
      </c>
      <c r="AZ84" s="96">
        <f t="shared" si="92"/>
        <v>-25.59559317692765</v>
      </c>
      <c r="BA84" s="95">
        <f t="shared" si="93"/>
        <v>-2.1540562142854087</v>
      </c>
      <c r="BB84" s="64">
        <f t="shared" si="94"/>
        <v>-3.3367263103262552E-2</v>
      </c>
      <c r="BC84" s="95">
        <f t="shared" si="54"/>
        <v>-2.2321738235692719</v>
      </c>
      <c r="BD84" s="96">
        <f t="shared" si="54"/>
        <v>-3.4577338682853329E-2</v>
      </c>
      <c r="BE84" s="96">
        <f t="shared" si="95"/>
        <v>-2.1540562142854087</v>
      </c>
      <c r="BF84" s="96">
        <f t="shared" si="96"/>
        <v>-3.3367263103262552E-2</v>
      </c>
      <c r="BG84" s="15">
        <f t="shared" si="97"/>
        <v>-282.00626026664872</v>
      </c>
      <c r="BH84" s="46">
        <f>(SUMPRODUCT(BE85:BE$605,$I84:$I$604)+SUMPRODUCT(BF85:BF$605,$I85:$I$605)) / $I84</f>
        <v>-272.13711180585017</v>
      </c>
      <c r="BJ84" s="46">
        <f t="shared" si="98"/>
        <v>-2.1540562142854087</v>
      </c>
      <c r="BK84" s="46">
        <f t="shared" si="99"/>
        <v>-60.105756687801382</v>
      </c>
      <c r="BM84" s="49">
        <f t="shared" si="65"/>
        <v>9062.50235212386</v>
      </c>
      <c r="BN84" s="50">
        <f t="shared" si="100"/>
        <v>8733.5349977119677</v>
      </c>
      <c r="BP84" s="68">
        <f>INDEX(Others!$H$11:$I$60, MATCH(C84, Others!$A$11:$A$60, 0), MATCH(BP$3, Others!$H$10:$I$10, 0))</f>
        <v>3.2709856163388507E-2</v>
      </c>
      <c r="BQ84" s="16">
        <f t="shared" si="101"/>
        <v>2.6857899323000645E-3</v>
      </c>
      <c r="BR84" s="69">
        <f t="shared" si="102"/>
        <v>0.8456621563435005</v>
      </c>
      <c r="BT84" s="46">
        <f t="shared" si="103"/>
        <v>9259.9657425044443</v>
      </c>
      <c r="BU84" s="49">
        <f t="shared" si="66"/>
        <v>546.25988951346687</v>
      </c>
      <c r="BV84" s="46">
        <f t="shared" si="104"/>
        <v>526.43074479247662</v>
      </c>
      <c r="BX84" s="46">
        <f t="shared" si="105"/>
        <v>9608.762241637327</v>
      </c>
    </row>
    <row r="85" spans="1:76" x14ac:dyDescent="0.25">
      <c r="A85" s="61">
        <f t="shared" si="55"/>
        <v>6.6666666666666599</v>
      </c>
      <c r="B85" s="32">
        <f t="shared" si="67"/>
        <v>8</v>
      </c>
      <c r="C85" s="62">
        <f t="shared" si="68"/>
        <v>7</v>
      </c>
      <c r="D85" s="64">
        <f t="shared" si="69"/>
        <v>7.1666666666666599</v>
      </c>
      <c r="E85" s="28">
        <f t="shared" si="70"/>
        <v>7</v>
      </c>
      <c r="G85" s="68">
        <f>INDEX(Others!$D$11:$E$60, MATCH(C85, Others!$A$11:$A$60, 0), MATCH(G$3, Others!$D$10:$E$10, 0))</f>
        <v>4.3613141551184675E-2</v>
      </c>
      <c r="H85" s="16">
        <f t="shared" si="71"/>
        <v>3.5637406369586344E-3</v>
      </c>
      <c r="I85" s="69">
        <f t="shared" si="72"/>
        <v>0.79762791063453098</v>
      </c>
      <c r="K85" s="80">
        <f>INDEX(Mortality!$B$7:$F$32, MATCH( E85,Mortality!$A$7:$A$32, 0), MATCH( K$3,Mortality!$B$6:$F$6,0))</f>
        <v>0.34400000000000003</v>
      </c>
      <c r="L85" s="11" cm="1">
        <f t="array" ref="L85">PAD_Res_Mort</f>
        <v>0.15</v>
      </c>
      <c r="M85" s="80">
        <f t="shared" si="73"/>
        <v>0.39560000000000001</v>
      </c>
      <c r="N85" s="76">
        <f>INDEX('Myopia_(Reserve)'!$H:$H, MATCH(E85, 'Myopia_(Reserve)'!$A:$A, 0)) * Trend_Factor_Reserve^(A85)</f>
        <v>12.16603036559686</v>
      </c>
      <c r="O85" s="11">
        <f t="shared" si="56"/>
        <v>0.3</v>
      </c>
      <c r="P85" s="80">
        <f t="shared" si="74"/>
        <v>15.815839475275919</v>
      </c>
      <c r="Q85" s="76">
        <f>VLOOKUP(C85,Others!$L$10:$M$61,2)</f>
        <v>0</v>
      </c>
      <c r="R85" s="11">
        <f t="shared" si="57"/>
        <v>0</v>
      </c>
      <c r="S85" s="80">
        <f t="shared" si="75"/>
        <v>0</v>
      </c>
      <c r="T85" s="78">
        <f t="shared" si="76"/>
        <v>3.2966666666666671E-5</v>
      </c>
      <c r="U85" s="81">
        <f t="shared" si="77"/>
        <v>1.3179866229396599E-3</v>
      </c>
      <c r="V85" s="81">
        <f t="shared" si="78"/>
        <v>0</v>
      </c>
      <c r="W85" s="77">
        <f t="shared" si="58"/>
        <v>0.96370016341735931</v>
      </c>
      <c r="X85" s="82">
        <f t="shared" si="79"/>
        <v>3.1749045848313187E-5</v>
      </c>
      <c r="Y85" s="82">
        <f t="shared" si="80"/>
        <v>1.2701229877031645E-3</v>
      </c>
      <c r="Z85" s="82">
        <f t="shared" si="81"/>
        <v>0</v>
      </c>
      <c r="AA85" s="82">
        <f t="shared" si="82"/>
        <v>0.96239829138380784</v>
      </c>
      <c r="AC85" s="46">
        <f t="shared" si="59"/>
        <v>0</v>
      </c>
      <c r="AD85" s="15">
        <f t="shared" si="83"/>
        <v>0</v>
      </c>
      <c r="AE85" s="46">
        <f t="shared" si="84"/>
        <v>0</v>
      </c>
      <c r="AF85" s="15">
        <f t="shared" si="85"/>
        <v>0</v>
      </c>
      <c r="AG85" s="46">
        <f>SUMPRODUCT(AE86:AE$605, $I85:$I$604) / $I85</f>
        <v>0</v>
      </c>
      <c r="AI85" s="46">
        <f t="shared" si="60"/>
        <v>-47000</v>
      </c>
      <c r="AJ85" s="46">
        <f>IF(E85&gt;Mat_Year,0,  -SUM($AD$5:AD85))</f>
        <v>-9306</v>
      </c>
      <c r="AK85" s="24">
        <f t="shared" si="86"/>
        <v>-0.29545662066440254</v>
      </c>
      <c r="AL85" s="79">
        <f t="shared" si="87"/>
        <v>-59.695780422048735</v>
      </c>
      <c r="AM85" s="24">
        <f t="shared" si="88"/>
        <v>-62.250935840852534</v>
      </c>
      <c r="AN85" s="79">
        <f t="shared" si="89"/>
        <v>-59.991237042713138</v>
      </c>
      <c r="AO85" s="15">
        <f t="shared" si="90"/>
        <v>-8749.1537268769225</v>
      </c>
      <c r="AP85" s="46">
        <f>SUMPRODUCT(AN86:AN$605, $I86:$I$605) / $I85</f>
        <v>-8431.560876354888</v>
      </c>
      <c r="AR85" s="46">
        <v>0</v>
      </c>
      <c r="AS85" s="46">
        <v>0</v>
      </c>
      <c r="AT85" s="46">
        <v>0</v>
      </c>
      <c r="AU85" s="95">
        <f t="shared" si="61"/>
        <v>-2.0331807054538213</v>
      </c>
      <c r="AV85" s="47">
        <f t="shared" si="62"/>
        <v>0.1</v>
      </c>
      <c r="AW85" s="96">
        <f t="shared" si="91"/>
        <v>-2.2364987759992037</v>
      </c>
      <c r="AX85" s="95">
        <f t="shared" si="63"/>
        <v>-23.31380542253715</v>
      </c>
      <c r="AY85" s="11">
        <f t="shared" si="64"/>
        <v>0.1</v>
      </c>
      <c r="AZ85" s="96">
        <f t="shared" si="92"/>
        <v>-25.645185964790869</v>
      </c>
      <c r="BA85" s="95">
        <f t="shared" si="93"/>
        <v>-2.1553142359131567</v>
      </c>
      <c r="BB85" s="64">
        <f t="shared" si="94"/>
        <v>-3.3386750402788101E-2</v>
      </c>
      <c r="BC85" s="95">
        <f t="shared" si="54"/>
        <v>-2.2364987759992037</v>
      </c>
      <c r="BD85" s="96">
        <f t="shared" si="54"/>
        <v>-3.4644334067969816E-2</v>
      </c>
      <c r="BE85" s="96">
        <f t="shared" si="95"/>
        <v>-2.1553142359131567</v>
      </c>
      <c r="BF85" s="96">
        <f t="shared" si="96"/>
        <v>-3.3386750402788101E-2</v>
      </c>
      <c r="BG85" s="15">
        <f t="shared" si="97"/>
        <v>-281.11498389924759</v>
      </c>
      <c r="BH85" s="46">
        <f>(SUMPRODUCT(BE86:BE$605,$I85:$I$604)+SUMPRODUCT(BF86:BF$605,$I86:$I$605)) / $I85</f>
        <v>-270.91055592277326</v>
      </c>
      <c r="BJ85" s="46">
        <f t="shared" si="98"/>
        <v>-2.1553142359131567</v>
      </c>
      <c r="BK85" s="46">
        <f t="shared" si="99"/>
        <v>-60.024623793115929</v>
      </c>
      <c r="BM85" s="49">
        <f t="shared" si="65"/>
        <v>9042.4842917838068</v>
      </c>
      <c r="BN85" s="50">
        <f t="shared" si="100"/>
        <v>8702.4714322776581</v>
      </c>
      <c r="BP85" s="68">
        <f>INDEX(Others!$H$11:$I$60, MATCH(C85, Others!$A$11:$A$60, 0), MATCH(BP$3, Others!$H$10:$I$10, 0))</f>
        <v>3.2709856163388507E-2</v>
      </c>
      <c r="BQ85" s="16">
        <f t="shared" si="101"/>
        <v>2.6857899323000645E-3</v>
      </c>
      <c r="BR85" s="69">
        <f t="shared" si="102"/>
        <v>0.84339696925454422</v>
      </c>
      <c r="BT85" s="46">
        <f t="shared" si="103"/>
        <v>9222.6503385188007</v>
      </c>
      <c r="BU85" s="49">
        <f t="shared" si="66"/>
        <v>540.50273249466261</v>
      </c>
      <c r="BV85" s="46">
        <f t="shared" si="104"/>
        <v>520.17890624114261</v>
      </c>
      <c r="BX85" s="46">
        <f t="shared" si="105"/>
        <v>9582.9870242784691</v>
      </c>
    </row>
    <row r="86" spans="1:76" x14ac:dyDescent="0.25">
      <c r="A86" s="61">
        <f t="shared" si="55"/>
        <v>6.7499999999999929</v>
      </c>
      <c r="B86" s="32">
        <f t="shared" si="67"/>
        <v>9</v>
      </c>
      <c r="C86" s="62">
        <f t="shared" si="68"/>
        <v>7</v>
      </c>
      <c r="D86" s="64">
        <f t="shared" si="69"/>
        <v>7.2499999999999929</v>
      </c>
      <c r="E86" s="28">
        <f t="shared" si="70"/>
        <v>7</v>
      </c>
      <c r="G86" s="68">
        <f>INDEX(Others!$D$11:$E$60, MATCH(C86, Others!$A$11:$A$60, 0), MATCH(G$3, Others!$D$10:$E$10, 0))</f>
        <v>4.3613141551184675E-2</v>
      </c>
      <c r="H86" s="16">
        <f t="shared" si="71"/>
        <v>3.5637406369586344E-3</v>
      </c>
      <c r="I86" s="69">
        <f t="shared" si="72"/>
        <v>0.79479546573521986</v>
      </c>
      <c r="K86" s="80">
        <f>INDEX(Mortality!$B$7:$F$32, MATCH( E86,Mortality!$A$7:$A$32, 0), MATCH( K$3,Mortality!$B$6:$F$6,0))</f>
        <v>0.34400000000000003</v>
      </c>
      <c r="L86" s="11" cm="1">
        <f t="array" ref="L86">PAD_Res_Mort</f>
        <v>0.15</v>
      </c>
      <c r="M86" s="80">
        <f t="shared" si="73"/>
        <v>0.39560000000000001</v>
      </c>
      <c r="N86" s="76">
        <f>INDEX('Myopia_(Reserve)'!$H:$H, MATCH(E86, 'Myopia_(Reserve)'!$A:$A, 0)) * Trend_Factor_Reserve^(A86)</f>
        <v>12.16603036559686</v>
      </c>
      <c r="O86" s="11">
        <f t="shared" si="56"/>
        <v>0.3</v>
      </c>
      <c r="P86" s="80">
        <f t="shared" si="74"/>
        <v>15.815839475275919</v>
      </c>
      <c r="Q86" s="76">
        <f>VLOOKUP(C86,Others!$L$10:$M$61,2)</f>
        <v>0</v>
      </c>
      <c r="R86" s="11">
        <f t="shared" si="57"/>
        <v>0</v>
      </c>
      <c r="S86" s="80">
        <f t="shared" si="75"/>
        <v>0</v>
      </c>
      <c r="T86" s="78">
        <f t="shared" si="76"/>
        <v>3.2966666666666671E-5</v>
      </c>
      <c r="U86" s="81">
        <f t="shared" si="77"/>
        <v>1.3179866229396599E-3</v>
      </c>
      <c r="V86" s="81">
        <f t="shared" si="78"/>
        <v>0</v>
      </c>
      <c r="W86" s="77">
        <f t="shared" si="58"/>
        <v>0.96239829138380784</v>
      </c>
      <c r="X86" s="82">
        <f t="shared" si="79"/>
        <v>3.1706155749866703E-5</v>
      </c>
      <c r="Y86" s="82">
        <f t="shared" si="80"/>
        <v>1.2684071660610907E-3</v>
      </c>
      <c r="Z86" s="82">
        <f t="shared" si="81"/>
        <v>0</v>
      </c>
      <c r="AA86" s="82">
        <f t="shared" si="82"/>
        <v>0.96109817806199693</v>
      </c>
      <c r="AC86" s="46">
        <f t="shared" si="59"/>
        <v>0</v>
      </c>
      <c r="AD86" s="15">
        <f t="shared" si="83"/>
        <v>0</v>
      </c>
      <c r="AE86" s="46">
        <f t="shared" si="84"/>
        <v>0</v>
      </c>
      <c r="AF86" s="15">
        <f t="shared" si="85"/>
        <v>0</v>
      </c>
      <c r="AG86" s="46">
        <f>SUMPRODUCT(AE87:AE$605, $I86:$I$604) / $I86</f>
        <v>0</v>
      </c>
      <c r="AI86" s="46">
        <f t="shared" si="60"/>
        <v>-47000</v>
      </c>
      <c r="AJ86" s="46">
        <f>IF(E86&gt;Mat_Year,0,  -SUM($AD$5:AD86))</f>
        <v>-9306</v>
      </c>
      <c r="AK86" s="24">
        <f t="shared" si="86"/>
        <v>-0.29505748540825955</v>
      </c>
      <c r="AL86" s="79">
        <f t="shared" si="87"/>
        <v>-59.615136804871263</v>
      </c>
      <c r="AM86" s="24">
        <f t="shared" si="88"/>
        <v>-62.250935840852527</v>
      </c>
      <c r="AN86" s="79">
        <f t="shared" si="89"/>
        <v>-59.91019429027952</v>
      </c>
      <c r="AO86" s="15">
        <f t="shared" si="90"/>
        <v>-8729.9599899663972</v>
      </c>
      <c r="AP86" s="46">
        <f>SUMPRODUCT(AN87:AN$605, $I87:$I$605) / $I86</f>
        <v>-8401.6985781926651</v>
      </c>
      <c r="AR86" s="46">
        <v>0</v>
      </c>
      <c r="AS86" s="46">
        <v>0</v>
      </c>
      <c r="AT86" s="46">
        <v>0</v>
      </c>
      <c r="AU86" s="95">
        <f t="shared" si="61"/>
        <v>-2.0371200984077635</v>
      </c>
      <c r="AV86" s="47">
        <f t="shared" si="62"/>
        <v>0.1</v>
      </c>
      <c r="AW86" s="96">
        <f t="shared" si="91"/>
        <v>-2.2408321082485401</v>
      </c>
      <c r="AX86" s="95">
        <f t="shared" si="63"/>
        <v>-23.35897712840902</v>
      </c>
      <c r="AY86" s="11">
        <f t="shared" si="64"/>
        <v>0.1</v>
      </c>
      <c r="AZ86" s="96">
        <f t="shared" si="92"/>
        <v>-25.694874841249923</v>
      </c>
      <c r="BA86" s="95">
        <f t="shared" si="93"/>
        <v>-2.156572992256371</v>
      </c>
      <c r="BB86" s="64">
        <f t="shared" si="94"/>
        <v>-3.340624908337423E-2</v>
      </c>
      <c r="BC86" s="95">
        <f t="shared" si="54"/>
        <v>-2.2408321082485401</v>
      </c>
      <c r="BD86" s="96">
        <f t="shared" si="54"/>
        <v>-3.4711459260115936E-2</v>
      </c>
      <c r="BE86" s="96">
        <f t="shared" si="95"/>
        <v>-2.156572992256371</v>
      </c>
      <c r="BF86" s="96">
        <f t="shared" si="96"/>
        <v>-3.340624908337423E-2</v>
      </c>
      <c r="BG86" s="15">
        <f t="shared" si="97"/>
        <v>-280.21490539429783</v>
      </c>
      <c r="BH86" s="46">
        <f>(SUMPRODUCT(BE87:BE$605,$I86:$I$604)+SUMPRODUCT(BF87:BF$605,$I87:$I$605)) / $I86</f>
        <v>-269.67834617174759</v>
      </c>
      <c r="BJ86" s="46">
        <f t="shared" si="98"/>
        <v>-2.156572992256371</v>
      </c>
      <c r="BK86" s="46">
        <f t="shared" si="99"/>
        <v>-59.943600539362897</v>
      </c>
      <c r="BM86" s="49">
        <f t="shared" si="65"/>
        <v>9022.3632947154019</v>
      </c>
      <c r="BN86" s="50">
        <f t="shared" si="100"/>
        <v>8671.3769243644092</v>
      </c>
      <c r="BP86" s="68">
        <f>INDEX(Others!$H$11:$I$60, MATCH(C86, Others!$A$11:$A$60, 0), MATCH(BP$3, Others!$H$10:$I$10, 0))</f>
        <v>3.2709856163388507E-2</v>
      </c>
      <c r="BQ86" s="16">
        <f t="shared" si="101"/>
        <v>2.6857899323000645E-3</v>
      </c>
      <c r="BR86" s="69">
        <f t="shared" si="102"/>
        <v>0.84113784968618055</v>
      </c>
      <c r="BT86" s="46">
        <f t="shared" si="103"/>
        <v>9185.3144743134671</v>
      </c>
      <c r="BU86" s="49">
        <f t="shared" si="66"/>
        <v>534.73990657789568</v>
      </c>
      <c r="BV86" s="46">
        <f t="shared" si="104"/>
        <v>513.93754994905794</v>
      </c>
      <c r="BX86" s="46">
        <f t="shared" si="105"/>
        <v>9557.1032012932974</v>
      </c>
    </row>
    <row r="87" spans="1:76" x14ac:dyDescent="0.25">
      <c r="A87" s="61">
        <f t="shared" si="55"/>
        <v>6.8333333333333259</v>
      </c>
      <c r="B87" s="32">
        <f t="shared" si="67"/>
        <v>10</v>
      </c>
      <c r="C87" s="62">
        <f t="shared" si="68"/>
        <v>7</v>
      </c>
      <c r="D87" s="64">
        <f t="shared" si="69"/>
        <v>7.3333333333333259</v>
      </c>
      <c r="E87" s="28">
        <f t="shared" si="70"/>
        <v>7</v>
      </c>
      <c r="G87" s="68">
        <f>INDEX(Others!$D$11:$E$60, MATCH(C87, Others!$A$11:$A$60, 0), MATCH(G$3, Others!$D$10:$E$10, 0))</f>
        <v>4.3613141551184675E-2</v>
      </c>
      <c r="H87" s="16">
        <f t="shared" si="71"/>
        <v>3.5637406369586344E-3</v>
      </c>
      <c r="I87" s="69">
        <f t="shared" si="72"/>
        <v>0.79197307908989001</v>
      </c>
      <c r="K87" s="80">
        <f>INDEX(Mortality!$B$7:$F$32, MATCH( E87,Mortality!$A$7:$A$32, 0), MATCH( K$3,Mortality!$B$6:$F$6,0))</f>
        <v>0.34400000000000003</v>
      </c>
      <c r="L87" s="11" cm="1">
        <f t="array" ref="L87">PAD_Res_Mort</f>
        <v>0.15</v>
      </c>
      <c r="M87" s="80">
        <f t="shared" si="73"/>
        <v>0.39560000000000001</v>
      </c>
      <c r="N87" s="76">
        <f>INDEX('Myopia_(Reserve)'!$H:$H, MATCH(E87, 'Myopia_(Reserve)'!$A:$A, 0)) * Trend_Factor_Reserve^(A87)</f>
        <v>12.16603036559686</v>
      </c>
      <c r="O87" s="11">
        <f t="shared" si="56"/>
        <v>0.3</v>
      </c>
      <c r="P87" s="80">
        <f t="shared" si="74"/>
        <v>15.815839475275919</v>
      </c>
      <c r="Q87" s="76">
        <f>VLOOKUP(C87,Others!$L$10:$M$61,2)</f>
        <v>0</v>
      </c>
      <c r="R87" s="11">
        <f t="shared" si="57"/>
        <v>0</v>
      </c>
      <c r="S87" s="80">
        <f t="shared" si="75"/>
        <v>0</v>
      </c>
      <c r="T87" s="78">
        <f t="shared" si="76"/>
        <v>3.2966666666666671E-5</v>
      </c>
      <c r="U87" s="81">
        <f t="shared" si="77"/>
        <v>1.3179866229396599E-3</v>
      </c>
      <c r="V87" s="81">
        <f t="shared" si="78"/>
        <v>0</v>
      </c>
      <c r="W87" s="77">
        <f t="shared" si="58"/>
        <v>0.96109817806199693</v>
      </c>
      <c r="X87" s="82">
        <f t="shared" si="79"/>
        <v>3.1663323592076256E-5</v>
      </c>
      <c r="Y87" s="82">
        <f t="shared" si="80"/>
        <v>1.2666936623393569E-3</v>
      </c>
      <c r="Z87" s="82">
        <f t="shared" si="81"/>
        <v>0</v>
      </c>
      <c r="AA87" s="82">
        <f t="shared" si="82"/>
        <v>0.95979982107606554</v>
      </c>
      <c r="AC87" s="46">
        <f t="shared" si="59"/>
        <v>0</v>
      </c>
      <c r="AD87" s="15">
        <f t="shared" si="83"/>
        <v>0</v>
      </c>
      <c r="AE87" s="46">
        <f t="shared" si="84"/>
        <v>0</v>
      </c>
      <c r="AF87" s="15">
        <f t="shared" si="85"/>
        <v>0</v>
      </c>
      <c r="AG87" s="46">
        <f>SUMPRODUCT(AE88:AE$605, $I87:$I$604) / $I87</f>
        <v>0</v>
      </c>
      <c r="AI87" s="46">
        <f t="shared" si="60"/>
        <v>-47000</v>
      </c>
      <c r="AJ87" s="46">
        <f>IF(E87&gt;Mat_Year,0,  -SUM($AD$5:AD87))</f>
        <v>-9306</v>
      </c>
      <c r="AK87" s="24">
        <f t="shared" si="86"/>
        <v>-0.29465888934786161</v>
      </c>
      <c r="AL87" s="79">
        <f t="shared" si="87"/>
        <v>-59.534602129949775</v>
      </c>
      <c r="AM87" s="24">
        <f t="shared" si="88"/>
        <v>-62.250935840852542</v>
      </c>
      <c r="AN87" s="79">
        <f t="shared" si="89"/>
        <v>-59.82926101929764</v>
      </c>
      <c r="AO87" s="15">
        <f t="shared" si="90"/>
        <v>-8710.6717949432186</v>
      </c>
      <c r="AP87" s="46">
        <f>SUMPRODUCT(AN88:AN$605, $I88:$I$605) / $I87</f>
        <v>-8371.8107918159512</v>
      </c>
      <c r="AR87" s="46">
        <v>0</v>
      </c>
      <c r="AS87" s="46">
        <v>0</v>
      </c>
      <c r="AT87" s="46">
        <v>0</v>
      </c>
      <c r="AU87" s="95">
        <f t="shared" si="61"/>
        <v>-2.0410671241396501</v>
      </c>
      <c r="AV87" s="47">
        <f t="shared" si="62"/>
        <v>0.1</v>
      </c>
      <c r="AW87" s="96">
        <f t="shared" si="91"/>
        <v>-2.2451738365536151</v>
      </c>
      <c r="AX87" s="95">
        <f t="shared" si="63"/>
        <v>-23.40423635680132</v>
      </c>
      <c r="AY87" s="11">
        <f t="shared" si="64"/>
        <v>0.1</v>
      </c>
      <c r="AZ87" s="96">
        <f t="shared" si="92"/>
        <v>-25.744659992481456</v>
      </c>
      <c r="BA87" s="95">
        <f t="shared" si="93"/>
        <v>-2.1578324837441434</v>
      </c>
      <c r="BB87" s="64">
        <f t="shared" si="94"/>
        <v>-3.3425759151667775E-2</v>
      </c>
      <c r="BC87" s="95">
        <f t="shared" ref="BC87:BD150" si="106">IF($W87 = 0, 0, BE87/$W87)</f>
        <v>-2.2451738365536151</v>
      </c>
      <c r="BD87" s="96">
        <f t="shared" si="106"/>
        <v>-3.4778714510799544E-2</v>
      </c>
      <c r="BE87" s="96">
        <f t="shared" si="95"/>
        <v>-2.1578324837441434</v>
      </c>
      <c r="BF87" s="96">
        <f t="shared" si="96"/>
        <v>-3.3425759151667775E-2</v>
      </c>
      <c r="BG87" s="15">
        <f t="shared" si="97"/>
        <v>-279.30597287781518</v>
      </c>
      <c r="BH87" s="46">
        <f>(SUMPRODUCT(BE88:BE$605,$I87:$I$604)+SUMPRODUCT(BF88:BF$605,$I88:$I$605)) / $I87</f>
        <v>-268.44046165470172</v>
      </c>
      <c r="BJ87" s="46">
        <f t="shared" si="98"/>
        <v>-2.1578324837441434</v>
      </c>
      <c r="BK87" s="46">
        <f t="shared" si="99"/>
        <v>-59.862686778449309</v>
      </c>
      <c r="BM87" s="49">
        <f t="shared" si="65"/>
        <v>9002.1388457686498</v>
      </c>
      <c r="BN87" s="50">
        <f t="shared" si="100"/>
        <v>8640.2512534706493</v>
      </c>
      <c r="BP87" s="68">
        <f>INDEX(Others!$H$11:$I$60, MATCH(C87, Others!$A$11:$A$60, 0), MATCH(BP$3, Others!$H$10:$I$10, 0))</f>
        <v>3.2709856163388507E-2</v>
      </c>
      <c r="BQ87" s="16">
        <f t="shared" si="101"/>
        <v>2.6857899323000645E-3</v>
      </c>
      <c r="BR87" s="69">
        <f t="shared" si="102"/>
        <v>0.83888478138597433</v>
      </c>
      <c r="BT87" s="46">
        <f t="shared" si="103"/>
        <v>9147.9579847066343</v>
      </c>
      <c r="BU87" s="49">
        <f t="shared" si="66"/>
        <v>528.9714793515767</v>
      </c>
      <c r="BV87" s="46">
        <f t="shared" si="104"/>
        <v>507.70673123598499</v>
      </c>
      <c r="BX87" s="46">
        <f t="shared" si="105"/>
        <v>9531.1103251202258</v>
      </c>
    </row>
    <row r="88" spans="1:76" x14ac:dyDescent="0.25">
      <c r="A88" s="61">
        <f t="shared" si="55"/>
        <v>6.916666666666659</v>
      </c>
      <c r="B88" s="32">
        <f t="shared" si="67"/>
        <v>11</v>
      </c>
      <c r="C88" s="62">
        <f t="shared" si="68"/>
        <v>7</v>
      </c>
      <c r="D88" s="64">
        <f t="shared" si="69"/>
        <v>7.416666666666659</v>
      </c>
      <c r="E88" s="28">
        <f t="shared" si="70"/>
        <v>7</v>
      </c>
      <c r="G88" s="68">
        <f>INDEX(Others!$D$11:$E$60, MATCH(C88, Others!$A$11:$A$60, 0), MATCH(G$3, Others!$D$10:$E$10, 0))</f>
        <v>4.3613141551184675E-2</v>
      </c>
      <c r="H88" s="16">
        <f t="shared" si="71"/>
        <v>3.5637406369586344E-3</v>
      </c>
      <c r="I88" s="69">
        <f t="shared" si="72"/>
        <v>0.78916071498082152</v>
      </c>
      <c r="K88" s="80">
        <f>INDEX(Mortality!$B$7:$F$32, MATCH( E88,Mortality!$A$7:$A$32, 0), MATCH( K$3,Mortality!$B$6:$F$6,0))</f>
        <v>0.34400000000000003</v>
      </c>
      <c r="L88" s="11" cm="1">
        <f t="array" ref="L88">PAD_Res_Mort</f>
        <v>0.15</v>
      </c>
      <c r="M88" s="80">
        <f t="shared" si="73"/>
        <v>0.39560000000000001</v>
      </c>
      <c r="N88" s="76">
        <f>INDEX('Myopia_(Reserve)'!$H:$H, MATCH(E88, 'Myopia_(Reserve)'!$A:$A, 0)) * Trend_Factor_Reserve^(A88)</f>
        <v>12.16603036559686</v>
      </c>
      <c r="O88" s="11">
        <f t="shared" si="56"/>
        <v>0.3</v>
      </c>
      <c r="P88" s="80">
        <f t="shared" si="74"/>
        <v>15.815839475275919</v>
      </c>
      <c r="Q88" s="76">
        <f>VLOOKUP(C88,Others!$L$10:$M$61,2)</f>
        <v>0</v>
      </c>
      <c r="R88" s="11">
        <f t="shared" si="57"/>
        <v>0</v>
      </c>
      <c r="S88" s="80">
        <f t="shared" si="75"/>
        <v>0</v>
      </c>
      <c r="T88" s="78">
        <f t="shared" si="76"/>
        <v>3.2966666666666671E-5</v>
      </c>
      <c r="U88" s="81">
        <f t="shared" si="77"/>
        <v>1.3179866229396599E-3</v>
      </c>
      <c r="V88" s="81">
        <f t="shared" si="78"/>
        <v>0</v>
      </c>
      <c r="W88" s="77">
        <f t="shared" si="58"/>
        <v>0.95979982107606554</v>
      </c>
      <c r="X88" s="82">
        <f t="shared" si="79"/>
        <v>3.1620549296669225E-5</v>
      </c>
      <c r="Y88" s="82">
        <f t="shared" si="80"/>
        <v>1.2649824734066617E-3</v>
      </c>
      <c r="Z88" s="82">
        <f t="shared" si="81"/>
        <v>0</v>
      </c>
      <c r="AA88" s="82">
        <f t="shared" si="82"/>
        <v>0.95850321805336225</v>
      </c>
      <c r="AC88" s="46">
        <f t="shared" si="59"/>
        <v>0</v>
      </c>
      <c r="AD88" s="15">
        <f t="shared" si="83"/>
        <v>0</v>
      </c>
      <c r="AE88" s="46">
        <f t="shared" si="84"/>
        <v>0</v>
      </c>
      <c r="AF88" s="15">
        <f t="shared" si="85"/>
        <v>0</v>
      </c>
      <c r="AG88" s="46">
        <f>SUMPRODUCT(AE89:AE$605, $I88:$I$604) / $I88</f>
        <v>0</v>
      </c>
      <c r="AI88" s="46">
        <f t="shared" si="60"/>
        <v>-47000</v>
      </c>
      <c r="AJ88" s="46">
        <f>IF(E88&gt;Mat_Year,0,  -SUM($AD$5:AD88))</f>
        <v>-9306</v>
      </c>
      <c r="AK88" s="24">
        <f t="shared" si="86"/>
        <v>-0.29426083175480383</v>
      </c>
      <c r="AL88" s="79">
        <f t="shared" si="87"/>
        <v>-59.4541762501131</v>
      </c>
      <c r="AM88" s="24">
        <f t="shared" si="88"/>
        <v>-62.250935840852542</v>
      </c>
      <c r="AN88" s="79">
        <f t="shared" si="89"/>
        <v>-59.748437081867905</v>
      </c>
      <c r="AO88" s="15">
        <f t="shared" si="90"/>
        <v>-8691.2886769507932</v>
      </c>
      <c r="AP88" s="46">
        <f>SUMPRODUCT(AN89:AN$605, $I89:$I$605) / $I88</f>
        <v>-8341.8973170578065</v>
      </c>
      <c r="AR88" s="46">
        <v>0</v>
      </c>
      <c r="AS88" s="46">
        <v>0</v>
      </c>
      <c r="AT88" s="46">
        <v>0</v>
      </c>
      <c r="AU88" s="95">
        <f t="shared" si="61"/>
        <v>-2.0450217974383835</v>
      </c>
      <c r="AV88" s="47">
        <f t="shared" si="62"/>
        <v>0.1</v>
      </c>
      <c r="AW88" s="96">
        <f t="shared" si="91"/>
        <v>-2.2495239771822222</v>
      </c>
      <c r="AX88" s="95">
        <f t="shared" si="63"/>
        <v>-23.449583277293463</v>
      </c>
      <c r="AY88" s="11">
        <f t="shared" si="64"/>
        <v>0.1</v>
      </c>
      <c r="AZ88" s="96">
        <f t="shared" si="92"/>
        <v>-25.794541605022811</v>
      </c>
      <c r="BA88" s="95">
        <f t="shared" si="93"/>
        <v>-2.1590927108058162</v>
      </c>
      <c r="BB88" s="64">
        <f t="shared" si="94"/>
        <v>-3.3445280614319402E-2</v>
      </c>
      <c r="BC88" s="95">
        <f t="shared" si="106"/>
        <v>-2.2495239771822222</v>
      </c>
      <c r="BD88" s="96">
        <f t="shared" si="106"/>
        <v>-3.4846100072015759E-2</v>
      </c>
      <c r="BE88" s="96">
        <f t="shared" si="95"/>
        <v>-2.1590927108058162</v>
      </c>
      <c r="BF88" s="96">
        <f t="shared" si="96"/>
        <v>-3.3445280614319402E-2</v>
      </c>
      <c r="BG88" s="15">
        <f t="shared" si="97"/>
        <v>-278.38813420395098</v>
      </c>
      <c r="BH88" s="46">
        <f>(SUMPRODUCT(BE89:BE$605,$I88:$I$604)+SUMPRODUCT(BF89:BF$605,$I89:$I$605)) / $I88</f>
        <v>-267.1968813986519</v>
      </c>
      <c r="BJ88" s="46">
        <f t="shared" si="98"/>
        <v>-2.1590927108058162</v>
      </c>
      <c r="BK88" s="46">
        <f t="shared" si="99"/>
        <v>-59.781882362482222</v>
      </c>
      <c r="BM88" s="49">
        <f t="shared" si="65"/>
        <v>8981.8104272417422</v>
      </c>
      <c r="BN88" s="50">
        <f t="shared" si="100"/>
        <v>8609.0941984564543</v>
      </c>
      <c r="BP88" s="68">
        <f>INDEX(Others!$H$11:$I$60, MATCH(C88, Others!$A$11:$A$60, 0), MATCH(BP$3, Others!$H$10:$I$10, 0))</f>
        <v>3.2709856163388507E-2</v>
      </c>
      <c r="BQ88" s="16">
        <f t="shared" si="101"/>
        <v>2.6857899323000645E-3</v>
      </c>
      <c r="BR88" s="69">
        <f t="shared" si="102"/>
        <v>0.83663774814502423</v>
      </c>
      <c r="BT88" s="46">
        <f t="shared" si="103"/>
        <v>9110.5807042203105</v>
      </c>
      <c r="BU88" s="49">
        <f t="shared" si="66"/>
        <v>523.19751913022503</v>
      </c>
      <c r="BV88" s="46">
        <f t="shared" si="104"/>
        <v>501.48650576385626</v>
      </c>
      <c r="BX88" s="46">
        <f t="shared" si="105"/>
        <v>9505.0079463719667</v>
      </c>
    </row>
    <row r="89" spans="1:76" x14ac:dyDescent="0.25">
      <c r="A89" s="61">
        <f t="shared" si="55"/>
        <v>6.999999999999992</v>
      </c>
      <c r="B89" s="32">
        <f t="shared" si="67"/>
        <v>12</v>
      </c>
      <c r="C89" s="62">
        <f t="shared" si="68"/>
        <v>7</v>
      </c>
      <c r="D89" s="64">
        <f t="shared" si="69"/>
        <v>7.499999999999992</v>
      </c>
      <c r="E89" s="28">
        <f t="shared" si="70"/>
        <v>7</v>
      </c>
      <c r="G89" s="68">
        <f>INDEX(Others!$D$11:$E$60, MATCH(C89, Others!$A$11:$A$60, 0), MATCH(G$3, Others!$D$10:$E$10, 0))</f>
        <v>4.3613141551184675E-2</v>
      </c>
      <c r="H89" s="16">
        <f t="shared" si="71"/>
        <v>3.5637406369586344E-3</v>
      </c>
      <c r="I89" s="69">
        <f t="shared" si="72"/>
        <v>0.78635833781713138</v>
      </c>
      <c r="K89" s="80">
        <f>INDEX(Mortality!$B$7:$F$32, MATCH( E89,Mortality!$A$7:$A$32, 0), MATCH( K$3,Mortality!$B$6:$F$6,0))</f>
        <v>0.34400000000000003</v>
      </c>
      <c r="L89" s="11" cm="1">
        <f t="array" ref="L89">PAD_Res_Mort</f>
        <v>0.15</v>
      </c>
      <c r="M89" s="80">
        <f t="shared" si="73"/>
        <v>0.39560000000000001</v>
      </c>
      <c r="N89" s="76">
        <f>INDEX('Myopia_(Reserve)'!$H:$H, MATCH(E89, 'Myopia_(Reserve)'!$A:$A, 0)) * Trend_Factor_Reserve^(A89)</f>
        <v>12.16603036559686</v>
      </c>
      <c r="O89" s="11">
        <f t="shared" si="56"/>
        <v>0.3</v>
      </c>
      <c r="P89" s="80">
        <f t="shared" si="74"/>
        <v>15.815839475275919</v>
      </c>
      <c r="Q89" s="76">
        <f>VLOOKUP(C89,Others!$L$10:$M$61,2)</f>
        <v>0</v>
      </c>
      <c r="R89" s="11">
        <f t="shared" si="57"/>
        <v>0</v>
      </c>
      <c r="S89" s="80">
        <f t="shared" si="75"/>
        <v>0</v>
      </c>
      <c r="T89" s="78">
        <f t="shared" si="76"/>
        <v>3.2966666666666671E-5</v>
      </c>
      <c r="U89" s="81">
        <f t="shared" si="77"/>
        <v>1.3179866229396599E-3</v>
      </c>
      <c r="V89" s="81">
        <f t="shared" si="78"/>
        <v>0</v>
      </c>
      <c r="W89" s="77">
        <f t="shared" si="58"/>
        <v>0.95850321805336225</v>
      </c>
      <c r="X89" s="82">
        <f t="shared" si="79"/>
        <v>3.157783278547876E-5</v>
      </c>
      <c r="Y89" s="82">
        <f t="shared" si="80"/>
        <v>1.2632735961359335E-3</v>
      </c>
      <c r="Z89" s="82">
        <f t="shared" si="81"/>
        <v>0</v>
      </c>
      <c r="AA89" s="82">
        <f t="shared" si="82"/>
        <v>0.95720836662444087</v>
      </c>
      <c r="AC89" s="46">
        <f t="shared" si="59"/>
        <v>0</v>
      </c>
      <c r="AD89" s="15">
        <f t="shared" si="83"/>
        <v>0</v>
      </c>
      <c r="AE89" s="46">
        <f t="shared" si="84"/>
        <v>0</v>
      </c>
      <c r="AF89" s="15">
        <f t="shared" si="85"/>
        <v>0</v>
      </c>
      <c r="AG89" s="46">
        <f>SUMPRODUCT(AE90:AE$605, $I89:$I$604) / $I89</f>
        <v>0</v>
      </c>
      <c r="AI89" s="46">
        <f t="shared" si="60"/>
        <v>-47000</v>
      </c>
      <c r="AJ89" s="46">
        <f>IF(E89&gt;Mat_Year,0,  -SUM($AD$5:AD89))</f>
        <v>-9306</v>
      </c>
      <c r="AK89" s="24">
        <f t="shared" si="86"/>
        <v>-0.29386331190166531</v>
      </c>
      <c r="AL89" s="79">
        <f t="shared" si="87"/>
        <v>-59.37385901838887</v>
      </c>
      <c r="AM89" s="24">
        <f t="shared" si="88"/>
        <v>-62.250935840852534</v>
      </c>
      <c r="AN89" s="79">
        <f t="shared" si="89"/>
        <v>-59.667722330290538</v>
      </c>
      <c r="AO89" s="15">
        <f t="shared" si="90"/>
        <v>-8671.8101688448405</v>
      </c>
      <c r="AP89" s="46">
        <f>SUMPRODUCT(AN90:AN$605, $I90:$I$605) / $I89</f>
        <v>-8311.9579531856507</v>
      </c>
      <c r="AR89" s="46">
        <v>0</v>
      </c>
      <c r="AS89" s="46">
        <v>0</v>
      </c>
      <c r="AT89" s="46">
        <v>0</v>
      </c>
      <c r="AU89" s="95">
        <f t="shared" si="61"/>
        <v>-2.0489841331215213</v>
      </c>
      <c r="AV89" s="47">
        <f t="shared" si="62"/>
        <v>0.1</v>
      </c>
      <c r="AW89" s="96">
        <f t="shared" si="91"/>
        <v>-2.2538825464336738</v>
      </c>
      <c r="AX89" s="95">
        <f t="shared" si="63"/>
        <v>-23.495018059793441</v>
      </c>
      <c r="AY89" s="11">
        <f t="shared" si="64"/>
        <v>0.1</v>
      </c>
      <c r="AZ89" s="96">
        <f t="shared" si="92"/>
        <v>-25.844519865772789</v>
      </c>
      <c r="BA89" s="95">
        <f t="shared" si="93"/>
        <v>-2.1603536738709832</v>
      </c>
      <c r="BB89" s="64">
        <f t="shared" si="94"/>
        <v>-3.3464813477983718E-2</v>
      </c>
      <c r="BC89" s="95">
        <f t="shared" si="106"/>
        <v>-2.2538825464336738</v>
      </c>
      <c r="BD89" s="96">
        <f t="shared" si="106"/>
        <v>-3.4913616196248019E-2</v>
      </c>
      <c r="BE89" s="96">
        <f t="shared" si="95"/>
        <v>-2.1603536738709832</v>
      </c>
      <c r="BF89" s="96">
        <f t="shared" si="96"/>
        <v>-3.3464813477983718E-2</v>
      </c>
      <c r="BG89" s="15">
        <f t="shared" si="97"/>
        <v>-277.46133695362113</v>
      </c>
      <c r="BH89" s="46">
        <f>(SUMPRODUCT(BE90:BE$605,$I89:$I$604)+SUMPRODUCT(BF90:BF$605,$I90:$I$605)) / $I89</f>
        <v>-265.94758435543412</v>
      </c>
      <c r="BJ89" s="46">
        <f t="shared" si="98"/>
        <v>-2.1603536738709832</v>
      </c>
      <c r="BK89" s="46">
        <f t="shared" si="99"/>
        <v>-59.701187143768522</v>
      </c>
      <c r="BM89" s="49">
        <f t="shared" si="65"/>
        <v>8961.3775188684813</v>
      </c>
      <c r="BN89" s="50">
        <f t="shared" si="100"/>
        <v>8577.9055375410826</v>
      </c>
      <c r="BP89" s="68">
        <f>INDEX(Others!$H$11:$I$60, MATCH(C89, Others!$A$11:$A$60, 0), MATCH(BP$3, Others!$H$10:$I$10, 0))</f>
        <v>3.2709856163388507E-2</v>
      </c>
      <c r="BQ89" s="16">
        <f t="shared" si="101"/>
        <v>2.6857899323000645E-3</v>
      </c>
      <c r="BR89" s="69">
        <f t="shared" si="102"/>
        <v>0.83439673379784596</v>
      </c>
      <c r="BT89" s="46">
        <f t="shared" si="103"/>
        <v>9073.1824670793249</v>
      </c>
      <c r="BU89" s="49">
        <f t="shared" si="66"/>
        <v>517.41809495963525</v>
      </c>
      <c r="BV89" s="46">
        <f t="shared" si="104"/>
        <v>495.27692953824226</v>
      </c>
      <c r="BX89" s="46">
        <f t="shared" si="105"/>
        <v>9478.795613828117</v>
      </c>
    </row>
    <row r="90" spans="1:76" x14ac:dyDescent="0.25">
      <c r="A90" s="61">
        <f t="shared" si="55"/>
        <v>7.083333333333325</v>
      </c>
      <c r="B90" s="32">
        <f t="shared" si="67"/>
        <v>1</v>
      </c>
      <c r="C90" s="62">
        <f t="shared" si="68"/>
        <v>8</v>
      </c>
      <c r="D90" s="64">
        <f t="shared" si="69"/>
        <v>7.583333333333325</v>
      </c>
      <c r="E90" s="28">
        <f t="shared" si="70"/>
        <v>7</v>
      </c>
      <c r="G90" s="68">
        <f>INDEX(Others!$D$11:$E$60, MATCH(C90, Others!$A$11:$A$60, 0), MATCH(G$3, Others!$D$10:$E$10, 0))</f>
        <v>4.6507166616977402E-2</v>
      </c>
      <c r="H90" s="16">
        <f t="shared" si="71"/>
        <v>3.7953601286573324E-3</v>
      </c>
      <c r="I90" s="69">
        <f t="shared" si="72"/>
        <v>0.78338510920825843</v>
      </c>
      <c r="K90" s="80">
        <f>INDEX(Mortality!$B$7:$F$32, MATCH( E90,Mortality!$A$7:$A$32, 0), MATCH( K$3,Mortality!$B$6:$F$6,0))</f>
        <v>0.34400000000000003</v>
      </c>
      <c r="L90" s="11" cm="1">
        <f t="array" ref="L90">PAD_Res_Mort</f>
        <v>0.15</v>
      </c>
      <c r="M90" s="80">
        <f t="shared" si="73"/>
        <v>0.39560000000000001</v>
      </c>
      <c r="N90" s="76">
        <f>INDEX('Myopia_(Reserve)'!$H:$H, MATCH(E90, 'Myopia_(Reserve)'!$A:$A, 0)) * Trend_Factor_Reserve^(A90)</f>
        <v>12.16603036559686</v>
      </c>
      <c r="O90" s="11">
        <f t="shared" si="56"/>
        <v>0.3</v>
      </c>
      <c r="P90" s="80">
        <f t="shared" si="74"/>
        <v>15.815839475275919</v>
      </c>
      <c r="Q90" s="76">
        <f>VLOOKUP(C90,Others!$L$10:$M$61,2)</f>
        <v>0</v>
      </c>
      <c r="R90" s="11">
        <f t="shared" si="57"/>
        <v>0</v>
      </c>
      <c r="S90" s="80">
        <f t="shared" si="75"/>
        <v>0</v>
      </c>
      <c r="T90" s="78">
        <f t="shared" si="76"/>
        <v>3.2966666666666671E-5</v>
      </c>
      <c r="U90" s="81">
        <f t="shared" si="77"/>
        <v>1.3179866229396599E-3</v>
      </c>
      <c r="V90" s="81">
        <f t="shared" si="78"/>
        <v>0</v>
      </c>
      <c r="W90" s="77">
        <f t="shared" si="58"/>
        <v>0.95720836662444087</v>
      </c>
      <c r="X90" s="82">
        <f t="shared" si="79"/>
        <v>3.15351739804436E-5</v>
      </c>
      <c r="Y90" s="82">
        <f t="shared" si="80"/>
        <v>1.2615670274043259E-3</v>
      </c>
      <c r="Z90" s="82">
        <f t="shared" si="81"/>
        <v>0</v>
      </c>
      <c r="AA90" s="82">
        <f t="shared" si="82"/>
        <v>0.95591526442305608</v>
      </c>
      <c r="AC90" s="46">
        <f t="shared" si="59"/>
        <v>0</v>
      </c>
      <c r="AD90" s="15">
        <f t="shared" si="83"/>
        <v>0</v>
      </c>
      <c r="AE90" s="46">
        <f t="shared" si="84"/>
        <v>0</v>
      </c>
      <c r="AF90" s="15">
        <f t="shared" si="85"/>
        <v>0</v>
      </c>
      <c r="AG90" s="46">
        <f>SUMPRODUCT(AE91:AE$605, $I90:$I$604) / $I90</f>
        <v>0</v>
      </c>
      <c r="AI90" s="46">
        <f t="shared" si="60"/>
        <v>-47000</v>
      </c>
      <c r="AJ90" s="46">
        <f>IF(E90&gt;Mat_Year,0,  -SUM($AD$5:AD90))</f>
        <v>-9306</v>
      </c>
      <c r="AK90" s="24">
        <f t="shared" si="86"/>
        <v>-0.29346632906200815</v>
      </c>
      <c r="AL90" s="79">
        <f t="shared" si="87"/>
        <v>-59.293650288003313</v>
      </c>
      <c r="AM90" s="24">
        <f t="shared" si="88"/>
        <v>-62.250935840852534</v>
      </c>
      <c r="AN90" s="79">
        <f t="shared" si="89"/>
        <v>-59.58711661706532</v>
      </c>
      <c r="AO90" s="15">
        <f t="shared" si="90"/>
        <v>-8654.2470784998513</v>
      </c>
      <c r="AP90" s="46">
        <f>SUMPRODUCT(AN91:AN$605, $I91:$I$605) / $I90</f>
        <v>-8283.9177103751827</v>
      </c>
      <c r="AR90" s="46">
        <v>0</v>
      </c>
      <c r="AS90" s="46">
        <v>0</v>
      </c>
      <c r="AT90" s="46">
        <v>0</v>
      </c>
      <c r="AU90" s="95">
        <f t="shared" si="61"/>
        <v>-2.0529541460353298</v>
      </c>
      <c r="AV90" s="47">
        <f t="shared" si="62"/>
        <v>0.1</v>
      </c>
      <c r="AW90" s="96">
        <f t="shared" si="91"/>
        <v>-2.2582495606388631</v>
      </c>
      <c r="AX90" s="95">
        <f t="shared" si="63"/>
        <v>-23.540540874538447</v>
      </c>
      <c r="AY90" s="11">
        <f t="shared" si="64"/>
        <v>0.1</v>
      </c>
      <c r="AZ90" s="96">
        <f t="shared" si="92"/>
        <v>-25.894594961992293</v>
      </c>
      <c r="BA90" s="95">
        <f t="shared" si="93"/>
        <v>-2.1616153733694872</v>
      </c>
      <c r="BB90" s="64">
        <f t="shared" si="94"/>
        <v>-3.3484357749319196E-2</v>
      </c>
      <c r="BC90" s="95">
        <f t="shared" si="106"/>
        <v>-2.2582495606388631</v>
      </c>
      <c r="BD90" s="96">
        <f t="shared" si="106"/>
        <v>-3.4981263136468939E-2</v>
      </c>
      <c r="BE90" s="96">
        <f t="shared" si="95"/>
        <v>-2.1616153733694872</v>
      </c>
      <c r="BF90" s="96">
        <f t="shared" si="96"/>
        <v>-3.3484357749319196E-2</v>
      </c>
      <c r="BG90" s="15">
        <f t="shared" si="97"/>
        <v>-276.58935776661968</v>
      </c>
      <c r="BH90" s="46">
        <f>(SUMPRODUCT(BE91:BE$605,$I90:$I$604)+SUMPRODUCT(BF91:BF$605,$I91:$I$605)) / $I90</f>
        <v>-264.75364737348912</v>
      </c>
      <c r="BJ90" s="46">
        <f t="shared" si="98"/>
        <v>-2.1616153733694872</v>
      </c>
      <c r="BK90" s="46">
        <f t="shared" si="99"/>
        <v>-59.620600974814636</v>
      </c>
      <c r="BM90" s="49">
        <f t="shared" si="65"/>
        <v>8942.9175115309299</v>
      </c>
      <c r="BN90" s="50">
        <f t="shared" si="100"/>
        <v>8548.671357748668</v>
      </c>
      <c r="BP90" s="68">
        <f>INDEX(Others!$H$11:$I$60, MATCH(C90, Others!$A$11:$A$60, 0), MATCH(BP$3, Others!$H$10:$I$10, 0))</f>
        <v>3.4880374962733052E-2</v>
      </c>
      <c r="BQ90" s="16">
        <f t="shared" si="101"/>
        <v>2.8612389103552793E-3</v>
      </c>
      <c r="BR90" s="69">
        <f t="shared" si="102"/>
        <v>0.83201613685303855</v>
      </c>
      <c r="BT90" s="46">
        <f t="shared" si="103"/>
        <v>9037.3546085486869</v>
      </c>
      <c r="BU90" s="49">
        <f t="shared" si="66"/>
        <v>511.22026081983773</v>
      </c>
      <c r="BV90" s="46">
        <f t="shared" si="104"/>
        <v>488.68325080001887</v>
      </c>
      <c r="BX90" s="46">
        <f t="shared" si="105"/>
        <v>9454.1377723507685</v>
      </c>
    </row>
    <row r="91" spans="1:76" x14ac:dyDescent="0.25">
      <c r="A91" s="61">
        <f t="shared" si="55"/>
        <v>7.1666666666666581</v>
      </c>
      <c r="B91" s="32">
        <f t="shared" si="67"/>
        <v>2</v>
      </c>
      <c r="C91" s="62">
        <f t="shared" si="68"/>
        <v>8</v>
      </c>
      <c r="D91" s="64">
        <f t="shared" si="69"/>
        <v>7.6666666666666581</v>
      </c>
      <c r="E91" s="28">
        <f t="shared" si="70"/>
        <v>7</v>
      </c>
      <c r="G91" s="68">
        <f>INDEX(Others!$D$11:$E$60, MATCH(C91, Others!$A$11:$A$60, 0), MATCH(G$3, Others!$D$10:$E$10, 0))</f>
        <v>4.6507166616977402E-2</v>
      </c>
      <c r="H91" s="16">
        <f t="shared" si="71"/>
        <v>3.7953601286573324E-3</v>
      </c>
      <c r="I91" s="69">
        <f t="shared" si="72"/>
        <v>0.78042312240599643</v>
      </c>
      <c r="K91" s="80">
        <f>INDEX(Mortality!$B$7:$F$32, MATCH( E91,Mortality!$A$7:$A$32, 0), MATCH( K$3,Mortality!$B$6:$F$6,0))</f>
        <v>0.34400000000000003</v>
      </c>
      <c r="L91" s="11" cm="1">
        <f t="array" ref="L91">PAD_Res_Mort</f>
        <v>0.15</v>
      </c>
      <c r="M91" s="80">
        <f t="shared" si="73"/>
        <v>0.39560000000000001</v>
      </c>
      <c r="N91" s="76">
        <f>INDEX('Myopia_(Reserve)'!$H:$H, MATCH(E91, 'Myopia_(Reserve)'!$A:$A, 0)) * Trend_Factor_Reserve^(A91)</f>
        <v>12.16603036559686</v>
      </c>
      <c r="O91" s="11">
        <f t="shared" si="56"/>
        <v>0.3</v>
      </c>
      <c r="P91" s="80">
        <f t="shared" si="74"/>
        <v>15.815839475275919</v>
      </c>
      <c r="Q91" s="76">
        <f>VLOOKUP(C91,Others!$L$10:$M$61,2)</f>
        <v>0</v>
      </c>
      <c r="R91" s="11">
        <f t="shared" si="57"/>
        <v>0</v>
      </c>
      <c r="S91" s="80">
        <f t="shared" si="75"/>
        <v>0</v>
      </c>
      <c r="T91" s="78">
        <f t="shared" si="76"/>
        <v>3.2966666666666671E-5</v>
      </c>
      <c r="U91" s="81">
        <f t="shared" si="77"/>
        <v>1.3179866229396599E-3</v>
      </c>
      <c r="V91" s="81">
        <f t="shared" si="78"/>
        <v>0</v>
      </c>
      <c r="W91" s="77">
        <f t="shared" si="58"/>
        <v>0.95591526442305608</v>
      </c>
      <c r="X91" s="82">
        <f t="shared" si="79"/>
        <v>3.1492572803607907E-5</v>
      </c>
      <c r="Y91" s="82">
        <f t="shared" si="80"/>
        <v>1.2598627640932102E-3</v>
      </c>
      <c r="Z91" s="82">
        <f t="shared" si="81"/>
        <v>0</v>
      </c>
      <c r="AA91" s="82">
        <f t="shared" si="82"/>
        <v>0.95462390908615924</v>
      </c>
      <c r="AC91" s="46">
        <f t="shared" si="59"/>
        <v>0</v>
      </c>
      <c r="AD91" s="15">
        <f t="shared" si="83"/>
        <v>0</v>
      </c>
      <c r="AE91" s="46">
        <f t="shared" si="84"/>
        <v>0</v>
      </c>
      <c r="AF91" s="15">
        <f t="shared" si="85"/>
        <v>0</v>
      </c>
      <c r="AG91" s="46">
        <f>SUMPRODUCT(AE92:AE$605, $I91:$I$604) / $I91</f>
        <v>0</v>
      </c>
      <c r="AI91" s="46">
        <f t="shared" si="60"/>
        <v>-47000</v>
      </c>
      <c r="AJ91" s="46">
        <f>IF(E91&gt;Mat_Year,0,  -SUM($AD$5:AD91))</f>
        <v>-9306</v>
      </c>
      <c r="AK91" s="24">
        <f t="shared" si="86"/>
        <v>-0.29306988251037519</v>
      </c>
      <c r="AL91" s="79">
        <f t="shared" si="87"/>
        <v>-59.213549912380877</v>
      </c>
      <c r="AM91" s="24">
        <f t="shared" si="88"/>
        <v>-62.250935840852534</v>
      </c>
      <c r="AN91" s="79">
        <f t="shared" si="89"/>
        <v>-59.50661979489125</v>
      </c>
      <c r="AO91" s="15">
        <f t="shared" si="90"/>
        <v>-8636.593481484113</v>
      </c>
      <c r="AP91" s="46">
        <f>SUMPRODUCT(AN92:AN$605, $I92:$I$605) / $I91</f>
        <v>-8255.8515415673282</v>
      </c>
      <c r="AR91" s="46">
        <v>0</v>
      </c>
      <c r="AS91" s="46">
        <v>0</v>
      </c>
      <c r="AT91" s="46">
        <v>0</v>
      </c>
      <c r="AU91" s="95">
        <f t="shared" si="61"/>
        <v>-2.0569318510548413</v>
      </c>
      <c r="AV91" s="47">
        <f t="shared" si="62"/>
        <v>0.1</v>
      </c>
      <c r="AW91" s="96">
        <f t="shared" si="91"/>
        <v>-2.2626250361603257</v>
      </c>
      <c r="AX91" s="95">
        <f t="shared" si="63"/>
        <v>-23.586151892095511</v>
      </c>
      <c r="AY91" s="11">
        <f t="shared" si="64"/>
        <v>0.1</v>
      </c>
      <c r="AZ91" s="96">
        <f t="shared" si="92"/>
        <v>-25.944767081305063</v>
      </c>
      <c r="BA91" s="95">
        <f t="shared" si="93"/>
        <v>-2.1628778097314245</v>
      </c>
      <c r="BB91" s="64">
        <f t="shared" si="94"/>
        <v>-3.3503913434988174E-2</v>
      </c>
      <c r="BC91" s="95">
        <f t="shared" si="106"/>
        <v>-2.2626250361603257</v>
      </c>
      <c r="BD91" s="96">
        <f t="shared" si="106"/>
        <v>-3.5049041146141241E-2</v>
      </c>
      <c r="BE91" s="96">
        <f t="shared" si="95"/>
        <v>-2.1628778097314245</v>
      </c>
      <c r="BF91" s="96">
        <f t="shared" si="96"/>
        <v>-3.3503913434988174E-2</v>
      </c>
      <c r="BG91" s="15">
        <f t="shared" si="97"/>
        <v>-275.7084252089507</v>
      </c>
      <c r="BH91" s="46">
        <f>(SUMPRODUCT(BE92:BE$605,$I91:$I$604)+SUMPRODUCT(BF92:BF$605,$I92:$I$605)) / $I91</f>
        <v>-263.55389218727851</v>
      </c>
      <c r="BJ91" s="46">
        <f t="shared" si="98"/>
        <v>-2.1628778097314245</v>
      </c>
      <c r="BK91" s="46">
        <f t="shared" si="99"/>
        <v>-59.540123708326242</v>
      </c>
      <c r="BM91" s="49">
        <f t="shared" si="65"/>
        <v>8924.3579096086578</v>
      </c>
      <c r="BN91" s="50">
        <f t="shared" si="100"/>
        <v>8519.4054337546022</v>
      </c>
      <c r="BP91" s="68">
        <f>INDEX(Others!$H$11:$I$60, MATCH(C91, Others!$A$11:$A$60, 0), MATCH(BP$3, Others!$H$10:$I$10, 0))</f>
        <v>3.4880374962733052E-2</v>
      </c>
      <c r="BQ91" s="16">
        <f t="shared" si="101"/>
        <v>2.8612389103552793E-3</v>
      </c>
      <c r="BR91" s="69">
        <f t="shared" si="102"/>
        <v>0.82964233193123904</v>
      </c>
      <c r="BT91" s="46">
        <f t="shared" si="103"/>
        <v>9001.5034491731403</v>
      </c>
      <c r="BU91" s="49">
        <f t="shared" si="66"/>
        <v>505.01355646962594</v>
      </c>
      <c r="BV91" s="46">
        <f t="shared" si="104"/>
        <v>482.09801541853813</v>
      </c>
      <c r="BX91" s="46">
        <f t="shared" si="105"/>
        <v>9429.3714660782844</v>
      </c>
    </row>
    <row r="92" spans="1:76" x14ac:dyDescent="0.25">
      <c r="A92" s="61">
        <f t="shared" si="55"/>
        <v>7.2499999999999911</v>
      </c>
      <c r="B92" s="32">
        <f t="shared" si="67"/>
        <v>3</v>
      </c>
      <c r="C92" s="62">
        <f t="shared" si="68"/>
        <v>8</v>
      </c>
      <c r="D92" s="64">
        <f t="shared" si="69"/>
        <v>7.7499999999999911</v>
      </c>
      <c r="E92" s="28">
        <f t="shared" si="70"/>
        <v>7</v>
      </c>
      <c r="G92" s="68">
        <f>INDEX(Others!$D$11:$E$60, MATCH(C92, Others!$A$11:$A$60, 0), MATCH(G$3, Others!$D$10:$E$10, 0))</f>
        <v>4.6507166616977402E-2</v>
      </c>
      <c r="H92" s="16">
        <f t="shared" si="71"/>
        <v>3.7953601286573324E-3</v>
      </c>
      <c r="I92" s="69">
        <f t="shared" si="72"/>
        <v>0.77747233490496404</v>
      </c>
      <c r="K92" s="80">
        <f>INDEX(Mortality!$B$7:$F$32, MATCH( E92,Mortality!$A$7:$A$32, 0), MATCH( K$3,Mortality!$B$6:$F$6,0))</f>
        <v>0.34400000000000003</v>
      </c>
      <c r="L92" s="11" cm="1">
        <f t="array" ref="L92">PAD_Res_Mort</f>
        <v>0.15</v>
      </c>
      <c r="M92" s="80">
        <f t="shared" si="73"/>
        <v>0.39560000000000001</v>
      </c>
      <c r="N92" s="76">
        <f>INDEX('Myopia_(Reserve)'!$H:$H, MATCH(E92, 'Myopia_(Reserve)'!$A:$A, 0)) * Trend_Factor_Reserve^(A92)</f>
        <v>12.16603036559686</v>
      </c>
      <c r="O92" s="11">
        <f t="shared" si="56"/>
        <v>0.3</v>
      </c>
      <c r="P92" s="80">
        <f t="shared" si="74"/>
        <v>15.815839475275919</v>
      </c>
      <c r="Q92" s="76">
        <f>VLOOKUP(C92,Others!$L$10:$M$61,2)</f>
        <v>0</v>
      </c>
      <c r="R92" s="11">
        <f t="shared" si="57"/>
        <v>0</v>
      </c>
      <c r="S92" s="80">
        <f t="shared" si="75"/>
        <v>0</v>
      </c>
      <c r="T92" s="78">
        <f t="shared" si="76"/>
        <v>3.2966666666666671E-5</v>
      </c>
      <c r="U92" s="81">
        <f t="shared" si="77"/>
        <v>1.3179866229396599E-3</v>
      </c>
      <c r="V92" s="81">
        <f t="shared" si="78"/>
        <v>0</v>
      </c>
      <c r="W92" s="77">
        <f t="shared" si="58"/>
        <v>0.95462390908615924</v>
      </c>
      <c r="X92" s="82">
        <f t="shared" si="79"/>
        <v>3.1450029177121208E-5</v>
      </c>
      <c r="Y92" s="82">
        <f t="shared" si="80"/>
        <v>1.2581608030881714E-3</v>
      </c>
      <c r="Z92" s="82">
        <f t="shared" si="81"/>
        <v>0</v>
      </c>
      <c r="AA92" s="82">
        <f t="shared" si="82"/>
        <v>0.95333429825389393</v>
      </c>
      <c r="AC92" s="46">
        <f t="shared" si="59"/>
        <v>0</v>
      </c>
      <c r="AD92" s="15">
        <f t="shared" si="83"/>
        <v>0</v>
      </c>
      <c r="AE92" s="46">
        <f t="shared" si="84"/>
        <v>0</v>
      </c>
      <c r="AF92" s="15">
        <f t="shared" si="85"/>
        <v>0</v>
      </c>
      <c r="AG92" s="46">
        <f>SUMPRODUCT(AE93:AE$605, $I92:$I$604) / $I92</f>
        <v>0</v>
      </c>
      <c r="AI92" s="46">
        <f t="shared" si="60"/>
        <v>-47000</v>
      </c>
      <c r="AJ92" s="46">
        <f>IF(E92&gt;Mat_Year,0,  -SUM($AD$5:AD92))</f>
        <v>-9306</v>
      </c>
      <c r="AK92" s="24">
        <f t="shared" si="86"/>
        <v>-0.29267397152228997</v>
      </c>
      <c r="AL92" s="79">
        <f t="shared" si="87"/>
        <v>-59.133557745144053</v>
      </c>
      <c r="AM92" s="24">
        <f t="shared" si="88"/>
        <v>-62.250935840852534</v>
      </c>
      <c r="AN92" s="79">
        <f t="shared" si="89"/>
        <v>-59.426231716666344</v>
      </c>
      <c r="AO92" s="15">
        <f t="shared" si="90"/>
        <v>-8618.848911395793</v>
      </c>
      <c r="AP92" s="46">
        <f>SUMPRODUCT(AN93:AN$605, $I93:$I$605) / $I92</f>
        <v>-8227.7592396196396</v>
      </c>
      <c r="AR92" s="46">
        <v>0</v>
      </c>
      <c r="AS92" s="46">
        <v>0</v>
      </c>
      <c r="AT92" s="46">
        <v>0</v>
      </c>
      <c r="AU92" s="95">
        <f t="shared" si="61"/>
        <v>-2.0609172630839097</v>
      </c>
      <c r="AV92" s="47">
        <f t="shared" si="62"/>
        <v>0.1</v>
      </c>
      <c r="AW92" s="96">
        <f t="shared" si="91"/>
        <v>-2.2670089893923007</v>
      </c>
      <c r="AX92" s="95">
        <f t="shared" si="63"/>
        <v>-23.631851283362163</v>
      </c>
      <c r="AY92" s="11">
        <f t="shared" si="64"/>
        <v>0.1</v>
      </c>
      <c r="AZ92" s="96">
        <f t="shared" si="92"/>
        <v>-25.995036411698383</v>
      </c>
      <c r="BA92" s="95">
        <f t="shared" si="93"/>
        <v>-2.1641409833871412</v>
      </c>
      <c r="BB92" s="64">
        <f t="shared" si="94"/>
        <v>-3.3523480541656936E-2</v>
      </c>
      <c r="BC92" s="95">
        <f t="shared" si="106"/>
        <v>-2.2670089893923007</v>
      </c>
      <c r="BD92" s="96">
        <f t="shared" si="106"/>
        <v>-3.5116950479218811E-2</v>
      </c>
      <c r="BE92" s="96">
        <f t="shared" si="95"/>
        <v>-2.1641409833871412</v>
      </c>
      <c r="BF92" s="96">
        <f t="shared" si="96"/>
        <v>-3.3523480541656936E-2</v>
      </c>
      <c r="BG92" s="15">
        <f t="shared" si="97"/>
        <v>-274.81848450061233</v>
      </c>
      <c r="BH92" s="46">
        <f>(SUMPRODUCT(BE93:BE$605,$I92:$I$604)+SUMPRODUCT(BF93:BF$605,$I93:$I$605)) / $I92</f>
        <v>-262.34829596310863</v>
      </c>
      <c r="BJ92" s="46">
        <f t="shared" si="98"/>
        <v>-2.1641409833871412</v>
      </c>
      <c r="BK92" s="46">
        <f t="shared" si="99"/>
        <v>-59.459755197208004</v>
      </c>
      <c r="BM92" s="49">
        <f t="shared" si="65"/>
        <v>8905.6981912148094</v>
      </c>
      <c r="BN92" s="50">
        <f t="shared" si="100"/>
        <v>8490.1075355827434</v>
      </c>
      <c r="BP92" s="68">
        <f>INDEX(Others!$H$11:$I$60, MATCH(C92, Others!$A$11:$A$60, 0), MATCH(BP$3, Others!$H$10:$I$10, 0))</f>
        <v>3.4880374962733052E-2</v>
      </c>
      <c r="BQ92" s="16">
        <f t="shared" si="101"/>
        <v>2.8612389103552793E-3</v>
      </c>
      <c r="BR92" s="69">
        <f t="shared" si="102"/>
        <v>0.82727529965429236</v>
      </c>
      <c r="BT92" s="46">
        <f t="shared" si="103"/>
        <v>8965.6288127886291</v>
      </c>
      <c r="BU92" s="49">
        <f t="shared" si="66"/>
        <v>498.7980376630108</v>
      </c>
      <c r="BV92" s="46">
        <f t="shared" si="104"/>
        <v>475.52127720588578</v>
      </c>
      <c r="BX92" s="46">
        <f t="shared" si="105"/>
        <v>9404.4962288778206</v>
      </c>
    </row>
    <row r="93" spans="1:76" x14ac:dyDescent="0.25">
      <c r="A93" s="61">
        <f t="shared" si="55"/>
        <v>7.3333333333333242</v>
      </c>
      <c r="B93" s="32">
        <f t="shared" si="67"/>
        <v>4</v>
      </c>
      <c r="C93" s="62">
        <f t="shared" si="68"/>
        <v>8</v>
      </c>
      <c r="D93" s="64">
        <f t="shared" si="69"/>
        <v>7.8333333333333242</v>
      </c>
      <c r="E93" s="28">
        <f t="shared" si="70"/>
        <v>7</v>
      </c>
      <c r="G93" s="68">
        <f>INDEX(Others!$D$11:$E$60, MATCH(C93, Others!$A$11:$A$60, 0), MATCH(G$3, Others!$D$10:$E$10, 0))</f>
        <v>4.6507166616977402E-2</v>
      </c>
      <c r="H93" s="16">
        <f t="shared" si="71"/>
        <v>3.7953601286573324E-3</v>
      </c>
      <c r="I93" s="69">
        <f t="shared" si="72"/>
        <v>0.77453270436049304</v>
      </c>
      <c r="K93" s="80">
        <f>INDEX(Mortality!$B$7:$F$32, MATCH( E93,Mortality!$A$7:$A$32, 0), MATCH( K$3,Mortality!$B$6:$F$6,0))</f>
        <v>0.34400000000000003</v>
      </c>
      <c r="L93" s="11" cm="1">
        <f t="array" ref="L93">PAD_Res_Mort</f>
        <v>0.15</v>
      </c>
      <c r="M93" s="80">
        <f t="shared" si="73"/>
        <v>0.39560000000000001</v>
      </c>
      <c r="N93" s="76">
        <f>INDEX('Myopia_(Reserve)'!$H:$H, MATCH(E93, 'Myopia_(Reserve)'!$A:$A, 0)) * Trend_Factor_Reserve^(A93)</f>
        <v>12.16603036559686</v>
      </c>
      <c r="O93" s="11">
        <f t="shared" si="56"/>
        <v>0.3</v>
      </c>
      <c r="P93" s="80">
        <f t="shared" si="74"/>
        <v>15.815839475275919</v>
      </c>
      <c r="Q93" s="76">
        <f>VLOOKUP(C93,Others!$L$10:$M$61,2)</f>
        <v>0</v>
      </c>
      <c r="R93" s="11">
        <f t="shared" si="57"/>
        <v>0</v>
      </c>
      <c r="S93" s="80">
        <f t="shared" si="75"/>
        <v>0</v>
      </c>
      <c r="T93" s="78">
        <f t="shared" si="76"/>
        <v>3.2966666666666671E-5</v>
      </c>
      <c r="U93" s="81">
        <f t="shared" si="77"/>
        <v>1.3179866229396599E-3</v>
      </c>
      <c r="V93" s="81">
        <f t="shared" si="78"/>
        <v>0</v>
      </c>
      <c r="W93" s="77">
        <f t="shared" si="58"/>
        <v>0.95333429825389393</v>
      </c>
      <c r="X93" s="82">
        <f t="shared" si="79"/>
        <v>3.1407543023238157E-5</v>
      </c>
      <c r="Y93" s="82">
        <f t="shared" si="80"/>
        <v>1.2564611412790015E-3</v>
      </c>
      <c r="Z93" s="82">
        <f t="shared" si="81"/>
        <v>0</v>
      </c>
      <c r="AA93" s="82">
        <f t="shared" si="82"/>
        <v>0.95204642956959173</v>
      </c>
      <c r="AC93" s="46">
        <f t="shared" si="59"/>
        <v>0</v>
      </c>
      <c r="AD93" s="15">
        <f t="shared" si="83"/>
        <v>0</v>
      </c>
      <c r="AE93" s="46">
        <f t="shared" si="84"/>
        <v>0</v>
      </c>
      <c r="AF93" s="15">
        <f t="shared" si="85"/>
        <v>0</v>
      </c>
      <c r="AG93" s="46">
        <f>SUMPRODUCT(AE94:AE$605, $I93:$I$604) / $I93</f>
        <v>0</v>
      </c>
      <c r="AI93" s="46">
        <f t="shared" si="60"/>
        <v>-47000</v>
      </c>
      <c r="AJ93" s="46">
        <f>IF(E93&gt;Mat_Year,0,  -SUM($AD$5:AD93))</f>
        <v>-9306</v>
      </c>
      <c r="AK93" s="24">
        <f t="shared" si="86"/>
        <v>-0.29227859537425427</v>
      </c>
      <c r="AL93" s="79">
        <f t="shared" si="87"/>
        <v>-59.053673640113068</v>
      </c>
      <c r="AM93" s="24">
        <f t="shared" si="88"/>
        <v>-62.250935840852534</v>
      </c>
      <c r="AN93" s="79">
        <f t="shared" si="89"/>
        <v>-59.345952235487324</v>
      </c>
      <c r="AO93" s="15">
        <f t="shared" si="90"/>
        <v>-8601.0128994295883</v>
      </c>
      <c r="AP93" s="46">
        <f>SUMPRODUCT(AN94:AN$605, $I94:$I$605) / $I93</f>
        <v>-8199.6405967503961</v>
      </c>
      <c r="AR93" s="46">
        <v>0</v>
      </c>
      <c r="AS93" s="46">
        <v>0</v>
      </c>
      <c r="AT93" s="46">
        <v>0</v>
      </c>
      <c r="AU93" s="95">
        <f t="shared" si="61"/>
        <v>-2.0649103970552645</v>
      </c>
      <c r="AV93" s="47">
        <f t="shared" si="62"/>
        <v>0.1</v>
      </c>
      <c r="AW93" s="96">
        <f t="shared" si="91"/>
        <v>-2.2714014367607911</v>
      </c>
      <c r="AX93" s="95">
        <f t="shared" si="63"/>
        <v>-23.677639219567027</v>
      </c>
      <c r="AY93" s="11">
        <f t="shared" si="64"/>
        <v>0.1</v>
      </c>
      <c r="AZ93" s="96">
        <f t="shared" si="92"/>
        <v>-26.045403141523732</v>
      </c>
      <c r="BA93" s="95">
        <f t="shared" si="93"/>
        <v>-2.1654048947672351</v>
      </c>
      <c r="BB93" s="64">
        <f t="shared" si="94"/>
        <v>-3.3543059075995585E-2</v>
      </c>
      <c r="BC93" s="95">
        <f t="shared" si="106"/>
        <v>-2.2714014367607911</v>
      </c>
      <c r="BD93" s="96">
        <f t="shared" si="106"/>
        <v>-3.5184991390147517E-2</v>
      </c>
      <c r="BE93" s="96">
        <f t="shared" si="95"/>
        <v>-2.1654048947672351</v>
      </c>
      <c r="BF93" s="96">
        <f t="shared" si="96"/>
        <v>-3.3543059075995585E-2</v>
      </c>
      <c r="BG93" s="15">
        <f t="shared" si="97"/>
        <v>-273.91948056256598</v>
      </c>
      <c r="BH93" s="46">
        <f>(SUMPRODUCT(BE94:BE$605,$I93:$I$604)+SUMPRODUCT(BF94:BF$605,$I94:$I$605)) / $I93</f>
        <v>-261.13683578018498</v>
      </c>
      <c r="BJ93" s="46">
        <f t="shared" si="98"/>
        <v>-2.1654048947672351</v>
      </c>
      <c r="BK93" s="46">
        <f t="shared" si="99"/>
        <v>-59.37949529456332</v>
      </c>
      <c r="BM93" s="49">
        <f t="shared" si="65"/>
        <v>8886.9378317563642</v>
      </c>
      <c r="BN93" s="50">
        <f t="shared" si="100"/>
        <v>8460.7774325305763</v>
      </c>
      <c r="BP93" s="68">
        <f>INDEX(Others!$H$11:$I$60, MATCH(C93, Others!$A$11:$A$60, 0), MATCH(BP$3, Others!$H$10:$I$10, 0))</f>
        <v>3.4880374962733052E-2</v>
      </c>
      <c r="BQ93" s="16">
        <f t="shared" si="101"/>
        <v>2.8612389103552793E-3</v>
      </c>
      <c r="BR93" s="69">
        <f t="shared" si="102"/>
        <v>0.82491502069933087</v>
      </c>
      <c r="BT93" s="46">
        <f t="shared" si="103"/>
        <v>8929.7305228735095</v>
      </c>
      <c r="BU93" s="49">
        <f t="shared" si="66"/>
        <v>492.57376087733553</v>
      </c>
      <c r="BV93" s="46">
        <f t="shared" si="104"/>
        <v>468.95309034293314</v>
      </c>
      <c r="BX93" s="46">
        <f t="shared" si="105"/>
        <v>9379.5115926337003</v>
      </c>
    </row>
    <row r="94" spans="1:76" x14ac:dyDescent="0.25">
      <c r="A94" s="61">
        <f t="shared" si="55"/>
        <v>7.4166666666666572</v>
      </c>
      <c r="B94" s="32">
        <f t="shared" si="67"/>
        <v>5</v>
      </c>
      <c r="C94" s="62">
        <f t="shared" si="68"/>
        <v>8</v>
      </c>
      <c r="D94" s="64">
        <f t="shared" si="69"/>
        <v>7.9166666666666572</v>
      </c>
      <c r="E94" s="28">
        <f t="shared" si="70"/>
        <v>7</v>
      </c>
      <c r="G94" s="68">
        <f>INDEX(Others!$D$11:$E$60, MATCH(C94, Others!$A$11:$A$60, 0), MATCH(G$3, Others!$D$10:$E$10, 0))</f>
        <v>4.6507166616977402E-2</v>
      </c>
      <c r="H94" s="16">
        <f t="shared" si="71"/>
        <v>3.7953601286573324E-3</v>
      </c>
      <c r="I94" s="69">
        <f t="shared" si="72"/>
        <v>0.77160418858802104</v>
      </c>
      <c r="K94" s="80">
        <f>INDEX(Mortality!$B$7:$F$32, MATCH( E94,Mortality!$A$7:$A$32, 0), MATCH( K$3,Mortality!$B$6:$F$6,0))</f>
        <v>0.34400000000000003</v>
      </c>
      <c r="L94" s="11" cm="1">
        <f t="array" ref="L94">PAD_Res_Mort</f>
        <v>0.15</v>
      </c>
      <c r="M94" s="80">
        <f t="shared" si="73"/>
        <v>0.39560000000000001</v>
      </c>
      <c r="N94" s="76">
        <f>INDEX('Myopia_(Reserve)'!$H:$H, MATCH(E94, 'Myopia_(Reserve)'!$A:$A, 0)) * Trend_Factor_Reserve^(A94)</f>
        <v>12.16603036559686</v>
      </c>
      <c r="O94" s="11">
        <f t="shared" si="56"/>
        <v>0.3</v>
      </c>
      <c r="P94" s="80">
        <f t="shared" si="74"/>
        <v>15.815839475275919</v>
      </c>
      <c r="Q94" s="76">
        <f>VLOOKUP(C94,Others!$L$10:$M$61,2)</f>
        <v>0</v>
      </c>
      <c r="R94" s="11">
        <f t="shared" si="57"/>
        <v>0</v>
      </c>
      <c r="S94" s="80">
        <f t="shared" si="75"/>
        <v>0</v>
      </c>
      <c r="T94" s="78">
        <f t="shared" si="76"/>
        <v>3.2966666666666671E-5</v>
      </c>
      <c r="U94" s="81">
        <f t="shared" si="77"/>
        <v>1.3179866229396599E-3</v>
      </c>
      <c r="V94" s="81">
        <f t="shared" si="78"/>
        <v>0</v>
      </c>
      <c r="W94" s="77">
        <f t="shared" si="58"/>
        <v>0.95204642956959173</v>
      </c>
      <c r="X94" s="82">
        <f t="shared" si="79"/>
        <v>3.1365114264318455E-5</v>
      </c>
      <c r="Y94" s="82">
        <f t="shared" si="80"/>
        <v>1.2547637755596945E-3</v>
      </c>
      <c r="Z94" s="82">
        <f t="shared" si="81"/>
        <v>0</v>
      </c>
      <c r="AA94" s="82">
        <f t="shared" si="82"/>
        <v>0.95076030067976769</v>
      </c>
      <c r="AC94" s="46">
        <f t="shared" si="59"/>
        <v>0</v>
      </c>
      <c r="AD94" s="15">
        <f t="shared" si="83"/>
        <v>0</v>
      </c>
      <c r="AE94" s="46">
        <f t="shared" si="84"/>
        <v>0</v>
      </c>
      <c r="AF94" s="15">
        <f t="shared" si="85"/>
        <v>0</v>
      </c>
      <c r="AG94" s="46">
        <f>SUMPRODUCT(AE95:AE$605, $I94:$I$604) / $I94</f>
        <v>0</v>
      </c>
      <c r="AI94" s="46">
        <f t="shared" si="60"/>
        <v>-47000</v>
      </c>
      <c r="AJ94" s="46">
        <f>IF(E94&gt;Mat_Year,0,  -SUM($AD$5:AD94))</f>
        <v>-9306</v>
      </c>
      <c r="AK94" s="24">
        <f t="shared" si="86"/>
        <v>-0.29188375334374755</v>
      </c>
      <c r="AL94" s="79">
        <f t="shared" si="87"/>
        <v>-58.973897451305639</v>
      </c>
      <c r="AM94" s="24">
        <f t="shared" si="88"/>
        <v>-62.250935840852534</v>
      </c>
      <c r="AN94" s="79">
        <f t="shared" si="89"/>
        <v>-59.265781204649386</v>
      </c>
      <c r="AO94" s="15">
        <f t="shared" si="90"/>
        <v>-8583.0849743643321</v>
      </c>
      <c r="AP94" s="46">
        <f>SUMPRODUCT(AN95:AN$605, $I95:$I$605) / $I94</f>
        <v>-8171.4954045359736</v>
      </c>
      <c r="AR94" s="46">
        <v>0</v>
      </c>
      <c r="AS94" s="46">
        <v>0</v>
      </c>
      <c r="AT94" s="46">
        <v>0</v>
      </c>
      <c r="AU94" s="95">
        <f t="shared" si="61"/>
        <v>-2.0689112679305688</v>
      </c>
      <c r="AV94" s="47">
        <f t="shared" si="62"/>
        <v>0.1</v>
      </c>
      <c r="AW94" s="96">
        <f t="shared" si="91"/>
        <v>-2.2758023947236259</v>
      </c>
      <c r="AX94" s="95">
        <f t="shared" si="63"/>
        <v>-23.723515872270518</v>
      </c>
      <c r="AY94" s="11">
        <f t="shared" si="64"/>
        <v>0.1</v>
      </c>
      <c r="AZ94" s="96">
        <f t="shared" si="92"/>
        <v>-26.095867459497573</v>
      </c>
      <c r="BA94" s="95">
        <f t="shared" si="93"/>
        <v>-2.1666695443025548</v>
      </c>
      <c r="BB94" s="64">
        <f t="shared" si="94"/>
        <v>-3.3562649044678199E-2</v>
      </c>
      <c r="BC94" s="95">
        <f t="shared" si="106"/>
        <v>-2.2758023947236259</v>
      </c>
      <c r="BD94" s="96">
        <f t="shared" si="106"/>
        <v>-3.5253164133866297E-2</v>
      </c>
      <c r="BE94" s="96">
        <f t="shared" si="95"/>
        <v>-2.1666695443025548</v>
      </c>
      <c r="BF94" s="96">
        <f t="shared" si="96"/>
        <v>-3.3562649044678199E-2</v>
      </c>
      <c r="BG94" s="15">
        <f t="shared" si="97"/>
        <v>-273.01135801516273</v>
      </c>
      <c r="BH94" s="46">
        <f>(SUMPRODUCT(BE95:BE$605,$I94:$I$604)+SUMPRODUCT(BF95:BF$605,$I95:$I$605)) / $I94</f>
        <v>-259.91948863028119</v>
      </c>
      <c r="BJ94" s="46">
        <f t="shared" si="98"/>
        <v>-2.1666695443025548</v>
      </c>
      <c r="BK94" s="46">
        <f t="shared" si="99"/>
        <v>-59.299343853694062</v>
      </c>
      <c r="BM94" s="49">
        <f t="shared" si="65"/>
        <v>8868.0763039201556</v>
      </c>
      <c r="BN94" s="50">
        <f t="shared" si="100"/>
        <v>8431.4148931662494</v>
      </c>
      <c r="BP94" s="68">
        <f>INDEX(Others!$H$11:$I$60, MATCH(C94, Others!$A$11:$A$60, 0), MATCH(BP$3, Others!$H$10:$I$10, 0))</f>
        <v>3.4880374962733052E-2</v>
      </c>
      <c r="BQ94" s="16">
        <f t="shared" si="101"/>
        <v>2.8612389103552793E-3</v>
      </c>
      <c r="BR94" s="69">
        <f t="shared" si="102"/>
        <v>0.8225614757986166</v>
      </c>
      <c r="BT94" s="46">
        <f t="shared" si="103"/>
        <v>8893.8084025473399</v>
      </c>
      <c r="BU94" s="49">
        <f t="shared" si="66"/>
        <v>486.34078331887838</v>
      </c>
      <c r="BV94" s="46">
        <f t="shared" si="104"/>
        <v>462.39350938109055</v>
      </c>
      <c r="BX94" s="46">
        <f t="shared" si="105"/>
        <v>9354.4170872390332</v>
      </c>
    </row>
    <row r="95" spans="1:76" x14ac:dyDescent="0.25">
      <c r="A95" s="61">
        <f t="shared" si="55"/>
        <v>7.4999999999999902</v>
      </c>
      <c r="B95" s="32">
        <f t="shared" si="67"/>
        <v>6</v>
      </c>
      <c r="C95" s="62">
        <f t="shared" si="68"/>
        <v>8</v>
      </c>
      <c r="D95" s="64">
        <f t="shared" si="69"/>
        <v>7.9999999999999902</v>
      </c>
      <c r="E95" s="28">
        <f t="shared" si="70"/>
        <v>8</v>
      </c>
      <c r="G95" s="68">
        <f>INDEX(Others!$D$11:$E$60, MATCH(C95, Others!$A$11:$A$60, 0), MATCH(G$3, Others!$D$10:$E$10, 0))</f>
        <v>4.6507166616977402E-2</v>
      </c>
      <c r="H95" s="16">
        <f t="shared" si="71"/>
        <v>3.7953601286573324E-3</v>
      </c>
      <c r="I95" s="69">
        <f t="shared" si="72"/>
        <v>0.76868674556248584</v>
      </c>
      <c r="K95" s="80">
        <f>INDEX(Mortality!$B$7:$F$32, MATCH( E95,Mortality!$A$7:$A$32, 0), MATCH( K$3,Mortality!$B$6:$F$6,0))</f>
        <v>0.34799999999999998</v>
      </c>
      <c r="L95" s="11" cm="1">
        <f t="array" ref="L95">PAD_Res_Mort</f>
        <v>0.15</v>
      </c>
      <c r="M95" s="80">
        <f t="shared" si="73"/>
        <v>0.40019999999999994</v>
      </c>
      <c r="N95" s="76">
        <f>INDEX('Myopia_(Reserve)'!$H:$H, MATCH(E95, 'Myopia_(Reserve)'!$A:$A, 0)) * Trend_Factor_Reserve^(A95)</f>
        <v>12.019797148499897</v>
      </c>
      <c r="O95" s="11">
        <f t="shared" si="56"/>
        <v>0.3</v>
      </c>
      <c r="P95" s="80">
        <f t="shared" si="74"/>
        <v>15.625736293049867</v>
      </c>
      <c r="Q95" s="76">
        <f>VLOOKUP(C95,Others!$L$10:$M$61,2)</f>
        <v>0</v>
      </c>
      <c r="R95" s="11">
        <f t="shared" si="57"/>
        <v>0</v>
      </c>
      <c r="S95" s="80">
        <f t="shared" si="75"/>
        <v>0</v>
      </c>
      <c r="T95" s="78">
        <f t="shared" si="76"/>
        <v>3.3349999999999997E-5</v>
      </c>
      <c r="U95" s="81">
        <f t="shared" si="77"/>
        <v>1.302144691087489E-3</v>
      </c>
      <c r="V95" s="81">
        <f t="shared" si="78"/>
        <v>0</v>
      </c>
      <c r="W95" s="77">
        <f t="shared" si="58"/>
        <v>0.95076030067976769</v>
      </c>
      <c r="X95" s="82">
        <f t="shared" si="79"/>
        <v>3.1687211919474153E-5</v>
      </c>
      <c r="Y95" s="82">
        <f t="shared" si="80"/>
        <v>1.2380068339187082E-3</v>
      </c>
      <c r="Z95" s="82">
        <f t="shared" si="81"/>
        <v>0</v>
      </c>
      <c r="AA95" s="82">
        <f t="shared" si="82"/>
        <v>0.94949060663392948</v>
      </c>
      <c r="AC95" s="46">
        <f t="shared" si="59"/>
        <v>0</v>
      </c>
      <c r="AD95" s="15">
        <f t="shared" si="83"/>
        <v>0</v>
      </c>
      <c r="AE95" s="46">
        <f t="shared" si="84"/>
        <v>0</v>
      </c>
      <c r="AF95" s="15">
        <f t="shared" si="85"/>
        <v>0</v>
      </c>
      <c r="AG95" s="46">
        <f>SUMPRODUCT(AE96:AE$605, $I95:$I$604) / $I95</f>
        <v>0</v>
      </c>
      <c r="AI95" s="46">
        <f t="shared" si="60"/>
        <v>-47000</v>
      </c>
      <c r="AJ95" s="46">
        <f>IF(E95&gt;Mat_Year,0,  -SUM($AD$5:AD95))</f>
        <v>-9306</v>
      </c>
      <c r="AK95" s="24">
        <f t="shared" si="86"/>
        <v>-0.29488119412262648</v>
      </c>
      <c r="AL95" s="79">
        <f t="shared" si="87"/>
        <v>-58.186321194179285</v>
      </c>
      <c r="AM95" s="24">
        <f t="shared" si="88"/>
        <v>-61.509932994141053</v>
      </c>
      <c r="AN95" s="79">
        <f t="shared" si="89"/>
        <v>-58.481202388301909</v>
      </c>
      <c r="AO95" s="15">
        <f t="shared" si="90"/>
        <v>-8565.8056653972581</v>
      </c>
      <c r="AP95" s="46">
        <f>SUMPRODUCT(AN96:AN$605, $I96:$I$605) / $I95</f>
        <v>-8144.0279699975554</v>
      </c>
      <c r="AR95" s="46">
        <v>0</v>
      </c>
      <c r="AS95" s="46">
        <v>0</v>
      </c>
      <c r="AT95" s="46">
        <v>0</v>
      </c>
      <c r="AU95" s="95">
        <f t="shared" si="61"/>
        <v>-2.0729198907004758</v>
      </c>
      <c r="AV95" s="47">
        <f t="shared" si="62"/>
        <v>0.1</v>
      </c>
      <c r="AW95" s="96">
        <f t="shared" si="91"/>
        <v>-2.2802118797705235</v>
      </c>
      <c r="AX95" s="95">
        <f t="shared" si="63"/>
        <v>-23.769481413365451</v>
      </c>
      <c r="AY95" s="11">
        <f t="shared" si="64"/>
        <v>0.1</v>
      </c>
      <c r="AZ95" s="96">
        <f t="shared" si="92"/>
        <v>-26.146429554701999</v>
      </c>
      <c r="BA95" s="95">
        <f t="shared" si="93"/>
        <v>-2.1679349324242012</v>
      </c>
      <c r="BB95" s="64">
        <f t="shared" si="94"/>
        <v>-3.3197965925532612E-2</v>
      </c>
      <c r="BC95" s="95">
        <f t="shared" si="106"/>
        <v>-2.2802118797705235</v>
      </c>
      <c r="BD95" s="96">
        <f t="shared" si="106"/>
        <v>-3.4917282412609121E-2</v>
      </c>
      <c r="BE95" s="96">
        <f t="shared" si="95"/>
        <v>-2.1679349324242012</v>
      </c>
      <c r="BF95" s="96">
        <f t="shared" si="96"/>
        <v>-3.3197965925532612E-2</v>
      </c>
      <c r="BG95" s="15">
        <f t="shared" si="97"/>
        <v>-272.09446536311486</v>
      </c>
      <c r="BH95" s="46">
        <f>(SUMPRODUCT(BE96:BE$605,$I95:$I$604)+SUMPRODUCT(BF96:BF$605,$I96:$I$605)) / $I95</f>
        <v>-258.69661570193574</v>
      </c>
      <c r="BJ95" s="46">
        <f t="shared" si="98"/>
        <v>-2.1679349324242012</v>
      </c>
      <c r="BK95" s="46">
        <f t="shared" si="99"/>
        <v>-58.51440035422744</v>
      </c>
      <c r="BM95" s="49">
        <f t="shared" si="65"/>
        <v>8849.7184985202348</v>
      </c>
      <c r="BN95" s="50">
        <f t="shared" si="100"/>
        <v>8402.724585699485</v>
      </c>
      <c r="BP95" s="68">
        <f>INDEX(Others!$H$11:$I$60, MATCH(C95, Others!$A$11:$A$60, 0), MATCH(BP$3, Others!$H$10:$I$10, 0))</f>
        <v>3.4880374962733052E-2</v>
      </c>
      <c r="BQ95" s="16">
        <f t="shared" si="101"/>
        <v>2.8612389103552793E-3</v>
      </c>
      <c r="BR95" s="69">
        <f t="shared" si="102"/>
        <v>0.82021464573938385</v>
      </c>
      <c r="BT95" s="46">
        <f t="shared" si="103"/>
        <v>8858.5671749435187</v>
      </c>
      <c r="BU95" s="49">
        <f t="shared" si="66"/>
        <v>480.09173135483275</v>
      </c>
      <c r="BV95" s="46">
        <f t="shared" si="104"/>
        <v>455.84258924403366</v>
      </c>
      <c r="BX95" s="46">
        <f t="shared" si="105"/>
        <v>9329.8102298750673</v>
      </c>
    </row>
    <row r="96" spans="1:76" x14ac:dyDescent="0.25">
      <c r="A96" s="61">
        <f t="shared" si="55"/>
        <v>7.5833333333333233</v>
      </c>
      <c r="B96" s="32">
        <f t="shared" si="67"/>
        <v>7</v>
      </c>
      <c r="C96" s="62">
        <f t="shared" si="68"/>
        <v>8</v>
      </c>
      <c r="D96" s="64">
        <f t="shared" si="69"/>
        <v>8.0833333333333233</v>
      </c>
      <c r="E96" s="28">
        <f t="shared" si="70"/>
        <v>8</v>
      </c>
      <c r="G96" s="68">
        <f>INDEX(Others!$D$11:$E$60, MATCH(C96, Others!$A$11:$A$60, 0), MATCH(G$3, Others!$D$10:$E$10, 0))</f>
        <v>4.6507166616977402E-2</v>
      </c>
      <c r="H96" s="16">
        <f t="shared" si="71"/>
        <v>3.7953601286573324E-3</v>
      </c>
      <c r="I96" s="69">
        <f t="shared" si="72"/>
        <v>0.76578033341772234</v>
      </c>
      <c r="K96" s="80">
        <f>INDEX(Mortality!$B$7:$F$32, MATCH( E96,Mortality!$A$7:$A$32, 0), MATCH( K$3,Mortality!$B$6:$F$6,0))</f>
        <v>0.34799999999999998</v>
      </c>
      <c r="L96" s="11" cm="1">
        <f t="array" ref="L96">PAD_Res_Mort</f>
        <v>0.15</v>
      </c>
      <c r="M96" s="80">
        <f t="shared" si="73"/>
        <v>0.40019999999999994</v>
      </c>
      <c r="N96" s="76">
        <f>INDEX('Myopia_(Reserve)'!$H:$H, MATCH(E96, 'Myopia_(Reserve)'!$A:$A, 0)) * Trend_Factor_Reserve^(A96)</f>
        <v>12.019797148499897</v>
      </c>
      <c r="O96" s="11">
        <f t="shared" si="56"/>
        <v>0.3</v>
      </c>
      <c r="P96" s="80">
        <f t="shared" si="74"/>
        <v>15.625736293049867</v>
      </c>
      <c r="Q96" s="76">
        <f>VLOOKUP(C96,Others!$L$10:$M$61,2)</f>
        <v>0</v>
      </c>
      <c r="R96" s="11">
        <f t="shared" si="57"/>
        <v>0</v>
      </c>
      <c r="S96" s="80">
        <f t="shared" si="75"/>
        <v>0</v>
      </c>
      <c r="T96" s="78">
        <f t="shared" si="76"/>
        <v>3.3349999999999997E-5</v>
      </c>
      <c r="U96" s="81">
        <f t="shared" si="77"/>
        <v>1.302144691087489E-3</v>
      </c>
      <c r="V96" s="81">
        <f t="shared" si="78"/>
        <v>0</v>
      </c>
      <c r="W96" s="77">
        <f t="shared" si="58"/>
        <v>0.94949060663392948</v>
      </c>
      <c r="X96" s="82">
        <f t="shared" si="79"/>
        <v>3.1644895192245842E-5</v>
      </c>
      <c r="Y96" s="82">
        <f t="shared" si="80"/>
        <v>1.236353536126815E-3</v>
      </c>
      <c r="Z96" s="82">
        <f t="shared" si="81"/>
        <v>0</v>
      </c>
      <c r="AA96" s="82">
        <f t="shared" si="82"/>
        <v>0.9482226082026104</v>
      </c>
      <c r="AC96" s="46">
        <f t="shared" si="59"/>
        <v>0</v>
      </c>
      <c r="AD96" s="15">
        <f t="shared" si="83"/>
        <v>0</v>
      </c>
      <c r="AE96" s="46">
        <f t="shared" si="84"/>
        <v>0</v>
      </c>
      <c r="AF96" s="15">
        <f t="shared" si="85"/>
        <v>0</v>
      </c>
      <c r="AG96" s="46">
        <f>SUMPRODUCT(AE97:AE$605, $I96:$I$604) / $I96</f>
        <v>0</v>
      </c>
      <c r="AI96" s="46">
        <f t="shared" si="60"/>
        <v>-47000</v>
      </c>
      <c r="AJ96" s="46">
        <f>IF(E96&gt;Mat_Year,0,  -SUM($AD$5:AD96))</f>
        <v>-9306</v>
      </c>
      <c r="AK96" s="24">
        <f t="shared" si="86"/>
        <v>-0.29448739465903984</v>
      </c>
      <c r="AL96" s="79">
        <f t="shared" si="87"/>
        <v>-58.108616197960302</v>
      </c>
      <c r="AM96" s="24">
        <f t="shared" si="88"/>
        <v>-61.509932994141053</v>
      </c>
      <c r="AN96" s="79">
        <f t="shared" si="89"/>
        <v>-58.403103592619345</v>
      </c>
      <c r="AO96" s="15">
        <f t="shared" si="90"/>
        <v>-8548.3040366487967</v>
      </c>
      <c r="AP96" s="46">
        <f>SUMPRODUCT(AN97:AN$605, $I97:$I$605) / $I96</f>
        <v>-8116.5343854489338</v>
      </c>
      <c r="AR96" s="46">
        <v>0</v>
      </c>
      <c r="AS96" s="46">
        <v>0</v>
      </c>
      <c r="AT96" s="46">
        <v>0</v>
      </c>
      <c r="AU96" s="95">
        <f t="shared" si="61"/>
        <v>-2.0769362803846816</v>
      </c>
      <c r="AV96" s="47">
        <f t="shared" si="62"/>
        <v>0.1</v>
      </c>
      <c r="AW96" s="96">
        <f t="shared" si="91"/>
        <v>-2.2846299084231498</v>
      </c>
      <c r="AX96" s="95">
        <f t="shared" si="63"/>
        <v>-23.815536015077679</v>
      </c>
      <c r="AY96" s="11">
        <f t="shared" si="64"/>
        <v>0.1</v>
      </c>
      <c r="AZ96" s="96">
        <f t="shared" si="92"/>
        <v>-26.197089616585448</v>
      </c>
      <c r="BA96" s="95">
        <f t="shared" si="93"/>
        <v>-2.1692346376827154</v>
      </c>
      <c r="BB96" s="64">
        <f t="shared" si="94"/>
        <v>-3.3217868538955204E-2</v>
      </c>
      <c r="BC96" s="95">
        <f t="shared" si="106"/>
        <v>-2.2846299084231498</v>
      </c>
      <c r="BD96" s="96">
        <f t="shared" si="106"/>
        <v>-3.4984936456314154E-2</v>
      </c>
      <c r="BE96" s="96">
        <f t="shared" si="95"/>
        <v>-2.1692346376827154</v>
      </c>
      <c r="BF96" s="96">
        <f t="shared" si="96"/>
        <v>-3.3217868538955204E-2</v>
      </c>
      <c r="BG96" s="15">
        <f t="shared" si="97"/>
        <v>-271.16411177828473</v>
      </c>
      <c r="BH96" s="46">
        <f>(SUMPRODUCT(BE97:BE$605,$I96:$I$604)+SUMPRODUCT(BF97:BF$605,$I97:$I$605)) / $I96</f>
        <v>-257.46777698971425</v>
      </c>
      <c r="BJ96" s="46">
        <f t="shared" si="98"/>
        <v>-2.1692346376827154</v>
      </c>
      <c r="BK96" s="46">
        <f t="shared" si="99"/>
        <v>-58.4363214611583</v>
      </c>
      <c r="BM96" s="49">
        <f t="shared" si="65"/>
        <v>8831.2618682567172</v>
      </c>
      <c r="BN96" s="50">
        <f t="shared" si="100"/>
        <v>8374.0021624386427</v>
      </c>
      <c r="BP96" s="68">
        <f>INDEX(Others!$H$11:$I$60, MATCH(C96, Others!$A$11:$A$60, 0), MATCH(BP$3, Others!$H$10:$I$10, 0))</f>
        <v>3.4880374962733052E-2</v>
      </c>
      <c r="BQ96" s="16">
        <f t="shared" si="101"/>
        <v>2.8612389103552793E-3</v>
      </c>
      <c r="BR96" s="69">
        <f t="shared" si="102"/>
        <v>0.81787451136368228</v>
      </c>
      <c r="BT96" s="46">
        <f t="shared" si="103"/>
        <v>8823.301889237071</v>
      </c>
      <c r="BU96" s="49">
        <f t="shared" si="66"/>
        <v>473.83359446585217</v>
      </c>
      <c r="BV96" s="46">
        <f t="shared" si="104"/>
        <v>449.29972679842831</v>
      </c>
      <c r="BX96" s="46">
        <f t="shared" si="105"/>
        <v>9305.0954627225692</v>
      </c>
    </row>
    <row r="97" spans="1:76" x14ac:dyDescent="0.25">
      <c r="A97" s="61">
        <f t="shared" si="55"/>
        <v>7.6666666666666563</v>
      </c>
      <c r="B97" s="32">
        <f t="shared" si="67"/>
        <v>8</v>
      </c>
      <c r="C97" s="62">
        <f t="shared" si="68"/>
        <v>8</v>
      </c>
      <c r="D97" s="64">
        <f t="shared" si="69"/>
        <v>8.1666666666666572</v>
      </c>
      <c r="E97" s="28">
        <f t="shared" si="70"/>
        <v>8</v>
      </c>
      <c r="G97" s="68">
        <f>INDEX(Others!$D$11:$E$60, MATCH(C97, Others!$A$11:$A$60, 0), MATCH(G$3, Others!$D$10:$E$10, 0))</f>
        <v>4.6507166616977402E-2</v>
      </c>
      <c r="H97" s="16">
        <f t="shared" si="71"/>
        <v>3.7953601286573324E-3</v>
      </c>
      <c r="I97" s="69">
        <f t="shared" si="72"/>
        <v>0.76288491044586182</v>
      </c>
      <c r="K97" s="80">
        <f>INDEX(Mortality!$B$7:$F$32, MATCH( E97,Mortality!$A$7:$A$32, 0), MATCH( K$3,Mortality!$B$6:$F$6,0))</f>
        <v>0.34799999999999998</v>
      </c>
      <c r="L97" s="11" cm="1">
        <f t="array" ref="L97">PAD_Res_Mort</f>
        <v>0.15</v>
      </c>
      <c r="M97" s="80">
        <f t="shared" si="73"/>
        <v>0.40019999999999994</v>
      </c>
      <c r="N97" s="76">
        <f>INDEX('Myopia_(Reserve)'!$H:$H, MATCH(E97, 'Myopia_(Reserve)'!$A:$A, 0)) * Trend_Factor_Reserve^(A97)</f>
        <v>12.019797148499897</v>
      </c>
      <c r="O97" s="11">
        <f t="shared" si="56"/>
        <v>0.3</v>
      </c>
      <c r="P97" s="80">
        <f t="shared" si="74"/>
        <v>15.625736293049867</v>
      </c>
      <c r="Q97" s="76">
        <f>VLOOKUP(C97,Others!$L$10:$M$61,2)</f>
        <v>0</v>
      </c>
      <c r="R97" s="11">
        <f t="shared" si="57"/>
        <v>0</v>
      </c>
      <c r="S97" s="80">
        <f t="shared" si="75"/>
        <v>0</v>
      </c>
      <c r="T97" s="78">
        <f t="shared" si="76"/>
        <v>3.3349999999999997E-5</v>
      </c>
      <c r="U97" s="81">
        <f t="shared" si="77"/>
        <v>1.302144691087489E-3</v>
      </c>
      <c r="V97" s="81">
        <f t="shared" si="78"/>
        <v>0</v>
      </c>
      <c r="W97" s="77">
        <f t="shared" si="58"/>
        <v>0.9482226082026104</v>
      </c>
      <c r="X97" s="82">
        <f t="shared" si="79"/>
        <v>3.1602634976944424E-5</v>
      </c>
      <c r="Y97" s="82">
        <f t="shared" si="80"/>
        <v>1.2347024462335484E-3</v>
      </c>
      <c r="Z97" s="82">
        <f t="shared" si="81"/>
        <v>0</v>
      </c>
      <c r="AA97" s="82">
        <f t="shared" si="82"/>
        <v>0.94695630312139989</v>
      </c>
      <c r="AC97" s="46">
        <f t="shared" si="59"/>
        <v>0</v>
      </c>
      <c r="AD97" s="15">
        <f t="shared" si="83"/>
        <v>0</v>
      </c>
      <c r="AE97" s="46">
        <f t="shared" si="84"/>
        <v>0</v>
      </c>
      <c r="AF97" s="15">
        <f t="shared" si="85"/>
        <v>0</v>
      </c>
      <c r="AG97" s="46">
        <f>SUMPRODUCT(AE98:AE$605, $I97:$I$604) / $I97</f>
        <v>0</v>
      </c>
      <c r="AI97" s="46">
        <f t="shared" si="60"/>
        <v>-47000</v>
      </c>
      <c r="AJ97" s="46">
        <f>IF(E97&gt;Mat_Year,0,  -SUM($AD$5:AD97))</f>
        <v>-9306</v>
      </c>
      <c r="AK97" s="24">
        <f t="shared" si="86"/>
        <v>-0.2940941210954448</v>
      </c>
      <c r="AL97" s="79">
        <f t="shared" si="87"/>
        <v>-58.031014972976777</v>
      </c>
      <c r="AM97" s="24">
        <f t="shared" si="88"/>
        <v>-61.509932994141046</v>
      </c>
      <c r="AN97" s="79">
        <f t="shared" si="89"/>
        <v>-58.325109094072225</v>
      </c>
      <c r="AO97" s="15">
        <f t="shared" si="90"/>
        <v>-8530.7124902635314</v>
      </c>
      <c r="AP97" s="46">
        <f>SUMPRODUCT(AN98:AN$605, $I98:$I$605) / $I97</f>
        <v>-8089.0144473442706</v>
      </c>
      <c r="AR97" s="46">
        <v>0</v>
      </c>
      <c r="AS97" s="46">
        <v>0</v>
      </c>
      <c r="AT97" s="46">
        <v>0</v>
      </c>
      <c r="AU97" s="95">
        <f t="shared" si="61"/>
        <v>-2.0809604520319867</v>
      </c>
      <c r="AV97" s="47">
        <f t="shared" si="62"/>
        <v>0.1</v>
      </c>
      <c r="AW97" s="96">
        <f t="shared" si="91"/>
        <v>-2.2890564972351855</v>
      </c>
      <c r="AX97" s="95">
        <f t="shared" si="63"/>
        <v>-23.861679849966777</v>
      </c>
      <c r="AY97" s="11">
        <f t="shared" si="64"/>
        <v>0.1</v>
      </c>
      <c r="AZ97" s="96">
        <f t="shared" si="92"/>
        <v>-26.247847834963455</v>
      </c>
      <c r="BA97" s="95">
        <f t="shared" si="93"/>
        <v>-2.1705351221314788</v>
      </c>
      <c r="BB97" s="64">
        <f t="shared" si="94"/>
        <v>-3.3237783084254055E-2</v>
      </c>
      <c r="BC97" s="95">
        <f t="shared" si="106"/>
        <v>-2.2890564972351855</v>
      </c>
      <c r="BD97" s="96">
        <f t="shared" si="106"/>
        <v>-3.5052721583233977E-2</v>
      </c>
      <c r="BE97" s="96">
        <f t="shared" si="95"/>
        <v>-2.1705351221314788</v>
      </c>
      <c r="BF97" s="96">
        <f t="shared" si="96"/>
        <v>-3.3237783084254055E-2</v>
      </c>
      <c r="BG97" s="15">
        <f t="shared" si="97"/>
        <v>-270.22446716698471</v>
      </c>
      <c r="BH97" s="46">
        <f>(SUMPRODUCT(BE98:BE$605,$I97:$I$604)+SUMPRODUCT(BF98:BF$605,$I98:$I$605)) / $I97</f>
        <v>-256.2329490572389</v>
      </c>
      <c r="BJ97" s="46">
        <f t="shared" si="98"/>
        <v>-2.1705351221314788</v>
      </c>
      <c r="BK97" s="46">
        <f t="shared" si="99"/>
        <v>-58.358346877156478</v>
      </c>
      <c r="BM97" s="49">
        <f t="shared" si="65"/>
        <v>8812.7058966644236</v>
      </c>
      <c r="BN97" s="50">
        <f t="shared" si="100"/>
        <v>8345.2473964015044</v>
      </c>
      <c r="BP97" s="68">
        <f>INDEX(Others!$H$11:$I$60, MATCH(C97, Others!$A$11:$A$60, 0), MATCH(BP$3, Others!$H$10:$I$10, 0))</f>
        <v>3.4880374962733052E-2</v>
      </c>
      <c r="BQ97" s="16">
        <f t="shared" si="101"/>
        <v>2.8612389103552793E-3</v>
      </c>
      <c r="BR97" s="69">
        <f t="shared" si="102"/>
        <v>0.81554105356822071</v>
      </c>
      <c r="BT97" s="46">
        <f t="shared" si="103"/>
        <v>8788.0123715015307</v>
      </c>
      <c r="BU97" s="49">
        <f t="shared" si="66"/>
        <v>467.56642692019102</v>
      </c>
      <c r="BV97" s="46">
        <f t="shared" si="104"/>
        <v>442.76497510002628</v>
      </c>
      <c r="BX97" s="46">
        <f t="shared" si="105"/>
        <v>9280.2723235846152</v>
      </c>
    </row>
    <row r="98" spans="1:76" x14ac:dyDescent="0.25">
      <c r="A98" s="61">
        <f t="shared" si="55"/>
        <v>7.7499999999999893</v>
      </c>
      <c r="B98" s="32">
        <f t="shared" si="67"/>
        <v>9</v>
      </c>
      <c r="C98" s="62">
        <f t="shared" si="68"/>
        <v>8</v>
      </c>
      <c r="D98" s="64">
        <f t="shared" si="69"/>
        <v>8.2499999999999893</v>
      </c>
      <c r="E98" s="28">
        <f t="shared" si="70"/>
        <v>8</v>
      </c>
      <c r="G98" s="68">
        <f>INDEX(Others!$D$11:$E$60, MATCH(C98, Others!$A$11:$A$60, 0), MATCH(G$3, Others!$D$10:$E$10, 0))</f>
        <v>4.6507166616977402E-2</v>
      </c>
      <c r="H98" s="16">
        <f t="shared" si="71"/>
        <v>3.7953601286573324E-3</v>
      </c>
      <c r="I98" s="69">
        <f t="shared" si="72"/>
        <v>0.76000043509673343</v>
      </c>
      <c r="K98" s="80">
        <f>INDEX(Mortality!$B$7:$F$32, MATCH( E98,Mortality!$A$7:$A$32, 0), MATCH( K$3,Mortality!$B$6:$F$6,0))</f>
        <v>0.34799999999999998</v>
      </c>
      <c r="L98" s="11" cm="1">
        <f t="array" ref="L98">PAD_Res_Mort</f>
        <v>0.15</v>
      </c>
      <c r="M98" s="80">
        <f t="shared" si="73"/>
        <v>0.40019999999999994</v>
      </c>
      <c r="N98" s="76">
        <f>INDEX('Myopia_(Reserve)'!$H:$H, MATCH(E98, 'Myopia_(Reserve)'!$A:$A, 0)) * Trend_Factor_Reserve^(A98)</f>
        <v>12.019797148499897</v>
      </c>
      <c r="O98" s="11">
        <f t="shared" si="56"/>
        <v>0.3</v>
      </c>
      <c r="P98" s="80">
        <f t="shared" si="74"/>
        <v>15.625736293049867</v>
      </c>
      <c r="Q98" s="76">
        <f>VLOOKUP(C98,Others!$L$10:$M$61,2)</f>
        <v>0</v>
      </c>
      <c r="R98" s="11">
        <f t="shared" si="57"/>
        <v>0</v>
      </c>
      <c r="S98" s="80">
        <f t="shared" si="75"/>
        <v>0</v>
      </c>
      <c r="T98" s="78">
        <f t="shared" si="76"/>
        <v>3.3349999999999997E-5</v>
      </c>
      <c r="U98" s="81">
        <f t="shared" si="77"/>
        <v>1.302144691087489E-3</v>
      </c>
      <c r="V98" s="81">
        <f t="shared" si="78"/>
        <v>0</v>
      </c>
      <c r="W98" s="77">
        <f t="shared" si="58"/>
        <v>0.94695630312139989</v>
      </c>
      <c r="X98" s="82">
        <f t="shared" si="79"/>
        <v>3.1560431198100971E-5</v>
      </c>
      <c r="Y98" s="82">
        <f t="shared" si="80"/>
        <v>1.2330535612903681E-3</v>
      </c>
      <c r="Z98" s="82">
        <f t="shared" si="81"/>
        <v>0</v>
      </c>
      <c r="AA98" s="82">
        <f t="shared" si="82"/>
        <v>0.94569168912891144</v>
      </c>
      <c r="AC98" s="46">
        <f t="shared" si="59"/>
        <v>0</v>
      </c>
      <c r="AD98" s="15">
        <f t="shared" si="83"/>
        <v>0</v>
      </c>
      <c r="AE98" s="46">
        <f t="shared" si="84"/>
        <v>0</v>
      </c>
      <c r="AF98" s="15">
        <f t="shared" si="85"/>
        <v>0</v>
      </c>
      <c r="AG98" s="46">
        <f>SUMPRODUCT(AE99:AE$605, $I98:$I$604) / $I98</f>
        <v>0</v>
      </c>
      <c r="AI98" s="46">
        <f t="shared" si="60"/>
        <v>-47000</v>
      </c>
      <c r="AJ98" s="46">
        <f>IF(E98&gt;Mat_Year,0,  -SUM($AD$5:AD98))</f>
        <v>-9306</v>
      </c>
      <c r="AK98" s="24">
        <f t="shared" si="86"/>
        <v>-0.29370137272952762</v>
      </c>
      <c r="AL98" s="79">
        <f t="shared" si="87"/>
        <v>-57.953517380647305</v>
      </c>
      <c r="AM98" s="24">
        <f t="shared" si="88"/>
        <v>-61.50993299414106</v>
      </c>
      <c r="AN98" s="79">
        <f t="shared" si="89"/>
        <v>-58.247218753376835</v>
      </c>
      <c r="AO98" s="15">
        <f t="shared" si="90"/>
        <v>-8513.0305642740914</v>
      </c>
      <c r="AP98" s="46">
        <f>SUMPRODUCT(AN99:AN$605, $I99:$I$605) / $I98</f>
        <v>-8061.4679515044782</v>
      </c>
      <c r="AR98" s="46">
        <v>0</v>
      </c>
      <c r="AS98" s="46">
        <v>0</v>
      </c>
      <c r="AT98" s="46">
        <v>0</v>
      </c>
      <c r="AU98" s="95">
        <f t="shared" si="61"/>
        <v>-2.0849924207203459</v>
      </c>
      <c r="AV98" s="47">
        <f t="shared" si="62"/>
        <v>0.1</v>
      </c>
      <c r="AW98" s="96">
        <f t="shared" si="91"/>
        <v>-2.2934916627923805</v>
      </c>
      <c r="AX98" s="95">
        <f t="shared" si="63"/>
        <v>-23.90791309092663</v>
      </c>
      <c r="AY98" s="11">
        <f t="shared" si="64"/>
        <v>0.1</v>
      </c>
      <c r="AZ98" s="96">
        <f t="shared" si="92"/>
        <v>-26.298704400019297</v>
      </c>
      <c r="BA98" s="95">
        <f t="shared" si="93"/>
        <v>-2.1718363862376249</v>
      </c>
      <c r="BB98" s="64">
        <f t="shared" si="94"/>
        <v>-3.3257709568582476E-2</v>
      </c>
      <c r="BC98" s="95">
        <f t="shared" si="106"/>
        <v>-2.2934916627923805</v>
      </c>
      <c r="BD98" s="96">
        <f t="shared" si="106"/>
        <v>-3.5120638047349093E-2</v>
      </c>
      <c r="BE98" s="96">
        <f t="shared" si="95"/>
        <v>-2.1718363862376249</v>
      </c>
      <c r="BF98" s="96">
        <f t="shared" si="96"/>
        <v>-3.3257709568582476E-2</v>
      </c>
      <c r="BG98" s="15">
        <f t="shared" si="97"/>
        <v>-269.27547505432949</v>
      </c>
      <c r="BH98" s="46">
        <f>(SUMPRODUCT(BE99:BE$605,$I98:$I$604)+SUMPRODUCT(BF99:BF$605,$I99:$I$605)) / $I98</f>
        <v>-254.99210837870658</v>
      </c>
      <c r="BJ98" s="46">
        <f t="shared" si="98"/>
        <v>-2.1718363862376249</v>
      </c>
      <c r="BK98" s="46">
        <f t="shared" si="99"/>
        <v>-58.280476462945416</v>
      </c>
      <c r="BM98" s="49">
        <f t="shared" si="65"/>
        <v>8794.0500646078162</v>
      </c>
      <c r="BN98" s="50">
        <f t="shared" si="100"/>
        <v>8316.4600598831785</v>
      </c>
      <c r="BP98" s="68">
        <f>INDEX(Others!$H$11:$I$60, MATCH(C98, Others!$A$11:$A$60, 0), MATCH(BP$3, Others!$H$10:$I$10, 0))</f>
        <v>3.4880374962733052E-2</v>
      </c>
      <c r="BQ98" s="16">
        <f t="shared" si="101"/>
        <v>2.8612389103552793E-3</v>
      </c>
      <c r="BR98" s="69">
        <f t="shared" si="102"/>
        <v>0.81321425330421115</v>
      </c>
      <c r="BT98" s="46">
        <f t="shared" si="103"/>
        <v>8752.6984474515957</v>
      </c>
      <c r="BU98" s="49">
        <f t="shared" si="66"/>
        <v>461.29028369726069</v>
      </c>
      <c r="BV98" s="46">
        <f t="shared" si="104"/>
        <v>436.23838756841724</v>
      </c>
      <c r="BX98" s="46">
        <f t="shared" si="105"/>
        <v>9255.340348305077</v>
      </c>
    </row>
    <row r="99" spans="1:76" x14ac:dyDescent="0.25">
      <c r="A99" s="61">
        <f t="shared" si="55"/>
        <v>7.8333333333333224</v>
      </c>
      <c r="B99" s="32">
        <f t="shared" si="67"/>
        <v>10</v>
      </c>
      <c r="C99" s="62">
        <f t="shared" si="68"/>
        <v>8</v>
      </c>
      <c r="D99" s="64">
        <f t="shared" si="69"/>
        <v>8.3333333333333215</v>
      </c>
      <c r="E99" s="28">
        <f t="shared" si="70"/>
        <v>8</v>
      </c>
      <c r="G99" s="68">
        <f>INDEX(Others!$D$11:$E$60, MATCH(C99, Others!$A$11:$A$60, 0), MATCH(G$3, Others!$D$10:$E$10, 0))</f>
        <v>4.6507166616977402E-2</v>
      </c>
      <c r="H99" s="16">
        <f t="shared" si="71"/>
        <v>3.7953601286573324E-3</v>
      </c>
      <c r="I99" s="69">
        <f t="shared" si="72"/>
        <v>0.75712686597726797</v>
      </c>
      <c r="K99" s="80">
        <f>INDEX(Mortality!$B$7:$F$32, MATCH( E99,Mortality!$A$7:$A$32, 0), MATCH( K$3,Mortality!$B$6:$F$6,0))</f>
        <v>0.34799999999999998</v>
      </c>
      <c r="L99" s="11" cm="1">
        <f t="array" ref="L99">PAD_Res_Mort</f>
        <v>0.15</v>
      </c>
      <c r="M99" s="80">
        <f t="shared" si="73"/>
        <v>0.40019999999999994</v>
      </c>
      <c r="N99" s="76">
        <f>INDEX('Myopia_(Reserve)'!$H:$H, MATCH(E99, 'Myopia_(Reserve)'!$A:$A, 0)) * Trend_Factor_Reserve^(A99)</f>
        <v>12.019797148499897</v>
      </c>
      <c r="O99" s="11">
        <f t="shared" si="56"/>
        <v>0.3</v>
      </c>
      <c r="P99" s="80">
        <f t="shared" si="74"/>
        <v>15.625736293049867</v>
      </c>
      <c r="Q99" s="76">
        <f>VLOOKUP(C99,Others!$L$10:$M$61,2)</f>
        <v>0</v>
      </c>
      <c r="R99" s="11">
        <f t="shared" si="57"/>
        <v>0</v>
      </c>
      <c r="S99" s="80">
        <f t="shared" si="75"/>
        <v>0</v>
      </c>
      <c r="T99" s="78">
        <f t="shared" si="76"/>
        <v>3.3349999999999997E-5</v>
      </c>
      <c r="U99" s="81">
        <f t="shared" si="77"/>
        <v>1.302144691087489E-3</v>
      </c>
      <c r="V99" s="81">
        <f t="shared" si="78"/>
        <v>0</v>
      </c>
      <c r="W99" s="77">
        <f t="shared" si="58"/>
        <v>0.94569168912891144</v>
      </c>
      <c r="X99" s="82">
        <f t="shared" si="79"/>
        <v>3.1518283780347344E-5</v>
      </c>
      <c r="Y99" s="82">
        <f t="shared" si="80"/>
        <v>1.2314068783526701E-3</v>
      </c>
      <c r="Z99" s="82">
        <f t="shared" si="81"/>
        <v>0</v>
      </c>
      <c r="AA99" s="82">
        <f t="shared" si="82"/>
        <v>0.94442876396677844</v>
      </c>
      <c r="AC99" s="46">
        <f t="shared" si="59"/>
        <v>0</v>
      </c>
      <c r="AD99" s="15">
        <f t="shared" si="83"/>
        <v>0</v>
      </c>
      <c r="AE99" s="46">
        <f t="shared" si="84"/>
        <v>0</v>
      </c>
      <c r="AF99" s="15">
        <f t="shared" si="85"/>
        <v>0</v>
      </c>
      <c r="AG99" s="46">
        <f>SUMPRODUCT(AE100:AE$605, $I99:$I$604) / $I99</f>
        <v>0</v>
      </c>
      <c r="AI99" s="46">
        <f t="shared" si="60"/>
        <v>-47000</v>
      </c>
      <c r="AJ99" s="46">
        <f>IF(E99&gt;Mat_Year,0,  -SUM($AD$5:AD99))</f>
        <v>-9306</v>
      </c>
      <c r="AK99" s="24">
        <f t="shared" si="86"/>
        <v>-0.29330914885991238</v>
      </c>
      <c r="AL99" s="79">
        <f t="shared" si="87"/>
        <v>-57.876123282575492</v>
      </c>
      <c r="AM99" s="24">
        <f t="shared" si="88"/>
        <v>-61.509932994141039</v>
      </c>
      <c r="AN99" s="79">
        <f t="shared" si="89"/>
        <v>-58.169432431435403</v>
      </c>
      <c r="AO99" s="15">
        <f t="shared" si="90"/>
        <v>-8495.2577943396682</v>
      </c>
      <c r="AP99" s="46">
        <f>SUMPRODUCT(AN100:AN$605, $I100:$I$605) / $I99</f>
        <v>-8033.894693114632</v>
      </c>
      <c r="AR99" s="46">
        <v>0</v>
      </c>
      <c r="AS99" s="46">
        <v>0</v>
      </c>
      <c r="AT99" s="46">
        <v>0</v>
      </c>
      <c r="AU99" s="95">
        <f t="shared" si="61"/>
        <v>-2.089032201556932</v>
      </c>
      <c r="AV99" s="47">
        <f t="shared" si="62"/>
        <v>0.1</v>
      </c>
      <c r="AW99" s="96">
        <f t="shared" si="91"/>
        <v>-2.2979354217126255</v>
      </c>
      <c r="AX99" s="95">
        <f t="shared" si="63"/>
        <v>-23.954235911186153</v>
      </c>
      <c r="AY99" s="11">
        <f t="shared" si="64"/>
        <v>0.1</v>
      </c>
      <c r="AZ99" s="96">
        <f t="shared" si="92"/>
        <v>-26.349659502304771</v>
      </c>
      <c r="BA99" s="95">
        <f t="shared" si="93"/>
        <v>-2.1731384304685704</v>
      </c>
      <c r="BB99" s="64">
        <f t="shared" si="94"/>
        <v>-3.3277647999098062E-2</v>
      </c>
      <c r="BC99" s="95">
        <f t="shared" si="106"/>
        <v>-2.2979354217126255</v>
      </c>
      <c r="BD99" s="96">
        <f t="shared" si="106"/>
        <v>-3.5188686103132118E-2</v>
      </c>
      <c r="BE99" s="96">
        <f t="shared" si="95"/>
        <v>-2.1731384304685704</v>
      </c>
      <c r="BF99" s="96">
        <f t="shared" si="96"/>
        <v>-3.3277647999098062E-2</v>
      </c>
      <c r="BG99" s="15">
        <f t="shared" si="97"/>
        <v>-268.31707865834863</v>
      </c>
      <c r="BH99" s="46">
        <f>(SUMPRODUCT(BE100:BE$605,$I99:$I$604)+SUMPRODUCT(BF100:BF$605,$I100:$I$605)) / $I99</f>
        <v>-253.74523133854871</v>
      </c>
      <c r="BJ99" s="46">
        <f t="shared" si="98"/>
        <v>-2.1731384304685704</v>
      </c>
      <c r="BK99" s="46">
        <f t="shared" si="99"/>
        <v>-58.202710079434503</v>
      </c>
      <c r="BM99" s="49">
        <f t="shared" si="65"/>
        <v>8775.2938502672532</v>
      </c>
      <c r="BN99" s="50">
        <f t="shared" si="100"/>
        <v>8287.6399244531749</v>
      </c>
      <c r="BP99" s="68">
        <f>INDEX(Others!$H$11:$I$60, MATCH(C99, Others!$A$11:$A$60, 0), MATCH(BP$3, Others!$H$10:$I$10, 0))</f>
        <v>3.4880374962733052E-2</v>
      </c>
      <c r="BQ99" s="16">
        <f t="shared" si="101"/>
        <v>2.8612389103552793E-3</v>
      </c>
      <c r="BR99" s="69">
        <f t="shared" si="102"/>
        <v>0.81089409157721326</v>
      </c>
      <c r="BT99" s="46">
        <f t="shared" si="103"/>
        <v>8717.3599424419135</v>
      </c>
      <c r="BU99" s="49">
        <f t="shared" si="66"/>
        <v>455.00522049310922</v>
      </c>
      <c r="BV99" s="46">
        <f t="shared" si="104"/>
        <v>429.72001798873862</v>
      </c>
      <c r="BX99" s="46">
        <f t="shared" si="105"/>
        <v>9230.2990707603622</v>
      </c>
    </row>
    <row r="100" spans="1:76" x14ac:dyDescent="0.25">
      <c r="A100" s="61">
        <f t="shared" si="55"/>
        <v>7.9166666666666554</v>
      </c>
      <c r="B100" s="32">
        <f t="shared" si="67"/>
        <v>11</v>
      </c>
      <c r="C100" s="62">
        <f t="shared" si="68"/>
        <v>8</v>
      </c>
      <c r="D100" s="64">
        <f t="shared" si="69"/>
        <v>8.4166666666666554</v>
      </c>
      <c r="E100" s="28">
        <f t="shared" si="70"/>
        <v>8</v>
      </c>
      <c r="G100" s="68">
        <f>INDEX(Others!$D$11:$E$60, MATCH(C100, Others!$A$11:$A$60, 0), MATCH(G$3, Others!$D$10:$E$10, 0))</f>
        <v>4.6507166616977402E-2</v>
      </c>
      <c r="H100" s="16">
        <f t="shared" si="71"/>
        <v>3.7953601286573324E-3</v>
      </c>
      <c r="I100" s="69">
        <f t="shared" si="72"/>
        <v>0.75426416185090395</v>
      </c>
      <c r="K100" s="80">
        <f>INDEX(Mortality!$B$7:$F$32, MATCH( E100,Mortality!$A$7:$A$32, 0), MATCH( K$3,Mortality!$B$6:$F$6,0))</f>
        <v>0.34799999999999998</v>
      </c>
      <c r="L100" s="11" cm="1">
        <f t="array" ref="L100">PAD_Res_Mort</f>
        <v>0.15</v>
      </c>
      <c r="M100" s="80">
        <f t="shared" si="73"/>
        <v>0.40019999999999994</v>
      </c>
      <c r="N100" s="76">
        <f>INDEX('Myopia_(Reserve)'!$H:$H, MATCH(E100, 'Myopia_(Reserve)'!$A:$A, 0)) * Trend_Factor_Reserve^(A100)</f>
        <v>12.019797148499897</v>
      </c>
      <c r="O100" s="11">
        <f t="shared" si="56"/>
        <v>0.3</v>
      </c>
      <c r="P100" s="80">
        <f t="shared" si="74"/>
        <v>15.625736293049867</v>
      </c>
      <c r="Q100" s="76">
        <f>VLOOKUP(C100,Others!$L$10:$M$61,2)</f>
        <v>0</v>
      </c>
      <c r="R100" s="11">
        <f t="shared" si="57"/>
        <v>0</v>
      </c>
      <c r="S100" s="80">
        <f t="shared" si="75"/>
        <v>0</v>
      </c>
      <c r="T100" s="78">
        <f t="shared" si="76"/>
        <v>3.3349999999999997E-5</v>
      </c>
      <c r="U100" s="81">
        <f t="shared" si="77"/>
        <v>1.302144691087489E-3</v>
      </c>
      <c r="V100" s="81">
        <f t="shared" si="78"/>
        <v>0</v>
      </c>
      <c r="W100" s="77">
        <f t="shared" si="58"/>
        <v>0.94442876396677844</v>
      </c>
      <c r="X100" s="82">
        <f t="shared" si="79"/>
        <v>3.1476192648416061E-5</v>
      </c>
      <c r="Y100" s="82">
        <f t="shared" si="80"/>
        <v>1.2297623944797838E-3</v>
      </c>
      <c r="Z100" s="82">
        <f t="shared" si="81"/>
        <v>0</v>
      </c>
      <c r="AA100" s="82">
        <f t="shared" si="82"/>
        <v>0.94316752537965021</v>
      </c>
      <c r="AC100" s="46">
        <f t="shared" si="59"/>
        <v>0</v>
      </c>
      <c r="AD100" s="15">
        <f t="shared" si="83"/>
        <v>0</v>
      </c>
      <c r="AE100" s="46">
        <f t="shared" si="84"/>
        <v>0</v>
      </c>
      <c r="AF100" s="15">
        <f t="shared" si="85"/>
        <v>0</v>
      </c>
      <c r="AG100" s="46">
        <f>SUMPRODUCT(AE101:AE$605, $I100:$I$604) / $I100</f>
        <v>0</v>
      </c>
      <c r="AI100" s="46">
        <f t="shared" si="60"/>
        <v>-47000</v>
      </c>
      <c r="AJ100" s="46">
        <f>IF(E100&gt;Mat_Year,0,  -SUM($AD$5:AD100))</f>
        <v>-9306</v>
      </c>
      <c r="AK100" s="24">
        <f t="shared" si="86"/>
        <v>-0.29291744878615988</v>
      </c>
      <c r="AL100" s="79">
        <f t="shared" si="87"/>
        <v>-57.798832540549839</v>
      </c>
      <c r="AM100" s="24">
        <f t="shared" si="88"/>
        <v>-61.50993299414106</v>
      </c>
      <c r="AN100" s="79">
        <f t="shared" si="89"/>
        <v>-58.091749989336002</v>
      </c>
      <c r="AO100" s="15">
        <f t="shared" si="90"/>
        <v>-8477.3937137338271</v>
      </c>
      <c r="AP100" s="46">
        <f>SUMPRODUCT(AN101:AN$605, $I101:$I$605) / $I100</f>
        <v>-8006.294466721376</v>
      </c>
      <c r="AR100" s="46">
        <v>0</v>
      </c>
      <c r="AS100" s="46">
        <v>0</v>
      </c>
      <c r="AT100" s="46">
        <v>0</v>
      </c>
      <c r="AU100" s="95">
        <f t="shared" si="61"/>
        <v>-2.0930798096781857</v>
      </c>
      <c r="AV100" s="47">
        <f t="shared" si="62"/>
        <v>0.1</v>
      </c>
      <c r="AW100" s="96">
        <f t="shared" si="91"/>
        <v>-2.3023877906460046</v>
      </c>
      <c r="AX100" s="95">
        <f t="shared" si="63"/>
        <v>-24.00064848430986</v>
      </c>
      <c r="AY100" s="11">
        <f t="shared" si="64"/>
        <v>0.1</v>
      </c>
      <c r="AZ100" s="96">
        <f t="shared" si="92"/>
        <v>-26.40071333274085</v>
      </c>
      <c r="BA100" s="95">
        <f t="shared" si="93"/>
        <v>-2.1744412552920078</v>
      </c>
      <c r="BB100" s="64">
        <f t="shared" si="94"/>
        <v>-3.3297598382962694E-2</v>
      </c>
      <c r="BC100" s="95">
        <f t="shared" si="106"/>
        <v>-2.3023877906460046</v>
      </c>
      <c r="BD100" s="96">
        <f t="shared" si="106"/>
        <v>-3.5256866005548705E-2</v>
      </c>
      <c r="BE100" s="96">
        <f t="shared" si="95"/>
        <v>-2.1744412552920078</v>
      </c>
      <c r="BF100" s="96">
        <f t="shared" si="96"/>
        <v>-3.3297598382962694E-2</v>
      </c>
      <c r="BG100" s="15">
        <f t="shared" si="97"/>
        <v>-267.34922088837635</v>
      </c>
      <c r="BH100" s="46">
        <f>(SUMPRODUCT(BE101:BE$605,$I100:$I$604)+SUMPRODUCT(BF101:BF$605,$I101:$I$605)) / $I100</f>
        <v>-252.49229423109048</v>
      </c>
      <c r="BJ100" s="46">
        <f t="shared" si="98"/>
        <v>-2.1744412552920078</v>
      </c>
      <c r="BK100" s="46">
        <f t="shared" si="99"/>
        <v>-58.125047587718967</v>
      </c>
      <c r="BM100" s="49">
        <f t="shared" si="65"/>
        <v>8756.4367291251656</v>
      </c>
      <c r="BN100" s="50">
        <f t="shared" si="100"/>
        <v>8258.7867609524601</v>
      </c>
      <c r="BP100" s="68">
        <f>INDEX(Others!$H$11:$I$60, MATCH(C100, Others!$A$11:$A$60, 0), MATCH(BP$3, Others!$H$10:$I$10, 0))</f>
        <v>3.4880374962733052E-2</v>
      </c>
      <c r="BQ100" s="16">
        <f t="shared" si="101"/>
        <v>2.8612389103552793E-3</v>
      </c>
      <c r="BR100" s="69">
        <f t="shared" si="102"/>
        <v>0.8085805494469791</v>
      </c>
      <c r="BT100" s="46">
        <f t="shared" si="103"/>
        <v>8681.9966814658619</v>
      </c>
      <c r="BU100" s="49">
        <f t="shared" si="66"/>
        <v>448.71129372594595</v>
      </c>
      <c r="BV100" s="46">
        <f t="shared" si="104"/>
        <v>423.20992051340181</v>
      </c>
      <c r="BX100" s="46">
        <f t="shared" si="105"/>
        <v>9205.1480228511118</v>
      </c>
    </row>
    <row r="101" spans="1:76" x14ac:dyDescent="0.25">
      <c r="A101" s="61">
        <f t="shared" si="55"/>
        <v>7.9999999999999885</v>
      </c>
      <c r="B101" s="32">
        <f t="shared" si="67"/>
        <v>12</v>
      </c>
      <c r="C101" s="62">
        <f t="shared" si="68"/>
        <v>8</v>
      </c>
      <c r="D101" s="64">
        <f t="shared" si="69"/>
        <v>8.4999999999999893</v>
      </c>
      <c r="E101" s="28">
        <f t="shared" si="70"/>
        <v>8</v>
      </c>
      <c r="G101" s="68">
        <f>INDEX(Others!$D$11:$E$60, MATCH(C101, Others!$A$11:$A$60, 0), MATCH(G$3, Others!$D$10:$E$10, 0))</f>
        <v>4.6507166616977402E-2</v>
      </c>
      <c r="H101" s="16">
        <f t="shared" si="71"/>
        <v>3.7953601286573324E-3</v>
      </c>
      <c r="I101" s="69">
        <f t="shared" si="72"/>
        <v>0.75141228163699547</v>
      </c>
      <c r="K101" s="80">
        <f>INDEX(Mortality!$B$7:$F$32, MATCH( E101,Mortality!$A$7:$A$32, 0), MATCH( K$3,Mortality!$B$6:$F$6,0))</f>
        <v>0.34799999999999998</v>
      </c>
      <c r="L101" s="11" cm="1">
        <f t="array" ref="L101">PAD_Res_Mort</f>
        <v>0.15</v>
      </c>
      <c r="M101" s="80">
        <f t="shared" si="73"/>
        <v>0.40019999999999994</v>
      </c>
      <c r="N101" s="76">
        <f>INDEX('Myopia_(Reserve)'!$H:$H, MATCH(E101, 'Myopia_(Reserve)'!$A:$A, 0)) * Trend_Factor_Reserve^(A101)</f>
        <v>12.019797148499897</v>
      </c>
      <c r="O101" s="11">
        <f t="shared" si="56"/>
        <v>0.3</v>
      </c>
      <c r="P101" s="80">
        <f t="shared" si="74"/>
        <v>15.625736293049867</v>
      </c>
      <c r="Q101" s="76">
        <f>VLOOKUP(C101,Others!$L$10:$M$61,2)</f>
        <v>0</v>
      </c>
      <c r="R101" s="11">
        <f t="shared" si="57"/>
        <v>0</v>
      </c>
      <c r="S101" s="80">
        <f t="shared" si="75"/>
        <v>0</v>
      </c>
      <c r="T101" s="78">
        <f t="shared" si="76"/>
        <v>3.3349999999999997E-5</v>
      </c>
      <c r="U101" s="81">
        <f t="shared" si="77"/>
        <v>1.302144691087489E-3</v>
      </c>
      <c r="V101" s="81">
        <f t="shared" si="78"/>
        <v>0</v>
      </c>
      <c r="W101" s="77">
        <f t="shared" si="58"/>
        <v>0.94316752537965021</v>
      </c>
      <c r="X101" s="82">
        <f t="shared" si="79"/>
        <v>3.143415772714013E-5</v>
      </c>
      <c r="Y101" s="82">
        <f t="shared" si="80"/>
        <v>1.2281201067349647E-3</v>
      </c>
      <c r="Z101" s="82">
        <f t="shared" si="81"/>
        <v>0</v>
      </c>
      <c r="AA101" s="82">
        <f t="shared" si="82"/>
        <v>0.94190797111518809</v>
      </c>
      <c r="AC101" s="46">
        <f t="shared" si="59"/>
        <v>0</v>
      </c>
      <c r="AD101" s="15">
        <f t="shared" si="83"/>
        <v>0</v>
      </c>
      <c r="AE101" s="46">
        <f t="shared" si="84"/>
        <v>0</v>
      </c>
      <c r="AF101" s="15">
        <f t="shared" si="85"/>
        <v>0</v>
      </c>
      <c r="AG101" s="46">
        <f>SUMPRODUCT(AE102:AE$605, $I101:$I$604) / $I101</f>
        <v>0</v>
      </c>
      <c r="AI101" s="46">
        <f t="shared" si="60"/>
        <v>-47000</v>
      </c>
      <c r="AJ101" s="46">
        <f>IF(E101&gt;Mat_Year,0,  -SUM($AD$5:AD101))</f>
        <v>-9306</v>
      </c>
      <c r="AK101" s="24">
        <f t="shared" si="86"/>
        <v>-0.29252627180876606</v>
      </c>
      <c r="AL101" s="79">
        <f t="shared" si="87"/>
        <v>-57.721645016543341</v>
      </c>
      <c r="AM101" s="24">
        <f t="shared" si="88"/>
        <v>-61.509932994141046</v>
      </c>
      <c r="AN101" s="79">
        <f t="shared" si="89"/>
        <v>-58.014171288352109</v>
      </c>
      <c r="AO101" s="15">
        <f t="shared" si="90"/>
        <v>-8459.4378533322379</v>
      </c>
      <c r="AP101" s="46">
        <f>SUMPRODUCT(AN102:AN$605, $I102:$I$605) / $I101</f>
        <v>-7978.6670662303077</v>
      </c>
      <c r="AR101" s="46">
        <v>0</v>
      </c>
      <c r="AS101" s="46">
        <v>0</v>
      </c>
      <c r="AT101" s="46">
        <v>0</v>
      </c>
      <c r="AU101" s="95">
        <f t="shared" si="61"/>
        <v>-2.0971352602498774</v>
      </c>
      <c r="AV101" s="47">
        <f t="shared" si="62"/>
        <v>0.1</v>
      </c>
      <c r="AW101" s="96">
        <f t="shared" si="91"/>
        <v>-2.3068487862748652</v>
      </c>
      <c r="AX101" s="95">
        <f t="shared" si="63"/>
        <v>-24.047150984198588</v>
      </c>
      <c r="AY101" s="11">
        <f t="shared" si="64"/>
        <v>0.1</v>
      </c>
      <c r="AZ101" s="96">
        <f t="shared" si="92"/>
        <v>-26.451866082618448</v>
      </c>
      <c r="BA101" s="95">
        <f t="shared" si="93"/>
        <v>-2.175744861175914</v>
      </c>
      <c r="BB101" s="64">
        <f t="shared" si="94"/>
        <v>-3.3317560727342578E-2</v>
      </c>
      <c r="BC101" s="95">
        <f t="shared" si="106"/>
        <v>-2.3068487862748652</v>
      </c>
      <c r="BD101" s="96">
        <f t="shared" si="106"/>
        <v>-3.5325178010058571E-2</v>
      </c>
      <c r="BE101" s="96">
        <f t="shared" si="95"/>
        <v>-2.175744861175914</v>
      </c>
      <c r="BF101" s="96">
        <f t="shared" si="96"/>
        <v>-3.3317560727342578E-2</v>
      </c>
      <c r="BG101" s="15">
        <f t="shared" si="97"/>
        <v>-266.37184434343283</v>
      </c>
      <c r="BH101" s="46">
        <f>(SUMPRODUCT(BE102:BE$605,$I101:$I$604)+SUMPRODUCT(BF102:BF$605,$I102:$I$605)) / $I101</f>
        <v>-251.2332732602089</v>
      </c>
      <c r="BJ101" s="46">
        <f t="shared" si="98"/>
        <v>-2.175744861175914</v>
      </c>
      <c r="BK101" s="46">
        <f t="shared" si="99"/>
        <v>-58.04748884907945</v>
      </c>
      <c r="BM101" s="49">
        <f t="shared" si="65"/>
        <v>8737.4781739521532</v>
      </c>
      <c r="BN101" s="50">
        <f t="shared" si="100"/>
        <v>8229.9003394905103</v>
      </c>
      <c r="BP101" s="68">
        <f>INDEX(Others!$H$11:$I$60, MATCH(C101, Others!$A$11:$A$60, 0), MATCH(BP$3, Others!$H$10:$I$10, 0))</f>
        <v>3.4880374962733052E-2</v>
      </c>
      <c r="BQ101" s="16">
        <f t="shared" si="101"/>
        <v>2.8612389103552793E-3</v>
      </c>
      <c r="BR101" s="69">
        <f t="shared" si="102"/>
        <v>0.80627360802729886</v>
      </c>
      <c r="BT101" s="46">
        <f t="shared" si="103"/>
        <v>8646.608489154336</v>
      </c>
      <c r="BU101" s="49">
        <f t="shared" si="66"/>
        <v>442.40856054170229</v>
      </c>
      <c r="BV101" s="46">
        <f t="shared" si="104"/>
        <v>416.70814966382568</v>
      </c>
      <c r="BX101" s="46">
        <f t="shared" si="105"/>
        <v>9179.8867344938553</v>
      </c>
    </row>
    <row r="102" spans="1:76" x14ac:dyDescent="0.25">
      <c r="A102" s="61">
        <f t="shared" si="55"/>
        <v>8.0833333333333215</v>
      </c>
      <c r="B102" s="32">
        <f t="shared" si="67"/>
        <v>1</v>
      </c>
      <c r="C102" s="62">
        <f t="shared" si="68"/>
        <v>9</v>
      </c>
      <c r="D102" s="64">
        <f t="shared" si="69"/>
        <v>8.5833333333333215</v>
      </c>
      <c r="E102" s="28">
        <f t="shared" si="70"/>
        <v>8</v>
      </c>
      <c r="G102" s="68">
        <f>INDEX(Others!$D$11:$E$60, MATCH(C102, Others!$A$11:$A$60, 0), MATCH(G$3, Others!$D$10:$E$10, 0))</f>
        <v>4.9403172915208016E-2</v>
      </c>
      <c r="H102" s="16">
        <f t="shared" si="71"/>
        <v>4.026551179866944E-3</v>
      </c>
      <c r="I102" s="69">
        <f t="shared" si="72"/>
        <v>0.74839881550341913</v>
      </c>
      <c r="K102" s="80">
        <f>INDEX(Mortality!$B$7:$F$32, MATCH( E102,Mortality!$A$7:$A$32, 0), MATCH( K$3,Mortality!$B$6:$F$6,0))</f>
        <v>0.34799999999999998</v>
      </c>
      <c r="L102" s="11" cm="1">
        <f t="array" ref="L102">PAD_Res_Mort</f>
        <v>0.15</v>
      </c>
      <c r="M102" s="80">
        <f t="shared" si="73"/>
        <v>0.40019999999999994</v>
      </c>
      <c r="N102" s="76">
        <f>INDEX('Myopia_(Reserve)'!$H:$H, MATCH(E102, 'Myopia_(Reserve)'!$A:$A, 0)) * Trend_Factor_Reserve^(A102)</f>
        <v>12.019797148499897</v>
      </c>
      <c r="O102" s="11">
        <f t="shared" si="56"/>
        <v>0.3</v>
      </c>
      <c r="P102" s="80">
        <f t="shared" si="74"/>
        <v>15.625736293049867</v>
      </c>
      <c r="Q102" s="76">
        <f>VLOOKUP(C102,Others!$L$10:$M$61,2)</f>
        <v>0</v>
      </c>
      <c r="R102" s="11">
        <f t="shared" si="57"/>
        <v>0</v>
      </c>
      <c r="S102" s="80">
        <f t="shared" si="75"/>
        <v>0</v>
      </c>
      <c r="T102" s="78">
        <f t="shared" si="76"/>
        <v>3.3349999999999997E-5</v>
      </c>
      <c r="U102" s="81">
        <f t="shared" si="77"/>
        <v>1.302144691087489E-3</v>
      </c>
      <c r="V102" s="81">
        <f t="shared" si="78"/>
        <v>0</v>
      </c>
      <c r="W102" s="77">
        <f t="shared" si="58"/>
        <v>0.94190797111518809</v>
      </c>
      <c r="X102" s="82">
        <f t="shared" si="79"/>
        <v>3.1392178941452978E-5</v>
      </c>
      <c r="Y102" s="82">
        <f t="shared" si="80"/>
        <v>1.2264800121853914E-3</v>
      </c>
      <c r="Z102" s="82">
        <f t="shared" si="81"/>
        <v>0</v>
      </c>
      <c r="AA102" s="82">
        <f t="shared" si="82"/>
        <v>0.94065009892406126</v>
      </c>
      <c r="AC102" s="46">
        <f t="shared" si="59"/>
        <v>0</v>
      </c>
      <c r="AD102" s="15">
        <f t="shared" si="83"/>
        <v>0</v>
      </c>
      <c r="AE102" s="46">
        <f t="shared" si="84"/>
        <v>0</v>
      </c>
      <c r="AF102" s="15">
        <f t="shared" si="85"/>
        <v>0</v>
      </c>
      <c r="AG102" s="46">
        <f>SUMPRODUCT(AE103:AE$605, $I102:$I$604) / $I102</f>
        <v>0</v>
      </c>
      <c r="AI102" s="46">
        <f t="shared" si="60"/>
        <v>-47000</v>
      </c>
      <c r="AJ102" s="46">
        <f>IF(E102&gt;Mat_Year,0,  -SUM($AD$5:AD102))</f>
        <v>-9306</v>
      </c>
      <c r="AK102" s="24">
        <f t="shared" si="86"/>
        <v>-0.29213561722916143</v>
      </c>
      <c r="AL102" s="79">
        <f t="shared" si="87"/>
        <v>-57.644560572713395</v>
      </c>
      <c r="AM102" s="24">
        <f t="shared" si="88"/>
        <v>-61.509932994141046</v>
      </c>
      <c r="AN102" s="79">
        <f t="shared" si="89"/>
        <v>-57.936696189942559</v>
      </c>
      <c r="AO102" s="15">
        <f t="shared" si="90"/>
        <v>-8443.3481032268355</v>
      </c>
      <c r="AP102" s="46">
        <f>SUMPRODUCT(AN103:AN$605, $I103:$I$605) / $I102</f>
        <v>-7952.8568813296606</v>
      </c>
      <c r="AR102" s="46">
        <v>0</v>
      </c>
      <c r="AS102" s="46">
        <v>0</v>
      </c>
      <c r="AT102" s="46">
        <v>0</v>
      </c>
      <c r="AU102" s="95">
        <f t="shared" si="61"/>
        <v>-2.1011985684671601</v>
      </c>
      <c r="AV102" s="47">
        <f t="shared" si="62"/>
        <v>0.1</v>
      </c>
      <c r="AW102" s="96">
        <f t="shared" si="91"/>
        <v>-2.3113184253138765</v>
      </c>
      <c r="AX102" s="95">
        <f t="shared" si="63"/>
        <v>-24.093743585090102</v>
      </c>
      <c r="AY102" s="11">
        <f t="shared" si="64"/>
        <v>0.1</v>
      </c>
      <c r="AZ102" s="96">
        <f t="shared" si="92"/>
        <v>-26.503117943599115</v>
      </c>
      <c r="BA102" s="95">
        <f t="shared" si="93"/>
        <v>-2.1770492485885446</v>
      </c>
      <c r="BB102" s="64">
        <f t="shared" si="94"/>
        <v>-3.33375350394082E-2</v>
      </c>
      <c r="BC102" s="95">
        <f t="shared" si="106"/>
        <v>-2.3113184253138765</v>
      </c>
      <c r="BD102" s="96">
        <f t="shared" si="106"/>
        <v>-3.5393622372616354E-2</v>
      </c>
      <c r="BE102" s="96">
        <f t="shared" si="95"/>
        <v>-2.1770492485885446</v>
      </c>
      <c r="BF102" s="96">
        <f t="shared" si="96"/>
        <v>-3.33375350394082E-2</v>
      </c>
      <c r="BG102" s="15">
        <f t="shared" si="97"/>
        <v>-265.44602209195227</v>
      </c>
      <c r="BH102" s="46">
        <f>(SUMPRODUCT(BE103:BE$605,$I102:$I$604)+SUMPRODUCT(BF103:BF$605,$I103:$I$605)) / $I102</f>
        <v>-250.02572410922815</v>
      </c>
      <c r="BJ102" s="46">
        <f t="shared" si="98"/>
        <v>-2.1770492485885446</v>
      </c>
      <c r="BK102" s="46">
        <f t="shared" si="99"/>
        <v>-57.970033724981967</v>
      </c>
      <c r="BM102" s="49">
        <f t="shared" si="65"/>
        <v>8720.439847740985</v>
      </c>
      <c r="BN102" s="50">
        <f t="shared" si="100"/>
        <v>8202.8826054388828</v>
      </c>
      <c r="BP102" s="68">
        <f>INDEX(Others!$H$11:$I$60, MATCH(C102, Others!$A$11:$A$60, 0), MATCH(BP$3, Others!$H$10:$I$10, 0))</f>
        <v>3.7052379686406012E-2</v>
      </c>
      <c r="BQ102" s="16">
        <f t="shared" si="101"/>
        <v>3.0364706625878313E-3</v>
      </c>
      <c r="BR102" s="69">
        <f t="shared" si="102"/>
        <v>0.80383279333271807</v>
      </c>
      <c r="BT102" s="46">
        <f t="shared" si="103"/>
        <v>8612.7099686427919</v>
      </c>
      <c r="BU102" s="49">
        <f t="shared" si="66"/>
        <v>435.68523904125419</v>
      </c>
      <c r="BV102" s="46">
        <f t="shared" si="104"/>
        <v>409.82736320390904</v>
      </c>
      <c r="BX102" s="46">
        <f t="shared" si="105"/>
        <v>9156.12508678224</v>
      </c>
    </row>
    <row r="103" spans="1:76" x14ac:dyDescent="0.25">
      <c r="A103" s="61">
        <f t="shared" si="55"/>
        <v>8.1666666666666554</v>
      </c>
      <c r="B103" s="32">
        <f t="shared" si="67"/>
        <v>2</v>
      </c>
      <c r="C103" s="62">
        <f t="shared" si="68"/>
        <v>9</v>
      </c>
      <c r="D103" s="64">
        <f t="shared" si="69"/>
        <v>8.6666666666666554</v>
      </c>
      <c r="E103" s="28">
        <f t="shared" si="70"/>
        <v>8</v>
      </c>
      <c r="G103" s="68">
        <f>INDEX(Others!$D$11:$E$60, MATCH(C103, Others!$A$11:$A$60, 0), MATCH(G$3, Others!$D$10:$E$10, 0))</f>
        <v>4.9403172915208016E-2</v>
      </c>
      <c r="H103" s="16">
        <f t="shared" si="71"/>
        <v>4.026551179866944E-3</v>
      </c>
      <c r="I103" s="69">
        <f t="shared" si="72"/>
        <v>0.7453974345837262</v>
      </c>
      <c r="K103" s="80">
        <f>INDEX(Mortality!$B$7:$F$32, MATCH( E103,Mortality!$A$7:$A$32, 0), MATCH( K$3,Mortality!$B$6:$F$6,0))</f>
        <v>0.34799999999999998</v>
      </c>
      <c r="L103" s="11" cm="1">
        <f t="array" ref="L103">PAD_Res_Mort</f>
        <v>0.15</v>
      </c>
      <c r="M103" s="80">
        <f t="shared" si="73"/>
        <v>0.40019999999999994</v>
      </c>
      <c r="N103" s="76">
        <f>INDEX('Myopia_(Reserve)'!$H:$H, MATCH(E103, 'Myopia_(Reserve)'!$A:$A, 0)) * Trend_Factor_Reserve^(A103)</f>
        <v>12.019797148499897</v>
      </c>
      <c r="O103" s="11">
        <f t="shared" si="56"/>
        <v>0.3</v>
      </c>
      <c r="P103" s="80">
        <f t="shared" si="74"/>
        <v>15.625736293049867</v>
      </c>
      <c r="Q103" s="76">
        <f>VLOOKUP(C103,Others!$L$10:$M$61,2)</f>
        <v>0</v>
      </c>
      <c r="R103" s="11">
        <f t="shared" si="57"/>
        <v>0</v>
      </c>
      <c r="S103" s="80">
        <f t="shared" si="75"/>
        <v>0</v>
      </c>
      <c r="T103" s="78">
        <f t="shared" si="76"/>
        <v>3.3349999999999997E-5</v>
      </c>
      <c r="U103" s="81">
        <f t="shared" si="77"/>
        <v>1.302144691087489E-3</v>
      </c>
      <c r="V103" s="81">
        <f t="shared" si="78"/>
        <v>0</v>
      </c>
      <c r="W103" s="77">
        <f t="shared" si="58"/>
        <v>0.94065009892406126</v>
      </c>
      <c r="X103" s="82">
        <f t="shared" si="79"/>
        <v>3.1350256216388251E-5</v>
      </c>
      <c r="Y103" s="82">
        <f t="shared" si="80"/>
        <v>1.2248421079021586E-3</v>
      </c>
      <c r="Z103" s="82">
        <f t="shared" si="81"/>
        <v>0</v>
      </c>
      <c r="AA103" s="82">
        <f t="shared" si="82"/>
        <v>0.9393939065599427</v>
      </c>
      <c r="AC103" s="46">
        <f t="shared" si="59"/>
        <v>0</v>
      </c>
      <c r="AD103" s="15">
        <f t="shared" si="83"/>
        <v>0</v>
      </c>
      <c r="AE103" s="46">
        <f t="shared" si="84"/>
        <v>0</v>
      </c>
      <c r="AF103" s="15">
        <f t="shared" si="85"/>
        <v>0</v>
      </c>
      <c r="AG103" s="46">
        <f>SUMPRODUCT(AE104:AE$605, $I103:$I$604) / $I103</f>
        <v>0</v>
      </c>
      <c r="AI103" s="46">
        <f t="shared" si="60"/>
        <v>-47000</v>
      </c>
      <c r="AJ103" s="46">
        <f>IF(E103&gt;Mat_Year,0,  -SUM($AD$5:AD103))</f>
        <v>-9306</v>
      </c>
      <c r="AK103" s="24">
        <f t="shared" si="86"/>
        <v>-0.29174548434970904</v>
      </c>
      <c r="AL103" s="79">
        <f t="shared" si="87"/>
        <v>-57.567579071401454</v>
      </c>
      <c r="AM103" s="24">
        <f t="shared" si="88"/>
        <v>-61.50993299414106</v>
      </c>
      <c r="AN103" s="79">
        <f t="shared" si="89"/>
        <v>-57.859324555751165</v>
      </c>
      <c r="AO103" s="15">
        <f t="shared" si="90"/>
        <v>-8427.1719644742097</v>
      </c>
      <c r="AP103" s="46">
        <f>SUMPRODUCT(AN104:AN$605, $I104:$I$605) / $I103</f>
        <v>-7927.0201420327403</v>
      </c>
      <c r="AR103" s="46">
        <v>0</v>
      </c>
      <c r="AS103" s="46">
        <v>0</v>
      </c>
      <c r="AT103" s="46">
        <v>0</v>
      </c>
      <c r="AU103" s="95">
        <f t="shared" si="61"/>
        <v>-2.1052697495546302</v>
      </c>
      <c r="AV103" s="47">
        <f t="shared" si="62"/>
        <v>0.1</v>
      </c>
      <c r="AW103" s="96">
        <f t="shared" si="91"/>
        <v>-2.3157967245100934</v>
      </c>
      <c r="AX103" s="95">
        <f t="shared" si="63"/>
        <v>-24.140426461559759</v>
      </c>
      <c r="AY103" s="11">
        <f t="shared" si="64"/>
        <v>0.1</v>
      </c>
      <c r="AZ103" s="96">
        <f t="shared" si="92"/>
        <v>-26.554469107715736</v>
      </c>
      <c r="BA103" s="95">
        <f t="shared" si="93"/>
        <v>-2.1783544179984364</v>
      </c>
      <c r="BB103" s="64">
        <f t="shared" si="94"/>
        <v>-3.335752132633435E-2</v>
      </c>
      <c r="BC103" s="95">
        <f t="shared" si="106"/>
        <v>-2.3157967245100934</v>
      </c>
      <c r="BD103" s="96">
        <f t="shared" si="106"/>
        <v>-3.5462199349672638E-2</v>
      </c>
      <c r="BE103" s="96">
        <f t="shared" si="95"/>
        <v>-2.1783544179984364</v>
      </c>
      <c r="BF103" s="96">
        <f t="shared" si="96"/>
        <v>-3.335752132633435E-2</v>
      </c>
      <c r="BG103" s="15">
        <f t="shared" si="97"/>
        <v>-264.51066403262786</v>
      </c>
      <c r="BH103" s="46">
        <f>(SUMPRODUCT(BE104:BE$605,$I103:$I$604)+SUMPRODUCT(BF104:BF$605,$I104:$I$605)) / $I103</f>
        <v>-248.81198228876053</v>
      </c>
      <c r="BJ103" s="46">
        <f t="shared" si="98"/>
        <v>-2.1783544179984364</v>
      </c>
      <c r="BK103" s="46">
        <f t="shared" si="99"/>
        <v>-57.892682077077502</v>
      </c>
      <c r="BM103" s="49">
        <f t="shared" si="65"/>
        <v>8703.3054688010106</v>
      </c>
      <c r="BN103" s="50">
        <f t="shared" si="100"/>
        <v>8175.832124321495</v>
      </c>
      <c r="BP103" s="68">
        <f>INDEX(Others!$H$11:$I$60, MATCH(C103, Others!$A$11:$A$60, 0), MATCH(BP$3, Others!$H$10:$I$10, 0))</f>
        <v>3.7052379686406012E-2</v>
      </c>
      <c r="BQ103" s="16">
        <f t="shared" si="101"/>
        <v>3.0364706625878313E-3</v>
      </c>
      <c r="BR103" s="69">
        <f t="shared" si="102"/>
        <v>0.8013993676637905</v>
      </c>
      <c r="BT103" s="46">
        <f t="shared" si="103"/>
        <v>8578.7845587835945</v>
      </c>
      <c r="BU103" s="49">
        <f t="shared" si="66"/>
        <v>428.94938071049444</v>
      </c>
      <c r="BV103" s="46">
        <f t="shared" si="104"/>
        <v>402.95243446209952</v>
      </c>
      <c r="BX103" s="46">
        <f t="shared" si="105"/>
        <v>9132.2548495115043</v>
      </c>
    </row>
    <row r="104" spans="1:76" x14ac:dyDescent="0.25">
      <c r="A104" s="61">
        <f t="shared" si="55"/>
        <v>8.2499999999999893</v>
      </c>
      <c r="B104" s="32">
        <f t="shared" si="67"/>
        <v>3</v>
      </c>
      <c r="C104" s="62">
        <f t="shared" si="68"/>
        <v>9</v>
      </c>
      <c r="D104" s="64">
        <f t="shared" si="69"/>
        <v>8.7499999999999893</v>
      </c>
      <c r="E104" s="28">
        <f t="shared" si="70"/>
        <v>8</v>
      </c>
      <c r="G104" s="68">
        <f>INDEX(Others!$D$11:$E$60, MATCH(C104, Others!$A$11:$A$60, 0), MATCH(G$3, Others!$D$10:$E$10, 0))</f>
        <v>4.9403172915208016E-2</v>
      </c>
      <c r="H104" s="16">
        <f t="shared" si="71"/>
        <v>4.026551179866944E-3</v>
      </c>
      <c r="I104" s="69">
        <f t="shared" si="72"/>
        <v>0.74240809041133771</v>
      </c>
      <c r="K104" s="80">
        <f>INDEX(Mortality!$B$7:$F$32, MATCH( E104,Mortality!$A$7:$A$32, 0), MATCH( K$3,Mortality!$B$6:$F$6,0))</f>
        <v>0.34799999999999998</v>
      </c>
      <c r="L104" s="11" cm="1">
        <f t="array" ref="L104">PAD_Res_Mort</f>
        <v>0.15</v>
      </c>
      <c r="M104" s="80">
        <f t="shared" si="73"/>
        <v>0.40019999999999994</v>
      </c>
      <c r="N104" s="76">
        <f>INDEX('Myopia_(Reserve)'!$H:$H, MATCH(E104, 'Myopia_(Reserve)'!$A:$A, 0)) * Trend_Factor_Reserve^(A104)</f>
        <v>12.019797148499897</v>
      </c>
      <c r="O104" s="11">
        <f t="shared" si="56"/>
        <v>0.3</v>
      </c>
      <c r="P104" s="80">
        <f t="shared" si="74"/>
        <v>15.625736293049867</v>
      </c>
      <c r="Q104" s="76">
        <f>VLOOKUP(C104,Others!$L$10:$M$61,2)</f>
        <v>0</v>
      </c>
      <c r="R104" s="11">
        <f t="shared" si="57"/>
        <v>0</v>
      </c>
      <c r="S104" s="80">
        <f t="shared" si="75"/>
        <v>0</v>
      </c>
      <c r="T104" s="78">
        <f t="shared" si="76"/>
        <v>3.3349999999999997E-5</v>
      </c>
      <c r="U104" s="81">
        <f t="shared" si="77"/>
        <v>1.302144691087489E-3</v>
      </c>
      <c r="V104" s="81">
        <f t="shared" si="78"/>
        <v>0</v>
      </c>
      <c r="W104" s="77">
        <f t="shared" si="58"/>
        <v>0.9393939065599427</v>
      </c>
      <c r="X104" s="82">
        <f t="shared" si="79"/>
        <v>3.1308389477079737E-5</v>
      </c>
      <c r="Y104" s="82">
        <f t="shared" si="80"/>
        <v>1.2232063909602717E-3</v>
      </c>
      <c r="Z104" s="82">
        <f t="shared" si="81"/>
        <v>0</v>
      </c>
      <c r="AA104" s="82">
        <f t="shared" si="82"/>
        <v>0.93813939177950534</v>
      </c>
      <c r="AC104" s="46">
        <f t="shared" si="59"/>
        <v>0</v>
      </c>
      <c r="AD104" s="15">
        <f t="shared" si="83"/>
        <v>0</v>
      </c>
      <c r="AE104" s="46">
        <f t="shared" si="84"/>
        <v>0</v>
      </c>
      <c r="AF104" s="15">
        <f t="shared" si="85"/>
        <v>0</v>
      </c>
      <c r="AG104" s="46">
        <f>SUMPRODUCT(AE105:AE$605, $I104:$I$604) / $I104</f>
        <v>0</v>
      </c>
      <c r="AI104" s="46">
        <f t="shared" si="60"/>
        <v>-47000</v>
      </c>
      <c r="AJ104" s="46">
        <f>IF(E104&gt;Mat_Year,0,  -SUM($AD$5:AD104))</f>
        <v>-9306</v>
      </c>
      <c r="AK104" s="24">
        <f t="shared" si="86"/>
        <v>-0.29135587247370404</v>
      </c>
      <c r="AL104" s="79">
        <f t="shared" si="87"/>
        <v>-57.490700375132768</v>
      </c>
      <c r="AM104" s="24">
        <f t="shared" si="88"/>
        <v>-61.509932994141046</v>
      </c>
      <c r="AN104" s="79">
        <f t="shared" si="89"/>
        <v>-57.782056247606469</v>
      </c>
      <c r="AO104" s="15">
        <f t="shared" si="90"/>
        <v>-8410.9089732387911</v>
      </c>
      <c r="AP104" s="46">
        <f>SUMPRODUCT(AN105:AN$605, $I105:$I$605) / $I104</f>
        <v>-7901.1566380908653</v>
      </c>
      <c r="AR104" s="46">
        <v>0</v>
      </c>
      <c r="AS104" s="46">
        <v>0</v>
      </c>
      <c r="AT104" s="46">
        <v>0</v>
      </c>
      <c r="AU104" s="95">
        <f t="shared" si="61"/>
        <v>-2.1093488187663816</v>
      </c>
      <c r="AV104" s="47">
        <f t="shared" si="62"/>
        <v>0.1</v>
      </c>
      <c r="AW104" s="96">
        <f t="shared" si="91"/>
        <v>-2.3202837006430199</v>
      </c>
      <c r="AX104" s="95">
        <f t="shared" si="63"/>
        <v>-24.187199788521173</v>
      </c>
      <c r="AY104" s="11">
        <f t="shared" si="64"/>
        <v>0.1</v>
      </c>
      <c r="AZ104" s="96">
        <f t="shared" si="92"/>
        <v>-26.605919767373294</v>
      </c>
      <c r="BA104" s="95">
        <f t="shared" si="93"/>
        <v>-2.1796603698744073</v>
      </c>
      <c r="BB104" s="64">
        <f t="shared" si="94"/>
        <v>-3.3377519595300095E-2</v>
      </c>
      <c r="BC104" s="95">
        <f t="shared" si="106"/>
        <v>-2.3202837006430199</v>
      </c>
      <c r="BD104" s="96">
        <f t="shared" si="106"/>
        <v>-3.5530909198174872E-2</v>
      </c>
      <c r="BE104" s="96">
        <f t="shared" si="95"/>
        <v>-2.1796603698744073</v>
      </c>
      <c r="BF104" s="96">
        <f t="shared" si="96"/>
        <v>-3.3377519595300095E-2</v>
      </c>
      <c r="BG104" s="15">
        <f t="shared" si="97"/>
        <v>-263.56571012131394</v>
      </c>
      <c r="BH104" s="46">
        <f>(SUMPRODUCT(BE105:BE$605,$I104:$I$604)+SUMPRODUCT(BF105:BF$605,$I105:$I$605)) / $I104</f>
        <v>-247.59202206610655</v>
      </c>
      <c r="BJ104" s="46">
        <f t="shared" si="98"/>
        <v>-2.1796603698744073</v>
      </c>
      <c r="BK104" s="46">
        <f t="shared" si="99"/>
        <v>-57.815433767201768</v>
      </c>
      <c r="BM104" s="49">
        <f t="shared" si="65"/>
        <v>8686.0745125519661</v>
      </c>
      <c r="BN104" s="50">
        <f t="shared" si="100"/>
        <v>8148.7486601569653</v>
      </c>
      <c r="BP104" s="68">
        <f>INDEX(Others!$H$11:$I$60, MATCH(C104, Others!$A$11:$A$60, 0), MATCH(BP$3, Others!$H$10:$I$10, 0))</f>
        <v>3.7052379686406012E-2</v>
      </c>
      <c r="BQ104" s="16">
        <f t="shared" si="101"/>
        <v>3.0364706625878313E-3</v>
      </c>
      <c r="BR104" s="69">
        <f t="shared" si="102"/>
        <v>0.79897330865187832</v>
      </c>
      <c r="BT104" s="46">
        <f t="shared" si="103"/>
        <v>8544.8320738051589</v>
      </c>
      <c r="BU104" s="49">
        <f t="shared" si="66"/>
        <v>422.20102590179539</v>
      </c>
      <c r="BV104" s="46">
        <f t="shared" si="104"/>
        <v>396.08341364819353</v>
      </c>
      <c r="BX104" s="46">
        <f t="shared" si="105"/>
        <v>9108.2755384537613</v>
      </c>
    </row>
    <row r="105" spans="1:76" x14ac:dyDescent="0.25">
      <c r="A105" s="61">
        <f t="shared" si="55"/>
        <v>8.3333333333333233</v>
      </c>
      <c r="B105" s="32">
        <f t="shared" si="67"/>
        <v>4</v>
      </c>
      <c r="C105" s="62">
        <f t="shared" si="68"/>
        <v>9</v>
      </c>
      <c r="D105" s="64">
        <f t="shared" si="69"/>
        <v>8.8333333333333233</v>
      </c>
      <c r="E105" s="28">
        <f t="shared" si="70"/>
        <v>8</v>
      </c>
      <c r="G105" s="68">
        <f>INDEX(Others!$D$11:$E$60, MATCH(C105, Others!$A$11:$A$60, 0), MATCH(G$3, Others!$D$10:$E$10, 0))</f>
        <v>4.9403172915208016E-2</v>
      </c>
      <c r="H105" s="16">
        <f t="shared" si="71"/>
        <v>4.026551179866944E-3</v>
      </c>
      <c r="I105" s="69">
        <f t="shared" si="72"/>
        <v>0.73943073471404497</v>
      </c>
      <c r="K105" s="80">
        <f>INDEX(Mortality!$B$7:$F$32, MATCH( E105,Mortality!$A$7:$A$32, 0), MATCH( K$3,Mortality!$B$6:$F$6,0))</f>
        <v>0.34799999999999998</v>
      </c>
      <c r="L105" s="11" cm="1">
        <f t="array" ref="L105">PAD_Res_Mort</f>
        <v>0.15</v>
      </c>
      <c r="M105" s="80">
        <f t="shared" si="73"/>
        <v>0.40019999999999994</v>
      </c>
      <c r="N105" s="76">
        <f>INDEX('Myopia_(Reserve)'!$H:$H, MATCH(E105, 'Myopia_(Reserve)'!$A:$A, 0)) * Trend_Factor_Reserve^(A105)</f>
        <v>12.019797148499897</v>
      </c>
      <c r="O105" s="11">
        <f t="shared" si="56"/>
        <v>0.3</v>
      </c>
      <c r="P105" s="80">
        <f t="shared" si="74"/>
        <v>15.625736293049867</v>
      </c>
      <c r="Q105" s="76">
        <f>VLOOKUP(C105,Others!$L$10:$M$61,2)</f>
        <v>0</v>
      </c>
      <c r="R105" s="11">
        <f t="shared" si="57"/>
        <v>0</v>
      </c>
      <c r="S105" s="80">
        <f t="shared" si="75"/>
        <v>0</v>
      </c>
      <c r="T105" s="78">
        <f t="shared" si="76"/>
        <v>3.3349999999999997E-5</v>
      </c>
      <c r="U105" s="81">
        <f t="shared" si="77"/>
        <v>1.302144691087489E-3</v>
      </c>
      <c r="V105" s="81">
        <f t="shared" si="78"/>
        <v>0</v>
      </c>
      <c r="W105" s="77">
        <f t="shared" si="58"/>
        <v>0.93813939177950534</v>
      </c>
      <c r="X105" s="82">
        <f t="shared" si="79"/>
        <v>3.1266578648761172E-5</v>
      </c>
      <c r="Y105" s="82">
        <f t="shared" si="80"/>
        <v>1.2215728584386435E-3</v>
      </c>
      <c r="Z105" s="82">
        <f t="shared" si="81"/>
        <v>0</v>
      </c>
      <c r="AA105" s="82">
        <f t="shared" si="82"/>
        <v>0.93688655234241791</v>
      </c>
      <c r="AC105" s="46">
        <f t="shared" si="59"/>
        <v>0</v>
      </c>
      <c r="AD105" s="15">
        <f t="shared" si="83"/>
        <v>0</v>
      </c>
      <c r="AE105" s="46">
        <f t="shared" si="84"/>
        <v>0</v>
      </c>
      <c r="AF105" s="15">
        <f t="shared" si="85"/>
        <v>0</v>
      </c>
      <c r="AG105" s="46">
        <f>SUMPRODUCT(AE106:AE$605, $I105:$I$604) / $I105</f>
        <v>0</v>
      </c>
      <c r="AI105" s="46">
        <f t="shared" si="60"/>
        <v>-47000</v>
      </c>
      <c r="AJ105" s="46">
        <f>IF(E105&gt;Mat_Year,0,  -SUM($AD$5:AD105))</f>
        <v>-9306</v>
      </c>
      <c r="AK105" s="24">
        <f t="shared" si="86"/>
        <v>-0.29096678090537148</v>
      </c>
      <c r="AL105" s="79">
        <f t="shared" si="87"/>
        <v>-57.413924346616241</v>
      </c>
      <c r="AM105" s="24">
        <f t="shared" si="88"/>
        <v>-61.509932994141053</v>
      </c>
      <c r="AN105" s="79">
        <f t="shared" si="89"/>
        <v>-57.704891127521613</v>
      </c>
      <c r="AO105" s="15">
        <f t="shared" si="90"/>
        <v>-8394.5586631946026</v>
      </c>
      <c r="AP105" s="46">
        <f>SUMPRODUCT(AN106:AN$605, $I106:$I$605) / $I105</f>
        <v>-7875.2661585467622</v>
      </c>
      <c r="AR105" s="46">
        <v>0</v>
      </c>
      <c r="AS105" s="46">
        <v>0</v>
      </c>
      <c r="AT105" s="46">
        <v>0</v>
      </c>
      <c r="AU105" s="95">
        <f t="shared" si="61"/>
        <v>-2.1134357913860633</v>
      </c>
      <c r="AV105" s="47">
        <f t="shared" si="62"/>
        <v>0.1</v>
      </c>
      <c r="AW105" s="96">
        <f t="shared" si="91"/>
        <v>-2.32477937052467</v>
      </c>
      <c r="AX105" s="95">
        <f t="shared" si="63"/>
        <v>-24.234063741226855</v>
      </c>
      <c r="AY105" s="11">
        <f t="shared" si="64"/>
        <v>0.1</v>
      </c>
      <c r="AZ105" s="96">
        <f t="shared" si="92"/>
        <v>-26.657470115349543</v>
      </c>
      <c r="BA105" s="95">
        <f t="shared" si="93"/>
        <v>-2.1809671046855552</v>
      </c>
      <c r="BB105" s="64">
        <f t="shared" si="94"/>
        <v>-3.339752985348883E-2</v>
      </c>
      <c r="BC105" s="95">
        <f t="shared" si="106"/>
        <v>-2.32477937052467</v>
      </c>
      <c r="BD105" s="96">
        <f t="shared" si="106"/>
        <v>-3.5599752175568371E-2</v>
      </c>
      <c r="BE105" s="96">
        <f t="shared" si="95"/>
        <v>-2.1809671046855552</v>
      </c>
      <c r="BF105" s="96">
        <f t="shared" si="96"/>
        <v>-3.339752985348883E-2</v>
      </c>
      <c r="BG105" s="15">
        <f t="shared" si="97"/>
        <v>-262.61109997434062</v>
      </c>
      <c r="BH105" s="46">
        <f>(SUMPRODUCT(BE106:BE$605,$I105:$I$604)+SUMPRODUCT(BF106:BF$605,$I106:$I$605)) / $I105</f>
        <v>-246.36581760447478</v>
      </c>
      <c r="BJ105" s="46">
        <f t="shared" si="98"/>
        <v>-2.1809671046855552</v>
      </c>
      <c r="BK105" s="46">
        <f t="shared" si="99"/>
        <v>-57.738288657375101</v>
      </c>
      <c r="BM105" s="49">
        <f t="shared" si="65"/>
        <v>8668.7464515798674</v>
      </c>
      <c r="BN105" s="50">
        <f t="shared" si="100"/>
        <v>8121.6319761512304</v>
      </c>
      <c r="BP105" s="68">
        <f>INDEX(Others!$H$11:$I$60, MATCH(C105, Others!$A$11:$A$60, 0), MATCH(BP$3, Others!$H$10:$I$10, 0))</f>
        <v>3.7052379686406012E-2</v>
      </c>
      <c r="BQ105" s="16">
        <f t="shared" si="101"/>
        <v>3.0364706625878313E-3</v>
      </c>
      <c r="BR105" s="69">
        <f t="shared" si="102"/>
        <v>0.79655459399605977</v>
      </c>
      <c r="BT105" s="46">
        <f t="shared" si="103"/>
        <v>8510.8523275093175</v>
      </c>
      <c r="BU105" s="49">
        <f t="shared" si="66"/>
        <v>415.44021566426852</v>
      </c>
      <c r="BV105" s="46">
        <f t="shared" si="104"/>
        <v>389.2203513580871</v>
      </c>
      <c r="BX105" s="46">
        <f t="shared" si="105"/>
        <v>9084.1866672441356</v>
      </c>
    </row>
    <row r="106" spans="1:76" x14ac:dyDescent="0.25">
      <c r="A106" s="61">
        <f t="shared" si="55"/>
        <v>8.4166666666666572</v>
      </c>
      <c r="B106" s="32">
        <f t="shared" si="67"/>
        <v>5</v>
      </c>
      <c r="C106" s="62">
        <f t="shared" si="68"/>
        <v>9</v>
      </c>
      <c r="D106" s="64">
        <f t="shared" si="69"/>
        <v>8.9166666666666572</v>
      </c>
      <c r="E106" s="28">
        <f t="shared" si="70"/>
        <v>8</v>
      </c>
      <c r="G106" s="68">
        <f>INDEX(Others!$D$11:$E$60, MATCH(C106, Others!$A$11:$A$60, 0), MATCH(G$3, Others!$D$10:$E$10, 0))</f>
        <v>4.9403172915208016E-2</v>
      </c>
      <c r="H106" s="16">
        <f t="shared" si="71"/>
        <v>4.026551179866944E-3</v>
      </c>
      <c r="I106" s="69">
        <f t="shared" si="72"/>
        <v>0.73646531941323057</v>
      </c>
      <c r="K106" s="80">
        <f>INDEX(Mortality!$B$7:$F$32, MATCH( E106,Mortality!$A$7:$A$32, 0), MATCH( K$3,Mortality!$B$6:$F$6,0))</f>
        <v>0.34799999999999998</v>
      </c>
      <c r="L106" s="11" cm="1">
        <f t="array" ref="L106">PAD_Res_Mort</f>
        <v>0.15</v>
      </c>
      <c r="M106" s="80">
        <f t="shared" si="73"/>
        <v>0.40019999999999994</v>
      </c>
      <c r="N106" s="76">
        <f>INDEX('Myopia_(Reserve)'!$H:$H, MATCH(E106, 'Myopia_(Reserve)'!$A:$A, 0)) * Trend_Factor_Reserve^(A106)</f>
        <v>12.019797148499897</v>
      </c>
      <c r="O106" s="11">
        <f t="shared" si="56"/>
        <v>0.3</v>
      </c>
      <c r="P106" s="80">
        <f t="shared" si="74"/>
        <v>15.625736293049867</v>
      </c>
      <c r="Q106" s="76">
        <f>VLOOKUP(C106,Others!$L$10:$M$61,2)</f>
        <v>0</v>
      </c>
      <c r="R106" s="11">
        <f t="shared" si="57"/>
        <v>0</v>
      </c>
      <c r="S106" s="80">
        <f t="shared" si="75"/>
        <v>0</v>
      </c>
      <c r="T106" s="78">
        <f t="shared" si="76"/>
        <v>3.3349999999999997E-5</v>
      </c>
      <c r="U106" s="81">
        <f t="shared" si="77"/>
        <v>1.302144691087489E-3</v>
      </c>
      <c r="V106" s="81">
        <f t="shared" si="78"/>
        <v>0</v>
      </c>
      <c r="W106" s="77">
        <f t="shared" si="58"/>
        <v>0.93688655234241791</v>
      </c>
      <c r="X106" s="82">
        <f t="shared" si="79"/>
        <v>3.1224823656766155E-5</v>
      </c>
      <c r="Y106" s="82">
        <f t="shared" si="80"/>
        <v>1.2199415074200868E-3</v>
      </c>
      <c r="Z106" s="82">
        <f t="shared" si="81"/>
        <v>0</v>
      </c>
      <c r="AA106" s="82">
        <f t="shared" si="82"/>
        <v>0.93563538601134111</v>
      </c>
      <c r="AC106" s="46">
        <f t="shared" si="59"/>
        <v>0</v>
      </c>
      <c r="AD106" s="15">
        <f t="shared" si="83"/>
        <v>0</v>
      </c>
      <c r="AE106" s="46">
        <f t="shared" si="84"/>
        <v>0</v>
      </c>
      <c r="AF106" s="15">
        <f t="shared" si="85"/>
        <v>0</v>
      </c>
      <c r="AG106" s="46">
        <f>SUMPRODUCT(AE107:AE$605, $I106:$I$604) / $I106</f>
        <v>0</v>
      </c>
      <c r="AI106" s="46">
        <f t="shared" si="60"/>
        <v>-47000</v>
      </c>
      <c r="AJ106" s="46">
        <f>IF(E106&gt;Mat_Year,0,  -SUM($AD$5:AD106))</f>
        <v>-9306</v>
      </c>
      <c r="AK106" s="24">
        <f t="shared" si="86"/>
        <v>-0.29057820894986586</v>
      </c>
      <c r="AL106" s="79">
        <f t="shared" si="87"/>
        <v>-57.337250848744084</v>
      </c>
      <c r="AM106" s="24">
        <f t="shared" si="88"/>
        <v>-61.509932994141053</v>
      </c>
      <c r="AN106" s="79">
        <f t="shared" si="89"/>
        <v>-57.627829057693951</v>
      </c>
      <c r="AO106" s="15">
        <f t="shared" si="90"/>
        <v>-8378.1205655118756</v>
      </c>
      <c r="AP106" s="46">
        <f>SUMPRODUCT(AN107:AN$605, $I107:$I$605) / $I106</f>
        <v>-7849.3484917315291</v>
      </c>
      <c r="AR106" s="46">
        <v>0</v>
      </c>
      <c r="AS106" s="46">
        <v>0</v>
      </c>
      <c r="AT106" s="46">
        <v>0</v>
      </c>
      <c r="AU106" s="95">
        <f t="shared" si="61"/>
        <v>-2.1175306827269376</v>
      </c>
      <c r="AV106" s="47">
        <f t="shared" si="62"/>
        <v>0.1</v>
      </c>
      <c r="AW106" s="96">
        <f t="shared" si="91"/>
        <v>-2.3292837509996316</v>
      </c>
      <c r="AX106" s="95">
        <f t="shared" si="63"/>
        <v>-24.281018495268878</v>
      </c>
      <c r="AY106" s="11">
        <f t="shared" si="64"/>
        <v>0.1</v>
      </c>
      <c r="AZ106" s="96">
        <f t="shared" si="92"/>
        <v>-26.709120344795767</v>
      </c>
      <c r="BA106" s="95">
        <f t="shared" si="93"/>
        <v>-2.18227462290126</v>
      </c>
      <c r="BB106" s="64">
        <f t="shared" si="94"/>
        <v>-3.341755210808825E-2</v>
      </c>
      <c r="BC106" s="95">
        <f t="shared" si="106"/>
        <v>-2.3292837509996316</v>
      </c>
      <c r="BD106" s="96">
        <f t="shared" si="106"/>
        <v>-3.5668728539797245E-2</v>
      </c>
      <c r="BE106" s="96">
        <f t="shared" si="95"/>
        <v>-2.18227462290126</v>
      </c>
      <c r="BF106" s="96">
        <f t="shared" si="96"/>
        <v>-3.341755210808825E-2</v>
      </c>
      <c r="BG106" s="15">
        <f t="shared" si="97"/>
        <v>-261.64677286665705</v>
      </c>
      <c r="BH106" s="46">
        <f>(SUMPRODUCT(BE107:BE$605,$I106:$I$604)+SUMPRODUCT(BF107:BF$605,$I107:$I$605)) / $I106</f>
        <v>-245.13334296256204</v>
      </c>
      <c r="BJ106" s="46">
        <f t="shared" si="98"/>
        <v>-2.18227462290126</v>
      </c>
      <c r="BK106" s="46">
        <f t="shared" si="99"/>
        <v>-57.661246609802042</v>
      </c>
      <c r="BM106" s="49">
        <f t="shared" si="65"/>
        <v>8651.3207556217531</v>
      </c>
      <c r="BN106" s="50">
        <f t="shared" si="100"/>
        <v>8094.4818346940865</v>
      </c>
      <c r="BP106" s="68">
        <f>INDEX(Others!$H$11:$I$60, MATCH(C106, Others!$A$11:$A$60, 0), MATCH(BP$3, Others!$H$10:$I$10, 0))</f>
        <v>3.7052379686406012E-2</v>
      </c>
      <c r="BQ106" s="16">
        <f t="shared" si="101"/>
        <v>3.0364706625878313E-3</v>
      </c>
      <c r="BR106" s="69">
        <f t="shared" si="102"/>
        <v>0.79414320146292405</v>
      </c>
      <c r="BT106" s="46">
        <f t="shared" si="103"/>
        <v>8476.8451332698442</v>
      </c>
      <c r="BU106" s="49">
        <f t="shared" si="66"/>
        <v>408.66699174962895</v>
      </c>
      <c r="BV106" s="46">
        <f t="shared" si="104"/>
        <v>382.36329857575765</v>
      </c>
      <c r="BX106" s="46">
        <f t="shared" si="105"/>
        <v>9059.9877473713823</v>
      </c>
    </row>
    <row r="107" spans="1:76" x14ac:dyDescent="0.25">
      <c r="A107" s="61">
        <f t="shared" si="55"/>
        <v>8.4999999999999911</v>
      </c>
      <c r="B107" s="32">
        <f t="shared" si="67"/>
        <v>6</v>
      </c>
      <c r="C107" s="62">
        <f t="shared" si="68"/>
        <v>9</v>
      </c>
      <c r="D107" s="64">
        <f t="shared" si="69"/>
        <v>8.9999999999999911</v>
      </c>
      <c r="E107" s="28">
        <f t="shared" si="70"/>
        <v>9</v>
      </c>
      <c r="G107" s="68">
        <f>INDEX(Others!$D$11:$E$60, MATCH(C107, Others!$A$11:$A$60, 0), MATCH(G$3, Others!$D$10:$E$10, 0))</f>
        <v>4.9403172915208016E-2</v>
      </c>
      <c r="H107" s="16">
        <f t="shared" si="71"/>
        <v>4.026551179866944E-3</v>
      </c>
      <c r="I107" s="69">
        <f t="shared" si="72"/>
        <v>0.73351179662309152</v>
      </c>
      <c r="K107" s="80">
        <f>INDEX(Mortality!$B$7:$F$32, MATCH( E107,Mortality!$A$7:$A$32, 0), MATCH( K$3,Mortality!$B$6:$F$6,0))</f>
        <v>0.35100000000000003</v>
      </c>
      <c r="L107" s="11" cm="1">
        <f t="array" ref="L107">PAD_Res_Mort</f>
        <v>0.15</v>
      </c>
      <c r="M107" s="80">
        <f t="shared" si="73"/>
        <v>0.40365000000000001</v>
      </c>
      <c r="N107" s="76">
        <f>INDEX('Myopia_(Reserve)'!$H:$H, MATCH(E107, 'Myopia_(Reserve)'!$A:$A, 0)) * Trend_Factor_Reserve^(A107)</f>
        <v>11.877037566228701</v>
      </c>
      <c r="O107" s="11">
        <f t="shared" si="56"/>
        <v>0.3</v>
      </c>
      <c r="P107" s="80">
        <f t="shared" si="74"/>
        <v>15.440148836097311</v>
      </c>
      <c r="Q107" s="76">
        <f>VLOOKUP(C107,Others!$L$10:$M$61,2)</f>
        <v>0</v>
      </c>
      <c r="R107" s="11">
        <f t="shared" si="57"/>
        <v>0</v>
      </c>
      <c r="S107" s="80">
        <f t="shared" si="75"/>
        <v>0</v>
      </c>
      <c r="T107" s="78">
        <f t="shared" si="76"/>
        <v>3.3637500000000004E-5</v>
      </c>
      <c r="U107" s="81">
        <f t="shared" si="77"/>
        <v>1.2866790696747759E-3</v>
      </c>
      <c r="V107" s="81">
        <f t="shared" si="78"/>
        <v>0</v>
      </c>
      <c r="W107" s="77">
        <f t="shared" si="58"/>
        <v>0.93563538601134111</v>
      </c>
      <c r="X107" s="82">
        <f t="shared" si="79"/>
        <v>3.1452187835072349E-5</v>
      </c>
      <c r="Y107" s="82">
        <f t="shared" si="80"/>
        <v>1.2038422205659881E-3</v>
      </c>
      <c r="Z107" s="82">
        <f t="shared" si="81"/>
        <v>0</v>
      </c>
      <c r="AA107" s="82">
        <f t="shared" si="82"/>
        <v>0.93440009160294002</v>
      </c>
      <c r="AC107" s="46">
        <f t="shared" si="59"/>
        <v>0</v>
      </c>
      <c r="AD107" s="15">
        <f t="shared" si="83"/>
        <v>0</v>
      </c>
      <c r="AE107" s="46">
        <f t="shared" si="84"/>
        <v>0</v>
      </c>
      <c r="AF107" s="15">
        <f t="shared" si="85"/>
        <v>0</v>
      </c>
      <c r="AG107" s="46">
        <f>SUMPRODUCT(AE108:AE$605, $I107:$I$604) / $I107</f>
        <v>0</v>
      </c>
      <c r="AI107" s="46">
        <f t="shared" si="60"/>
        <v>-47000</v>
      </c>
      <c r="AJ107" s="46">
        <f>IF(E107&gt;Mat_Year,0,  -SUM($AD$5:AD107))</f>
        <v>-9306</v>
      </c>
      <c r="AK107" s="24">
        <f t="shared" si="86"/>
        <v>-0.29269405999318326</v>
      </c>
      <c r="AL107" s="79">
        <f t="shared" si="87"/>
        <v>-56.580584366601443</v>
      </c>
      <c r="AM107" s="24">
        <f t="shared" si="88"/>
        <v>-60.785728369090613</v>
      </c>
      <c r="AN107" s="79">
        <f t="shared" si="89"/>
        <v>-56.873278426594624</v>
      </c>
      <c r="AO107" s="15">
        <f t="shared" si="90"/>
        <v>-8362.318413468669</v>
      </c>
      <c r="AP107" s="46">
        <f>SUMPRODUCT(AN108:AN$605, $I108:$I$605) / $I107</f>
        <v>-7824.081016735503</v>
      </c>
      <c r="AR107" s="46">
        <v>0</v>
      </c>
      <c r="AS107" s="46">
        <v>0</v>
      </c>
      <c r="AT107" s="46">
        <v>0</v>
      </c>
      <c r="AU107" s="95">
        <f t="shared" si="61"/>
        <v>-2.1216335081319371</v>
      </c>
      <c r="AV107" s="47">
        <f t="shared" si="62"/>
        <v>0.1</v>
      </c>
      <c r="AW107" s="96">
        <f t="shared" si="91"/>
        <v>-2.333796858945131</v>
      </c>
      <c r="AX107" s="95">
        <f t="shared" si="63"/>
        <v>-24.328064226579539</v>
      </c>
      <c r="AY107" s="11">
        <f t="shared" si="64"/>
        <v>0.1</v>
      </c>
      <c r="AZ107" s="96">
        <f t="shared" si="92"/>
        <v>-26.760870649237496</v>
      </c>
      <c r="BA107" s="95">
        <f t="shared" si="93"/>
        <v>-2.1835829249911831</v>
      </c>
      <c r="BB107" s="64">
        <f t="shared" si="94"/>
        <v>-3.3057553876947136E-2</v>
      </c>
      <c r="BC107" s="95">
        <f t="shared" si="106"/>
        <v>-2.333796858945131</v>
      </c>
      <c r="BD107" s="96">
        <f t="shared" si="106"/>
        <v>-3.5331662708774927E-2</v>
      </c>
      <c r="BE107" s="96">
        <f t="shared" si="95"/>
        <v>-2.1835829249911831</v>
      </c>
      <c r="BF107" s="96">
        <f t="shared" si="96"/>
        <v>-3.3057553876947136E-2</v>
      </c>
      <c r="BG107" s="15">
        <f t="shared" si="97"/>
        <v>-260.67307390580595</v>
      </c>
      <c r="BH107" s="46">
        <f>(SUMPRODUCT(BE108:BE$605,$I107:$I$604)+SUMPRODUCT(BF108:BF$605,$I108:$I$605)) / $I107</f>
        <v>-243.89495212662158</v>
      </c>
      <c r="BJ107" s="46">
        <f t="shared" si="98"/>
        <v>-2.1835829249911831</v>
      </c>
      <c r="BK107" s="46">
        <f t="shared" si="99"/>
        <v>-56.906335980471567</v>
      </c>
      <c r="BM107" s="49">
        <f t="shared" si="65"/>
        <v>8634.3912435001039</v>
      </c>
      <c r="BN107" s="50">
        <f t="shared" si="100"/>
        <v>8067.9759688621198</v>
      </c>
      <c r="BP107" s="68">
        <f>INDEX(Others!$H$11:$I$60, MATCH(C107, Others!$A$11:$A$60, 0), MATCH(BP$3, Others!$H$10:$I$10, 0))</f>
        <v>3.7052379686406012E-2</v>
      </c>
      <c r="BQ107" s="16">
        <f t="shared" si="101"/>
        <v>3.0364706625878313E-3</v>
      </c>
      <c r="BR107" s="69">
        <f t="shared" si="102"/>
        <v>0.79173910888636712</v>
      </c>
      <c r="BT107" s="46">
        <f t="shared" si="103"/>
        <v>8443.4882755373656</v>
      </c>
      <c r="BU107" s="49">
        <f t="shared" si="66"/>
        <v>401.87528880809913</v>
      </c>
      <c r="BV107" s="46">
        <f t="shared" si="104"/>
        <v>375.51230667524578</v>
      </c>
      <c r="BX107" s="46">
        <f t="shared" si="105"/>
        <v>9036.2665323082038</v>
      </c>
    </row>
    <row r="108" spans="1:76" x14ac:dyDescent="0.25">
      <c r="A108" s="61">
        <f t="shared" si="55"/>
        <v>8.583333333333325</v>
      </c>
      <c r="B108" s="32">
        <f t="shared" si="67"/>
        <v>7</v>
      </c>
      <c r="C108" s="62">
        <f t="shared" si="68"/>
        <v>9</v>
      </c>
      <c r="D108" s="64">
        <f t="shared" si="69"/>
        <v>9.083333333333325</v>
      </c>
      <c r="E108" s="28">
        <f t="shared" si="70"/>
        <v>9</v>
      </c>
      <c r="G108" s="68">
        <f>INDEX(Others!$D$11:$E$60, MATCH(C108, Others!$A$11:$A$60, 0), MATCH(G$3, Others!$D$10:$E$10, 0))</f>
        <v>4.9403172915208016E-2</v>
      </c>
      <c r="H108" s="16">
        <f t="shared" si="71"/>
        <v>4.026551179866944E-3</v>
      </c>
      <c r="I108" s="69">
        <f t="shared" si="72"/>
        <v>0.73057011864986632</v>
      </c>
      <c r="K108" s="80">
        <f>INDEX(Mortality!$B$7:$F$32, MATCH( E108,Mortality!$A$7:$A$32, 0), MATCH( K$3,Mortality!$B$6:$F$6,0))</f>
        <v>0.35100000000000003</v>
      </c>
      <c r="L108" s="11" cm="1">
        <f t="array" ref="L108">PAD_Res_Mort</f>
        <v>0.15</v>
      </c>
      <c r="M108" s="80">
        <f t="shared" si="73"/>
        <v>0.40365000000000001</v>
      </c>
      <c r="N108" s="76">
        <f>INDEX('Myopia_(Reserve)'!$H:$H, MATCH(E108, 'Myopia_(Reserve)'!$A:$A, 0)) * Trend_Factor_Reserve^(A108)</f>
        <v>11.877037566228701</v>
      </c>
      <c r="O108" s="11">
        <f t="shared" si="56"/>
        <v>0.3</v>
      </c>
      <c r="P108" s="80">
        <f t="shared" si="74"/>
        <v>15.440148836097311</v>
      </c>
      <c r="Q108" s="76">
        <f>VLOOKUP(C108,Others!$L$10:$M$61,2)</f>
        <v>0</v>
      </c>
      <c r="R108" s="11">
        <f t="shared" si="57"/>
        <v>0</v>
      </c>
      <c r="S108" s="80">
        <f t="shared" si="75"/>
        <v>0</v>
      </c>
      <c r="T108" s="78">
        <f t="shared" si="76"/>
        <v>3.3637500000000004E-5</v>
      </c>
      <c r="U108" s="81">
        <f t="shared" si="77"/>
        <v>1.2866790696747759E-3</v>
      </c>
      <c r="V108" s="81">
        <f t="shared" si="78"/>
        <v>0</v>
      </c>
      <c r="W108" s="77">
        <f t="shared" si="58"/>
        <v>0.93440009160294002</v>
      </c>
      <c r="X108" s="82">
        <f t="shared" si="79"/>
        <v>3.141066235159285E-5</v>
      </c>
      <c r="Y108" s="82">
        <f t="shared" si="80"/>
        <v>1.2022528198379952E-3</v>
      </c>
      <c r="Z108" s="82">
        <f t="shared" si="81"/>
        <v>0</v>
      </c>
      <c r="AA108" s="82">
        <f t="shared" si="82"/>
        <v>0.93316642812075046</v>
      </c>
      <c r="AC108" s="46">
        <f t="shared" si="59"/>
        <v>0</v>
      </c>
      <c r="AD108" s="15">
        <f t="shared" si="83"/>
        <v>0</v>
      </c>
      <c r="AE108" s="46">
        <f t="shared" si="84"/>
        <v>0</v>
      </c>
      <c r="AF108" s="15">
        <f t="shared" si="85"/>
        <v>0</v>
      </c>
      <c r="AG108" s="46">
        <f>SUMPRODUCT(AE109:AE$605, $I108:$I$604) / $I108</f>
        <v>0</v>
      </c>
      <c r="AI108" s="46">
        <f t="shared" si="60"/>
        <v>-47000</v>
      </c>
      <c r="AJ108" s="46">
        <f>IF(E108&gt;Mat_Year,0,  -SUM($AD$5:AD108))</f>
        <v>-9306</v>
      </c>
      <c r="AK108" s="24">
        <f t="shared" si="86"/>
        <v>-0.29230762384392306</v>
      </c>
      <c r="AL108" s="79">
        <f t="shared" si="87"/>
        <v>-56.505882532385776</v>
      </c>
      <c r="AM108" s="24">
        <f t="shared" si="88"/>
        <v>-60.785728369090613</v>
      </c>
      <c r="AN108" s="79">
        <f t="shared" si="89"/>
        <v>-56.798190156229701</v>
      </c>
      <c r="AO108" s="15">
        <f t="shared" si="90"/>
        <v>-8346.3036437100091</v>
      </c>
      <c r="AP108" s="46">
        <f>SUMPRODUCT(AN109:AN$605, $I109:$I$605) / $I108</f>
        <v>-7798.7868892285842</v>
      </c>
      <c r="AR108" s="46">
        <v>0</v>
      </c>
      <c r="AS108" s="46">
        <v>0</v>
      </c>
      <c r="AT108" s="46">
        <v>0</v>
      </c>
      <c r="AU108" s="95">
        <f t="shared" si="61"/>
        <v>-2.1257442829737219</v>
      </c>
      <c r="AV108" s="47">
        <f t="shared" si="62"/>
        <v>0.1</v>
      </c>
      <c r="AW108" s="96">
        <f t="shared" si="91"/>
        <v>-2.3383187112710941</v>
      </c>
      <c r="AX108" s="95">
        <f t="shared" si="63"/>
        <v>-24.375201111432009</v>
      </c>
      <c r="AY108" s="11">
        <f t="shared" si="64"/>
        <v>0.1</v>
      </c>
      <c r="AZ108" s="96">
        <f t="shared" si="92"/>
        <v>-26.812721222575213</v>
      </c>
      <c r="BA108" s="95">
        <f t="shared" si="93"/>
        <v>-2.184925218008579</v>
      </c>
      <c r="BB108" s="64">
        <f t="shared" si="94"/>
        <v>-3.3077875030420804E-2</v>
      </c>
      <c r="BC108" s="95">
        <f t="shared" si="106"/>
        <v>-2.3383187112710941</v>
      </c>
      <c r="BD108" s="96">
        <f t="shared" si="106"/>
        <v>-3.5400119635772442E-2</v>
      </c>
      <c r="BE108" s="96">
        <f t="shared" si="95"/>
        <v>-2.184925218008579</v>
      </c>
      <c r="BF108" s="96">
        <f t="shared" si="96"/>
        <v>-3.3077875030420804E-2</v>
      </c>
      <c r="BG108" s="15">
        <f t="shared" si="97"/>
        <v>-259.68555547908477</v>
      </c>
      <c r="BH108" s="46">
        <f>(SUMPRODUCT(BE109:BE$605,$I108:$I$604)+SUMPRODUCT(BF109:BF$605,$I109:$I$605)) / $I108</f>
        <v>-242.65020682761718</v>
      </c>
      <c r="BJ108" s="46">
        <f t="shared" si="98"/>
        <v>-2.184925218008579</v>
      </c>
      <c r="BK108" s="46">
        <f t="shared" si="99"/>
        <v>-56.831268031260123</v>
      </c>
      <c r="BM108" s="49">
        <f t="shared" si="65"/>
        <v>8617.3664779715436</v>
      </c>
      <c r="BN108" s="50">
        <f t="shared" si="100"/>
        <v>8041.4370960561964</v>
      </c>
      <c r="BP108" s="68">
        <f>INDEX(Others!$H$11:$I$60, MATCH(C108, Others!$A$11:$A$60, 0), MATCH(BP$3, Others!$H$10:$I$10, 0))</f>
        <v>3.7052379686406012E-2</v>
      </c>
      <c r="BQ108" s="16">
        <f t="shared" si="101"/>
        <v>3.0364706625878313E-3</v>
      </c>
      <c r="BR108" s="69">
        <f t="shared" si="102"/>
        <v>0.7893422941673881</v>
      </c>
      <c r="BT108" s="46">
        <f t="shared" si="103"/>
        <v>8410.1038522653471</v>
      </c>
      <c r="BU108" s="49">
        <f t="shared" si="66"/>
        <v>395.07074525986451</v>
      </c>
      <c r="BV108" s="46">
        <f t="shared" si="104"/>
        <v>368.66675620915066</v>
      </c>
      <c r="BX108" s="46">
        <f t="shared" si="105"/>
        <v>9012.437223231409</v>
      </c>
    </row>
    <row r="109" spans="1:76" x14ac:dyDescent="0.25">
      <c r="A109" s="61">
        <f t="shared" si="55"/>
        <v>8.666666666666659</v>
      </c>
      <c r="B109" s="32">
        <f t="shared" si="67"/>
        <v>8</v>
      </c>
      <c r="C109" s="62">
        <f t="shared" si="68"/>
        <v>9</v>
      </c>
      <c r="D109" s="64">
        <f t="shared" si="69"/>
        <v>9.166666666666659</v>
      </c>
      <c r="E109" s="28">
        <f t="shared" si="70"/>
        <v>9</v>
      </c>
      <c r="G109" s="68">
        <f>INDEX(Others!$D$11:$E$60, MATCH(C109, Others!$A$11:$A$60, 0), MATCH(G$3, Others!$D$10:$E$10, 0))</f>
        <v>4.9403172915208016E-2</v>
      </c>
      <c r="H109" s="16">
        <f t="shared" si="71"/>
        <v>4.026551179866944E-3</v>
      </c>
      <c r="I109" s="69">
        <f t="shared" si="72"/>
        <v>0.7276402379910647</v>
      </c>
      <c r="K109" s="80">
        <f>INDEX(Mortality!$B$7:$F$32, MATCH( E109,Mortality!$A$7:$A$32, 0), MATCH( K$3,Mortality!$B$6:$F$6,0))</f>
        <v>0.35100000000000003</v>
      </c>
      <c r="L109" s="11" cm="1">
        <f t="array" ref="L109">PAD_Res_Mort</f>
        <v>0.15</v>
      </c>
      <c r="M109" s="80">
        <f t="shared" si="73"/>
        <v>0.40365000000000001</v>
      </c>
      <c r="N109" s="76">
        <f>INDEX('Myopia_(Reserve)'!$H:$H, MATCH(E109, 'Myopia_(Reserve)'!$A:$A, 0)) * Trend_Factor_Reserve^(A109)</f>
        <v>11.877037566228701</v>
      </c>
      <c r="O109" s="11">
        <f t="shared" si="56"/>
        <v>0.3</v>
      </c>
      <c r="P109" s="80">
        <f t="shared" si="74"/>
        <v>15.440148836097311</v>
      </c>
      <c r="Q109" s="76">
        <f>VLOOKUP(C109,Others!$L$10:$M$61,2)</f>
        <v>0</v>
      </c>
      <c r="R109" s="11">
        <f t="shared" si="57"/>
        <v>0</v>
      </c>
      <c r="S109" s="80">
        <f t="shared" si="75"/>
        <v>0</v>
      </c>
      <c r="T109" s="78">
        <f t="shared" si="76"/>
        <v>3.3637500000000004E-5</v>
      </c>
      <c r="U109" s="81">
        <f t="shared" si="77"/>
        <v>1.2866790696747759E-3</v>
      </c>
      <c r="V109" s="81">
        <f t="shared" si="78"/>
        <v>0</v>
      </c>
      <c r="W109" s="77">
        <f t="shared" si="58"/>
        <v>0.93316642812075046</v>
      </c>
      <c r="X109" s="82">
        <f t="shared" si="79"/>
        <v>3.136919169310001E-5</v>
      </c>
      <c r="Y109" s="82">
        <f t="shared" si="80"/>
        <v>1.200665517553329E-3</v>
      </c>
      <c r="Z109" s="82">
        <f t="shared" si="81"/>
        <v>0</v>
      </c>
      <c r="AA109" s="82">
        <f t="shared" si="82"/>
        <v>0.93193439341150408</v>
      </c>
      <c r="AC109" s="46">
        <f t="shared" si="59"/>
        <v>0</v>
      </c>
      <c r="AD109" s="15">
        <f t="shared" si="83"/>
        <v>0</v>
      </c>
      <c r="AE109" s="46">
        <f t="shared" si="84"/>
        <v>0</v>
      </c>
      <c r="AF109" s="15">
        <f t="shared" si="85"/>
        <v>0</v>
      </c>
      <c r="AG109" s="46">
        <f>SUMPRODUCT(AE110:AE$605, $I109:$I$604) / $I109</f>
        <v>0</v>
      </c>
      <c r="AI109" s="46">
        <f t="shared" si="60"/>
        <v>-47000</v>
      </c>
      <c r="AJ109" s="46">
        <f>IF(E109&gt;Mat_Year,0,  -SUM($AD$5:AD109))</f>
        <v>-9306</v>
      </c>
      <c r="AK109" s="24">
        <f t="shared" si="86"/>
        <v>-0.29192169789598871</v>
      </c>
      <c r="AL109" s="79">
        <f t="shared" si="87"/>
        <v>-56.431279325006464</v>
      </c>
      <c r="AM109" s="24">
        <f t="shared" si="88"/>
        <v>-60.785728369090606</v>
      </c>
      <c r="AN109" s="79">
        <f t="shared" si="89"/>
        <v>-56.723201022902451</v>
      </c>
      <c r="AO109" s="15">
        <f t="shared" si="90"/>
        <v>-8330.2031325865064</v>
      </c>
      <c r="AP109" s="46">
        <f>SUMPRODUCT(AN110:AN$605, $I110:$I$605) / $I109</f>
        <v>-7773.4659027560365</v>
      </c>
      <c r="AR109" s="46">
        <v>0</v>
      </c>
      <c r="AS109" s="46">
        <v>0</v>
      </c>
      <c r="AT109" s="46">
        <v>0</v>
      </c>
      <c r="AU109" s="95">
        <f t="shared" si="61"/>
        <v>-2.1298630226547384</v>
      </c>
      <c r="AV109" s="47">
        <f t="shared" si="62"/>
        <v>0.1</v>
      </c>
      <c r="AW109" s="96">
        <f t="shared" si="91"/>
        <v>-2.3428493249202123</v>
      </c>
      <c r="AX109" s="95">
        <f t="shared" si="63"/>
        <v>-24.422429326440994</v>
      </c>
      <c r="AY109" s="11">
        <f t="shared" si="64"/>
        <v>0.1</v>
      </c>
      <c r="AZ109" s="96">
        <f t="shared" si="92"/>
        <v>-26.864672259085097</v>
      </c>
      <c r="BA109" s="95">
        <f t="shared" si="93"/>
        <v>-2.1862683361609059</v>
      </c>
      <c r="BB109" s="64">
        <f t="shared" si="94"/>
        <v>-3.3098208675722517E-2</v>
      </c>
      <c r="BC109" s="95">
        <f t="shared" si="106"/>
        <v>-2.3428493249202123</v>
      </c>
      <c r="BD109" s="96">
        <f t="shared" si="106"/>
        <v>-3.54687092016127E-2</v>
      </c>
      <c r="BE109" s="96">
        <f t="shared" si="95"/>
        <v>-2.1862683361609059</v>
      </c>
      <c r="BF109" s="96">
        <f t="shared" si="96"/>
        <v>-3.3098208675722517E-2</v>
      </c>
      <c r="BG109" s="15">
        <f t="shared" si="97"/>
        <v>-258.68813253833866</v>
      </c>
      <c r="BH109" s="46">
        <f>(SUMPRODUCT(BE110:BE$605,$I109:$I$604)+SUMPRODUCT(BF110:BF$605,$I110:$I$605)) / $I109</f>
        <v>-241.39908063802875</v>
      </c>
      <c r="BJ109" s="46">
        <f t="shared" si="98"/>
        <v>-2.1862683361609059</v>
      </c>
      <c r="BK109" s="46">
        <f t="shared" si="99"/>
        <v>-56.756299231578176</v>
      </c>
      <c r="BM109" s="49">
        <f t="shared" si="65"/>
        <v>8600.2459401184733</v>
      </c>
      <c r="BN109" s="50">
        <f t="shared" si="100"/>
        <v>8014.8649833940599</v>
      </c>
      <c r="BP109" s="68">
        <f>INDEX(Others!$H$11:$I$60, MATCH(C109, Others!$A$11:$A$60, 0), MATCH(BP$3, Others!$H$10:$I$10, 0))</f>
        <v>3.7052379686406012E-2</v>
      </c>
      <c r="BQ109" s="16">
        <f t="shared" si="101"/>
        <v>3.0364706625878313E-3</v>
      </c>
      <c r="BR109" s="69">
        <f t="shared" si="102"/>
        <v>0.78695273527388565</v>
      </c>
      <c r="BT109" s="46">
        <f t="shared" si="103"/>
        <v>8376.6916797746653</v>
      </c>
      <c r="BU109" s="49">
        <f t="shared" si="66"/>
        <v>388.25339952963571</v>
      </c>
      <c r="BV109" s="46">
        <f t="shared" si="104"/>
        <v>361.82669638060543</v>
      </c>
      <c r="BX109" s="46">
        <f t="shared" si="105"/>
        <v>8988.4993396481095</v>
      </c>
    </row>
    <row r="110" spans="1:76" x14ac:dyDescent="0.25">
      <c r="A110" s="61">
        <f t="shared" si="55"/>
        <v>8.7499999999999929</v>
      </c>
      <c r="B110" s="32">
        <f t="shared" si="67"/>
        <v>9</v>
      </c>
      <c r="C110" s="62">
        <f t="shared" si="68"/>
        <v>9</v>
      </c>
      <c r="D110" s="64">
        <f t="shared" si="69"/>
        <v>9.2499999999999929</v>
      </c>
      <c r="E110" s="28">
        <f t="shared" si="70"/>
        <v>9</v>
      </c>
      <c r="G110" s="68">
        <f>INDEX(Others!$D$11:$E$60, MATCH(C110, Others!$A$11:$A$60, 0), MATCH(G$3, Others!$D$10:$E$10, 0))</f>
        <v>4.9403172915208016E-2</v>
      </c>
      <c r="H110" s="16">
        <f t="shared" si="71"/>
        <v>4.026551179866944E-3</v>
      </c>
      <c r="I110" s="69">
        <f t="shared" si="72"/>
        <v>0.72472210733470055</v>
      </c>
      <c r="K110" s="80">
        <f>INDEX(Mortality!$B$7:$F$32, MATCH( E110,Mortality!$A$7:$A$32, 0), MATCH( K$3,Mortality!$B$6:$F$6,0))</f>
        <v>0.35100000000000003</v>
      </c>
      <c r="L110" s="11" cm="1">
        <f t="array" ref="L110">PAD_Res_Mort</f>
        <v>0.15</v>
      </c>
      <c r="M110" s="80">
        <f t="shared" si="73"/>
        <v>0.40365000000000001</v>
      </c>
      <c r="N110" s="76">
        <f>INDEX('Myopia_(Reserve)'!$H:$H, MATCH(E110, 'Myopia_(Reserve)'!$A:$A, 0)) * Trend_Factor_Reserve^(A110)</f>
        <v>11.877037566228701</v>
      </c>
      <c r="O110" s="11">
        <f t="shared" si="56"/>
        <v>0.3</v>
      </c>
      <c r="P110" s="80">
        <f t="shared" si="74"/>
        <v>15.440148836097311</v>
      </c>
      <c r="Q110" s="76">
        <f>VLOOKUP(C110,Others!$L$10:$M$61,2)</f>
        <v>0</v>
      </c>
      <c r="R110" s="11">
        <f t="shared" si="57"/>
        <v>0</v>
      </c>
      <c r="S110" s="80">
        <f t="shared" si="75"/>
        <v>0</v>
      </c>
      <c r="T110" s="78">
        <f t="shared" si="76"/>
        <v>3.3637500000000004E-5</v>
      </c>
      <c r="U110" s="81">
        <f t="shared" si="77"/>
        <v>1.2866790696747759E-3</v>
      </c>
      <c r="V110" s="81">
        <f t="shared" si="78"/>
        <v>0</v>
      </c>
      <c r="W110" s="77">
        <f t="shared" si="58"/>
        <v>0.93193439341150408</v>
      </c>
      <c r="X110" s="82">
        <f t="shared" si="79"/>
        <v>3.132777578720985E-5</v>
      </c>
      <c r="Y110" s="82">
        <f t="shared" si="80"/>
        <v>1.1990803109414711E-3</v>
      </c>
      <c r="Z110" s="82">
        <f t="shared" si="81"/>
        <v>0</v>
      </c>
      <c r="AA110" s="82">
        <f t="shared" si="82"/>
        <v>0.93070398532477538</v>
      </c>
      <c r="AC110" s="46">
        <f t="shared" si="59"/>
        <v>0</v>
      </c>
      <c r="AD110" s="15">
        <f t="shared" si="83"/>
        <v>0</v>
      </c>
      <c r="AE110" s="46">
        <f t="shared" si="84"/>
        <v>0</v>
      </c>
      <c r="AF110" s="15">
        <f t="shared" si="85"/>
        <v>0</v>
      </c>
      <c r="AG110" s="46">
        <f>SUMPRODUCT(AE111:AE$605, $I110:$I$604) / $I110</f>
        <v>0</v>
      </c>
      <c r="AI110" s="46">
        <f t="shared" si="60"/>
        <v>-47000</v>
      </c>
      <c r="AJ110" s="46">
        <f>IF(E110&gt;Mat_Year,0,  -SUM($AD$5:AD110))</f>
        <v>-9306</v>
      </c>
      <c r="AK110" s="24">
        <f t="shared" si="86"/>
        <v>-0.29153628147577487</v>
      </c>
      <c r="AL110" s="79">
        <f t="shared" si="87"/>
        <v>-56.35677461424914</v>
      </c>
      <c r="AM110" s="24">
        <f t="shared" si="88"/>
        <v>-60.785728369090606</v>
      </c>
      <c r="AN110" s="79">
        <f t="shared" si="89"/>
        <v>-56.648310895724912</v>
      </c>
      <c r="AO110" s="15">
        <f t="shared" si="90"/>
        <v>-8314.0164210480616</v>
      </c>
      <c r="AP110" s="46">
        <f>SUMPRODUCT(AN111:AN$605, $I111:$I$605) / $I110</f>
        <v>-7748.1178501627091</v>
      </c>
      <c r="AR110" s="46">
        <v>0</v>
      </c>
      <c r="AS110" s="46">
        <v>0</v>
      </c>
      <c r="AT110" s="46">
        <v>0</v>
      </c>
      <c r="AU110" s="95">
        <f t="shared" si="61"/>
        <v>-2.1339897426072745</v>
      </c>
      <c r="AV110" s="47">
        <f t="shared" si="62"/>
        <v>0.1</v>
      </c>
      <c r="AW110" s="96">
        <f t="shared" si="91"/>
        <v>-2.3473887168680023</v>
      </c>
      <c r="AX110" s="95">
        <f t="shared" si="63"/>
        <v>-24.469749048563408</v>
      </c>
      <c r="AY110" s="11">
        <f t="shared" si="64"/>
        <v>0.1</v>
      </c>
      <c r="AZ110" s="96">
        <f t="shared" si="92"/>
        <v>-26.916723953419751</v>
      </c>
      <c r="BA110" s="95">
        <f t="shared" si="93"/>
        <v>-2.1876122799553905</v>
      </c>
      <c r="BB110" s="64">
        <f t="shared" si="94"/>
        <v>-3.3118554820531255E-2</v>
      </c>
      <c r="BC110" s="95">
        <f t="shared" si="106"/>
        <v>-2.3473887168680023</v>
      </c>
      <c r="BD110" s="96">
        <f t="shared" si="106"/>
        <v>-3.5537431663290334E-2</v>
      </c>
      <c r="BE110" s="96">
        <f t="shared" si="95"/>
        <v>-2.1876122799553905</v>
      </c>
      <c r="BF110" s="96">
        <f t="shared" si="96"/>
        <v>-3.3118554820531255E-2</v>
      </c>
      <c r="BG110" s="15">
        <f t="shared" si="97"/>
        <v>-257.68074310931786</v>
      </c>
      <c r="BH110" s="46">
        <f>(SUMPRODUCT(BE111:BE$605,$I110:$I$604)+SUMPRODUCT(BF111:BF$605,$I111:$I$605)) / $I110</f>
        <v>-240.14154702340772</v>
      </c>
      <c r="BJ110" s="46">
        <f t="shared" si="98"/>
        <v>-2.1876122799553905</v>
      </c>
      <c r="BK110" s="46">
        <f t="shared" si="99"/>
        <v>-56.681429450545444</v>
      </c>
      <c r="BM110" s="49">
        <f t="shared" si="65"/>
        <v>8583.0291082277417</v>
      </c>
      <c r="BN110" s="50">
        <f t="shared" si="100"/>
        <v>7988.2593971861115</v>
      </c>
      <c r="BP110" s="68">
        <f>INDEX(Others!$H$11:$I$60, MATCH(C110, Others!$A$11:$A$60, 0), MATCH(BP$3, Others!$H$10:$I$10, 0))</f>
        <v>3.7052379686406012E-2</v>
      </c>
      <c r="BQ110" s="16">
        <f t="shared" si="101"/>
        <v>3.0364706625878313E-3</v>
      </c>
      <c r="BR110" s="69">
        <f t="shared" si="102"/>
        <v>0.78457041024045604</v>
      </c>
      <c r="BT110" s="46">
        <f t="shared" si="103"/>
        <v>8343.2515739588343</v>
      </c>
      <c r="BU110" s="49">
        <f t="shared" si="66"/>
        <v>381.42329072422086</v>
      </c>
      <c r="BV110" s="46">
        <f t="shared" si="104"/>
        <v>354.99217677272281</v>
      </c>
      <c r="BX110" s="46">
        <f t="shared" si="105"/>
        <v>8964.4523989519621</v>
      </c>
    </row>
    <row r="111" spans="1:76" x14ac:dyDescent="0.25">
      <c r="A111" s="61">
        <f t="shared" si="55"/>
        <v>8.8333333333333268</v>
      </c>
      <c r="B111" s="32">
        <f t="shared" si="67"/>
        <v>10</v>
      </c>
      <c r="C111" s="62">
        <f t="shared" si="68"/>
        <v>9</v>
      </c>
      <c r="D111" s="64">
        <f t="shared" si="69"/>
        <v>9.3333333333333268</v>
      </c>
      <c r="E111" s="28">
        <f t="shared" si="70"/>
        <v>9</v>
      </c>
      <c r="G111" s="68">
        <f>INDEX(Others!$D$11:$E$60, MATCH(C111, Others!$A$11:$A$60, 0), MATCH(G$3, Others!$D$10:$E$10, 0))</f>
        <v>4.9403172915208016E-2</v>
      </c>
      <c r="H111" s="16">
        <f t="shared" si="71"/>
        <v>4.026551179866944E-3</v>
      </c>
      <c r="I111" s="69">
        <f t="shared" si="72"/>
        <v>0.72181567955852766</v>
      </c>
      <c r="K111" s="80">
        <f>INDEX(Mortality!$B$7:$F$32, MATCH( E111,Mortality!$A$7:$A$32, 0), MATCH( K$3,Mortality!$B$6:$F$6,0))</f>
        <v>0.35100000000000003</v>
      </c>
      <c r="L111" s="11" cm="1">
        <f t="array" ref="L111">PAD_Res_Mort</f>
        <v>0.15</v>
      </c>
      <c r="M111" s="80">
        <f t="shared" si="73"/>
        <v>0.40365000000000001</v>
      </c>
      <c r="N111" s="76">
        <f>INDEX('Myopia_(Reserve)'!$H:$H, MATCH(E111, 'Myopia_(Reserve)'!$A:$A, 0)) * Trend_Factor_Reserve^(A111)</f>
        <v>11.877037566228701</v>
      </c>
      <c r="O111" s="11">
        <f t="shared" si="56"/>
        <v>0.3</v>
      </c>
      <c r="P111" s="80">
        <f t="shared" si="74"/>
        <v>15.440148836097311</v>
      </c>
      <c r="Q111" s="76">
        <f>VLOOKUP(C111,Others!$L$10:$M$61,2)</f>
        <v>0</v>
      </c>
      <c r="R111" s="11">
        <f t="shared" si="57"/>
        <v>0</v>
      </c>
      <c r="S111" s="80">
        <f t="shared" si="75"/>
        <v>0</v>
      </c>
      <c r="T111" s="78">
        <f t="shared" si="76"/>
        <v>3.3637500000000004E-5</v>
      </c>
      <c r="U111" s="81">
        <f t="shared" si="77"/>
        <v>1.2866790696747759E-3</v>
      </c>
      <c r="V111" s="81">
        <f t="shared" si="78"/>
        <v>0</v>
      </c>
      <c r="W111" s="77">
        <f t="shared" si="58"/>
        <v>0.93070398532477538</v>
      </c>
      <c r="X111" s="82">
        <f t="shared" si="79"/>
        <v>3.1286414561633975E-5</v>
      </c>
      <c r="Y111" s="82">
        <f t="shared" si="80"/>
        <v>1.1974971972355602E-3</v>
      </c>
      <c r="Z111" s="82">
        <f t="shared" si="81"/>
        <v>0</v>
      </c>
      <c r="AA111" s="82">
        <f t="shared" si="82"/>
        <v>0.92947520171297815</v>
      </c>
      <c r="AC111" s="46">
        <f t="shared" si="59"/>
        <v>0</v>
      </c>
      <c r="AD111" s="15">
        <f t="shared" si="83"/>
        <v>0</v>
      </c>
      <c r="AE111" s="46">
        <f t="shared" si="84"/>
        <v>0</v>
      </c>
      <c r="AF111" s="15">
        <f t="shared" si="85"/>
        <v>0</v>
      </c>
      <c r="AG111" s="46">
        <f>SUMPRODUCT(AE112:AE$605, $I111:$I$604) / $I111</f>
        <v>0</v>
      </c>
      <c r="AI111" s="46">
        <f t="shared" si="60"/>
        <v>-47000</v>
      </c>
      <c r="AJ111" s="46">
        <f>IF(E111&gt;Mat_Year,0,  -SUM($AD$5:AD111))</f>
        <v>-9306</v>
      </c>
      <c r="AK111" s="24">
        <f t="shared" si="86"/>
        <v>-0.29115137391056578</v>
      </c>
      <c r="AL111" s="79">
        <f t="shared" si="87"/>
        <v>-56.282368270071331</v>
      </c>
      <c r="AM111" s="24">
        <f t="shared" si="88"/>
        <v>-60.78572836909062</v>
      </c>
      <c r="AN111" s="79">
        <f t="shared" si="89"/>
        <v>-56.573519643981896</v>
      </c>
      <c r="AO111" s="15">
        <f t="shared" si="90"/>
        <v>-8297.7430475868714</v>
      </c>
      <c r="AP111" s="46">
        <f>SUMPRODUCT(AN112:AN$605, $I112:$I$605) / $I111</f>
        <v>-7722.7425235900482</v>
      </c>
      <c r="AR111" s="46">
        <v>0</v>
      </c>
      <c r="AS111" s="46">
        <v>0</v>
      </c>
      <c r="AT111" s="46">
        <v>0</v>
      </c>
      <c r="AU111" s="95">
        <f t="shared" si="61"/>
        <v>-2.1381244582935199</v>
      </c>
      <c r="AV111" s="47">
        <f t="shared" si="62"/>
        <v>0.1</v>
      </c>
      <c r="AW111" s="96">
        <f t="shared" si="91"/>
        <v>-2.3519369041228719</v>
      </c>
      <c r="AX111" s="95">
        <f t="shared" si="63"/>
        <v>-24.517160455099027</v>
      </c>
      <c r="AY111" s="11">
        <f t="shared" si="64"/>
        <v>0.1</v>
      </c>
      <c r="AZ111" s="96">
        <f t="shared" si="92"/>
        <v>-26.968876500608932</v>
      </c>
      <c r="BA111" s="95">
        <f t="shared" si="93"/>
        <v>-2.188957049899571</v>
      </c>
      <c r="BB111" s="64">
        <f t="shared" si="94"/>
        <v>-3.3138913472530715E-2</v>
      </c>
      <c r="BC111" s="95">
        <f t="shared" si="106"/>
        <v>-2.3519369041228719</v>
      </c>
      <c r="BD111" s="96">
        <f t="shared" si="106"/>
        <v>-3.5606287278297913E-2</v>
      </c>
      <c r="BE111" s="96">
        <f t="shared" si="95"/>
        <v>-2.188957049899571</v>
      </c>
      <c r="BF111" s="96">
        <f t="shared" si="96"/>
        <v>-3.3138913472530715E-2</v>
      </c>
      <c r="BG111" s="15">
        <f t="shared" si="97"/>
        <v>-256.66332486863467</v>
      </c>
      <c r="BH111" s="46">
        <f>(SUMPRODUCT(BE112:BE$605,$I111:$I$604)+SUMPRODUCT(BF112:BF$605,$I112:$I$605)) / $I111</f>
        <v>-238.87757934194585</v>
      </c>
      <c r="BJ111" s="46">
        <f t="shared" si="98"/>
        <v>-2.188957049899571</v>
      </c>
      <c r="BK111" s="46">
        <f t="shared" si="99"/>
        <v>-56.606658557454431</v>
      </c>
      <c r="BM111" s="49">
        <f t="shared" si="65"/>
        <v>8565.715457775641</v>
      </c>
      <c r="BN111" s="50">
        <f t="shared" si="100"/>
        <v>7961.6201029319882</v>
      </c>
      <c r="BP111" s="68">
        <f>INDEX(Others!$H$11:$I$60, MATCH(C111, Others!$A$11:$A$60, 0), MATCH(BP$3, Others!$H$10:$I$10, 0))</f>
        <v>3.7052379686406012E-2</v>
      </c>
      <c r="BQ111" s="16">
        <f t="shared" si="101"/>
        <v>3.0364706625878313E-3</v>
      </c>
      <c r="BR111" s="69">
        <f t="shared" si="102"/>
        <v>0.7821952971681907</v>
      </c>
      <c r="BT111" s="46">
        <f t="shared" si="103"/>
        <v>8309.7833502825324</v>
      </c>
      <c r="BU111" s="49">
        <f t="shared" si="66"/>
        <v>374.58045863826823</v>
      </c>
      <c r="BV111" s="46">
        <f t="shared" si="104"/>
        <v>348.16324735054422</v>
      </c>
      <c r="BX111" s="46">
        <f t="shared" si="105"/>
        <v>8940.2959164139083</v>
      </c>
    </row>
    <row r="112" spans="1:76" x14ac:dyDescent="0.25">
      <c r="A112" s="61">
        <f t="shared" si="55"/>
        <v>8.9166666666666607</v>
      </c>
      <c r="B112" s="32">
        <f t="shared" si="67"/>
        <v>11</v>
      </c>
      <c r="C112" s="62">
        <f t="shared" si="68"/>
        <v>9</v>
      </c>
      <c r="D112" s="64">
        <f t="shared" si="69"/>
        <v>9.4166666666666607</v>
      </c>
      <c r="E112" s="28">
        <f t="shared" si="70"/>
        <v>9</v>
      </c>
      <c r="G112" s="68">
        <f>INDEX(Others!$D$11:$E$60, MATCH(C112, Others!$A$11:$A$60, 0), MATCH(G$3, Others!$D$10:$E$10, 0))</f>
        <v>4.9403172915208016E-2</v>
      </c>
      <c r="H112" s="16">
        <f t="shared" si="71"/>
        <v>4.026551179866944E-3</v>
      </c>
      <c r="I112" s="69">
        <f t="shared" si="72"/>
        <v>0.7189209077292793</v>
      </c>
      <c r="K112" s="80">
        <f>INDEX(Mortality!$B$7:$F$32, MATCH( E112,Mortality!$A$7:$A$32, 0), MATCH( K$3,Mortality!$B$6:$F$6,0))</f>
        <v>0.35100000000000003</v>
      </c>
      <c r="L112" s="11" cm="1">
        <f t="array" ref="L112">PAD_Res_Mort</f>
        <v>0.15</v>
      </c>
      <c r="M112" s="80">
        <f t="shared" si="73"/>
        <v>0.40365000000000001</v>
      </c>
      <c r="N112" s="76">
        <f>INDEX('Myopia_(Reserve)'!$H:$H, MATCH(E112, 'Myopia_(Reserve)'!$A:$A, 0)) * Trend_Factor_Reserve^(A112)</f>
        <v>11.877037566228701</v>
      </c>
      <c r="O112" s="11">
        <f t="shared" si="56"/>
        <v>0.3</v>
      </c>
      <c r="P112" s="80">
        <f t="shared" si="74"/>
        <v>15.440148836097311</v>
      </c>
      <c r="Q112" s="76">
        <f>VLOOKUP(C112,Others!$L$10:$M$61,2)</f>
        <v>0</v>
      </c>
      <c r="R112" s="11">
        <f t="shared" si="57"/>
        <v>0</v>
      </c>
      <c r="S112" s="80">
        <f t="shared" si="75"/>
        <v>0</v>
      </c>
      <c r="T112" s="78">
        <f t="shared" si="76"/>
        <v>3.3637500000000004E-5</v>
      </c>
      <c r="U112" s="81">
        <f t="shared" si="77"/>
        <v>1.2866790696747759E-3</v>
      </c>
      <c r="V112" s="81">
        <f t="shared" si="78"/>
        <v>0</v>
      </c>
      <c r="W112" s="77">
        <f t="shared" si="58"/>
        <v>0.92947520171297815</v>
      </c>
      <c r="X112" s="82">
        <f t="shared" si="79"/>
        <v>3.124510794417943E-5</v>
      </c>
      <c r="Y112" s="82">
        <f t="shared" si="80"/>
        <v>1.1959161736723885E-3</v>
      </c>
      <c r="Z112" s="82">
        <f t="shared" si="81"/>
        <v>0</v>
      </c>
      <c r="AA112" s="82">
        <f t="shared" si="82"/>
        <v>0.92824804043136155</v>
      </c>
      <c r="AC112" s="46">
        <f t="shared" si="59"/>
        <v>0</v>
      </c>
      <c r="AD112" s="15">
        <f t="shared" si="83"/>
        <v>0</v>
      </c>
      <c r="AE112" s="46">
        <f t="shared" si="84"/>
        <v>0</v>
      </c>
      <c r="AF112" s="15">
        <f t="shared" si="85"/>
        <v>0</v>
      </c>
      <c r="AG112" s="46">
        <f>SUMPRODUCT(AE113:AE$605, $I112:$I$604) / $I112</f>
        <v>0</v>
      </c>
      <c r="AI112" s="46">
        <f t="shared" si="60"/>
        <v>-47000</v>
      </c>
      <c r="AJ112" s="46">
        <f>IF(E112&gt;Mat_Year,0,  -SUM($AD$5:AD112))</f>
        <v>-9306</v>
      </c>
      <c r="AK112" s="24">
        <f t="shared" si="86"/>
        <v>-0.29076697452853378</v>
      </c>
      <c r="AL112" s="79">
        <f t="shared" si="87"/>
        <v>-56.208060162602258</v>
      </c>
      <c r="AM112" s="24">
        <f t="shared" si="88"/>
        <v>-60.785728369090606</v>
      </c>
      <c r="AN112" s="79">
        <f t="shared" si="89"/>
        <v>-56.498827137130789</v>
      </c>
      <c r="AO112" s="15">
        <f t="shared" si="90"/>
        <v>-8281.3825482242664</v>
      </c>
      <c r="AP112" s="46">
        <f>SUMPRODUCT(AN113:AN$605, $I113:$I$605) / $I112</f>
        <v>-7697.339714473087</v>
      </c>
      <c r="AR112" s="46">
        <v>0</v>
      </c>
      <c r="AS112" s="46">
        <v>0</v>
      </c>
      <c r="AT112" s="46">
        <v>0</v>
      </c>
      <c r="AU112" s="95">
        <f t="shared" si="61"/>
        <v>-2.1422671852056232</v>
      </c>
      <c r="AV112" s="47">
        <f t="shared" si="62"/>
        <v>0.1</v>
      </c>
      <c r="AW112" s="96">
        <f t="shared" si="91"/>
        <v>-2.3564939037261858</v>
      </c>
      <c r="AX112" s="95">
        <f t="shared" si="63"/>
        <v>-24.564663723691144</v>
      </c>
      <c r="AY112" s="11">
        <f t="shared" si="64"/>
        <v>0.1</v>
      </c>
      <c r="AZ112" s="96">
        <f t="shared" si="92"/>
        <v>-27.021130096060261</v>
      </c>
      <c r="BA112" s="95">
        <f t="shared" si="93"/>
        <v>-2.1903026465013</v>
      </c>
      <c r="BB112" s="64">
        <f t="shared" si="94"/>
        <v>-3.3159284639409328E-2</v>
      </c>
      <c r="BC112" s="95">
        <f t="shared" si="106"/>
        <v>-2.3564939037261858</v>
      </c>
      <c r="BD112" s="96">
        <f t="shared" si="106"/>
        <v>-3.5675276304626913E-2</v>
      </c>
      <c r="BE112" s="96">
        <f t="shared" si="95"/>
        <v>-2.1903026465013</v>
      </c>
      <c r="BF112" s="96">
        <f t="shared" si="96"/>
        <v>-3.3159284639409328E-2</v>
      </c>
      <c r="BG112" s="15">
        <f t="shared" si="97"/>
        <v>-255.63581514186086</v>
      </c>
      <c r="BH112" s="46">
        <f>(SUMPRODUCT(BE113:BE$605,$I112:$I$604)+SUMPRODUCT(BF113:BF$605,$I113:$I$605)) / $I112</f>
        <v>-237.60715084404271</v>
      </c>
      <c r="BJ112" s="46">
        <f t="shared" si="98"/>
        <v>-2.1903026465013</v>
      </c>
      <c r="BK112" s="46">
        <f t="shared" si="99"/>
        <v>-56.531986421770199</v>
      </c>
      <c r="BM112" s="49">
        <f t="shared" si="65"/>
        <v>8548.3044614128285</v>
      </c>
      <c r="BN112" s="50">
        <f t="shared" si="100"/>
        <v>7934.9468653171243</v>
      </c>
      <c r="BP112" s="68">
        <f>INDEX(Others!$H$11:$I$60, MATCH(C112, Others!$A$11:$A$60, 0), MATCH(BP$3, Others!$H$10:$I$10, 0))</f>
        <v>3.7052379686406012E-2</v>
      </c>
      <c r="BQ112" s="16">
        <f t="shared" si="101"/>
        <v>3.0364706625878313E-3</v>
      </c>
      <c r="BR112" s="69">
        <f t="shared" si="102"/>
        <v>0.77982737422447512</v>
      </c>
      <c r="BT112" s="46">
        <f t="shared" si="103"/>
        <v>8276.2868237801267</v>
      </c>
      <c r="BU112" s="49">
        <f t="shared" si="66"/>
        <v>367.72494376005363</v>
      </c>
      <c r="BV112" s="46">
        <f t="shared" si="104"/>
        <v>341.3399584630024</v>
      </c>
      <c r="BX112" s="46">
        <f t="shared" si="105"/>
        <v>8916.0294051728815</v>
      </c>
    </row>
    <row r="113" spans="1:76" x14ac:dyDescent="0.25">
      <c r="A113" s="61">
        <f t="shared" si="55"/>
        <v>8.9999999999999947</v>
      </c>
      <c r="B113" s="32">
        <f t="shared" si="67"/>
        <v>12</v>
      </c>
      <c r="C113" s="62">
        <f t="shared" si="68"/>
        <v>9</v>
      </c>
      <c r="D113" s="64">
        <f t="shared" si="69"/>
        <v>9.4999999999999947</v>
      </c>
      <c r="E113" s="28">
        <f t="shared" si="70"/>
        <v>9</v>
      </c>
      <c r="G113" s="68">
        <f>INDEX(Others!$D$11:$E$60, MATCH(C113, Others!$A$11:$A$60, 0), MATCH(G$3, Others!$D$10:$E$10, 0))</f>
        <v>4.9403172915208016E-2</v>
      </c>
      <c r="H113" s="16">
        <f t="shared" si="71"/>
        <v>4.026551179866944E-3</v>
      </c>
      <c r="I113" s="69">
        <f t="shared" si="72"/>
        <v>0.71603774510190998</v>
      </c>
      <c r="K113" s="80">
        <f>INDEX(Mortality!$B$7:$F$32, MATCH( E113,Mortality!$A$7:$A$32, 0), MATCH( K$3,Mortality!$B$6:$F$6,0))</f>
        <v>0.35100000000000003</v>
      </c>
      <c r="L113" s="11" cm="1">
        <f t="array" ref="L113">PAD_Res_Mort</f>
        <v>0.15</v>
      </c>
      <c r="M113" s="80">
        <f t="shared" si="73"/>
        <v>0.40365000000000001</v>
      </c>
      <c r="N113" s="76">
        <f>INDEX('Myopia_(Reserve)'!$H:$H, MATCH(E113, 'Myopia_(Reserve)'!$A:$A, 0)) * Trend_Factor_Reserve^(A113)</f>
        <v>11.877037566228701</v>
      </c>
      <c r="O113" s="11">
        <f t="shared" si="56"/>
        <v>0.3</v>
      </c>
      <c r="P113" s="80">
        <f t="shared" si="74"/>
        <v>15.440148836097311</v>
      </c>
      <c r="Q113" s="76">
        <f>VLOOKUP(C113,Others!$L$10:$M$61,2)</f>
        <v>0</v>
      </c>
      <c r="R113" s="11">
        <f t="shared" si="57"/>
        <v>0</v>
      </c>
      <c r="S113" s="80">
        <f t="shared" si="75"/>
        <v>0</v>
      </c>
      <c r="T113" s="78">
        <f t="shared" si="76"/>
        <v>3.3637500000000004E-5</v>
      </c>
      <c r="U113" s="81">
        <f t="shared" si="77"/>
        <v>1.2866790696747759E-3</v>
      </c>
      <c r="V113" s="81">
        <f t="shared" si="78"/>
        <v>0</v>
      </c>
      <c r="W113" s="77">
        <f t="shared" si="58"/>
        <v>0.92824804043136155</v>
      </c>
      <c r="X113" s="82">
        <f t="shared" si="79"/>
        <v>3.1203855862748578E-5</v>
      </c>
      <c r="Y113" s="82">
        <f t="shared" si="80"/>
        <v>1.1943372374923966E-3</v>
      </c>
      <c r="Z113" s="82">
        <f t="shared" si="81"/>
        <v>0</v>
      </c>
      <c r="AA113" s="82">
        <f t="shared" si="82"/>
        <v>0.9270224993380064</v>
      </c>
      <c r="AC113" s="46">
        <f t="shared" si="59"/>
        <v>0</v>
      </c>
      <c r="AD113" s="15">
        <f t="shared" si="83"/>
        <v>0</v>
      </c>
      <c r="AE113" s="46">
        <f t="shared" si="84"/>
        <v>0</v>
      </c>
      <c r="AF113" s="15">
        <f t="shared" si="85"/>
        <v>0</v>
      </c>
      <c r="AG113" s="46">
        <f>SUMPRODUCT(AE114:AE$605, $I113:$I$604) / $I113</f>
        <v>0</v>
      </c>
      <c r="AI113" s="46">
        <f t="shared" si="60"/>
        <v>-47000</v>
      </c>
      <c r="AJ113" s="46">
        <f>IF(E113&gt;Mat_Year,0,  -SUM($AD$5:AD113))</f>
        <v>-9306</v>
      </c>
      <c r="AK113" s="24">
        <f t="shared" si="86"/>
        <v>-0.29038308265873825</v>
      </c>
      <c r="AL113" s="79">
        <f t="shared" si="87"/>
        <v>-56.133850162142636</v>
      </c>
      <c r="AM113" s="24">
        <f t="shared" si="88"/>
        <v>-60.785728369090599</v>
      </c>
      <c r="AN113" s="79">
        <f t="shared" si="89"/>
        <v>-56.424233244801371</v>
      </c>
      <c r="AO113" s="15">
        <f t="shared" si="90"/>
        <v>-8264.9344564974908</v>
      </c>
      <c r="AP113" s="46">
        <f>SUMPRODUCT(AN114:AN$605, $I114:$I$605) / $I113</f>
        <v>-7671.9092135374358</v>
      </c>
      <c r="AR113" s="46">
        <v>0</v>
      </c>
      <c r="AS113" s="46">
        <v>0</v>
      </c>
      <c r="AT113" s="46">
        <v>0</v>
      </c>
      <c r="AU113" s="95">
        <f t="shared" si="61"/>
        <v>-2.1464179388657496</v>
      </c>
      <c r="AV113" s="47">
        <f t="shared" si="62"/>
        <v>0.1</v>
      </c>
      <c r="AW113" s="96">
        <f t="shared" si="91"/>
        <v>-2.3610597327523246</v>
      </c>
      <c r="AX113" s="95">
        <f t="shared" si="63"/>
        <v>-24.612259032327263</v>
      </c>
      <c r="AY113" s="11">
        <f t="shared" si="64"/>
        <v>0.1</v>
      </c>
      <c r="AZ113" s="96">
        <f t="shared" si="92"/>
        <v>-27.073484935559993</v>
      </c>
      <c r="BA113" s="95">
        <f t="shared" si="93"/>
        <v>-2.1916490702687397</v>
      </c>
      <c r="BB113" s="64">
        <f t="shared" si="94"/>
        <v>-3.3179668328860247E-2</v>
      </c>
      <c r="BC113" s="95">
        <f t="shared" si="106"/>
        <v>-2.3610597327523246</v>
      </c>
      <c r="BD113" s="96">
        <f t="shared" si="106"/>
        <v>-3.574439900076868E-2</v>
      </c>
      <c r="BE113" s="96">
        <f t="shared" si="95"/>
        <v>-2.1916490702687397</v>
      </c>
      <c r="BF113" s="96">
        <f t="shared" si="96"/>
        <v>-3.3179668328860247E-2</v>
      </c>
      <c r="BG113" s="15">
        <f t="shared" si="97"/>
        <v>-254.59815090161391</v>
      </c>
      <c r="BH113" s="46">
        <f>(SUMPRODUCT(BE114:BE$605,$I113:$I$604)+SUMPRODUCT(BF114:BF$605,$I114:$I$605)) / $I113</f>
        <v>-236.33023467187118</v>
      </c>
      <c r="BJ113" s="46">
        <f t="shared" si="98"/>
        <v>-2.1916490702687397</v>
      </c>
      <c r="BK113" s="46">
        <f t="shared" si="99"/>
        <v>-56.457412913130234</v>
      </c>
      <c r="BM113" s="49">
        <f t="shared" si="65"/>
        <v>8530.7955889491695</v>
      </c>
      <c r="BN113" s="50">
        <f t="shared" si="100"/>
        <v>7908.2394482092996</v>
      </c>
      <c r="BP113" s="68">
        <f>INDEX(Others!$H$11:$I$60, MATCH(C113, Others!$A$11:$A$60, 0), MATCH(BP$3, Others!$H$10:$I$10, 0))</f>
        <v>3.7052379686406012E-2</v>
      </c>
      <c r="BQ113" s="16">
        <f t="shared" si="101"/>
        <v>3.0364706625878313E-3</v>
      </c>
      <c r="BR113" s="69">
        <f t="shared" si="102"/>
        <v>0.77746661964278851</v>
      </c>
      <c r="BT113" s="46">
        <f t="shared" si="103"/>
        <v>8242.7618090541928</v>
      </c>
      <c r="BU113" s="49">
        <f t="shared" si="66"/>
        <v>360.85678727730783</v>
      </c>
      <c r="BV113" s="46">
        <f t="shared" si="104"/>
        <v>334.52236084489323</v>
      </c>
      <c r="BX113" s="46">
        <f t="shared" si="105"/>
        <v>8891.6523762264769</v>
      </c>
    </row>
    <row r="114" spans="1:76" x14ac:dyDescent="0.25">
      <c r="A114" s="61">
        <f t="shared" si="55"/>
        <v>9.0833333333333286</v>
      </c>
      <c r="B114" s="32">
        <f t="shared" si="67"/>
        <v>1</v>
      </c>
      <c r="C114" s="62">
        <f t="shared" si="68"/>
        <v>10</v>
      </c>
      <c r="D114" s="64">
        <f t="shared" si="69"/>
        <v>9.5833333333333286</v>
      </c>
      <c r="E114" s="28">
        <f t="shared" si="70"/>
        <v>9</v>
      </c>
      <c r="G114" s="68">
        <f>INDEX(Others!$D$11:$E$60, MATCH(C114, Others!$A$11:$A$60, 0), MATCH(G$3, Others!$D$10:$E$10, 0))</f>
        <v>5.2301154917290482E-2</v>
      </c>
      <c r="H114" s="16">
        <f t="shared" si="71"/>
        <v>4.2573152509506329E-3</v>
      </c>
      <c r="I114" s="69">
        <f t="shared" si="72"/>
        <v>0.71300226966530145</v>
      </c>
      <c r="K114" s="80">
        <f>INDEX(Mortality!$B$7:$F$32, MATCH( E114,Mortality!$A$7:$A$32, 0), MATCH( K$3,Mortality!$B$6:$F$6,0))</f>
        <v>0.35100000000000003</v>
      </c>
      <c r="L114" s="11" cm="1">
        <f t="array" ref="L114">PAD_Res_Mort</f>
        <v>0.15</v>
      </c>
      <c r="M114" s="80">
        <f t="shared" si="73"/>
        <v>0.40365000000000001</v>
      </c>
      <c r="N114" s="76">
        <f>INDEX('Myopia_(Reserve)'!$H:$H, MATCH(E114, 'Myopia_(Reserve)'!$A:$A, 0)) * Trend_Factor_Reserve^(A114)</f>
        <v>11.877037566228701</v>
      </c>
      <c r="O114" s="11">
        <f t="shared" si="56"/>
        <v>0.3</v>
      </c>
      <c r="P114" s="80">
        <f t="shared" si="74"/>
        <v>15.440148836097311</v>
      </c>
      <c r="Q114" s="76">
        <f>VLOOKUP(C114,Others!$L$10:$M$61,2)</f>
        <v>0</v>
      </c>
      <c r="R114" s="11">
        <f t="shared" si="57"/>
        <v>0</v>
      </c>
      <c r="S114" s="80">
        <f t="shared" si="75"/>
        <v>0</v>
      </c>
      <c r="T114" s="78">
        <f t="shared" si="76"/>
        <v>3.3637500000000004E-5</v>
      </c>
      <c r="U114" s="81">
        <f t="shared" si="77"/>
        <v>1.2866790696747759E-3</v>
      </c>
      <c r="V114" s="81">
        <f t="shared" si="78"/>
        <v>0</v>
      </c>
      <c r="W114" s="77">
        <f t="shared" si="58"/>
        <v>0.9270224993380064</v>
      </c>
      <c r="X114" s="82">
        <f t="shared" si="79"/>
        <v>3.1162658245338943E-5</v>
      </c>
      <c r="Y114" s="82">
        <f t="shared" si="80"/>
        <v>1.1927603859396684E-3</v>
      </c>
      <c r="Z114" s="82">
        <f t="shared" si="81"/>
        <v>0</v>
      </c>
      <c r="AA114" s="82">
        <f t="shared" si="82"/>
        <v>0.92579857629382134</v>
      </c>
      <c r="AC114" s="46">
        <f t="shared" si="59"/>
        <v>0</v>
      </c>
      <c r="AD114" s="15">
        <f t="shared" si="83"/>
        <v>0</v>
      </c>
      <c r="AE114" s="46">
        <f t="shared" si="84"/>
        <v>0</v>
      </c>
      <c r="AF114" s="15">
        <f t="shared" si="85"/>
        <v>0</v>
      </c>
      <c r="AG114" s="46">
        <f>SUMPRODUCT(AE115:AE$605, $I114:$I$604) / $I114</f>
        <v>0</v>
      </c>
      <c r="AI114" s="46">
        <f t="shared" si="60"/>
        <v>-47000</v>
      </c>
      <c r="AJ114" s="46">
        <f>IF(E114&gt;Mat_Year,0,  -SUM($AD$5:AD114))</f>
        <v>-9306</v>
      </c>
      <c r="AK114" s="24">
        <f t="shared" si="86"/>
        <v>-0.28999969763112421</v>
      </c>
      <c r="AL114" s="79">
        <f t="shared" si="87"/>
        <v>-56.059738139164416</v>
      </c>
      <c r="AM114" s="24">
        <f t="shared" si="88"/>
        <v>-60.785728369090613</v>
      </c>
      <c r="AN114" s="79">
        <f t="shared" si="89"/>
        <v>-56.349737836795541</v>
      </c>
      <c r="AO114" s="15">
        <f t="shared" si="90"/>
        <v>-8250.3080747888998</v>
      </c>
      <c r="AP114" s="46">
        <f>SUMPRODUCT(AN115:AN$605, $I115:$I$605) / $I114</f>
        <v>-7648.2212117993413</v>
      </c>
      <c r="AR114" s="46">
        <v>0</v>
      </c>
      <c r="AS114" s="46">
        <v>0</v>
      </c>
      <c r="AT114" s="46">
        <v>0</v>
      </c>
      <c r="AU114" s="95">
        <f t="shared" si="61"/>
        <v>-2.1505767348261391</v>
      </c>
      <c r="AV114" s="47">
        <f t="shared" si="62"/>
        <v>0.1</v>
      </c>
      <c r="AW114" s="96">
        <f t="shared" si="91"/>
        <v>-2.365634408308753</v>
      </c>
      <c r="AX114" s="95">
        <f t="shared" si="63"/>
        <v>-24.659946559339723</v>
      </c>
      <c r="AY114" s="11">
        <f t="shared" si="64"/>
        <v>0.1</v>
      </c>
      <c r="AZ114" s="96">
        <f t="shared" si="92"/>
        <v>-27.125941215273699</v>
      </c>
      <c r="BA114" s="95">
        <f t="shared" si="93"/>
        <v>-2.1929963217103663</v>
      </c>
      <c r="BB114" s="64">
        <f t="shared" si="94"/>
        <v>-3.3200064548581348E-2</v>
      </c>
      <c r="BC114" s="95">
        <f t="shared" si="106"/>
        <v>-2.365634408308753</v>
      </c>
      <c r="BD114" s="96">
        <f t="shared" si="106"/>
        <v>-3.5813655625715403E-2</v>
      </c>
      <c r="BE114" s="96">
        <f t="shared" si="95"/>
        <v>-2.1929963217103663</v>
      </c>
      <c r="BF114" s="96">
        <f t="shared" si="96"/>
        <v>-3.3200064548581348E-2</v>
      </c>
      <c r="BG114" s="15">
        <f t="shared" si="97"/>
        <v>-253.60855263938367</v>
      </c>
      <c r="BH114" s="46">
        <f>(SUMPRODUCT(BE115:BE$605,$I114:$I$604)+SUMPRODUCT(BF115:BF$605,$I115:$I$605)) / $I114</f>
        <v>-235.1008343212558</v>
      </c>
      <c r="BJ114" s="46">
        <f t="shared" si="98"/>
        <v>-2.1929963217103663</v>
      </c>
      <c r="BK114" s="46">
        <f t="shared" si="99"/>
        <v>-56.382937901344121</v>
      </c>
      <c r="BM114" s="49">
        <f t="shared" si="65"/>
        <v>8515.1589643605748</v>
      </c>
      <c r="BN114" s="50">
        <f t="shared" si="100"/>
        <v>7883.3220461205901</v>
      </c>
      <c r="BP114" s="68">
        <f>INDEX(Others!$H$11:$I$60, MATCH(C114, Others!$A$11:$A$60, 0), MATCH(BP$3, Others!$H$10:$I$10, 0))</f>
        <v>3.9225866187967862E-2</v>
      </c>
      <c r="BQ114" s="16">
        <f t="shared" si="101"/>
        <v>3.2114855175715551E-3</v>
      </c>
      <c r="BR114" s="69">
        <f t="shared" si="102"/>
        <v>0.77497778969474418</v>
      </c>
      <c r="BT114" s="46">
        <f t="shared" si="103"/>
        <v>8210.650342229781</v>
      </c>
      <c r="BU114" s="49">
        <f t="shared" si="66"/>
        <v>353.56318803120138</v>
      </c>
      <c r="BV114" s="46">
        <f t="shared" si="104"/>
        <v>327.32829610919089</v>
      </c>
      <c r="BX114" s="46">
        <f t="shared" si="105"/>
        <v>8868.722152391776</v>
      </c>
    </row>
    <row r="115" spans="1:76" x14ac:dyDescent="0.25">
      <c r="A115" s="61">
        <f t="shared" si="55"/>
        <v>9.1666666666666625</v>
      </c>
      <c r="B115" s="32">
        <f t="shared" si="67"/>
        <v>2</v>
      </c>
      <c r="C115" s="62">
        <f t="shared" si="68"/>
        <v>10</v>
      </c>
      <c r="D115" s="64">
        <f t="shared" si="69"/>
        <v>9.6666666666666625</v>
      </c>
      <c r="E115" s="28">
        <f t="shared" si="70"/>
        <v>9</v>
      </c>
      <c r="G115" s="68">
        <f>INDEX(Others!$D$11:$E$60, MATCH(C115, Others!$A$11:$A$60, 0), MATCH(G$3, Others!$D$10:$E$10, 0))</f>
        <v>5.2301154917290482E-2</v>
      </c>
      <c r="H115" s="16">
        <f t="shared" si="71"/>
        <v>4.2573152509506329E-3</v>
      </c>
      <c r="I115" s="69">
        <f t="shared" si="72"/>
        <v>0.70997966242061339</v>
      </c>
      <c r="K115" s="80">
        <f>INDEX(Mortality!$B$7:$F$32, MATCH( E115,Mortality!$A$7:$A$32, 0), MATCH( K$3,Mortality!$B$6:$F$6,0))</f>
        <v>0.35100000000000003</v>
      </c>
      <c r="L115" s="11" cm="1">
        <f t="array" ref="L115">PAD_Res_Mort</f>
        <v>0.15</v>
      </c>
      <c r="M115" s="80">
        <f t="shared" si="73"/>
        <v>0.40365000000000001</v>
      </c>
      <c r="N115" s="76">
        <f>INDEX('Myopia_(Reserve)'!$H:$H, MATCH(E115, 'Myopia_(Reserve)'!$A:$A, 0)) * Trend_Factor_Reserve^(A115)</f>
        <v>11.877037566228701</v>
      </c>
      <c r="O115" s="11">
        <f t="shared" si="56"/>
        <v>0.3</v>
      </c>
      <c r="P115" s="80">
        <f t="shared" si="74"/>
        <v>15.440148836097311</v>
      </c>
      <c r="Q115" s="76">
        <f>VLOOKUP(C115,Others!$L$10:$M$61,2)</f>
        <v>0</v>
      </c>
      <c r="R115" s="11">
        <f t="shared" si="57"/>
        <v>0</v>
      </c>
      <c r="S115" s="80">
        <f t="shared" si="75"/>
        <v>0</v>
      </c>
      <c r="T115" s="78">
        <f t="shared" si="76"/>
        <v>3.3637500000000004E-5</v>
      </c>
      <c r="U115" s="81">
        <f t="shared" si="77"/>
        <v>1.2866790696747759E-3</v>
      </c>
      <c r="V115" s="81">
        <f t="shared" si="78"/>
        <v>0</v>
      </c>
      <c r="W115" s="77">
        <f t="shared" si="58"/>
        <v>0.92579857629382134</v>
      </c>
      <c r="X115" s="82">
        <f t="shared" si="79"/>
        <v>3.1121515020043155E-5</v>
      </c>
      <c r="Y115" s="82">
        <f t="shared" si="80"/>
        <v>1.1911856162619258E-3</v>
      </c>
      <c r="Z115" s="82">
        <f t="shared" si="81"/>
        <v>0</v>
      </c>
      <c r="AA115" s="82">
        <f t="shared" si="82"/>
        <v>0.92457626916253932</v>
      </c>
      <c r="AC115" s="46">
        <f t="shared" si="59"/>
        <v>0</v>
      </c>
      <c r="AD115" s="15">
        <f t="shared" si="83"/>
        <v>0</v>
      </c>
      <c r="AE115" s="46">
        <f t="shared" si="84"/>
        <v>0</v>
      </c>
      <c r="AF115" s="15">
        <f t="shared" si="85"/>
        <v>0</v>
      </c>
      <c r="AG115" s="46">
        <f>SUMPRODUCT(AE116:AE$605, $I115:$I$604) / $I115</f>
        <v>0</v>
      </c>
      <c r="AI115" s="46">
        <f t="shared" si="60"/>
        <v>-47000</v>
      </c>
      <c r="AJ115" s="46">
        <f>IF(E115&gt;Mat_Year,0,  -SUM($AD$5:AD115))</f>
        <v>-9306</v>
      </c>
      <c r="AK115" s="24">
        <f t="shared" si="86"/>
        <v>-0.28961681877652162</v>
      </c>
      <c r="AL115" s="79">
        <f t="shared" si="87"/>
        <v>-55.985723964310516</v>
      </c>
      <c r="AM115" s="24">
        <f t="shared" si="88"/>
        <v>-60.785728369090613</v>
      </c>
      <c r="AN115" s="79">
        <f t="shared" si="89"/>
        <v>-56.275340783087039</v>
      </c>
      <c r="AO115" s="15">
        <f t="shared" si="90"/>
        <v>-8235.600005291104</v>
      </c>
      <c r="AP115" s="46">
        <f>SUMPRODUCT(AN116:AN$605, $I116:$I$605) / $I115</f>
        <v>-7624.506759823892</v>
      </c>
      <c r="AR115" s="46">
        <v>0</v>
      </c>
      <c r="AS115" s="46">
        <v>0</v>
      </c>
      <c r="AT115" s="46">
        <v>0</v>
      </c>
      <c r="AU115" s="95">
        <f t="shared" si="61"/>
        <v>-2.1547435886691644</v>
      </c>
      <c r="AV115" s="47">
        <f t="shared" si="62"/>
        <v>0.1</v>
      </c>
      <c r="AW115" s="96">
        <f t="shared" si="91"/>
        <v>-2.3702179475360809</v>
      </c>
      <c r="AX115" s="95">
        <f t="shared" si="63"/>
        <v>-24.707726483406418</v>
      </c>
      <c r="AY115" s="11">
        <f t="shared" si="64"/>
        <v>0.1</v>
      </c>
      <c r="AZ115" s="96">
        <f t="shared" si="92"/>
        <v>-27.178499131747063</v>
      </c>
      <c r="BA115" s="95">
        <f t="shared" si="93"/>
        <v>-2.1943444013349671</v>
      </c>
      <c r="BB115" s="64">
        <f t="shared" si="94"/>
        <v>-3.3220473306275235E-2</v>
      </c>
      <c r="BC115" s="95">
        <f t="shared" si="106"/>
        <v>-2.3702179475360809</v>
      </c>
      <c r="BD115" s="96">
        <f t="shared" si="106"/>
        <v>-3.5883046438961071E-2</v>
      </c>
      <c r="BE115" s="96">
        <f t="shared" si="95"/>
        <v>-2.1943444013349671</v>
      </c>
      <c r="BF115" s="96">
        <f t="shared" si="96"/>
        <v>-3.3220473306275235E-2</v>
      </c>
      <c r="BG115" s="15">
        <f t="shared" si="97"/>
        <v>-252.60875506463756</v>
      </c>
      <c r="BH115" s="46">
        <f>(SUMPRODUCT(BE116:BE$605,$I115:$I$604)+SUMPRODUCT(BF116:BF$605,$I116:$I$605)) / $I115</f>
        <v>-233.86482579819608</v>
      </c>
      <c r="BJ115" s="46">
        <f t="shared" si="98"/>
        <v>-2.1943444013349671</v>
      </c>
      <c r="BK115" s="46">
        <f t="shared" si="99"/>
        <v>-56.308561256393311</v>
      </c>
      <c r="BM115" s="49">
        <f t="shared" si="65"/>
        <v>8499.4303311937911</v>
      </c>
      <c r="BN115" s="50">
        <f t="shared" si="100"/>
        <v>7858.3715856220815</v>
      </c>
      <c r="BP115" s="68">
        <f>INDEX(Others!$H$11:$I$60, MATCH(C115, Others!$A$11:$A$60, 0), MATCH(BP$3, Others!$H$10:$I$10, 0))</f>
        <v>3.9225866187967862E-2</v>
      </c>
      <c r="BQ115" s="16">
        <f t="shared" si="101"/>
        <v>3.2114855175715551E-3</v>
      </c>
      <c r="BR115" s="69">
        <f t="shared" si="102"/>
        <v>0.7724969270013109</v>
      </c>
      <c r="BT115" s="46">
        <f t="shared" si="103"/>
        <v>8178.5087741307016</v>
      </c>
      <c r="BU115" s="49">
        <f t="shared" si="66"/>
        <v>346.25287192217598</v>
      </c>
      <c r="BV115" s="46">
        <f t="shared" si="104"/>
        <v>320.13718850862006</v>
      </c>
      <c r="BX115" s="46">
        <f t="shared" si="105"/>
        <v>8845.6832031159665</v>
      </c>
    </row>
    <row r="116" spans="1:76" x14ac:dyDescent="0.25">
      <c r="A116" s="61">
        <f t="shared" si="55"/>
        <v>9.2499999999999964</v>
      </c>
      <c r="B116" s="32">
        <f t="shared" si="67"/>
        <v>3</v>
      </c>
      <c r="C116" s="62">
        <f t="shared" si="68"/>
        <v>10</v>
      </c>
      <c r="D116" s="64">
        <f t="shared" si="69"/>
        <v>9.7499999999999964</v>
      </c>
      <c r="E116" s="28">
        <f t="shared" si="70"/>
        <v>9</v>
      </c>
      <c r="G116" s="68">
        <f>INDEX(Others!$D$11:$E$60, MATCH(C116, Others!$A$11:$A$60, 0), MATCH(G$3, Others!$D$10:$E$10, 0))</f>
        <v>5.2301154917290482E-2</v>
      </c>
      <c r="H116" s="16">
        <f t="shared" si="71"/>
        <v>4.2573152509506329E-3</v>
      </c>
      <c r="I116" s="69">
        <f t="shared" si="72"/>
        <v>0.70696986881613988</v>
      </c>
      <c r="K116" s="80">
        <f>INDEX(Mortality!$B$7:$F$32, MATCH( E116,Mortality!$A$7:$A$32, 0), MATCH( K$3,Mortality!$B$6:$F$6,0))</f>
        <v>0.35100000000000003</v>
      </c>
      <c r="L116" s="11" cm="1">
        <f t="array" ref="L116">PAD_Res_Mort</f>
        <v>0.15</v>
      </c>
      <c r="M116" s="80">
        <f t="shared" si="73"/>
        <v>0.40365000000000001</v>
      </c>
      <c r="N116" s="76">
        <f>INDEX('Myopia_(Reserve)'!$H:$H, MATCH(E116, 'Myopia_(Reserve)'!$A:$A, 0)) * Trend_Factor_Reserve^(A116)</f>
        <v>11.877037566228701</v>
      </c>
      <c r="O116" s="11">
        <f t="shared" si="56"/>
        <v>0.3</v>
      </c>
      <c r="P116" s="80">
        <f t="shared" si="74"/>
        <v>15.440148836097311</v>
      </c>
      <c r="Q116" s="76">
        <f>VLOOKUP(C116,Others!$L$10:$M$61,2)</f>
        <v>0</v>
      </c>
      <c r="R116" s="11">
        <f t="shared" si="57"/>
        <v>0</v>
      </c>
      <c r="S116" s="80">
        <f t="shared" si="75"/>
        <v>0</v>
      </c>
      <c r="T116" s="78">
        <f t="shared" si="76"/>
        <v>3.3637500000000004E-5</v>
      </c>
      <c r="U116" s="81">
        <f t="shared" si="77"/>
        <v>1.2866790696747759E-3</v>
      </c>
      <c r="V116" s="81">
        <f t="shared" si="78"/>
        <v>0</v>
      </c>
      <c r="W116" s="77">
        <f t="shared" si="58"/>
        <v>0.92457626916253932</v>
      </c>
      <c r="X116" s="82">
        <f t="shared" si="79"/>
        <v>3.1080426115048744E-5</v>
      </c>
      <c r="Y116" s="82">
        <f t="shared" si="80"/>
        <v>1.1896129257105252E-3</v>
      </c>
      <c r="Z116" s="82">
        <f t="shared" si="81"/>
        <v>0</v>
      </c>
      <c r="AA116" s="82">
        <f t="shared" si="82"/>
        <v>0.9233555758107137</v>
      </c>
      <c r="AC116" s="46">
        <f t="shared" si="59"/>
        <v>0</v>
      </c>
      <c r="AD116" s="15">
        <f t="shared" si="83"/>
        <v>0</v>
      </c>
      <c r="AE116" s="46">
        <f t="shared" si="84"/>
        <v>0</v>
      </c>
      <c r="AF116" s="15">
        <f t="shared" si="85"/>
        <v>0</v>
      </c>
      <c r="AG116" s="46">
        <f>SUMPRODUCT(AE117:AE$605, $I116:$I$604) / $I116</f>
        <v>0</v>
      </c>
      <c r="AI116" s="46">
        <f t="shared" si="60"/>
        <v>-47000</v>
      </c>
      <c r="AJ116" s="46">
        <f>IF(E116&gt;Mat_Year,0,  -SUM($AD$5:AD116))</f>
        <v>-9306</v>
      </c>
      <c r="AK116" s="24">
        <f t="shared" si="86"/>
        <v>-0.28923444542664362</v>
      </c>
      <c r="AL116" s="79">
        <f t="shared" si="87"/>
        <v>-55.911807508394688</v>
      </c>
      <c r="AM116" s="24">
        <f t="shared" si="88"/>
        <v>-60.78572836909062</v>
      </c>
      <c r="AN116" s="79">
        <f t="shared" si="89"/>
        <v>-56.201041953821331</v>
      </c>
      <c r="AO116" s="15">
        <f t="shared" si="90"/>
        <v>-8220.8097917808882</v>
      </c>
      <c r="AP116" s="46">
        <f>SUMPRODUCT(AN117:AN$605, $I117:$I$605) / $I116</f>
        <v>-7600.7656467796451</v>
      </c>
      <c r="AR116" s="46">
        <v>0</v>
      </c>
      <c r="AS116" s="46">
        <v>0</v>
      </c>
      <c r="AT116" s="46">
        <v>0</v>
      </c>
      <c r="AU116" s="95">
        <f t="shared" si="61"/>
        <v>-2.1589185160073918</v>
      </c>
      <c r="AV116" s="47">
        <f t="shared" si="62"/>
        <v>0.1</v>
      </c>
      <c r="AW116" s="96">
        <f t="shared" si="91"/>
        <v>-2.3748103676081311</v>
      </c>
      <c r="AX116" s="95">
        <f t="shared" si="63"/>
        <v>-24.755598983551426</v>
      </c>
      <c r="AY116" s="11">
        <f t="shared" si="64"/>
        <v>0.1</v>
      </c>
      <c r="AZ116" s="96">
        <f t="shared" si="92"/>
        <v>-27.23115888190657</v>
      </c>
      <c r="BA116" s="95">
        <f t="shared" si="93"/>
        <v>-2.1956933096516442</v>
      </c>
      <c r="BB116" s="64">
        <f t="shared" si="94"/>
        <v>-3.3240894609649282E-2</v>
      </c>
      <c r="BC116" s="95">
        <f t="shared" si="106"/>
        <v>-2.3748103676081311</v>
      </c>
      <c r="BD116" s="96">
        <f t="shared" si="106"/>
        <v>-3.5952571700502485E-2</v>
      </c>
      <c r="BE116" s="96">
        <f t="shared" si="95"/>
        <v>-2.1956933096516442</v>
      </c>
      <c r="BF116" s="96">
        <f t="shared" si="96"/>
        <v>-3.3240894609649282E-2</v>
      </c>
      <c r="BG116" s="15">
        <f t="shared" si="97"/>
        <v>-251.59869216149875</v>
      </c>
      <c r="BH116" s="46">
        <f>(SUMPRODUCT(BE117:BE$605,$I116:$I$604)+SUMPRODUCT(BF117:BF$605,$I117:$I$605)) / $I116</f>
        <v>-232.62218012485275</v>
      </c>
      <c r="BJ116" s="46">
        <f t="shared" si="98"/>
        <v>-2.1956933096516442</v>
      </c>
      <c r="BK116" s="46">
        <f t="shared" si="99"/>
        <v>-56.234282848430979</v>
      </c>
      <c r="BM116" s="49">
        <f t="shared" si="65"/>
        <v>8483.6091665193162</v>
      </c>
      <c r="BN116" s="50">
        <f t="shared" si="100"/>
        <v>7833.3878269044917</v>
      </c>
      <c r="BP116" s="68">
        <f>INDEX(Others!$H$11:$I$60, MATCH(C116, Others!$A$11:$A$60, 0), MATCH(BP$3, Others!$H$10:$I$10, 0))</f>
        <v>3.9225866187967862E-2</v>
      </c>
      <c r="BQ116" s="16">
        <f t="shared" si="101"/>
        <v>3.2114855175715551E-3</v>
      </c>
      <c r="BR116" s="69">
        <f t="shared" si="102"/>
        <v>0.77002400605767429</v>
      </c>
      <c r="BT116" s="46">
        <f t="shared" si="103"/>
        <v>8146.3369090188071</v>
      </c>
      <c r="BU116" s="49">
        <f t="shared" si="66"/>
        <v>338.92585945511138</v>
      </c>
      <c r="BV116" s="46">
        <f t="shared" si="104"/>
        <v>312.94908211431539</v>
      </c>
      <c r="BX116" s="46">
        <f t="shared" si="105"/>
        <v>8822.5350259744282</v>
      </c>
    </row>
    <row r="117" spans="1:76" x14ac:dyDescent="0.25">
      <c r="A117" s="61">
        <f t="shared" si="55"/>
        <v>9.3333333333333304</v>
      </c>
      <c r="B117" s="32">
        <f t="shared" si="67"/>
        <v>4</v>
      </c>
      <c r="C117" s="62">
        <f t="shared" si="68"/>
        <v>10</v>
      </c>
      <c r="D117" s="64">
        <f t="shared" si="69"/>
        <v>9.8333333333333304</v>
      </c>
      <c r="E117" s="28">
        <f t="shared" si="70"/>
        <v>9</v>
      </c>
      <c r="G117" s="68">
        <f>INDEX(Others!$D$11:$E$60, MATCH(C117, Others!$A$11:$A$60, 0), MATCH(G$3, Others!$D$10:$E$10, 0))</f>
        <v>5.2301154917290482E-2</v>
      </c>
      <c r="H117" s="16">
        <f t="shared" si="71"/>
        <v>4.2573152509506329E-3</v>
      </c>
      <c r="I117" s="69">
        <f t="shared" si="72"/>
        <v>0.70397283453143422</v>
      </c>
      <c r="K117" s="80">
        <f>INDEX(Mortality!$B$7:$F$32, MATCH( E117,Mortality!$A$7:$A$32, 0), MATCH( K$3,Mortality!$B$6:$F$6,0))</f>
        <v>0.35100000000000003</v>
      </c>
      <c r="L117" s="11" cm="1">
        <f t="array" ref="L117">PAD_Res_Mort</f>
        <v>0.15</v>
      </c>
      <c r="M117" s="80">
        <f t="shared" si="73"/>
        <v>0.40365000000000001</v>
      </c>
      <c r="N117" s="76">
        <f>INDEX('Myopia_(Reserve)'!$H:$H, MATCH(E117, 'Myopia_(Reserve)'!$A:$A, 0)) * Trend_Factor_Reserve^(A117)</f>
        <v>11.877037566228701</v>
      </c>
      <c r="O117" s="11">
        <f t="shared" si="56"/>
        <v>0.3</v>
      </c>
      <c r="P117" s="80">
        <f t="shared" si="74"/>
        <v>15.440148836097311</v>
      </c>
      <c r="Q117" s="76">
        <f>VLOOKUP(C117,Others!$L$10:$M$61,2)</f>
        <v>0</v>
      </c>
      <c r="R117" s="11">
        <f t="shared" si="57"/>
        <v>0</v>
      </c>
      <c r="S117" s="80">
        <f t="shared" si="75"/>
        <v>0</v>
      </c>
      <c r="T117" s="78">
        <f t="shared" si="76"/>
        <v>3.3637500000000004E-5</v>
      </c>
      <c r="U117" s="81">
        <f t="shared" si="77"/>
        <v>1.2866790696747759E-3</v>
      </c>
      <c r="V117" s="81">
        <f t="shared" si="78"/>
        <v>0</v>
      </c>
      <c r="W117" s="77">
        <f t="shared" si="58"/>
        <v>0.9233555758107137</v>
      </c>
      <c r="X117" s="82">
        <f t="shared" si="79"/>
        <v>3.1039391458638066E-5</v>
      </c>
      <c r="Y117" s="82">
        <f t="shared" si="80"/>
        <v>1.1880423115404513E-3</v>
      </c>
      <c r="Z117" s="82">
        <f t="shared" si="81"/>
        <v>0</v>
      </c>
      <c r="AA117" s="82">
        <f t="shared" si="82"/>
        <v>0.92213649410771459</v>
      </c>
      <c r="AC117" s="46">
        <f t="shared" si="59"/>
        <v>0</v>
      </c>
      <c r="AD117" s="15">
        <f t="shared" si="83"/>
        <v>0</v>
      </c>
      <c r="AE117" s="46">
        <f t="shared" si="84"/>
        <v>0</v>
      </c>
      <c r="AF117" s="15">
        <f t="shared" si="85"/>
        <v>0</v>
      </c>
      <c r="AG117" s="46">
        <f>SUMPRODUCT(AE118:AE$605, $I117:$I$604) / $I117</f>
        <v>0</v>
      </c>
      <c r="AI117" s="46">
        <f t="shared" si="60"/>
        <v>-47000</v>
      </c>
      <c r="AJ117" s="46">
        <f>IF(E117&gt;Mat_Year,0,  -SUM($AD$5:AD117))</f>
        <v>-9306</v>
      </c>
      <c r="AK117" s="24">
        <f t="shared" si="86"/>
        <v>-0.28885257691408583</v>
      </c>
      <c r="AL117" s="79">
        <f t="shared" si="87"/>
        <v>-55.837988642401207</v>
      </c>
      <c r="AM117" s="24">
        <f t="shared" si="88"/>
        <v>-60.785728369090613</v>
      </c>
      <c r="AN117" s="79">
        <f t="shared" si="89"/>
        <v>-56.126841219315295</v>
      </c>
      <c r="AO117" s="15">
        <f t="shared" si="90"/>
        <v>-8205.936975487044</v>
      </c>
      <c r="AP117" s="46">
        <f>SUMPRODUCT(AN118:AN$605, $I118:$I$605) / $I117</f>
        <v>-7576.9976610672666</v>
      </c>
      <c r="AR117" s="46">
        <v>0</v>
      </c>
      <c r="AS117" s="46">
        <v>0</v>
      </c>
      <c r="AT117" s="46">
        <v>0</v>
      </c>
      <c r="AU117" s="95">
        <f t="shared" si="61"/>
        <v>-2.163101532483636</v>
      </c>
      <c r="AV117" s="47">
        <f t="shared" si="62"/>
        <v>0.1</v>
      </c>
      <c r="AW117" s="96">
        <f t="shared" si="91"/>
        <v>-2.3794116857319998</v>
      </c>
      <c r="AX117" s="95">
        <f t="shared" si="63"/>
        <v>-24.80356423914569</v>
      </c>
      <c r="AY117" s="11">
        <f t="shared" si="64"/>
        <v>0.1</v>
      </c>
      <c r="AZ117" s="96">
        <f t="shared" si="92"/>
        <v>-27.283920663060261</v>
      </c>
      <c r="BA117" s="95">
        <f t="shared" si="93"/>
        <v>-2.1970430471698115</v>
      </c>
      <c r="BB117" s="64">
        <f t="shared" si="94"/>
        <v>-3.3261328466415545E-2</v>
      </c>
      <c r="BC117" s="95">
        <f t="shared" si="106"/>
        <v>-2.3794116857319998</v>
      </c>
      <c r="BD117" s="96">
        <f t="shared" si="106"/>
        <v>-3.6022231670840163E-2</v>
      </c>
      <c r="BE117" s="96">
        <f t="shared" si="95"/>
        <v>-2.1970430471698115</v>
      </c>
      <c r="BF117" s="96">
        <f t="shared" si="96"/>
        <v>-3.3261328466415545E-2</v>
      </c>
      <c r="BG117" s="15">
        <f t="shared" si="97"/>
        <v>-250.57829752785369</v>
      </c>
      <c r="BH117" s="46">
        <f>(SUMPRODUCT(BE118:BE$605,$I117:$I$604)+SUMPRODUCT(BF118:BF$605,$I118:$I$605)) / $I117</f>
        <v>-231.37286819949969</v>
      </c>
      <c r="BJ117" s="46">
        <f t="shared" si="98"/>
        <v>-2.1970430471698115</v>
      </c>
      <c r="BK117" s="46">
        <f t="shared" si="99"/>
        <v>-56.160102547781712</v>
      </c>
      <c r="BM117" s="49">
        <f t="shared" si="65"/>
        <v>8467.6949444695401</v>
      </c>
      <c r="BN117" s="50">
        <f t="shared" si="100"/>
        <v>7808.3705292667601</v>
      </c>
      <c r="BP117" s="68">
        <f>INDEX(Others!$H$11:$I$60, MATCH(C117, Others!$A$11:$A$60, 0), MATCH(BP$3, Others!$H$10:$I$10, 0))</f>
        <v>3.9225866187967862E-2</v>
      </c>
      <c r="BQ117" s="16">
        <f t="shared" si="101"/>
        <v>3.2114855175715551E-3</v>
      </c>
      <c r="BR117" s="69">
        <f t="shared" si="102"/>
        <v>0.76755900144066591</v>
      </c>
      <c r="BT117" s="46">
        <f t="shared" si="103"/>
        <v>8114.1345506565003</v>
      </c>
      <c r="BU117" s="49">
        <f t="shared" si="66"/>
        <v>331.58217177556367</v>
      </c>
      <c r="BV117" s="46">
        <f t="shared" si="104"/>
        <v>305.76402138974026</v>
      </c>
      <c r="BX117" s="46">
        <f t="shared" si="105"/>
        <v>8799.2771162451045</v>
      </c>
    </row>
    <row r="118" spans="1:76" x14ac:dyDescent="0.25">
      <c r="A118" s="61">
        <f t="shared" si="55"/>
        <v>9.4166666666666643</v>
      </c>
      <c r="B118" s="32">
        <f t="shared" si="67"/>
        <v>5</v>
      </c>
      <c r="C118" s="62">
        <f t="shared" si="68"/>
        <v>10</v>
      </c>
      <c r="D118" s="64">
        <f t="shared" si="69"/>
        <v>9.9166666666666643</v>
      </c>
      <c r="E118" s="28">
        <f t="shared" si="70"/>
        <v>9</v>
      </c>
      <c r="G118" s="68">
        <f>INDEX(Others!$D$11:$E$60, MATCH(C118, Others!$A$11:$A$60, 0), MATCH(G$3, Others!$D$10:$E$10, 0))</f>
        <v>5.2301154917290482E-2</v>
      </c>
      <c r="H118" s="16">
        <f t="shared" si="71"/>
        <v>4.2573152509506329E-3</v>
      </c>
      <c r="I118" s="69">
        <f t="shared" si="72"/>
        <v>0.70098850547632874</v>
      </c>
      <c r="K118" s="80">
        <f>INDEX(Mortality!$B$7:$F$32, MATCH( E118,Mortality!$A$7:$A$32, 0), MATCH( K$3,Mortality!$B$6:$F$6,0))</f>
        <v>0.35100000000000003</v>
      </c>
      <c r="L118" s="11" cm="1">
        <f t="array" ref="L118">PAD_Res_Mort</f>
        <v>0.15</v>
      </c>
      <c r="M118" s="80">
        <f t="shared" si="73"/>
        <v>0.40365000000000001</v>
      </c>
      <c r="N118" s="76">
        <f>INDEX('Myopia_(Reserve)'!$H:$H, MATCH(E118, 'Myopia_(Reserve)'!$A:$A, 0)) * Trend_Factor_Reserve^(A118)</f>
        <v>11.877037566228701</v>
      </c>
      <c r="O118" s="11">
        <f t="shared" si="56"/>
        <v>0.3</v>
      </c>
      <c r="P118" s="80">
        <f t="shared" si="74"/>
        <v>15.440148836097311</v>
      </c>
      <c r="Q118" s="76">
        <f>VLOOKUP(C118,Others!$L$10:$M$61,2)</f>
        <v>0</v>
      </c>
      <c r="R118" s="11">
        <f t="shared" si="57"/>
        <v>0</v>
      </c>
      <c r="S118" s="80">
        <f t="shared" si="75"/>
        <v>0</v>
      </c>
      <c r="T118" s="78">
        <f t="shared" si="76"/>
        <v>3.3637500000000004E-5</v>
      </c>
      <c r="U118" s="81">
        <f t="shared" si="77"/>
        <v>1.2866790696747759E-3</v>
      </c>
      <c r="V118" s="81">
        <f t="shared" si="78"/>
        <v>0</v>
      </c>
      <c r="W118" s="77">
        <f t="shared" si="58"/>
        <v>0.92213649410771459</v>
      </c>
      <c r="X118" s="82">
        <f t="shared" si="79"/>
        <v>3.0998410979188178E-5</v>
      </c>
      <c r="Y118" s="82">
        <f t="shared" si="80"/>
        <v>1.1864737710103135E-3</v>
      </c>
      <c r="Z118" s="82">
        <f t="shared" si="81"/>
        <v>0</v>
      </c>
      <c r="AA118" s="82">
        <f t="shared" si="82"/>
        <v>0.92091902192572506</v>
      </c>
      <c r="AC118" s="46">
        <f t="shared" si="59"/>
        <v>0</v>
      </c>
      <c r="AD118" s="15">
        <f t="shared" si="83"/>
        <v>0</v>
      </c>
      <c r="AE118" s="46">
        <f t="shared" si="84"/>
        <v>0</v>
      </c>
      <c r="AF118" s="15">
        <f t="shared" si="85"/>
        <v>0</v>
      </c>
      <c r="AG118" s="46">
        <f>SUMPRODUCT(AE119:AE$605, $I118:$I$604) / $I118</f>
        <v>0</v>
      </c>
      <c r="AI118" s="46">
        <f t="shared" si="60"/>
        <v>-47000</v>
      </c>
      <c r="AJ118" s="46">
        <f>IF(E118&gt;Mat_Year,0,  -SUM($AD$5:AD118))</f>
        <v>-9306</v>
      </c>
      <c r="AK118" s="24">
        <f t="shared" si="86"/>
        <v>-0.28847121257232516</v>
      </c>
      <c r="AL118" s="79">
        <f t="shared" si="87"/>
        <v>-55.764267237484731</v>
      </c>
      <c r="AM118" s="24">
        <f t="shared" si="88"/>
        <v>-60.785728369090606</v>
      </c>
      <c r="AN118" s="79">
        <f t="shared" si="89"/>
        <v>-56.052738450057056</v>
      </c>
      <c r="AO118" s="15">
        <f t="shared" si="90"/>
        <v>-8190.9810950761484</v>
      </c>
      <c r="AP118" s="46">
        <f>SUMPRODUCT(AN119:AN$605, $I119:$I$605) / $I118</f>
        <v>-7553.2025903160884</v>
      </c>
      <c r="AR118" s="46">
        <v>0</v>
      </c>
      <c r="AS118" s="46">
        <v>0</v>
      </c>
      <c r="AT118" s="46">
        <v>0</v>
      </c>
      <c r="AU118" s="95">
        <f t="shared" si="61"/>
        <v>-2.1672926537710206</v>
      </c>
      <c r="AV118" s="47">
        <f t="shared" si="62"/>
        <v>0.1</v>
      </c>
      <c r="AW118" s="96">
        <f t="shared" si="91"/>
        <v>-2.3840219191481231</v>
      </c>
      <c r="AX118" s="95">
        <f t="shared" si="63"/>
        <v>-24.8516224299077</v>
      </c>
      <c r="AY118" s="11">
        <f t="shared" si="64"/>
        <v>0.1</v>
      </c>
      <c r="AZ118" s="96">
        <f t="shared" si="92"/>
        <v>-27.336784672898471</v>
      </c>
      <c r="BA118" s="95">
        <f t="shared" si="93"/>
        <v>-2.1983936143991958</v>
      </c>
      <c r="BB118" s="64">
        <f t="shared" si="94"/>
        <v>-3.3281774884290863E-2</v>
      </c>
      <c r="BC118" s="95">
        <f t="shared" si="106"/>
        <v>-2.3840219191481231</v>
      </c>
      <c r="BD118" s="96">
        <f t="shared" si="106"/>
        <v>-3.6092026610979377E-2</v>
      </c>
      <c r="BE118" s="96">
        <f t="shared" si="95"/>
        <v>-2.1983936143991958</v>
      </c>
      <c r="BF118" s="96">
        <f t="shared" si="96"/>
        <v>-3.3281774884290863E-2</v>
      </c>
      <c r="BG118" s="15">
        <f t="shared" si="97"/>
        <v>-249.54750437316073</v>
      </c>
      <c r="BH118" s="46">
        <f>(SUMPRODUCT(BE119:BE$605,$I118:$I$604)+SUMPRODUCT(BF119:BF$605,$I119:$I$605)) / $I118</f>
        <v>-230.11686079599602</v>
      </c>
      <c r="BJ118" s="46">
        <f t="shared" si="98"/>
        <v>-2.1983936143991958</v>
      </c>
      <c r="BK118" s="46">
        <f t="shared" si="99"/>
        <v>-56.08602022494135</v>
      </c>
      <c r="BM118" s="49">
        <f t="shared" si="65"/>
        <v>8451.6871362223064</v>
      </c>
      <c r="BN118" s="50">
        <f t="shared" si="100"/>
        <v>7783.3194511120782</v>
      </c>
      <c r="BP118" s="68">
        <f>INDEX(Others!$H$11:$I$60, MATCH(C118, Others!$A$11:$A$60, 0), MATCH(BP$3, Others!$H$10:$I$10, 0))</f>
        <v>3.9225866187967862E-2</v>
      </c>
      <c r="BQ118" s="16">
        <f t="shared" si="101"/>
        <v>3.2114855175715551E-3</v>
      </c>
      <c r="BR118" s="69">
        <f t="shared" si="102"/>
        <v>0.7651018878085023</v>
      </c>
      <c r="BT118" s="46">
        <f t="shared" si="103"/>
        <v>8081.901502304966</v>
      </c>
      <c r="BU118" s="49">
        <f t="shared" si="66"/>
        <v>324.22183067575872</v>
      </c>
      <c r="BV118" s="46">
        <f t="shared" si="104"/>
        <v>298.58205119288777</v>
      </c>
      <c r="BX118" s="46">
        <f t="shared" si="105"/>
        <v>8775.908966898065</v>
      </c>
    </row>
    <row r="119" spans="1:76" x14ac:dyDescent="0.25">
      <c r="A119" s="61">
        <f t="shared" si="55"/>
        <v>9.4999999999999982</v>
      </c>
      <c r="B119" s="32">
        <f t="shared" si="67"/>
        <v>6</v>
      </c>
      <c r="C119" s="62">
        <f t="shared" si="68"/>
        <v>10</v>
      </c>
      <c r="D119" s="64">
        <f t="shared" si="69"/>
        <v>9.9999999999999982</v>
      </c>
      <c r="E119" s="28">
        <f t="shared" si="70"/>
        <v>10</v>
      </c>
      <c r="G119" s="68">
        <f>INDEX(Others!$D$11:$E$60, MATCH(C119, Others!$A$11:$A$60, 0), MATCH(G$3, Others!$D$10:$E$10, 0))</f>
        <v>5.2301154917290482E-2</v>
      </c>
      <c r="H119" s="16">
        <f t="shared" si="71"/>
        <v>4.2573152509506329E-3</v>
      </c>
      <c r="I119" s="69">
        <f t="shared" si="72"/>
        <v>0.69801682778995833</v>
      </c>
      <c r="K119" s="80">
        <f>INDEX(Mortality!$B$7:$F$32, MATCH( E119,Mortality!$A$7:$A$32, 0), MATCH( K$3,Mortality!$B$6:$F$6,0))</f>
        <v>0.35499999999999998</v>
      </c>
      <c r="L119" s="11" cm="1">
        <f t="array" ref="L119">PAD_Res_Mort</f>
        <v>0.15</v>
      </c>
      <c r="M119" s="80">
        <f t="shared" si="73"/>
        <v>0.40824999999999995</v>
      </c>
      <c r="N119" s="76">
        <f>INDEX('Myopia_(Reserve)'!$H:$H, MATCH(E119, 'Myopia_(Reserve)'!$A:$A, 0)) * Trend_Factor_Reserve^(A119)</f>
        <v>27.671288125011785</v>
      </c>
      <c r="O119" s="11">
        <f t="shared" si="56"/>
        <v>0.3</v>
      </c>
      <c r="P119" s="80">
        <f t="shared" si="74"/>
        <v>35.972674562515323</v>
      </c>
      <c r="Q119" s="76">
        <f>VLOOKUP(C119,Others!$L$10:$M$61,2)</f>
        <v>0</v>
      </c>
      <c r="R119" s="11">
        <f t="shared" si="57"/>
        <v>0</v>
      </c>
      <c r="S119" s="80">
        <f t="shared" si="75"/>
        <v>0</v>
      </c>
      <c r="T119" s="78">
        <f t="shared" si="76"/>
        <v>3.4020833333333325E-5</v>
      </c>
      <c r="U119" s="81">
        <f t="shared" si="77"/>
        <v>2.99772288020961E-3</v>
      </c>
      <c r="V119" s="81">
        <f t="shared" si="78"/>
        <v>0</v>
      </c>
      <c r="W119" s="77">
        <f t="shared" si="58"/>
        <v>0.92091902192572506</v>
      </c>
      <c r="X119" s="82">
        <f t="shared" si="79"/>
        <v>3.1283472581167794E-5</v>
      </c>
      <c r="Y119" s="82">
        <f t="shared" si="80"/>
        <v>2.7606130628697379E-3</v>
      </c>
      <c r="Z119" s="82">
        <f t="shared" si="81"/>
        <v>0</v>
      </c>
      <c r="AA119" s="82">
        <f t="shared" si="82"/>
        <v>0.91812712539027419</v>
      </c>
      <c r="AC119" s="46">
        <f t="shared" si="59"/>
        <v>0</v>
      </c>
      <c r="AD119" s="15">
        <f t="shared" si="83"/>
        <v>0</v>
      </c>
      <c r="AE119" s="46">
        <f t="shared" si="84"/>
        <v>0</v>
      </c>
      <c r="AF119" s="15">
        <f t="shared" si="85"/>
        <v>0</v>
      </c>
      <c r="AG119" s="46">
        <f>SUMPRODUCT(AE120:AE$605, $I119:$I$604) / $I119</f>
        <v>0</v>
      </c>
      <c r="AI119" s="46">
        <f t="shared" si="60"/>
        <v>-47000</v>
      </c>
      <c r="AJ119" s="46">
        <f>IF(E119&gt;Mat_Year,0,  -SUM($AD$5:AD119))</f>
        <v>-9306</v>
      </c>
      <c r="AK119" s="24">
        <f t="shared" si="86"/>
        <v>-0.29112399584034748</v>
      </c>
      <c r="AL119" s="79">
        <f t="shared" si="87"/>
        <v>-129.74881395487768</v>
      </c>
      <c r="AM119" s="24">
        <f t="shared" si="88"/>
        <v>-141.20670206028836</v>
      </c>
      <c r="AN119" s="79">
        <f t="shared" si="89"/>
        <v>-130.03993795071801</v>
      </c>
      <c r="AO119" s="15">
        <f t="shared" si="90"/>
        <v>-8095.5207129470482</v>
      </c>
      <c r="AP119" s="46">
        <f>SUMPRODUCT(AN120:AN$605, $I120:$I$605) / $I119</f>
        <v>-7455.3190169466443</v>
      </c>
      <c r="AR119" s="46">
        <v>0</v>
      </c>
      <c r="AS119" s="46">
        <v>0</v>
      </c>
      <c r="AT119" s="46">
        <v>0</v>
      </c>
      <c r="AU119" s="95">
        <f t="shared" si="61"/>
        <v>-2.171491895573038</v>
      </c>
      <c r="AV119" s="47">
        <f t="shared" si="62"/>
        <v>0.1</v>
      </c>
      <c r="AW119" s="96">
        <f t="shared" si="91"/>
        <v>-2.3886410851303421</v>
      </c>
      <c r="AX119" s="95">
        <f t="shared" si="63"/>
        <v>-24.899773735904166</v>
      </c>
      <c r="AY119" s="11">
        <f t="shared" si="64"/>
        <v>0.1</v>
      </c>
      <c r="AZ119" s="96">
        <f t="shared" si="92"/>
        <v>-27.389751109494586</v>
      </c>
      <c r="BA119" s="95">
        <f t="shared" si="93"/>
        <v>-2.1997450118498372</v>
      </c>
      <c r="BB119" s="64">
        <f t="shared" si="94"/>
        <v>-7.6469351229460539E-2</v>
      </c>
      <c r="BC119" s="95">
        <f t="shared" si="106"/>
        <v>-2.3886410851303421</v>
      </c>
      <c r="BD119" s="96">
        <f t="shared" si="106"/>
        <v>-8.3035912397114137E-2</v>
      </c>
      <c r="BE119" s="96">
        <f t="shared" si="95"/>
        <v>-2.1997450118498372</v>
      </c>
      <c r="BF119" s="96">
        <f t="shared" si="96"/>
        <v>-7.6469351229460539E-2</v>
      </c>
      <c r="BG119" s="15">
        <f t="shared" si="97"/>
        <v>-248.45937156063172</v>
      </c>
      <c r="BH119" s="46">
        <f>(SUMPRODUCT(BE120:BE$605,$I119:$I$604)+SUMPRODUCT(BF120:BF$605,$I120:$I$605)) / $I119</f>
        <v>-228.81096144589728</v>
      </c>
      <c r="BJ119" s="46">
        <f t="shared" si="98"/>
        <v>-2.1997450118498372</v>
      </c>
      <c r="BK119" s="46">
        <f t="shared" si="99"/>
        <v>-130.11640730194748</v>
      </c>
      <c r="BM119" s="49">
        <f t="shared" si="65"/>
        <v>8369.3529641945734</v>
      </c>
      <c r="BN119" s="50">
        <f t="shared" si="100"/>
        <v>7684.1299783925333</v>
      </c>
      <c r="BP119" s="68">
        <f>INDEX(Others!$H$11:$I$60, MATCH(C119, Others!$A$11:$A$60, 0), MATCH(BP$3, Others!$H$10:$I$10, 0))</f>
        <v>3.9225866187967862E-2</v>
      </c>
      <c r="BQ119" s="16">
        <f t="shared" si="101"/>
        <v>3.2114855175715551E-3</v>
      </c>
      <c r="BR119" s="69">
        <f t="shared" si="102"/>
        <v>0.76265263990052401</v>
      </c>
      <c r="BT119" s="46">
        <f t="shared" si="103"/>
        <v>7975.5331951710132</v>
      </c>
      <c r="BU119" s="49">
        <f t="shared" si="66"/>
        <v>317.38874576286071</v>
      </c>
      <c r="BV119" s="46">
        <f t="shared" si="104"/>
        <v>291.40321677847987</v>
      </c>
      <c r="BX119" s="46">
        <f t="shared" si="105"/>
        <v>8686.7417099574341</v>
      </c>
    </row>
    <row r="120" spans="1:76" x14ac:dyDescent="0.25">
      <c r="A120" s="61">
        <f t="shared" si="55"/>
        <v>9.5833333333333321</v>
      </c>
      <c r="B120" s="32">
        <f t="shared" si="67"/>
        <v>7</v>
      </c>
      <c r="C120" s="62">
        <f t="shared" si="68"/>
        <v>10</v>
      </c>
      <c r="D120" s="64">
        <f t="shared" si="69"/>
        <v>10.083333333333332</v>
      </c>
      <c r="E120" s="28">
        <f t="shared" si="70"/>
        <v>10</v>
      </c>
      <c r="G120" s="68">
        <f>INDEX(Others!$D$11:$E$60, MATCH(C120, Others!$A$11:$A$60, 0), MATCH(G$3, Others!$D$10:$E$10, 0))</f>
        <v>5.2301154917290482E-2</v>
      </c>
      <c r="H120" s="16">
        <f t="shared" si="71"/>
        <v>4.2573152509506329E-3</v>
      </c>
      <c r="I120" s="69">
        <f t="shared" si="72"/>
        <v>0.69505774783978858</v>
      </c>
      <c r="K120" s="80">
        <f>INDEX(Mortality!$B$7:$F$32, MATCH( E120,Mortality!$A$7:$A$32, 0), MATCH( K$3,Mortality!$B$6:$F$6,0))</f>
        <v>0.35499999999999998</v>
      </c>
      <c r="L120" s="11" cm="1">
        <f t="array" ref="L120">PAD_Res_Mort</f>
        <v>0.15</v>
      </c>
      <c r="M120" s="80">
        <f t="shared" si="73"/>
        <v>0.40824999999999995</v>
      </c>
      <c r="N120" s="76">
        <f>INDEX('Myopia_(Reserve)'!$H:$H, MATCH(E120, 'Myopia_(Reserve)'!$A:$A, 0)) * Trend_Factor_Reserve^(A120)</f>
        <v>27.671288125011785</v>
      </c>
      <c r="O120" s="11">
        <f t="shared" si="56"/>
        <v>0.3</v>
      </c>
      <c r="P120" s="80">
        <f t="shared" si="74"/>
        <v>35.972674562515323</v>
      </c>
      <c r="Q120" s="76">
        <f>VLOOKUP(C120,Others!$L$10:$M$61,2)</f>
        <v>0</v>
      </c>
      <c r="R120" s="11">
        <f t="shared" si="57"/>
        <v>0</v>
      </c>
      <c r="S120" s="80">
        <f t="shared" si="75"/>
        <v>0</v>
      </c>
      <c r="T120" s="78">
        <f t="shared" si="76"/>
        <v>3.4020833333333325E-5</v>
      </c>
      <c r="U120" s="81">
        <f t="shared" si="77"/>
        <v>2.99772288020961E-3</v>
      </c>
      <c r="V120" s="81">
        <f t="shared" si="78"/>
        <v>0</v>
      </c>
      <c r="W120" s="77">
        <f t="shared" si="58"/>
        <v>0.91812712539027419</v>
      </c>
      <c r="X120" s="82">
        <f t="shared" si="79"/>
        <v>3.1188632300277953E-5</v>
      </c>
      <c r="Y120" s="82">
        <f t="shared" si="80"/>
        <v>2.7522438731120654E-3</v>
      </c>
      <c r="Z120" s="82">
        <f t="shared" si="81"/>
        <v>0</v>
      </c>
      <c r="AA120" s="82">
        <f t="shared" si="82"/>
        <v>0.91534369288486184</v>
      </c>
      <c r="AC120" s="46">
        <f t="shared" si="59"/>
        <v>0</v>
      </c>
      <c r="AD120" s="15">
        <f t="shared" si="83"/>
        <v>0</v>
      </c>
      <c r="AE120" s="46">
        <f t="shared" si="84"/>
        <v>0</v>
      </c>
      <c r="AF120" s="15">
        <f t="shared" si="85"/>
        <v>0</v>
      </c>
      <c r="AG120" s="46">
        <f>SUMPRODUCT(AE121:AE$605, $I120:$I$604) / $I120</f>
        <v>0</v>
      </c>
      <c r="AI120" s="46">
        <f t="shared" si="60"/>
        <v>-47000</v>
      </c>
      <c r="AJ120" s="46">
        <f>IF(E120&gt;Mat_Year,0,  -SUM($AD$5:AD120))</f>
        <v>-9306</v>
      </c>
      <c r="AK120" s="24">
        <f t="shared" si="86"/>
        <v>-0.2902414121863866</v>
      </c>
      <c r="AL120" s="79">
        <f t="shared" si="87"/>
        <v>-129.35546203626708</v>
      </c>
      <c r="AM120" s="24">
        <f t="shared" si="88"/>
        <v>-141.20670206028836</v>
      </c>
      <c r="AN120" s="79">
        <f t="shared" si="89"/>
        <v>-129.64570344845347</v>
      </c>
      <c r="AO120" s="15">
        <f t="shared" si="90"/>
        <v>-8013.501347890442</v>
      </c>
      <c r="AP120" s="46">
        <f>SUMPRODUCT(AN121:AN$605, $I121:$I$605) / $I120</f>
        <v>-7357.4129568497392</v>
      </c>
      <c r="AR120" s="46">
        <v>0</v>
      </c>
      <c r="AS120" s="46">
        <v>0</v>
      </c>
      <c r="AT120" s="46">
        <v>0</v>
      </c>
      <c r="AU120" s="95">
        <f t="shared" si="61"/>
        <v>-2.1756992736236049</v>
      </c>
      <c r="AV120" s="47">
        <f t="shared" si="62"/>
        <v>0.1</v>
      </c>
      <c r="AW120" s="96">
        <f t="shared" si="91"/>
        <v>-2.3932692009859657</v>
      </c>
      <c r="AX120" s="95">
        <f t="shared" si="63"/>
        <v>-24.948018337550668</v>
      </c>
      <c r="AY120" s="11">
        <f t="shared" si="64"/>
        <v>0.1</v>
      </c>
      <c r="AZ120" s="96">
        <f t="shared" si="92"/>
        <v>-27.442820171305737</v>
      </c>
      <c r="BA120" s="95">
        <f t="shared" si="93"/>
        <v>-2.1973253717863233</v>
      </c>
      <c r="BB120" s="64">
        <f t="shared" si="94"/>
        <v>-7.6385237704997916E-2</v>
      </c>
      <c r="BC120" s="95">
        <f t="shared" si="106"/>
        <v>-2.3932692009859657</v>
      </c>
      <c r="BD120" s="96">
        <f t="shared" si="106"/>
        <v>-8.3196798779393816E-2</v>
      </c>
      <c r="BE120" s="96">
        <f t="shared" si="95"/>
        <v>-2.1973253717863233</v>
      </c>
      <c r="BF120" s="96">
        <f t="shared" si="96"/>
        <v>-7.6385237704997916E-2</v>
      </c>
      <c r="BG120" s="15">
        <f t="shared" si="97"/>
        <v>-247.78923335767027</v>
      </c>
      <c r="BH120" s="46">
        <f>(SUMPRODUCT(BE121:BE$605,$I120:$I$604)+SUMPRODUCT(BF121:BF$605,$I121:$I$605)) / $I120</f>
        <v>-227.50201652533764</v>
      </c>
      <c r="BJ120" s="46">
        <f t="shared" si="98"/>
        <v>-2.1973253717863233</v>
      </c>
      <c r="BK120" s="46">
        <f t="shared" si="99"/>
        <v>-129.72208868615849</v>
      </c>
      <c r="BM120" s="49">
        <f t="shared" si="65"/>
        <v>8286.4120136884485</v>
      </c>
      <c r="BN120" s="50">
        <f t="shared" si="100"/>
        <v>7584.9149733750692</v>
      </c>
      <c r="BP120" s="68">
        <f>INDEX(Others!$H$11:$I$60, MATCH(C120, Others!$A$11:$A$60, 0), MATCH(BP$3, Others!$H$10:$I$10, 0))</f>
        <v>3.9225866187967862E-2</v>
      </c>
      <c r="BQ120" s="16">
        <f t="shared" si="101"/>
        <v>3.2114855175715551E-3</v>
      </c>
      <c r="BR120" s="69">
        <f t="shared" si="102"/>
        <v>0.76021123253693645</v>
      </c>
      <c r="BT120" s="46">
        <f t="shared" si="103"/>
        <v>7869.2200337856621</v>
      </c>
      <c r="BU120" s="49">
        <f t="shared" si="66"/>
        <v>310.59924552990253</v>
      </c>
      <c r="BV120" s="46">
        <f t="shared" si="104"/>
        <v>284.30506041059289</v>
      </c>
      <c r="BX120" s="46">
        <f t="shared" si="105"/>
        <v>8597.0112592183505</v>
      </c>
    </row>
    <row r="121" spans="1:76" x14ac:dyDescent="0.25">
      <c r="A121" s="61">
        <f t="shared" si="55"/>
        <v>9.6666666666666661</v>
      </c>
      <c r="B121" s="32">
        <f t="shared" si="67"/>
        <v>8</v>
      </c>
      <c r="C121" s="62">
        <f t="shared" si="68"/>
        <v>10</v>
      </c>
      <c r="D121" s="64">
        <f t="shared" si="69"/>
        <v>10.166666666666666</v>
      </c>
      <c r="E121" s="28">
        <f t="shared" si="70"/>
        <v>10</v>
      </c>
      <c r="G121" s="68">
        <f>INDEX(Others!$D$11:$E$60, MATCH(C121, Others!$A$11:$A$60, 0), MATCH(G$3, Others!$D$10:$E$10, 0))</f>
        <v>5.2301154917290482E-2</v>
      </c>
      <c r="H121" s="16">
        <f t="shared" si="71"/>
        <v>4.2573152509506329E-3</v>
      </c>
      <c r="I121" s="69">
        <f t="shared" si="72"/>
        <v>0.69211121222064764</v>
      </c>
      <c r="K121" s="80">
        <f>INDEX(Mortality!$B$7:$F$32, MATCH( E121,Mortality!$A$7:$A$32, 0), MATCH( K$3,Mortality!$B$6:$F$6,0))</f>
        <v>0.35499999999999998</v>
      </c>
      <c r="L121" s="11" cm="1">
        <f t="array" ref="L121">PAD_Res_Mort</f>
        <v>0.15</v>
      </c>
      <c r="M121" s="80">
        <f t="shared" si="73"/>
        <v>0.40824999999999995</v>
      </c>
      <c r="N121" s="76">
        <f>INDEX('Myopia_(Reserve)'!$H:$H, MATCH(E121, 'Myopia_(Reserve)'!$A:$A, 0)) * Trend_Factor_Reserve^(A121)</f>
        <v>27.671288125011785</v>
      </c>
      <c r="O121" s="11">
        <f t="shared" si="56"/>
        <v>0.3</v>
      </c>
      <c r="P121" s="80">
        <f t="shared" si="74"/>
        <v>35.972674562515323</v>
      </c>
      <c r="Q121" s="76">
        <f>VLOOKUP(C121,Others!$L$10:$M$61,2)</f>
        <v>0</v>
      </c>
      <c r="R121" s="11">
        <f t="shared" si="57"/>
        <v>0</v>
      </c>
      <c r="S121" s="80">
        <f t="shared" si="75"/>
        <v>0</v>
      </c>
      <c r="T121" s="78">
        <f t="shared" si="76"/>
        <v>3.4020833333333325E-5</v>
      </c>
      <c r="U121" s="81">
        <f t="shared" si="77"/>
        <v>2.99772288020961E-3</v>
      </c>
      <c r="V121" s="81">
        <f t="shared" si="78"/>
        <v>0</v>
      </c>
      <c r="W121" s="77">
        <f t="shared" si="58"/>
        <v>0.91534369288486184</v>
      </c>
      <c r="X121" s="82">
        <f t="shared" si="79"/>
        <v>3.1094079541141202E-5</v>
      </c>
      <c r="Y121" s="82">
        <f t="shared" si="80"/>
        <v>2.7439000557392961E-3</v>
      </c>
      <c r="Z121" s="82">
        <f t="shared" si="81"/>
        <v>0</v>
      </c>
      <c r="AA121" s="82">
        <f t="shared" si="82"/>
        <v>0.91256869874958135</v>
      </c>
      <c r="AC121" s="46">
        <f t="shared" si="59"/>
        <v>0</v>
      </c>
      <c r="AD121" s="15">
        <f t="shared" si="83"/>
        <v>0</v>
      </c>
      <c r="AE121" s="46">
        <f t="shared" si="84"/>
        <v>0</v>
      </c>
      <c r="AF121" s="15">
        <f t="shared" si="85"/>
        <v>0</v>
      </c>
      <c r="AG121" s="46">
        <f>SUMPRODUCT(AE122:AE$605, $I121:$I$604) / $I121</f>
        <v>0</v>
      </c>
      <c r="AI121" s="46">
        <f t="shared" si="60"/>
        <v>-47000</v>
      </c>
      <c r="AJ121" s="46">
        <f>IF(E121&gt;Mat_Year,0,  -SUM($AD$5:AD121))</f>
        <v>-9306</v>
      </c>
      <c r="AK121" s="24">
        <f t="shared" si="86"/>
        <v>-0.28936150420986001</v>
      </c>
      <c r="AL121" s="79">
        <f t="shared" si="87"/>
        <v>-128.96330261974691</v>
      </c>
      <c r="AM121" s="24">
        <f t="shared" si="88"/>
        <v>-141.20670206028836</v>
      </c>
      <c r="AN121" s="79">
        <f t="shared" si="89"/>
        <v>-129.25266412395678</v>
      </c>
      <c r="AO121" s="15">
        <f t="shared" si="90"/>
        <v>-7930.8823292757079</v>
      </c>
      <c r="AP121" s="46">
        <f>SUMPRODUCT(AN122:AN$605, $I122:$I$605) / $I121</f>
        <v>-7259.4831191145213</v>
      </c>
      <c r="AR121" s="46">
        <v>0</v>
      </c>
      <c r="AS121" s="46">
        <v>0</v>
      </c>
      <c r="AT121" s="46">
        <v>0</v>
      </c>
      <c r="AU121" s="95">
        <f t="shared" si="61"/>
        <v>-2.1799148036871254</v>
      </c>
      <c r="AV121" s="47">
        <f t="shared" si="62"/>
        <v>0.1</v>
      </c>
      <c r="AW121" s="96">
        <f t="shared" si="91"/>
        <v>-2.3979062840558383</v>
      </c>
      <c r="AX121" s="95">
        <f t="shared" si="63"/>
        <v>-24.996356415612368</v>
      </c>
      <c r="AY121" s="11">
        <f t="shared" si="64"/>
        <v>0.1</v>
      </c>
      <c r="AZ121" s="96">
        <f t="shared" si="92"/>
        <v>-27.495992057173606</v>
      </c>
      <c r="BA121" s="95">
        <f t="shared" si="93"/>
        <v>-2.1949083932394875</v>
      </c>
      <c r="BB121" s="64">
        <f t="shared" si="94"/>
        <v>-7.6301216702374247E-2</v>
      </c>
      <c r="BC121" s="95">
        <f t="shared" si="106"/>
        <v>-2.3979062840558383</v>
      </c>
      <c r="BD121" s="96">
        <f t="shared" si="106"/>
        <v>-8.3357996887374552E-2</v>
      </c>
      <c r="BE121" s="96">
        <f t="shared" si="95"/>
        <v>-2.1949083932394875</v>
      </c>
      <c r="BF121" s="96">
        <f t="shared" si="96"/>
        <v>-7.6301216702374247E-2</v>
      </c>
      <c r="BG121" s="15">
        <f t="shared" si="97"/>
        <v>-247.10937767006155</v>
      </c>
      <c r="BH121" s="46">
        <f>(SUMPRODUCT(BE122:BE$605,$I121:$I$604)+SUMPRODUCT(BF122:BF$605,$I122:$I$605)) / $I121</f>
        <v>-226.19001030299415</v>
      </c>
      <c r="BJ121" s="46">
        <f t="shared" si="98"/>
        <v>-2.1949083932394875</v>
      </c>
      <c r="BK121" s="46">
        <f t="shared" si="99"/>
        <v>-129.32896534065915</v>
      </c>
      <c r="BM121" s="49">
        <f t="shared" si="65"/>
        <v>8202.8598391271971</v>
      </c>
      <c r="BN121" s="50">
        <f t="shared" si="100"/>
        <v>7485.673129417507</v>
      </c>
      <c r="BP121" s="68">
        <f>INDEX(Others!$H$11:$I$60, MATCH(C121, Others!$A$11:$A$60, 0), MATCH(BP$3, Others!$H$10:$I$10, 0))</f>
        <v>3.9225866187967862E-2</v>
      </c>
      <c r="BQ121" s="16">
        <f t="shared" si="101"/>
        <v>3.2114855175715551E-3</v>
      </c>
      <c r="BR121" s="69">
        <f t="shared" si="102"/>
        <v>0.75777764061855046</v>
      </c>
      <c r="BT121" s="46">
        <f t="shared" si="103"/>
        <v>7762.9609973083334</v>
      </c>
      <c r="BU121" s="49">
        <f t="shared" si="66"/>
        <v>303.85423943509284</v>
      </c>
      <c r="BV121" s="46">
        <f t="shared" si="104"/>
        <v>277.28786789082642</v>
      </c>
      <c r="BX121" s="46">
        <f t="shared" si="105"/>
        <v>8506.7140785622905</v>
      </c>
    </row>
    <row r="122" spans="1:76" x14ac:dyDescent="0.25">
      <c r="A122" s="61">
        <f t="shared" si="55"/>
        <v>9.75</v>
      </c>
      <c r="B122" s="32">
        <f t="shared" si="67"/>
        <v>9</v>
      </c>
      <c r="C122" s="62">
        <f t="shared" si="68"/>
        <v>10</v>
      </c>
      <c r="D122" s="64">
        <f t="shared" si="69"/>
        <v>10.25</v>
      </c>
      <c r="E122" s="28">
        <f t="shared" si="70"/>
        <v>10</v>
      </c>
      <c r="G122" s="68">
        <f>INDEX(Others!$D$11:$E$60, MATCH(C122, Others!$A$11:$A$60, 0), MATCH(G$3, Others!$D$10:$E$10, 0))</f>
        <v>5.2301154917290482E-2</v>
      </c>
      <c r="H122" s="16">
        <f t="shared" si="71"/>
        <v>4.2573152509506329E-3</v>
      </c>
      <c r="I122" s="69">
        <f t="shared" si="72"/>
        <v>0.68917716775376259</v>
      </c>
      <c r="K122" s="80">
        <f>INDEX(Mortality!$B$7:$F$32, MATCH( E122,Mortality!$A$7:$A$32, 0), MATCH( K$3,Mortality!$B$6:$F$6,0))</f>
        <v>0.35499999999999998</v>
      </c>
      <c r="L122" s="11" cm="1">
        <f t="array" ref="L122">PAD_Res_Mort</f>
        <v>0.15</v>
      </c>
      <c r="M122" s="80">
        <f t="shared" si="73"/>
        <v>0.40824999999999995</v>
      </c>
      <c r="N122" s="76">
        <f>INDEX('Myopia_(Reserve)'!$H:$H, MATCH(E122, 'Myopia_(Reserve)'!$A:$A, 0)) * Trend_Factor_Reserve^(A122)</f>
        <v>27.671288125011785</v>
      </c>
      <c r="O122" s="11">
        <f t="shared" si="56"/>
        <v>0.3</v>
      </c>
      <c r="P122" s="80">
        <f t="shared" si="74"/>
        <v>35.972674562515323</v>
      </c>
      <c r="Q122" s="76">
        <f>VLOOKUP(C122,Others!$L$10:$M$61,2)</f>
        <v>0</v>
      </c>
      <c r="R122" s="11">
        <f t="shared" si="57"/>
        <v>0</v>
      </c>
      <c r="S122" s="80">
        <f t="shared" si="75"/>
        <v>0</v>
      </c>
      <c r="T122" s="78">
        <f t="shared" si="76"/>
        <v>3.4020833333333325E-5</v>
      </c>
      <c r="U122" s="81">
        <f t="shared" si="77"/>
        <v>2.99772288020961E-3</v>
      </c>
      <c r="V122" s="81">
        <f t="shared" si="78"/>
        <v>0</v>
      </c>
      <c r="W122" s="77">
        <f t="shared" si="58"/>
        <v>0.91256869874958135</v>
      </c>
      <c r="X122" s="82">
        <f t="shared" si="79"/>
        <v>3.099981343209459E-5</v>
      </c>
      <c r="Y122" s="82">
        <f t="shared" si="80"/>
        <v>2.735581533831449E-3</v>
      </c>
      <c r="Z122" s="82">
        <f t="shared" si="81"/>
        <v>0</v>
      </c>
      <c r="AA122" s="82">
        <f t="shared" si="82"/>
        <v>0.90980211740231776</v>
      </c>
      <c r="AC122" s="46">
        <f t="shared" si="59"/>
        <v>0</v>
      </c>
      <c r="AD122" s="15">
        <f t="shared" si="83"/>
        <v>0</v>
      </c>
      <c r="AE122" s="46">
        <f t="shared" si="84"/>
        <v>0</v>
      </c>
      <c r="AF122" s="15">
        <f t="shared" si="85"/>
        <v>0</v>
      </c>
      <c r="AG122" s="46">
        <f>SUMPRODUCT(AE123:AE$605, $I122:$I$604) / $I122</f>
        <v>0</v>
      </c>
      <c r="AI122" s="46">
        <f t="shared" si="60"/>
        <v>-47000</v>
      </c>
      <c r="AJ122" s="46">
        <f>IF(E122&gt;Mat_Year,0,  -SUM($AD$5:AD122))</f>
        <v>-9306</v>
      </c>
      <c r="AK122" s="24">
        <f t="shared" si="86"/>
        <v>-0.28848426379907227</v>
      </c>
      <c r="AL122" s="79">
        <f t="shared" si="87"/>
        <v>-128.57233209007811</v>
      </c>
      <c r="AM122" s="24">
        <f t="shared" si="88"/>
        <v>-141.20670206028836</v>
      </c>
      <c r="AN122" s="79">
        <f t="shared" si="89"/>
        <v>-128.86081635387717</v>
      </c>
      <c r="AO122" s="15">
        <f t="shared" si="90"/>
        <v>-7847.6592729627127</v>
      </c>
      <c r="AP122" s="46">
        <f>SUMPRODUCT(AN123:AN$605, $I123:$I$605) / $I122</f>
        <v>-7161.5282109576683</v>
      </c>
      <c r="AR122" s="46">
        <v>0</v>
      </c>
      <c r="AS122" s="46">
        <v>0</v>
      </c>
      <c r="AT122" s="46">
        <v>0</v>
      </c>
      <c r="AU122" s="95">
        <f t="shared" si="61"/>
        <v>-2.1841385015585462</v>
      </c>
      <c r="AV122" s="47">
        <f t="shared" si="62"/>
        <v>0.1</v>
      </c>
      <c r="AW122" s="96">
        <f t="shared" si="91"/>
        <v>-2.4025523517144012</v>
      </c>
      <c r="AX122" s="95">
        <f t="shared" si="63"/>
        <v>-25.044788151204656</v>
      </c>
      <c r="AY122" s="11">
        <f t="shared" si="64"/>
        <v>0.1</v>
      </c>
      <c r="AZ122" s="96">
        <f t="shared" si="92"/>
        <v>-27.549266966325124</v>
      </c>
      <c r="BA122" s="95">
        <f t="shared" si="93"/>
        <v>-2.1924940732817575</v>
      </c>
      <c r="BB122" s="64">
        <f t="shared" si="94"/>
        <v>-7.6217288119818802E-2</v>
      </c>
      <c r="BC122" s="95">
        <f t="shared" si="106"/>
        <v>-2.4025523517144012</v>
      </c>
      <c r="BD122" s="96">
        <f t="shared" si="106"/>
        <v>-8.3519507325041015E-2</v>
      </c>
      <c r="BE122" s="96">
        <f t="shared" si="95"/>
        <v>-2.1924940732817575</v>
      </c>
      <c r="BF122" s="96">
        <f t="shared" si="96"/>
        <v>-7.6217288119818802E-2</v>
      </c>
      <c r="BG122" s="15">
        <f t="shared" si="97"/>
        <v>-246.41972411692424</v>
      </c>
      <c r="BH122" s="46">
        <f>(SUMPRODUCT(BE123:BE$605,$I122:$I$604)+SUMPRODUCT(BF123:BF$605,$I123:$I$605)) / $I122</f>
        <v>-224.8749269836124</v>
      </c>
      <c r="BJ122" s="46">
        <f t="shared" si="98"/>
        <v>-2.1924940732817575</v>
      </c>
      <c r="BK122" s="46">
        <f t="shared" si="99"/>
        <v>-128.93703364199698</v>
      </c>
      <c r="BM122" s="49">
        <f t="shared" si="65"/>
        <v>8118.6919624138209</v>
      </c>
      <c r="BN122" s="50">
        <f t="shared" si="100"/>
        <v>7386.4031379412727</v>
      </c>
      <c r="BP122" s="68">
        <f>INDEX(Others!$H$11:$I$60, MATCH(C122, Others!$A$11:$A$60, 0), MATCH(BP$3, Others!$H$10:$I$10, 0))</f>
        <v>3.9225866187967862E-2</v>
      </c>
      <c r="BQ122" s="16">
        <f t="shared" si="101"/>
        <v>3.2114855175715551E-3</v>
      </c>
      <c r="BR122" s="69">
        <f t="shared" si="102"/>
        <v>0.75535183912652459</v>
      </c>
      <c r="BT122" s="46">
        <f t="shared" si="103"/>
        <v>7656.7550652464197</v>
      </c>
      <c r="BU122" s="49">
        <f t="shared" si="66"/>
        <v>297.15464729523859</v>
      </c>
      <c r="BV122" s="46">
        <f t="shared" si="104"/>
        <v>270.351927305147</v>
      </c>
      <c r="BX122" s="46">
        <f t="shared" si="105"/>
        <v>8415.8466097090586</v>
      </c>
    </row>
    <row r="123" spans="1:76" x14ac:dyDescent="0.25">
      <c r="A123" s="61">
        <f t="shared" si="55"/>
        <v>9.8333333333333339</v>
      </c>
      <c r="B123" s="32">
        <f t="shared" si="67"/>
        <v>10</v>
      </c>
      <c r="C123" s="62">
        <f t="shared" si="68"/>
        <v>10</v>
      </c>
      <c r="D123" s="64">
        <f t="shared" si="69"/>
        <v>10.333333333333334</v>
      </c>
      <c r="E123" s="28">
        <f t="shared" si="70"/>
        <v>10</v>
      </c>
      <c r="G123" s="68">
        <f>INDEX(Others!$D$11:$E$60, MATCH(C123, Others!$A$11:$A$60, 0), MATCH(G$3, Others!$D$10:$E$10, 0))</f>
        <v>5.2301154917290482E-2</v>
      </c>
      <c r="H123" s="16">
        <f t="shared" si="71"/>
        <v>4.2573152509506329E-3</v>
      </c>
      <c r="I123" s="69">
        <f t="shared" si="72"/>
        <v>0.68625556148579936</v>
      </c>
      <c r="K123" s="80">
        <f>INDEX(Mortality!$B$7:$F$32, MATCH( E123,Mortality!$A$7:$A$32, 0), MATCH( K$3,Mortality!$B$6:$F$6,0))</f>
        <v>0.35499999999999998</v>
      </c>
      <c r="L123" s="11" cm="1">
        <f t="array" ref="L123">PAD_Res_Mort</f>
        <v>0.15</v>
      </c>
      <c r="M123" s="80">
        <f t="shared" si="73"/>
        <v>0.40824999999999995</v>
      </c>
      <c r="N123" s="76">
        <f>INDEX('Myopia_(Reserve)'!$H:$H, MATCH(E123, 'Myopia_(Reserve)'!$A:$A, 0)) * Trend_Factor_Reserve^(A123)</f>
        <v>27.671288125011785</v>
      </c>
      <c r="O123" s="11">
        <f t="shared" si="56"/>
        <v>0.3</v>
      </c>
      <c r="P123" s="80">
        <f t="shared" si="74"/>
        <v>35.972674562515323</v>
      </c>
      <c r="Q123" s="76">
        <f>VLOOKUP(C123,Others!$L$10:$M$61,2)</f>
        <v>0</v>
      </c>
      <c r="R123" s="11">
        <f t="shared" si="57"/>
        <v>0</v>
      </c>
      <c r="S123" s="80">
        <f t="shared" si="75"/>
        <v>0</v>
      </c>
      <c r="T123" s="78">
        <f t="shared" si="76"/>
        <v>3.4020833333333325E-5</v>
      </c>
      <c r="U123" s="81">
        <f t="shared" si="77"/>
        <v>2.99772288020961E-3</v>
      </c>
      <c r="V123" s="81">
        <f t="shared" si="78"/>
        <v>0</v>
      </c>
      <c r="W123" s="77">
        <f t="shared" si="58"/>
        <v>0.90980211740231776</v>
      </c>
      <c r="X123" s="82">
        <f t="shared" si="79"/>
        <v>3.0905833104117739E-5</v>
      </c>
      <c r="Y123" s="82">
        <f t="shared" si="80"/>
        <v>2.7272882307017372E-3</v>
      </c>
      <c r="Z123" s="82">
        <f t="shared" si="81"/>
        <v>0</v>
      </c>
      <c r="AA123" s="82">
        <f t="shared" si="82"/>
        <v>0.90704392333851191</v>
      </c>
      <c r="AC123" s="46">
        <f t="shared" si="59"/>
        <v>0</v>
      </c>
      <c r="AD123" s="15">
        <f t="shared" si="83"/>
        <v>0</v>
      </c>
      <c r="AE123" s="46">
        <f t="shared" si="84"/>
        <v>0</v>
      </c>
      <c r="AF123" s="15">
        <f t="shared" si="85"/>
        <v>0</v>
      </c>
      <c r="AG123" s="46">
        <f>SUMPRODUCT(AE124:AE$605, $I123:$I$604) / $I123</f>
        <v>0</v>
      </c>
      <c r="AI123" s="46">
        <f t="shared" si="60"/>
        <v>-47000</v>
      </c>
      <c r="AJ123" s="46">
        <f>IF(E123&gt;Mat_Year,0,  -SUM($AD$5:AD123))</f>
        <v>-9306</v>
      </c>
      <c r="AK123" s="24">
        <f t="shared" si="86"/>
        <v>-0.28760968286691968</v>
      </c>
      <c r="AL123" s="79">
        <f t="shared" si="87"/>
        <v>-128.18254684298165</v>
      </c>
      <c r="AM123" s="24">
        <f t="shared" si="88"/>
        <v>-141.20670206028836</v>
      </c>
      <c r="AN123" s="79">
        <f t="shared" si="89"/>
        <v>-128.47015652584858</v>
      </c>
      <c r="AO123" s="15">
        <f t="shared" si="90"/>
        <v>-7763.8277627583475</v>
      </c>
      <c r="AP123" s="46">
        <f>SUMPRODUCT(AN124:AN$605, $I124:$I$605) / $I123</f>
        <v>-7063.5469377044437</v>
      </c>
      <c r="AR123" s="46">
        <v>0</v>
      </c>
      <c r="AS123" s="46">
        <v>0</v>
      </c>
      <c r="AT123" s="46">
        <v>0</v>
      </c>
      <c r="AU123" s="95">
        <f t="shared" si="61"/>
        <v>-2.1883703830634182</v>
      </c>
      <c r="AV123" s="47">
        <f t="shared" si="62"/>
        <v>0.1</v>
      </c>
      <c r="AW123" s="96">
        <f t="shared" si="91"/>
        <v>-2.4072074213697601</v>
      </c>
      <c r="AX123" s="95">
        <f t="shared" si="63"/>
        <v>-25.093313725793859</v>
      </c>
      <c r="AY123" s="11">
        <f t="shared" si="64"/>
        <v>0.1</v>
      </c>
      <c r="AZ123" s="96">
        <f t="shared" si="92"/>
        <v>-27.602645098373248</v>
      </c>
      <c r="BA123" s="95">
        <f t="shared" si="93"/>
        <v>-2.1900824089887809</v>
      </c>
      <c r="BB123" s="64">
        <f t="shared" si="94"/>
        <v>-7.6133451855672871E-2</v>
      </c>
      <c r="BC123" s="95">
        <f t="shared" si="106"/>
        <v>-2.4072074213697601</v>
      </c>
      <c r="BD123" s="96">
        <f t="shared" si="106"/>
        <v>-8.3681330697548142E-2</v>
      </c>
      <c r="BE123" s="96">
        <f t="shared" si="95"/>
        <v>-2.1900824089887809</v>
      </c>
      <c r="BF123" s="96">
        <f t="shared" si="96"/>
        <v>-7.6133451855672871E-2</v>
      </c>
      <c r="BG123" s="15">
        <f t="shared" si="97"/>
        <v>-245.72019171161534</v>
      </c>
      <c r="BH123" s="46">
        <f>(SUMPRODUCT(BE124:BE$605,$I123:$I$604)+SUMPRODUCT(BF124:BF$605,$I124:$I$605)) / $I123</f>
        <v>-223.55675070773108</v>
      </c>
      <c r="BJ123" s="46">
        <f t="shared" si="98"/>
        <v>-2.1900824089887809</v>
      </c>
      <c r="BK123" s="46">
        <f t="shared" si="99"/>
        <v>-128.54628997770425</v>
      </c>
      <c r="BM123" s="49">
        <f t="shared" si="65"/>
        <v>8033.9038726932677</v>
      </c>
      <c r="BN123" s="50">
        <f t="shared" si="100"/>
        <v>7287.1036884121659</v>
      </c>
      <c r="BP123" s="68">
        <f>INDEX(Others!$H$11:$I$60, MATCH(C123, Others!$A$11:$A$60, 0), MATCH(BP$3, Others!$H$10:$I$10, 0))</f>
        <v>3.9225866187967862E-2</v>
      </c>
      <c r="BQ123" s="16">
        <f t="shared" si="101"/>
        <v>3.2114855175715551E-3</v>
      </c>
      <c r="BR123" s="69">
        <f t="shared" si="102"/>
        <v>0.75293380312210789</v>
      </c>
      <c r="BT123" s="46">
        <f t="shared" si="103"/>
        <v>7550.601217445419</v>
      </c>
      <c r="BU123" s="49">
        <f t="shared" si="66"/>
        <v>290.50139938472967</v>
      </c>
      <c r="BV123" s="46">
        <f t="shared" si="104"/>
        <v>263.49752903325316</v>
      </c>
      <c r="BX123" s="46">
        <f t="shared" si="105"/>
        <v>8324.4052720779982</v>
      </c>
    </row>
    <row r="124" spans="1:76" x14ac:dyDescent="0.25">
      <c r="A124" s="61">
        <f t="shared" si="55"/>
        <v>9.9166666666666679</v>
      </c>
      <c r="B124" s="32">
        <f t="shared" si="67"/>
        <v>11</v>
      </c>
      <c r="C124" s="62">
        <f t="shared" si="68"/>
        <v>10</v>
      </c>
      <c r="D124" s="64">
        <f t="shared" si="69"/>
        <v>10.416666666666668</v>
      </c>
      <c r="E124" s="28">
        <f t="shared" si="70"/>
        <v>10</v>
      </c>
      <c r="G124" s="68">
        <f>INDEX(Others!$D$11:$E$60, MATCH(C124, Others!$A$11:$A$60, 0), MATCH(G$3, Others!$D$10:$E$10, 0))</f>
        <v>5.2301154917290482E-2</v>
      </c>
      <c r="H124" s="16">
        <f t="shared" si="71"/>
        <v>4.2573152509506329E-3</v>
      </c>
      <c r="I124" s="69">
        <f t="shared" si="72"/>
        <v>0.68334634068790745</v>
      </c>
      <c r="K124" s="80">
        <f>INDEX(Mortality!$B$7:$F$32, MATCH( E124,Mortality!$A$7:$A$32, 0), MATCH( K$3,Mortality!$B$6:$F$6,0))</f>
        <v>0.35499999999999998</v>
      </c>
      <c r="L124" s="11" cm="1">
        <f t="array" ref="L124">PAD_Res_Mort</f>
        <v>0.15</v>
      </c>
      <c r="M124" s="80">
        <f t="shared" si="73"/>
        <v>0.40824999999999995</v>
      </c>
      <c r="N124" s="76">
        <f>INDEX('Myopia_(Reserve)'!$H:$H, MATCH(E124, 'Myopia_(Reserve)'!$A:$A, 0)) * Trend_Factor_Reserve^(A124)</f>
        <v>27.671288125011785</v>
      </c>
      <c r="O124" s="11">
        <f t="shared" si="56"/>
        <v>0.3</v>
      </c>
      <c r="P124" s="80">
        <f t="shared" si="74"/>
        <v>35.972674562515323</v>
      </c>
      <c r="Q124" s="76">
        <f>VLOOKUP(C124,Others!$L$10:$M$61,2)</f>
        <v>0</v>
      </c>
      <c r="R124" s="11">
        <f t="shared" si="57"/>
        <v>0</v>
      </c>
      <c r="S124" s="80">
        <f t="shared" si="75"/>
        <v>0</v>
      </c>
      <c r="T124" s="78">
        <f t="shared" si="76"/>
        <v>3.4020833333333325E-5</v>
      </c>
      <c r="U124" s="81">
        <f t="shared" si="77"/>
        <v>2.99772288020961E-3</v>
      </c>
      <c r="V124" s="81">
        <f t="shared" si="78"/>
        <v>0</v>
      </c>
      <c r="W124" s="77">
        <f t="shared" si="58"/>
        <v>0.90704392333851191</v>
      </c>
      <c r="X124" s="82">
        <f t="shared" si="79"/>
        <v>3.0812137690824856E-5</v>
      </c>
      <c r="Y124" s="82">
        <f t="shared" si="80"/>
        <v>2.7190200698958612E-3</v>
      </c>
      <c r="Z124" s="82">
        <f t="shared" si="81"/>
        <v>0</v>
      </c>
      <c r="AA124" s="82">
        <f t="shared" si="82"/>
        <v>0.90429409113092518</v>
      </c>
      <c r="AC124" s="46">
        <f t="shared" si="59"/>
        <v>0</v>
      </c>
      <c r="AD124" s="15">
        <f t="shared" si="83"/>
        <v>0</v>
      </c>
      <c r="AE124" s="46">
        <f t="shared" si="84"/>
        <v>0</v>
      </c>
      <c r="AF124" s="15">
        <f t="shared" si="85"/>
        <v>0</v>
      </c>
      <c r="AG124" s="46">
        <f>SUMPRODUCT(AE125:AE$605, $I124:$I$604) / $I124</f>
        <v>0</v>
      </c>
      <c r="AI124" s="46">
        <f t="shared" si="60"/>
        <v>-47000</v>
      </c>
      <c r="AJ124" s="46">
        <f>IF(E124&gt;Mat_Year,0,  -SUM($AD$5:AD124))</f>
        <v>-9306</v>
      </c>
      <c r="AK124" s="24">
        <f t="shared" si="86"/>
        <v>-0.28673775335081614</v>
      </c>
      <c r="AL124" s="79">
        <f t="shared" si="87"/>
        <v>-127.79394328510547</v>
      </c>
      <c r="AM124" s="24">
        <f t="shared" si="88"/>
        <v>-141.20670206028834</v>
      </c>
      <c r="AN124" s="79">
        <f t="shared" si="89"/>
        <v>-128.08068103845628</v>
      </c>
      <c r="AO124" s="15">
        <f t="shared" si="90"/>
        <v>-7679.38335018217</v>
      </c>
      <c r="AP124" s="46">
        <f>SUMPRODUCT(AN125:AN$605, $I125:$I$605) / $I124</f>
        <v>-6965.538002769681</v>
      </c>
      <c r="AR124" s="46">
        <v>0</v>
      </c>
      <c r="AS124" s="46">
        <v>0</v>
      </c>
      <c r="AT124" s="46">
        <v>0</v>
      </c>
      <c r="AU124" s="95">
        <f t="shared" si="61"/>
        <v>-2.1926104640579562</v>
      </c>
      <c r="AV124" s="47">
        <f t="shared" si="62"/>
        <v>0.1</v>
      </c>
      <c r="AW124" s="96">
        <f t="shared" si="91"/>
        <v>-2.4118715104637523</v>
      </c>
      <c r="AX124" s="95">
        <f t="shared" si="63"/>
        <v>-25.141933321197897</v>
      </c>
      <c r="AY124" s="11">
        <f t="shared" si="64"/>
        <v>0.1</v>
      </c>
      <c r="AZ124" s="96">
        <f t="shared" si="92"/>
        <v>-27.656126653317688</v>
      </c>
      <c r="BA124" s="95">
        <f t="shared" si="93"/>
        <v>-2.1876733974394247</v>
      </c>
      <c r="BB124" s="64">
        <f t="shared" si="94"/>
        <v>-7.6049707808389558E-2</v>
      </c>
      <c r="BC124" s="95">
        <f t="shared" si="106"/>
        <v>-2.4118715104637523</v>
      </c>
      <c r="BD124" s="96">
        <f t="shared" si="106"/>
        <v>-8.3843467611223438E-2</v>
      </c>
      <c r="BE124" s="96">
        <f t="shared" si="95"/>
        <v>-2.1876733974394247</v>
      </c>
      <c r="BF124" s="96">
        <f t="shared" si="96"/>
        <v>-7.6049707808389558E-2</v>
      </c>
      <c r="BG124" s="15">
        <f t="shared" si="97"/>
        <v>-245.01069885726599</v>
      </c>
      <c r="BH124" s="46">
        <f>(SUMPRODUCT(BE125:BE$605,$I124:$I$604)+SUMPRODUCT(BF125:BF$605,$I125:$I$605)) / $I124</f>
        <v>-222.23546555140521</v>
      </c>
      <c r="BJ124" s="46">
        <f t="shared" si="98"/>
        <v>-2.1876733974394247</v>
      </c>
      <c r="BK124" s="46">
        <f t="shared" si="99"/>
        <v>-128.15673074626466</v>
      </c>
      <c r="BM124" s="49">
        <f t="shared" si="65"/>
        <v>7948.491026112898</v>
      </c>
      <c r="BN124" s="50">
        <f t="shared" si="100"/>
        <v>7187.7734683210783</v>
      </c>
      <c r="BP124" s="68">
        <f>INDEX(Others!$H$11:$I$60, MATCH(C124, Others!$A$11:$A$60, 0), MATCH(BP$3, Others!$H$10:$I$10, 0))</f>
        <v>3.9225866187967862E-2</v>
      </c>
      <c r="BQ124" s="16">
        <f t="shared" si="101"/>
        <v>3.2114855175715551E-3</v>
      </c>
      <c r="BR124" s="69">
        <f t="shared" si="102"/>
        <v>0.75052350774638343</v>
      </c>
      <c r="BT124" s="46">
        <f t="shared" si="103"/>
        <v>7444.4984340790661</v>
      </c>
      <c r="BU124" s="49">
        <f t="shared" si="66"/>
        <v>283.89543653539005</v>
      </c>
      <c r="BV124" s="46">
        <f t="shared" si="104"/>
        <v>256.72496575798777</v>
      </c>
      <c r="BX124" s="46">
        <f t="shared" si="105"/>
        <v>8232.3864626482882</v>
      </c>
    </row>
    <row r="125" spans="1:76" x14ac:dyDescent="0.25">
      <c r="A125" s="61">
        <f t="shared" si="55"/>
        <v>10.000000000000002</v>
      </c>
      <c r="B125" s="32">
        <f t="shared" si="67"/>
        <v>12</v>
      </c>
      <c r="C125" s="62">
        <f t="shared" si="68"/>
        <v>10</v>
      </c>
      <c r="D125" s="64">
        <f t="shared" si="69"/>
        <v>10.500000000000002</v>
      </c>
      <c r="E125" s="28">
        <f t="shared" si="70"/>
        <v>10</v>
      </c>
      <c r="G125" s="68">
        <f>INDEX(Others!$D$11:$E$60, MATCH(C125, Others!$A$11:$A$60, 0), MATCH(G$3, Others!$D$10:$E$10, 0))</f>
        <v>5.2301154917290482E-2</v>
      </c>
      <c r="H125" s="16">
        <f t="shared" si="71"/>
        <v>4.2573152509506329E-3</v>
      </c>
      <c r="I125" s="69">
        <f t="shared" si="72"/>
        <v>0.68044945285476788</v>
      </c>
      <c r="K125" s="80">
        <f>INDEX(Mortality!$B$7:$F$32, MATCH( E125,Mortality!$A$7:$A$32, 0), MATCH( K$3,Mortality!$B$6:$F$6,0))</f>
        <v>0.35499999999999998</v>
      </c>
      <c r="L125" s="11" cm="1">
        <f t="array" ref="L125">PAD_Res_Mort</f>
        <v>0.15</v>
      </c>
      <c r="M125" s="80">
        <f t="shared" si="73"/>
        <v>0.40824999999999995</v>
      </c>
      <c r="N125" s="76">
        <f>INDEX('Myopia_(Reserve)'!$H:$H, MATCH(E125, 'Myopia_(Reserve)'!$A:$A, 0)) * Trend_Factor_Reserve^(A125)</f>
        <v>27.671288125011785</v>
      </c>
      <c r="O125" s="11">
        <f t="shared" si="56"/>
        <v>0.3</v>
      </c>
      <c r="P125" s="80">
        <f t="shared" si="74"/>
        <v>35.972674562515323</v>
      </c>
      <c r="Q125" s="76">
        <f>VLOOKUP(C125,Others!$L$10:$M$61,2)</f>
        <v>0</v>
      </c>
      <c r="R125" s="11">
        <f t="shared" si="57"/>
        <v>0</v>
      </c>
      <c r="S125" s="80">
        <f t="shared" si="75"/>
        <v>0</v>
      </c>
      <c r="T125" s="78">
        <f t="shared" si="76"/>
        <v>3.4020833333333325E-5</v>
      </c>
      <c r="U125" s="81">
        <f t="shared" si="77"/>
        <v>2.99772288020961E-3</v>
      </c>
      <c r="V125" s="81">
        <f t="shared" si="78"/>
        <v>0</v>
      </c>
      <c r="W125" s="77">
        <f t="shared" si="58"/>
        <v>0.90429409113092518</v>
      </c>
      <c r="X125" s="82">
        <f t="shared" si="79"/>
        <v>3.0718726328456682E-5</v>
      </c>
      <c r="Y125" s="82">
        <f t="shared" si="80"/>
        <v>2.7107769751913021E-3</v>
      </c>
      <c r="Z125" s="82">
        <f t="shared" si="81"/>
        <v>0</v>
      </c>
      <c r="AA125" s="82">
        <f t="shared" si="82"/>
        <v>0.90155259542940547</v>
      </c>
      <c r="AC125" s="46">
        <f t="shared" si="59"/>
        <v>0</v>
      </c>
      <c r="AD125" s="15">
        <f t="shared" si="83"/>
        <v>0</v>
      </c>
      <c r="AE125" s="46">
        <f t="shared" si="84"/>
        <v>0</v>
      </c>
      <c r="AF125" s="15">
        <f t="shared" si="85"/>
        <v>0</v>
      </c>
      <c r="AG125" s="46">
        <f>SUMPRODUCT(AE126:AE$605, $I125:$I$604) / $I125</f>
        <v>0</v>
      </c>
      <c r="AI125" s="46">
        <f t="shared" si="60"/>
        <v>-47000</v>
      </c>
      <c r="AJ125" s="46">
        <f>IF(E125&gt;Mat_Year,0,  -SUM($AD$5:AD125))</f>
        <v>-9306</v>
      </c>
      <c r="AK125" s="24">
        <f t="shared" si="86"/>
        <v>-0.28586846721261788</v>
      </c>
      <c r="AL125" s="79">
        <f t="shared" si="87"/>
        <v>-127.4065178339912</v>
      </c>
      <c r="AM125" s="24">
        <f t="shared" si="88"/>
        <v>-141.20670206028839</v>
      </c>
      <c r="AN125" s="79">
        <f t="shared" si="89"/>
        <v>-127.69238630120383</v>
      </c>
      <c r="AO125" s="15">
        <f t="shared" si="90"/>
        <v>-7594.321554230366</v>
      </c>
      <c r="AP125" s="46">
        <f>SUMPRODUCT(AN126:AN$605, $I126:$I$605) / $I125</f>
        <v>-6867.5001076387443</v>
      </c>
      <c r="AR125" s="46">
        <v>0</v>
      </c>
      <c r="AS125" s="46">
        <v>0</v>
      </c>
      <c r="AT125" s="46">
        <v>0</v>
      </c>
      <c r="AU125" s="95">
        <f t="shared" si="61"/>
        <v>-2.1968587604290954</v>
      </c>
      <c r="AV125" s="47">
        <f t="shared" si="62"/>
        <v>0.1</v>
      </c>
      <c r="AW125" s="96">
        <f t="shared" si="91"/>
        <v>-2.4165446364720053</v>
      </c>
      <c r="AX125" s="95">
        <f t="shared" si="63"/>
        <v>-25.190647119586956</v>
      </c>
      <c r="AY125" s="11">
        <f t="shared" si="64"/>
        <v>0.1</v>
      </c>
      <c r="AZ125" s="96">
        <f t="shared" si="92"/>
        <v>-27.709711831545654</v>
      </c>
      <c r="BA125" s="95">
        <f t="shared" si="93"/>
        <v>-2.1852670357157642</v>
      </c>
      <c r="BB125" s="64">
        <f t="shared" si="94"/>
        <v>-7.59660558765336E-2</v>
      </c>
      <c r="BC125" s="95">
        <f t="shared" si="106"/>
        <v>-2.4165446364720053</v>
      </c>
      <c r="BD125" s="96">
        <f t="shared" si="106"/>
        <v>-8.4005918673569116E-2</v>
      </c>
      <c r="BE125" s="96">
        <f t="shared" si="95"/>
        <v>-2.1852670357157642</v>
      </c>
      <c r="BF125" s="96">
        <f t="shared" si="96"/>
        <v>-7.59660558765336E-2</v>
      </c>
      <c r="BG125" s="15">
        <f t="shared" si="97"/>
        <v>-244.29116334228556</v>
      </c>
      <c r="BH125" s="46">
        <f>(SUMPRODUCT(BE126:BE$605,$I125:$I$604)+SUMPRODUCT(BF126:BF$605,$I126:$I$605)) / $I125</f>
        <v>-220.9110555259285</v>
      </c>
      <c r="BJ125" s="46">
        <f t="shared" si="98"/>
        <v>-2.1852670357157642</v>
      </c>
      <c r="BK125" s="46">
        <f t="shared" si="99"/>
        <v>-127.76835235708036</v>
      </c>
      <c r="BM125" s="49">
        <f t="shared" si="65"/>
        <v>7862.4488455812025</v>
      </c>
      <c r="BN125" s="50">
        <f t="shared" si="100"/>
        <v>7088.4111631646656</v>
      </c>
      <c r="BP125" s="68">
        <f>INDEX(Others!$H$11:$I$60, MATCH(C125, Others!$A$11:$A$60, 0), MATCH(BP$3, Others!$H$10:$I$10, 0))</f>
        <v>3.9225866187967862E-2</v>
      </c>
      <c r="BQ125" s="16">
        <f t="shared" si="101"/>
        <v>3.2114855175715551E-3</v>
      </c>
      <c r="BR125" s="69">
        <f t="shared" si="102"/>
        <v>0.74812092822001264</v>
      </c>
      <c r="BT125" s="46">
        <f t="shared" si="103"/>
        <v>7338.4456956394624</v>
      </c>
      <c r="BU125" s="49">
        <f t="shared" si="66"/>
        <v>277.33771023720084</v>
      </c>
      <c r="BV125" s="46">
        <f t="shared" si="104"/>
        <v>250.03453247479683</v>
      </c>
      <c r="BX125" s="46">
        <f t="shared" si="105"/>
        <v>8139.786555818403</v>
      </c>
    </row>
    <row r="126" spans="1:76" x14ac:dyDescent="0.25">
      <c r="A126" s="61">
        <f t="shared" si="55"/>
        <v>10.083333333333336</v>
      </c>
      <c r="B126" s="32">
        <f t="shared" si="67"/>
        <v>1</v>
      </c>
      <c r="C126" s="62">
        <f t="shared" si="68"/>
        <v>11</v>
      </c>
      <c r="D126" s="64">
        <f t="shared" si="69"/>
        <v>10.583333333333336</v>
      </c>
      <c r="E126" s="28">
        <f t="shared" si="70"/>
        <v>10</v>
      </c>
      <c r="G126" s="68">
        <f>INDEX(Others!$D$11:$E$60, MATCH(C126, Others!$A$11:$A$60, 0), MATCH(G$3, Others!$D$10:$E$10, 0))</f>
        <v>5.5201107113974412E-2</v>
      </c>
      <c r="H126" s="16">
        <f t="shared" si="71"/>
        <v>4.4876537952047713E-3</v>
      </c>
      <c r="I126" s="69">
        <f t="shared" si="72"/>
        <v>0.67740947365939264</v>
      </c>
      <c r="K126" s="80">
        <f>INDEX(Mortality!$B$7:$F$32, MATCH( E126,Mortality!$A$7:$A$32, 0), MATCH( K$3,Mortality!$B$6:$F$6,0))</f>
        <v>0.35499999999999998</v>
      </c>
      <c r="L126" s="11" cm="1">
        <f t="array" ref="L126">PAD_Res_Mort</f>
        <v>0.15</v>
      </c>
      <c r="M126" s="80">
        <f t="shared" si="73"/>
        <v>0.40824999999999995</v>
      </c>
      <c r="N126" s="76">
        <f>INDEX('Myopia_(Reserve)'!$H:$H, MATCH(E126, 'Myopia_(Reserve)'!$A:$A, 0)) * Trend_Factor_Reserve^(A126)</f>
        <v>27.671288125011785</v>
      </c>
      <c r="O126" s="11">
        <f t="shared" si="56"/>
        <v>0.3</v>
      </c>
      <c r="P126" s="80">
        <f t="shared" si="74"/>
        <v>35.972674562515323</v>
      </c>
      <c r="Q126" s="76">
        <f>VLOOKUP(C126,Others!$L$10:$M$61,2)</f>
        <v>0</v>
      </c>
      <c r="R126" s="11">
        <f t="shared" si="57"/>
        <v>0</v>
      </c>
      <c r="S126" s="80">
        <f t="shared" si="75"/>
        <v>0</v>
      </c>
      <c r="T126" s="78">
        <f t="shared" si="76"/>
        <v>3.4020833333333325E-5</v>
      </c>
      <c r="U126" s="81">
        <f t="shared" si="77"/>
        <v>2.99772288020961E-3</v>
      </c>
      <c r="V126" s="81">
        <f t="shared" si="78"/>
        <v>0</v>
      </c>
      <c r="W126" s="77">
        <f t="shared" si="58"/>
        <v>0.90155259542940547</v>
      </c>
      <c r="X126" s="82">
        <f t="shared" si="79"/>
        <v>3.0625598155872577E-5</v>
      </c>
      <c r="Y126" s="82">
        <f t="shared" si="80"/>
        <v>2.7025588705966211E-3</v>
      </c>
      <c r="Z126" s="82">
        <f t="shared" si="81"/>
        <v>0</v>
      </c>
      <c r="AA126" s="82">
        <f t="shared" si="82"/>
        <v>0.89881941096065299</v>
      </c>
      <c r="AC126" s="46">
        <f t="shared" si="59"/>
        <v>0</v>
      </c>
      <c r="AD126" s="15">
        <f t="shared" si="83"/>
        <v>0</v>
      </c>
      <c r="AE126" s="46">
        <f t="shared" si="84"/>
        <v>0</v>
      </c>
      <c r="AF126" s="15">
        <f t="shared" si="85"/>
        <v>0</v>
      </c>
      <c r="AG126" s="46">
        <f>SUMPRODUCT(AE127:AE$605, $I126:$I$604) / $I126</f>
        <v>0</v>
      </c>
      <c r="AI126" s="46">
        <f t="shared" si="60"/>
        <v>-47000</v>
      </c>
      <c r="AJ126" s="46">
        <f>IF(E126&gt;Mat_Year,0,  -SUM($AD$5:AD126))</f>
        <v>-9306</v>
      </c>
      <c r="AK126" s="24">
        <f t="shared" si="86"/>
        <v>-0.28500181643855022</v>
      </c>
      <c r="AL126" s="79">
        <f t="shared" si="87"/>
        <v>-127.02026691804119</v>
      </c>
      <c r="AM126" s="24">
        <f t="shared" si="88"/>
        <v>-141.20670206028836</v>
      </c>
      <c r="AN126" s="79">
        <f t="shared" si="89"/>
        <v>-127.30526873447974</v>
      </c>
      <c r="AO126" s="15">
        <f t="shared" si="90"/>
        <v>-7510.3924453801546</v>
      </c>
      <c r="AP126" s="46">
        <f>SUMPRODUCT(AN127:AN$605, $I127:$I$605) / $I126</f>
        <v>-6771.0138018258776</v>
      </c>
      <c r="AR126" s="46">
        <v>0</v>
      </c>
      <c r="AS126" s="46">
        <v>0</v>
      </c>
      <c r="AT126" s="46">
        <v>0</v>
      </c>
      <c r="AU126" s="95">
        <f t="shared" si="61"/>
        <v>-2.2011152880945537</v>
      </c>
      <c r="AV126" s="47">
        <f t="shared" si="62"/>
        <v>0.1</v>
      </c>
      <c r="AW126" s="96">
        <f t="shared" si="91"/>
        <v>-2.4212268169040092</v>
      </c>
      <c r="AX126" s="95">
        <f t="shared" si="63"/>
        <v>-25.239455303484213</v>
      </c>
      <c r="AY126" s="11">
        <f t="shared" si="64"/>
        <v>0.1</v>
      </c>
      <c r="AZ126" s="96">
        <f t="shared" si="92"/>
        <v>-27.763400833832637</v>
      </c>
      <c r="BA126" s="95">
        <f t="shared" si="93"/>
        <v>-2.1828633209030874</v>
      </c>
      <c r="BB126" s="64">
        <f t="shared" si="94"/>
        <v>-7.588249595878141E-2</v>
      </c>
      <c r="BC126" s="95">
        <f t="shared" si="106"/>
        <v>-2.4212268169040092</v>
      </c>
      <c r="BD126" s="96">
        <f t="shared" si="106"/>
        <v>-8.4168684493264548E-2</v>
      </c>
      <c r="BE126" s="96">
        <f t="shared" si="95"/>
        <v>-2.1828633209030874</v>
      </c>
      <c r="BF126" s="96">
        <f t="shared" si="96"/>
        <v>-7.588249595878141E-2</v>
      </c>
      <c r="BG126" s="15">
        <f t="shared" si="97"/>
        <v>-243.61738541313068</v>
      </c>
      <c r="BH126" s="46">
        <f>(SUMPRODUCT(BE127:BE$605,$I126:$I$604)+SUMPRODUCT(BF127:BF$605,$I127:$I$605)) / $I126</f>
        <v>-219.63388611093376</v>
      </c>
      <c r="BJ126" s="46">
        <f t="shared" si="98"/>
        <v>-2.1828633209030874</v>
      </c>
      <c r="BK126" s="46">
        <f t="shared" si="99"/>
        <v>-127.38115123043852</v>
      </c>
      <c r="BM126" s="49">
        <f t="shared" si="65"/>
        <v>7777.5886932228595</v>
      </c>
      <c r="BN126" s="50">
        <f t="shared" si="100"/>
        <v>6990.6476879368056</v>
      </c>
      <c r="BP126" s="68">
        <f>INDEX(Others!$H$11:$I$60, MATCH(C126, Others!$A$11:$A$60, 0), MATCH(BP$3, Others!$H$10:$I$10, 0))</f>
        <v>4.1400830335480809E-2</v>
      </c>
      <c r="BQ126" s="16">
        <f t="shared" si="101"/>
        <v>3.3862838044163013E-3</v>
      </c>
      <c r="BR126" s="69">
        <f t="shared" si="102"/>
        <v>0.74559612812670173</v>
      </c>
      <c r="BT126" s="46">
        <f t="shared" si="103"/>
        <v>7233.7243491021418</v>
      </c>
      <c r="BU126" s="49">
        <f t="shared" si="66"/>
        <v>270.43993287320893</v>
      </c>
      <c r="BV126" s="46">
        <f t="shared" si="104"/>
        <v>243.07666116533619</v>
      </c>
      <c r="BX126" s="46">
        <f t="shared" si="105"/>
        <v>8048.0286260960684</v>
      </c>
    </row>
    <row r="127" spans="1:76" x14ac:dyDescent="0.25">
      <c r="A127" s="61">
        <f t="shared" si="55"/>
        <v>10.16666666666667</v>
      </c>
      <c r="B127" s="32">
        <f t="shared" si="67"/>
        <v>2</v>
      </c>
      <c r="C127" s="62">
        <f t="shared" si="68"/>
        <v>11</v>
      </c>
      <c r="D127" s="64">
        <f t="shared" si="69"/>
        <v>10.66666666666667</v>
      </c>
      <c r="E127" s="28">
        <f t="shared" si="70"/>
        <v>10</v>
      </c>
      <c r="G127" s="68">
        <f>INDEX(Others!$D$11:$E$60, MATCH(C127, Others!$A$11:$A$60, 0), MATCH(G$3, Others!$D$10:$E$10, 0))</f>
        <v>5.5201107113974412E-2</v>
      </c>
      <c r="H127" s="16">
        <f t="shared" si="71"/>
        <v>4.4876537952047713E-3</v>
      </c>
      <c r="I127" s="69">
        <f t="shared" si="72"/>
        <v>0.67438307588945545</v>
      </c>
      <c r="K127" s="80">
        <f>INDEX(Mortality!$B$7:$F$32, MATCH( E127,Mortality!$A$7:$A$32, 0), MATCH( K$3,Mortality!$B$6:$F$6,0))</f>
        <v>0.35499999999999998</v>
      </c>
      <c r="L127" s="11" cm="1">
        <f t="array" ref="L127">PAD_Res_Mort</f>
        <v>0.15</v>
      </c>
      <c r="M127" s="80">
        <f t="shared" si="73"/>
        <v>0.40824999999999995</v>
      </c>
      <c r="N127" s="76">
        <f>INDEX('Myopia_(Reserve)'!$H:$H, MATCH(E127, 'Myopia_(Reserve)'!$A:$A, 0)) * Trend_Factor_Reserve^(A127)</f>
        <v>27.671288125011785</v>
      </c>
      <c r="O127" s="11">
        <f t="shared" si="56"/>
        <v>0.3</v>
      </c>
      <c r="P127" s="80">
        <f t="shared" si="74"/>
        <v>35.972674562515323</v>
      </c>
      <c r="Q127" s="76">
        <f>VLOOKUP(C127,Others!$L$10:$M$61,2)</f>
        <v>0</v>
      </c>
      <c r="R127" s="11">
        <f t="shared" si="57"/>
        <v>0</v>
      </c>
      <c r="S127" s="80">
        <f t="shared" si="75"/>
        <v>0</v>
      </c>
      <c r="T127" s="78">
        <f t="shared" si="76"/>
        <v>3.4020833333333325E-5</v>
      </c>
      <c r="U127" s="81">
        <f t="shared" si="77"/>
        <v>2.99772288020961E-3</v>
      </c>
      <c r="V127" s="81">
        <f t="shared" si="78"/>
        <v>0</v>
      </c>
      <c r="W127" s="77">
        <f t="shared" si="58"/>
        <v>0.89881941096065299</v>
      </c>
      <c r="X127" s="82">
        <f t="shared" si="79"/>
        <v>3.0532752314542584E-5</v>
      </c>
      <c r="Y127" s="82">
        <f t="shared" si="80"/>
        <v>2.694365680350759E-3</v>
      </c>
      <c r="Z127" s="82">
        <f t="shared" si="81"/>
        <v>0</v>
      </c>
      <c r="AA127" s="82">
        <f t="shared" si="82"/>
        <v>0.89609451252798766</v>
      </c>
      <c r="AC127" s="46">
        <f t="shared" si="59"/>
        <v>0</v>
      </c>
      <c r="AD127" s="15">
        <f t="shared" si="83"/>
        <v>0</v>
      </c>
      <c r="AE127" s="46">
        <f t="shared" si="84"/>
        <v>0</v>
      </c>
      <c r="AF127" s="15">
        <f t="shared" si="85"/>
        <v>0</v>
      </c>
      <c r="AG127" s="46">
        <f>SUMPRODUCT(AE128:AE$605, $I127:$I$604) / $I127</f>
        <v>0</v>
      </c>
      <c r="AI127" s="46">
        <f t="shared" si="60"/>
        <v>-47000</v>
      </c>
      <c r="AJ127" s="46">
        <f>IF(E127&gt;Mat_Year,0,  -SUM($AD$5:AD127))</f>
        <v>-9306</v>
      </c>
      <c r="AK127" s="24">
        <f t="shared" si="86"/>
        <v>-0.28413779303913328</v>
      </c>
      <c r="AL127" s="79">
        <f t="shared" si="87"/>
        <v>-126.63518697648567</v>
      </c>
      <c r="AM127" s="24">
        <f t="shared" si="88"/>
        <v>-141.20670206028836</v>
      </c>
      <c r="AN127" s="79">
        <f t="shared" si="89"/>
        <v>-126.91932476952481</v>
      </c>
      <c r="AO127" s="15">
        <f t="shared" si="90"/>
        <v>-7425.8303297075599</v>
      </c>
      <c r="AP127" s="46">
        <f>SUMPRODUCT(AN128:AN$605, $I128:$I$605) / $I127</f>
        <v>-6674.4804428415009</v>
      </c>
      <c r="AR127" s="46">
        <v>0</v>
      </c>
      <c r="AS127" s="46">
        <v>0</v>
      </c>
      <c r="AT127" s="46">
        <v>0</v>
      </c>
      <c r="AU127" s="95">
        <f t="shared" si="61"/>
        <v>-2.2053800630028908</v>
      </c>
      <c r="AV127" s="47">
        <f t="shared" si="62"/>
        <v>0.1</v>
      </c>
      <c r="AW127" s="96">
        <f t="shared" si="91"/>
        <v>-2.4259180693031799</v>
      </c>
      <c r="AX127" s="95">
        <f t="shared" si="63"/>
        <v>-25.288358055766476</v>
      </c>
      <c r="AY127" s="11">
        <f t="shared" si="64"/>
        <v>0.1</v>
      </c>
      <c r="AZ127" s="96">
        <f t="shared" si="92"/>
        <v>-27.817193861343128</v>
      </c>
      <c r="BA127" s="95">
        <f t="shared" si="93"/>
        <v>-2.1804622500898887</v>
      </c>
      <c r="BB127" s="64">
        <f t="shared" si="94"/>
        <v>-7.5799027953920739E-2</v>
      </c>
      <c r="BC127" s="95">
        <f t="shared" si="106"/>
        <v>-2.4259180693031799</v>
      </c>
      <c r="BD127" s="96">
        <f t="shared" si="106"/>
        <v>-8.4331765680168369E-2</v>
      </c>
      <c r="BE127" s="96">
        <f t="shared" si="95"/>
        <v>-2.1804622500898887</v>
      </c>
      <c r="BF127" s="96">
        <f t="shared" si="96"/>
        <v>-7.5799027953920739E-2</v>
      </c>
      <c r="BG127" s="15">
        <f t="shared" si="97"/>
        <v>-242.93365035628722</v>
      </c>
      <c r="BH127" s="46">
        <f>(SUMPRODUCT(BE128:BE$605,$I127:$I$604)+SUMPRODUCT(BF128:BF$605,$I128:$I$605)) / $I127</f>
        <v>-218.35348051575932</v>
      </c>
      <c r="BJ127" s="46">
        <f t="shared" si="98"/>
        <v>-2.1804622500898887</v>
      </c>
      <c r="BK127" s="46">
        <f t="shared" si="99"/>
        <v>-126.99512379747873</v>
      </c>
      <c r="BM127" s="49">
        <f t="shared" si="65"/>
        <v>7692.0836217507476</v>
      </c>
      <c r="BN127" s="50">
        <f t="shared" si="100"/>
        <v>6892.8339233572542</v>
      </c>
      <c r="BP127" s="68">
        <f>INDEX(Others!$H$11:$I$60, MATCH(C127, Others!$A$11:$A$60, 0), MATCH(BP$3, Others!$H$10:$I$10, 0))</f>
        <v>4.1400830335480809E-2</v>
      </c>
      <c r="BQ127" s="16">
        <f t="shared" si="101"/>
        <v>3.3862838044163013E-3</v>
      </c>
      <c r="BR127" s="69">
        <f t="shared" si="102"/>
        <v>0.74307984886908818</v>
      </c>
      <c r="BT127" s="46">
        <f t="shared" si="103"/>
        <v>7129.0368229995456</v>
      </c>
      <c r="BU127" s="49">
        <f t="shared" si="66"/>
        <v>263.59150328455348</v>
      </c>
      <c r="BV127" s="46">
        <f t="shared" si="104"/>
        <v>236.20289964229141</v>
      </c>
      <c r="BX127" s="46">
        <f t="shared" si="105"/>
        <v>7955.6751250353009</v>
      </c>
    </row>
    <row r="128" spans="1:76" x14ac:dyDescent="0.25">
      <c r="A128" s="61">
        <f t="shared" si="55"/>
        <v>10.250000000000004</v>
      </c>
      <c r="B128" s="32">
        <f t="shared" si="67"/>
        <v>3</v>
      </c>
      <c r="C128" s="62">
        <f t="shared" si="68"/>
        <v>11</v>
      </c>
      <c r="D128" s="64">
        <f t="shared" si="69"/>
        <v>10.750000000000004</v>
      </c>
      <c r="E128" s="28">
        <f t="shared" si="70"/>
        <v>10</v>
      </c>
      <c r="G128" s="68">
        <f>INDEX(Others!$D$11:$E$60, MATCH(C128, Others!$A$11:$A$60, 0), MATCH(G$3, Others!$D$10:$E$10, 0))</f>
        <v>5.5201107113974412E-2</v>
      </c>
      <c r="H128" s="16">
        <f t="shared" si="71"/>
        <v>4.4876537952047713E-3</v>
      </c>
      <c r="I128" s="69">
        <f t="shared" si="72"/>
        <v>0.67137019886851579</v>
      </c>
      <c r="K128" s="80">
        <f>INDEX(Mortality!$B$7:$F$32, MATCH( E128,Mortality!$A$7:$A$32, 0), MATCH( K$3,Mortality!$B$6:$F$6,0))</f>
        <v>0.35499999999999998</v>
      </c>
      <c r="L128" s="11" cm="1">
        <f t="array" ref="L128">PAD_Res_Mort</f>
        <v>0.15</v>
      </c>
      <c r="M128" s="80">
        <f t="shared" si="73"/>
        <v>0.40824999999999995</v>
      </c>
      <c r="N128" s="76">
        <f>INDEX('Myopia_(Reserve)'!$H:$H, MATCH(E128, 'Myopia_(Reserve)'!$A:$A, 0)) * Trend_Factor_Reserve^(A128)</f>
        <v>27.671288125011785</v>
      </c>
      <c r="O128" s="11">
        <f t="shared" si="56"/>
        <v>0.3</v>
      </c>
      <c r="P128" s="80">
        <f t="shared" si="74"/>
        <v>35.972674562515323</v>
      </c>
      <c r="Q128" s="76">
        <f>VLOOKUP(C128,Others!$L$10:$M$61,2)</f>
        <v>0</v>
      </c>
      <c r="R128" s="11">
        <f t="shared" si="57"/>
        <v>0</v>
      </c>
      <c r="S128" s="80">
        <f t="shared" si="75"/>
        <v>0</v>
      </c>
      <c r="T128" s="78">
        <f t="shared" si="76"/>
        <v>3.4020833333333325E-5</v>
      </c>
      <c r="U128" s="81">
        <f t="shared" si="77"/>
        <v>2.99772288020961E-3</v>
      </c>
      <c r="V128" s="81">
        <f t="shared" si="78"/>
        <v>0</v>
      </c>
      <c r="W128" s="77">
        <f t="shared" si="58"/>
        <v>0.89609451252798766</v>
      </c>
      <c r="X128" s="82">
        <f t="shared" si="79"/>
        <v>3.044018794853948E-5</v>
      </c>
      <c r="Y128" s="82">
        <f t="shared" si="80"/>
        <v>2.686197328922336E-3</v>
      </c>
      <c r="Z128" s="82">
        <f t="shared" si="81"/>
        <v>0</v>
      </c>
      <c r="AA128" s="82">
        <f t="shared" si="82"/>
        <v>0.89337787501111676</v>
      </c>
      <c r="AC128" s="46">
        <f t="shared" si="59"/>
        <v>0</v>
      </c>
      <c r="AD128" s="15">
        <f t="shared" si="83"/>
        <v>0</v>
      </c>
      <c r="AE128" s="46">
        <f t="shared" si="84"/>
        <v>0</v>
      </c>
      <c r="AF128" s="15">
        <f t="shared" si="85"/>
        <v>0</v>
      </c>
      <c r="AG128" s="46">
        <f>SUMPRODUCT(AE129:AE$605, $I128:$I$604) / $I128</f>
        <v>0</v>
      </c>
      <c r="AI128" s="46">
        <f t="shared" si="60"/>
        <v>-47000</v>
      </c>
      <c r="AJ128" s="46">
        <f>IF(E128&gt;Mat_Year,0,  -SUM($AD$5:AD128))</f>
        <v>-9306</v>
      </c>
      <c r="AK128" s="24">
        <f t="shared" si="86"/>
        <v>-0.2832763890491084</v>
      </c>
      <c r="AL128" s="79">
        <f t="shared" si="87"/>
        <v>-126.25127445934979</v>
      </c>
      <c r="AM128" s="24">
        <f t="shared" si="88"/>
        <v>-141.20670206028836</v>
      </c>
      <c r="AN128" s="79">
        <f t="shared" si="89"/>
        <v>-126.53455084839889</v>
      </c>
      <c r="AO128" s="15">
        <f t="shared" si="90"/>
        <v>-7340.6304329734321</v>
      </c>
      <c r="AP128" s="46">
        <f>SUMPRODUCT(AN129:AN$605, $I129:$I$605) / $I128</f>
        <v>-6577.8986494834389</v>
      </c>
      <c r="AR128" s="46">
        <v>0</v>
      </c>
      <c r="AS128" s="46">
        <v>0</v>
      </c>
      <c r="AT128" s="46">
        <v>0</v>
      </c>
      <c r="AU128" s="95">
        <f t="shared" si="61"/>
        <v>-2.2096531011335663</v>
      </c>
      <c r="AV128" s="47">
        <f t="shared" si="62"/>
        <v>0.1</v>
      </c>
      <c r="AW128" s="96">
        <f t="shared" si="91"/>
        <v>-2.4306184112469231</v>
      </c>
      <c r="AX128" s="95">
        <f t="shared" si="63"/>
        <v>-25.337355559664889</v>
      </c>
      <c r="AY128" s="11">
        <f t="shared" si="64"/>
        <v>0.1</v>
      </c>
      <c r="AZ128" s="96">
        <f t="shared" si="92"/>
        <v>-27.87109111563138</v>
      </c>
      <c r="BA128" s="95">
        <f t="shared" si="93"/>
        <v>-2.1780638203678633</v>
      </c>
      <c r="BB128" s="64">
        <f t="shared" si="94"/>
        <v>-7.5715651760850752E-2</v>
      </c>
      <c r="BC128" s="95">
        <f t="shared" si="106"/>
        <v>-2.4306184112469231</v>
      </c>
      <c r="BD128" s="96">
        <f t="shared" si="106"/>
        <v>-8.4495162845320881E-2</v>
      </c>
      <c r="BE128" s="96">
        <f t="shared" si="95"/>
        <v>-2.1780638203678633</v>
      </c>
      <c r="BF128" s="96">
        <f t="shared" si="96"/>
        <v>-7.5715651760850752E-2</v>
      </c>
      <c r="BG128" s="15">
        <f t="shared" si="97"/>
        <v>-242.23987362718503</v>
      </c>
      <c r="BH128" s="46">
        <f>(SUMPRODUCT(BE129:BE$605,$I128:$I$604)+SUMPRODUCT(BF129:BF$605,$I129:$I$605)) / $I128</f>
        <v>-217.06982147279371</v>
      </c>
      <c r="BJ128" s="46">
        <f t="shared" si="98"/>
        <v>-2.1780638203678633</v>
      </c>
      <c r="BK128" s="46">
        <f t="shared" si="99"/>
        <v>-126.61026650015974</v>
      </c>
      <c r="BM128" s="49">
        <f t="shared" si="65"/>
        <v>7605.9287576062643</v>
      </c>
      <c r="BN128" s="50">
        <f t="shared" si="100"/>
        <v>6794.968470956228</v>
      </c>
      <c r="BP128" s="68">
        <f>INDEX(Others!$H$11:$I$60, MATCH(C128, Others!$A$11:$A$60, 0), MATCH(BP$3, Others!$H$10:$I$10, 0))</f>
        <v>4.1400830335480809E-2</v>
      </c>
      <c r="BQ128" s="16">
        <f t="shared" si="101"/>
        <v>3.3862838044163013E-3</v>
      </c>
      <c r="BR128" s="69">
        <f t="shared" si="102"/>
        <v>0.74057206169058221</v>
      </c>
      <c r="BT128" s="46">
        <f t="shared" si="103"/>
        <v>7024.3820590715886</v>
      </c>
      <c r="BU128" s="49">
        <f t="shared" si="66"/>
        <v>256.79345160915915</v>
      </c>
      <c r="BV128" s="46">
        <f t="shared" si="104"/>
        <v>229.41358811536065</v>
      </c>
      <c r="BX128" s="46">
        <f t="shared" si="105"/>
        <v>7862.7222092154234</v>
      </c>
    </row>
    <row r="129" spans="1:76" x14ac:dyDescent="0.25">
      <c r="A129" s="61">
        <f t="shared" si="55"/>
        <v>10.333333333333337</v>
      </c>
      <c r="B129" s="32">
        <f t="shared" si="67"/>
        <v>4</v>
      </c>
      <c r="C129" s="62">
        <f t="shared" si="68"/>
        <v>11</v>
      </c>
      <c r="D129" s="64">
        <f t="shared" si="69"/>
        <v>10.833333333333337</v>
      </c>
      <c r="E129" s="28">
        <f t="shared" si="70"/>
        <v>10</v>
      </c>
      <c r="G129" s="68">
        <f>INDEX(Others!$D$11:$E$60, MATCH(C129, Others!$A$11:$A$60, 0), MATCH(G$3, Others!$D$10:$E$10, 0))</f>
        <v>5.5201107113974412E-2</v>
      </c>
      <c r="H129" s="16">
        <f t="shared" si="71"/>
        <v>4.4876537952047713E-3</v>
      </c>
      <c r="I129" s="69">
        <f t="shared" si="72"/>
        <v>0.66837078219121138</v>
      </c>
      <c r="K129" s="80">
        <f>INDEX(Mortality!$B$7:$F$32, MATCH( E129,Mortality!$A$7:$A$32, 0), MATCH( K$3,Mortality!$B$6:$F$6,0))</f>
        <v>0.35499999999999998</v>
      </c>
      <c r="L129" s="11" cm="1">
        <f t="array" ref="L129">PAD_Res_Mort</f>
        <v>0.15</v>
      </c>
      <c r="M129" s="80">
        <f t="shared" si="73"/>
        <v>0.40824999999999995</v>
      </c>
      <c r="N129" s="76">
        <f>INDEX('Myopia_(Reserve)'!$H:$H, MATCH(E129, 'Myopia_(Reserve)'!$A:$A, 0)) * Trend_Factor_Reserve^(A129)</f>
        <v>27.671288125011785</v>
      </c>
      <c r="O129" s="11">
        <f t="shared" si="56"/>
        <v>0.3</v>
      </c>
      <c r="P129" s="80">
        <f t="shared" si="74"/>
        <v>35.972674562515323</v>
      </c>
      <c r="Q129" s="76">
        <f>VLOOKUP(C129,Others!$L$10:$M$61,2)</f>
        <v>0</v>
      </c>
      <c r="R129" s="11">
        <f t="shared" si="57"/>
        <v>0</v>
      </c>
      <c r="S129" s="80">
        <f t="shared" si="75"/>
        <v>0</v>
      </c>
      <c r="T129" s="78">
        <f t="shared" si="76"/>
        <v>3.4020833333333325E-5</v>
      </c>
      <c r="U129" s="81">
        <f t="shared" si="77"/>
        <v>2.99772288020961E-3</v>
      </c>
      <c r="V129" s="81">
        <f t="shared" si="78"/>
        <v>0</v>
      </c>
      <c r="W129" s="77">
        <f t="shared" si="58"/>
        <v>0.89337787501111676</v>
      </c>
      <c r="X129" s="82">
        <f t="shared" si="79"/>
        <v>3.0347904204530927E-5</v>
      </c>
      <c r="Y129" s="82">
        <f t="shared" si="80"/>
        <v>2.6780537410089561E-3</v>
      </c>
      <c r="Z129" s="82">
        <f t="shared" si="81"/>
        <v>0</v>
      </c>
      <c r="AA129" s="82">
        <f t="shared" si="82"/>
        <v>0.8906694733659033</v>
      </c>
      <c r="AC129" s="46">
        <f t="shared" si="59"/>
        <v>0</v>
      </c>
      <c r="AD129" s="15">
        <f t="shared" si="83"/>
        <v>0</v>
      </c>
      <c r="AE129" s="46">
        <f t="shared" si="84"/>
        <v>0</v>
      </c>
      <c r="AF129" s="15">
        <f t="shared" si="85"/>
        <v>0</v>
      </c>
      <c r="AG129" s="46">
        <f>SUMPRODUCT(AE130:AE$605, $I129:$I$604) / $I129</f>
        <v>0</v>
      </c>
      <c r="AI129" s="46">
        <f t="shared" si="60"/>
        <v>-47000</v>
      </c>
      <c r="AJ129" s="46">
        <f>IF(E129&gt;Mat_Year,0,  -SUM($AD$5:AD129))</f>
        <v>-9306</v>
      </c>
      <c r="AK129" s="24">
        <f t="shared" si="86"/>
        <v>-0.28241759652736481</v>
      </c>
      <c r="AL129" s="79">
        <f t="shared" si="87"/>
        <v>-125.86852582742094</v>
      </c>
      <c r="AM129" s="24">
        <f t="shared" si="88"/>
        <v>-141.20670206028836</v>
      </c>
      <c r="AN129" s="79">
        <f t="shared" si="89"/>
        <v>-126.15094342394831</v>
      </c>
      <c r="AO129" s="15">
        <f t="shared" si="90"/>
        <v>-7254.7879449305474</v>
      </c>
      <c r="AP129" s="46">
        <f>SUMPRODUCT(AN130:AN$605, $I130:$I$605) / $I129</f>
        <v>-6481.2670378983194</v>
      </c>
      <c r="AR129" s="46">
        <v>0</v>
      </c>
      <c r="AS129" s="46">
        <v>0</v>
      </c>
      <c r="AT129" s="46">
        <v>0</v>
      </c>
      <c r="AU129" s="95">
        <f t="shared" si="61"/>
        <v>-2.213934418497002</v>
      </c>
      <c r="AV129" s="47">
        <f t="shared" si="62"/>
        <v>0.1</v>
      </c>
      <c r="AW129" s="96">
        <f t="shared" si="91"/>
        <v>-2.4353278603467023</v>
      </c>
      <c r="AX129" s="95">
        <f t="shared" si="63"/>
        <v>-25.386447998765618</v>
      </c>
      <c r="AY129" s="11">
        <f t="shared" si="64"/>
        <v>0.1</v>
      </c>
      <c r="AZ129" s="96">
        <f t="shared" si="92"/>
        <v>-27.925092798642183</v>
      </c>
      <c r="BA129" s="95">
        <f t="shared" si="93"/>
        <v>-2.1756680288319066</v>
      </c>
      <c r="BB129" s="64">
        <f t="shared" si="94"/>
        <v>-7.5632367278581789E-2</v>
      </c>
      <c r="BC129" s="95">
        <f t="shared" si="106"/>
        <v>-2.4353278603467023</v>
      </c>
      <c r="BD129" s="96">
        <f t="shared" si="106"/>
        <v>-8.4658876600946328E-2</v>
      </c>
      <c r="BE129" s="96">
        <f t="shared" si="95"/>
        <v>-2.1756680288319066</v>
      </c>
      <c r="BF129" s="96">
        <f t="shared" si="96"/>
        <v>-7.5632367278581789E-2</v>
      </c>
      <c r="BG129" s="15">
        <f t="shared" si="97"/>
        <v>-241.53597002530228</v>
      </c>
      <c r="BH129" s="46">
        <f>(SUMPRODUCT(BE130:BE$605,$I129:$I$604)+SUMPRODUCT(BF130:BF$605,$I130:$I$605)) / $I129</f>
        <v>-215.78289163995333</v>
      </c>
      <c r="BJ129" s="46">
        <f t="shared" si="98"/>
        <v>-2.1756680288319066</v>
      </c>
      <c r="BK129" s="46">
        <f t="shared" si="99"/>
        <v>-126.22657579122689</v>
      </c>
      <c r="BM129" s="49">
        <f t="shared" si="65"/>
        <v>7519.1191904552852</v>
      </c>
      <c r="BN129" s="50">
        <f t="shared" si="100"/>
        <v>6697.049929538266</v>
      </c>
      <c r="BP129" s="68">
        <f>INDEX(Others!$H$11:$I$60, MATCH(C129, Others!$A$11:$A$60, 0), MATCH(BP$3, Others!$H$10:$I$10, 0))</f>
        <v>4.1400830335480809E-2</v>
      </c>
      <c r="BQ129" s="16">
        <f t="shared" si="101"/>
        <v>3.3862838044163013E-3</v>
      </c>
      <c r="BR129" s="69">
        <f t="shared" si="102"/>
        <v>0.73807273793164307</v>
      </c>
      <c r="BT129" s="46">
        <f t="shared" si="103"/>
        <v>6919.7589990247861</v>
      </c>
      <c r="BU129" s="49">
        <f t="shared" si="66"/>
        <v>250.04682000033827</v>
      </c>
      <c r="BV129" s="46">
        <f t="shared" si="104"/>
        <v>222.70906948652009</v>
      </c>
      <c r="BX129" s="46">
        <f t="shared" si="105"/>
        <v>7769.1660104556231</v>
      </c>
    </row>
    <row r="130" spans="1:76" x14ac:dyDescent="0.25">
      <c r="A130" s="61">
        <f t="shared" si="55"/>
        <v>10.416666666666671</v>
      </c>
      <c r="B130" s="32">
        <f t="shared" si="67"/>
        <v>5</v>
      </c>
      <c r="C130" s="62">
        <f t="shared" si="68"/>
        <v>11</v>
      </c>
      <c r="D130" s="64">
        <f t="shared" si="69"/>
        <v>10.916666666666671</v>
      </c>
      <c r="E130" s="28">
        <f t="shared" si="70"/>
        <v>10</v>
      </c>
      <c r="G130" s="68">
        <f>INDEX(Others!$D$11:$E$60, MATCH(C130, Others!$A$11:$A$60, 0), MATCH(G$3, Others!$D$10:$E$10, 0))</f>
        <v>5.5201107113974412E-2</v>
      </c>
      <c r="H130" s="16">
        <f t="shared" si="71"/>
        <v>4.4876537952047713E-3</v>
      </c>
      <c r="I130" s="69">
        <f t="shared" si="72"/>
        <v>0.66538476572204741</v>
      </c>
      <c r="K130" s="80">
        <f>INDEX(Mortality!$B$7:$F$32, MATCH( E130,Mortality!$A$7:$A$32, 0), MATCH( K$3,Mortality!$B$6:$F$6,0))</f>
        <v>0.35499999999999998</v>
      </c>
      <c r="L130" s="11" cm="1">
        <f t="array" ref="L130">PAD_Res_Mort</f>
        <v>0.15</v>
      </c>
      <c r="M130" s="80">
        <f t="shared" si="73"/>
        <v>0.40824999999999995</v>
      </c>
      <c r="N130" s="76">
        <f>INDEX('Myopia_(Reserve)'!$H:$H, MATCH(E130, 'Myopia_(Reserve)'!$A:$A, 0)) * Trend_Factor_Reserve^(A130)</f>
        <v>27.671288125011785</v>
      </c>
      <c r="O130" s="11">
        <f t="shared" si="56"/>
        <v>0.3</v>
      </c>
      <c r="P130" s="80">
        <f t="shared" si="74"/>
        <v>35.972674562515323</v>
      </c>
      <c r="Q130" s="76">
        <f>VLOOKUP(C130,Others!$L$10:$M$61,2)</f>
        <v>0</v>
      </c>
      <c r="R130" s="11">
        <f t="shared" si="57"/>
        <v>0</v>
      </c>
      <c r="S130" s="80">
        <f t="shared" si="75"/>
        <v>0</v>
      </c>
      <c r="T130" s="78">
        <f t="shared" si="76"/>
        <v>3.4020833333333325E-5</v>
      </c>
      <c r="U130" s="81">
        <f t="shared" si="77"/>
        <v>2.99772288020961E-3</v>
      </c>
      <c r="V130" s="81">
        <f t="shared" si="78"/>
        <v>0</v>
      </c>
      <c r="W130" s="77">
        <f t="shared" si="58"/>
        <v>0.8906694733659033</v>
      </c>
      <c r="X130" s="82">
        <f t="shared" si="79"/>
        <v>3.0255900231771568E-5</v>
      </c>
      <c r="Y130" s="82">
        <f t="shared" si="80"/>
        <v>2.6699348415365146E-3</v>
      </c>
      <c r="Z130" s="82">
        <f t="shared" si="81"/>
        <v>0</v>
      </c>
      <c r="AA130" s="82">
        <f t="shared" si="82"/>
        <v>0.88796928262413499</v>
      </c>
      <c r="AC130" s="46">
        <f t="shared" si="59"/>
        <v>0</v>
      </c>
      <c r="AD130" s="15">
        <f t="shared" si="83"/>
        <v>0</v>
      </c>
      <c r="AE130" s="46">
        <f t="shared" si="84"/>
        <v>0</v>
      </c>
      <c r="AF130" s="15">
        <f t="shared" si="85"/>
        <v>0</v>
      </c>
      <c r="AG130" s="46">
        <f>SUMPRODUCT(AE131:AE$605, $I130:$I$604) / $I130</f>
        <v>0</v>
      </c>
      <c r="AI130" s="46">
        <f t="shared" si="60"/>
        <v>-47000</v>
      </c>
      <c r="AJ130" s="46">
        <f>IF(E130&gt;Mat_Year,0,  -SUM($AD$5:AD130))</f>
        <v>-9306</v>
      </c>
      <c r="AK130" s="24">
        <f t="shared" si="86"/>
        <v>-0.28156140755686621</v>
      </c>
      <c r="AL130" s="79">
        <f t="shared" si="87"/>
        <v>-125.48693755221619</v>
      </c>
      <c r="AM130" s="24">
        <f t="shared" si="88"/>
        <v>-141.20670206028836</v>
      </c>
      <c r="AN130" s="79">
        <f t="shared" si="89"/>
        <v>-125.76849895977305</v>
      </c>
      <c r="AO130" s="15">
        <f t="shared" si="90"/>
        <v>-7168.298019052012</v>
      </c>
      <c r="AP130" s="46">
        <f>SUMPRODUCT(AN131:AN$605, $I131:$I$605) / $I130</f>
        <v>-6384.5842215589037</v>
      </c>
      <c r="AR130" s="46">
        <v>0</v>
      </c>
      <c r="AS130" s="46">
        <v>0</v>
      </c>
      <c r="AT130" s="46">
        <v>0</v>
      </c>
      <c r="AU130" s="95">
        <f t="shared" si="61"/>
        <v>-2.2182240311346404</v>
      </c>
      <c r="AV130" s="47">
        <f t="shared" si="62"/>
        <v>0.1</v>
      </c>
      <c r="AW130" s="96">
        <f t="shared" si="91"/>
        <v>-2.4400464342481047</v>
      </c>
      <c r="AX130" s="95">
        <f t="shared" si="63"/>
        <v>-25.435635557010539</v>
      </c>
      <c r="AY130" s="11">
        <f t="shared" si="64"/>
        <v>0.1</v>
      </c>
      <c r="AZ130" s="96">
        <f t="shared" si="92"/>
        <v>-27.979199112711594</v>
      </c>
      <c r="BA130" s="95">
        <f t="shared" si="93"/>
        <v>-2.1732748725801097</v>
      </c>
      <c r="BB130" s="64">
        <f t="shared" si="94"/>
        <v>-7.5549174406235292E-2</v>
      </c>
      <c r="BC130" s="95">
        <f t="shared" si="106"/>
        <v>-2.4400464342481047</v>
      </c>
      <c r="BD130" s="96">
        <f t="shared" si="106"/>
        <v>-8.4822907560455157E-2</v>
      </c>
      <c r="BE130" s="96">
        <f t="shared" si="95"/>
        <v>-2.1732748725801097</v>
      </c>
      <c r="BF130" s="96">
        <f t="shared" si="96"/>
        <v>-7.5549174406235292E-2</v>
      </c>
      <c r="BG130" s="15">
        <f t="shared" si="97"/>
        <v>-240.82185368918311</v>
      </c>
      <c r="BH130" s="46">
        <f>(SUMPRODUCT(BE131:BE$605,$I130:$I$604)+SUMPRODUCT(BF131:BF$605,$I131:$I$605)) / $I130</f>
        <v>-214.49267360034534</v>
      </c>
      <c r="BJ130" s="46">
        <f t="shared" si="98"/>
        <v>-2.1732748725801097</v>
      </c>
      <c r="BK130" s="46">
        <f t="shared" si="99"/>
        <v>-125.84404813417929</v>
      </c>
      <c r="BM130" s="49">
        <f t="shared" si="65"/>
        <v>7431.6499729107663</v>
      </c>
      <c r="BN130" s="50">
        <f t="shared" si="100"/>
        <v>6599.0768951592454</v>
      </c>
      <c r="BP130" s="68">
        <f>INDEX(Others!$H$11:$I$60, MATCH(C130, Others!$A$11:$A$60, 0), MATCH(BP$3, Others!$H$10:$I$10, 0))</f>
        <v>4.1400830335480809E-2</v>
      </c>
      <c r="BQ130" s="16">
        <f t="shared" si="101"/>
        <v>3.3862838044163013E-3</v>
      </c>
      <c r="BR130" s="69">
        <f t="shared" si="102"/>
        <v>0.73558184902945201</v>
      </c>
      <c r="BT130" s="46">
        <f t="shared" si="103"/>
        <v>6815.1665845213847</v>
      </c>
      <c r="BU130" s="49">
        <f t="shared" si="66"/>
        <v>243.35266274476194</v>
      </c>
      <c r="BV130" s="46">
        <f t="shared" si="104"/>
        <v>216.08968936213932</v>
      </c>
      <c r="BX130" s="46">
        <f t="shared" si="105"/>
        <v>7675.0026356555281</v>
      </c>
    </row>
    <row r="131" spans="1:76" x14ac:dyDescent="0.25">
      <c r="A131" s="61">
        <f t="shared" si="55"/>
        <v>10.500000000000005</v>
      </c>
      <c r="B131" s="32">
        <f t="shared" si="67"/>
        <v>6</v>
      </c>
      <c r="C131" s="62">
        <f t="shared" si="68"/>
        <v>11</v>
      </c>
      <c r="D131" s="64">
        <f t="shared" si="69"/>
        <v>11.000000000000005</v>
      </c>
      <c r="E131" s="28">
        <f t="shared" si="70"/>
        <v>11</v>
      </c>
      <c r="G131" s="68">
        <f>INDEX(Others!$D$11:$E$60, MATCH(C131, Others!$A$11:$A$60, 0), MATCH(G$3, Others!$D$10:$E$10, 0))</f>
        <v>5.5201107113974412E-2</v>
      </c>
      <c r="H131" s="16">
        <f t="shared" si="71"/>
        <v>4.4876537952047713E-3</v>
      </c>
      <c r="I131" s="69">
        <f t="shared" si="72"/>
        <v>0.66241208959419051</v>
      </c>
      <c r="K131" s="80">
        <f>INDEX(Mortality!$B$7:$F$32, MATCH( E131,Mortality!$A$7:$A$32, 0), MATCH( K$3,Mortality!$B$6:$F$6,0))</f>
        <v>0.36000000000000004</v>
      </c>
      <c r="L131" s="11" cm="1">
        <f t="array" ref="L131">PAD_Res_Mort</f>
        <v>0.15</v>
      </c>
      <c r="M131" s="80">
        <f t="shared" si="73"/>
        <v>0.41400000000000003</v>
      </c>
      <c r="N131" s="76">
        <f>INDEX('Myopia_(Reserve)'!$H:$H, MATCH(E131, 'Myopia_(Reserve)'!$A:$A, 0)) * Trend_Factor_Reserve^(A131)</f>
        <v>26.926205338964103</v>
      </c>
      <c r="O131" s="11">
        <f t="shared" si="56"/>
        <v>0.3</v>
      </c>
      <c r="P131" s="80">
        <f t="shared" si="74"/>
        <v>35.004066940653331</v>
      </c>
      <c r="Q131" s="76">
        <f>VLOOKUP(C131,Others!$L$10:$M$61,2)</f>
        <v>0</v>
      </c>
      <c r="R131" s="11">
        <f t="shared" si="57"/>
        <v>0</v>
      </c>
      <c r="S131" s="80">
        <f t="shared" si="75"/>
        <v>0</v>
      </c>
      <c r="T131" s="78">
        <f t="shared" si="76"/>
        <v>3.4500000000000005E-5</v>
      </c>
      <c r="U131" s="81">
        <f t="shared" si="77"/>
        <v>2.9170055783877776E-3</v>
      </c>
      <c r="V131" s="81">
        <f t="shared" si="78"/>
        <v>0</v>
      </c>
      <c r="W131" s="77">
        <f t="shared" si="58"/>
        <v>0.88796928262413499</v>
      </c>
      <c r="X131" s="82">
        <f t="shared" si="79"/>
        <v>3.0590259104730473E-5</v>
      </c>
      <c r="Y131" s="82">
        <f t="shared" si="80"/>
        <v>2.5901666697057926E-3</v>
      </c>
      <c r="Z131" s="82">
        <f t="shared" si="81"/>
        <v>0</v>
      </c>
      <c r="AA131" s="82">
        <f t="shared" si="82"/>
        <v>0.88534852569532452</v>
      </c>
      <c r="AC131" s="46">
        <f t="shared" si="59"/>
        <v>0</v>
      </c>
      <c r="AD131" s="15">
        <f t="shared" si="83"/>
        <v>0</v>
      </c>
      <c r="AE131" s="46">
        <f t="shared" si="84"/>
        <v>0</v>
      </c>
      <c r="AF131" s="15">
        <f t="shared" si="85"/>
        <v>0</v>
      </c>
      <c r="AG131" s="46">
        <f>SUMPRODUCT(AE132:AE$605, $I131:$I$604) / $I131</f>
        <v>0</v>
      </c>
      <c r="AI131" s="46">
        <f t="shared" si="60"/>
        <v>-47000</v>
      </c>
      <c r="AJ131" s="46">
        <f>IF(E131&gt;Mat_Year,0,  -SUM($AD$5:AD131))</f>
        <v>-9306</v>
      </c>
      <c r="AK131" s="24">
        <f t="shared" si="86"/>
        <v>-0.2846729512286218</v>
      </c>
      <c r="AL131" s="79">
        <f t="shared" si="87"/>
        <v>-121.73783347617226</v>
      </c>
      <c r="AM131" s="24">
        <f t="shared" si="88"/>
        <v>-137.41748595942289</v>
      </c>
      <c r="AN131" s="79">
        <f t="shared" si="89"/>
        <v>-122.02250642740088</v>
      </c>
      <c r="AO131" s="15">
        <f t="shared" si="90"/>
        <v>-7084.9449883585312</v>
      </c>
      <c r="AP131" s="46">
        <f>SUMPRODUCT(AN132:AN$605, $I132:$I$605) / $I131</f>
        <v>-6291.2135187441854</v>
      </c>
      <c r="AR131" s="46">
        <v>0</v>
      </c>
      <c r="AS131" s="46">
        <v>0</v>
      </c>
      <c r="AT131" s="46">
        <v>0</v>
      </c>
      <c r="AU131" s="95">
        <f t="shared" si="61"/>
        <v>-2.2225219551190047</v>
      </c>
      <c r="AV131" s="47">
        <f t="shared" si="62"/>
        <v>0.1</v>
      </c>
      <c r="AW131" s="96">
        <f t="shared" si="91"/>
        <v>-2.4447741506309053</v>
      </c>
      <c r="AX131" s="95">
        <f t="shared" si="63"/>
        <v>-25.484918418697919</v>
      </c>
      <c r="AY131" s="11">
        <f t="shared" si="64"/>
        <v>0.1</v>
      </c>
      <c r="AZ131" s="96">
        <f t="shared" si="92"/>
        <v>-28.033410260567713</v>
      </c>
      <c r="BA131" s="95">
        <f t="shared" si="93"/>
        <v>-2.1708843487137539</v>
      </c>
      <c r="BB131" s="64">
        <f t="shared" si="94"/>
        <v>-7.3468754178570836E-2</v>
      </c>
      <c r="BC131" s="95">
        <f t="shared" si="106"/>
        <v>-2.4447741506309053</v>
      </c>
      <c r="BD131" s="96">
        <f t="shared" si="106"/>
        <v>-8.2737945575611913E-2</v>
      </c>
      <c r="BE131" s="96">
        <f t="shared" si="95"/>
        <v>-2.1708843487137539</v>
      </c>
      <c r="BF131" s="96">
        <f t="shared" si="96"/>
        <v>-7.3468754178570836E-2</v>
      </c>
      <c r="BG131" s="15">
        <f t="shared" si="97"/>
        <v>-240.09968740217985</v>
      </c>
      <c r="BH131" s="46">
        <f>(SUMPRODUCT(BE132:BE$605,$I131:$I$604)+SUMPRODUCT(BF132:BF$605,$I132:$I$605)) / $I131</f>
        <v>-213.2011471807927</v>
      </c>
      <c r="BJ131" s="46">
        <f t="shared" si="98"/>
        <v>-2.1708843487137539</v>
      </c>
      <c r="BK131" s="46">
        <f t="shared" si="99"/>
        <v>-122.09597518157946</v>
      </c>
      <c r="BM131" s="49">
        <f t="shared" si="65"/>
        <v>7346.7278446266291</v>
      </c>
      <c r="BN131" s="50">
        <f t="shared" si="100"/>
        <v>6504.4146659249755</v>
      </c>
      <c r="BP131" s="68">
        <f>INDEX(Others!$H$11:$I$60, MATCH(C131, Others!$A$11:$A$60, 0), MATCH(BP$3, Others!$H$10:$I$10, 0))</f>
        <v>4.1400830335480809E-2</v>
      </c>
      <c r="BQ131" s="16">
        <f t="shared" si="101"/>
        <v>3.3862838044163013E-3</v>
      </c>
      <c r="BR131" s="69">
        <f t="shared" si="102"/>
        <v>0.73309936651758567</v>
      </c>
      <c r="BT131" s="46">
        <f t="shared" si="103"/>
        <v>6713.9704619901449</v>
      </c>
      <c r="BU131" s="49">
        <f t="shared" si="66"/>
        <v>236.69299714549257</v>
      </c>
      <c r="BV131" s="46">
        <f t="shared" si="104"/>
        <v>209.55579606516949</v>
      </c>
      <c r="BX131" s="46">
        <f t="shared" si="105"/>
        <v>7583.420841772122</v>
      </c>
    </row>
    <row r="132" spans="1:76" x14ac:dyDescent="0.25">
      <c r="A132" s="61">
        <f t="shared" si="55"/>
        <v>10.583333333333339</v>
      </c>
      <c r="B132" s="32">
        <f t="shared" si="67"/>
        <v>7</v>
      </c>
      <c r="C132" s="62">
        <f t="shared" si="68"/>
        <v>11</v>
      </c>
      <c r="D132" s="64">
        <f t="shared" si="69"/>
        <v>11.083333333333339</v>
      </c>
      <c r="E132" s="28">
        <f t="shared" si="70"/>
        <v>11</v>
      </c>
      <c r="G132" s="68">
        <f>INDEX(Others!$D$11:$E$60, MATCH(C132, Others!$A$11:$A$60, 0), MATCH(G$3, Others!$D$10:$E$10, 0))</f>
        <v>5.5201107113974412E-2</v>
      </c>
      <c r="H132" s="16">
        <f t="shared" si="71"/>
        <v>4.4876537952047713E-3</v>
      </c>
      <c r="I132" s="69">
        <f t="shared" si="72"/>
        <v>0.6594526942082688</v>
      </c>
      <c r="K132" s="80">
        <f>INDEX(Mortality!$B$7:$F$32, MATCH( E132,Mortality!$A$7:$A$32, 0), MATCH( K$3,Mortality!$B$6:$F$6,0))</f>
        <v>0.36000000000000004</v>
      </c>
      <c r="L132" s="11" cm="1">
        <f t="array" ref="L132">PAD_Res_Mort</f>
        <v>0.15</v>
      </c>
      <c r="M132" s="80">
        <f t="shared" si="73"/>
        <v>0.41400000000000003</v>
      </c>
      <c r="N132" s="76">
        <f>INDEX('Myopia_(Reserve)'!$H:$H, MATCH(E132, 'Myopia_(Reserve)'!$A:$A, 0)) * Trend_Factor_Reserve^(A132)</f>
        <v>26.926205338964103</v>
      </c>
      <c r="O132" s="11">
        <f t="shared" si="56"/>
        <v>0.3</v>
      </c>
      <c r="P132" s="80">
        <f t="shared" si="74"/>
        <v>35.004066940653331</v>
      </c>
      <c r="Q132" s="76">
        <f>VLOOKUP(C132,Others!$L$10:$M$61,2)</f>
        <v>0</v>
      </c>
      <c r="R132" s="11">
        <f t="shared" si="57"/>
        <v>0</v>
      </c>
      <c r="S132" s="80">
        <f t="shared" si="75"/>
        <v>0</v>
      </c>
      <c r="T132" s="78">
        <f t="shared" si="76"/>
        <v>3.4500000000000005E-5</v>
      </c>
      <c r="U132" s="81">
        <f t="shared" si="77"/>
        <v>2.9170055783877776E-3</v>
      </c>
      <c r="V132" s="81">
        <f t="shared" si="78"/>
        <v>0</v>
      </c>
      <c r="W132" s="77">
        <f t="shared" si="58"/>
        <v>0.88534852569532452</v>
      </c>
      <c r="X132" s="82">
        <f t="shared" si="79"/>
        <v>3.049997486284103E-5</v>
      </c>
      <c r="Y132" s="82">
        <f t="shared" si="80"/>
        <v>2.5825220389970086E-3</v>
      </c>
      <c r="Z132" s="82">
        <f t="shared" si="81"/>
        <v>0</v>
      </c>
      <c r="AA132" s="82">
        <f t="shared" si="82"/>
        <v>0.88273550368146469</v>
      </c>
      <c r="AC132" s="46">
        <f t="shared" si="59"/>
        <v>0</v>
      </c>
      <c r="AD132" s="15">
        <f t="shared" si="83"/>
        <v>0</v>
      </c>
      <c r="AE132" s="46">
        <f t="shared" si="84"/>
        <v>0</v>
      </c>
      <c r="AF132" s="15">
        <f t="shared" si="85"/>
        <v>0</v>
      </c>
      <c r="AG132" s="46">
        <f>SUMPRODUCT(AE133:AE$605, $I132:$I$604) / $I132</f>
        <v>0</v>
      </c>
      <c r="AI132" s="46">
        <f t="shared" si="60"/>
        <v>-47000</v>
      </c>
      <c r="AJ132" s="46">
        <f>IF(E132&gt;Mat_Year,0,  -SUM($AD$5:AD132))</f>
        <v>-9306</v>
      </c>
      <c r="AK132" s="24">
        <f t="shared" si="86"/>
        <v>-0.28383276607359864</v>
      </c>
      <c r="AL132" s="79">
        <f t="shared" si="87"/>
        <v>-121.3785358328594</v>
      </c>
      <c r="AM132" s="24">
        <f t="shared" si="88"/>
        <v>-137.41748595942286</v>
      </c>
      <c r="AN132" s="79">
        <f t="shared" si="89"/>
        <v>-121.662368598933</v>
      </c>
      <c r="AO132" s="15">
        <f t="shared" si="90"/>
        <v>-7000.388839526835</v>
      </c>
      <c r="AP132" s="46">
        <f>SUMPRODUCT(AN133:AN$605, $I133:$I$605) / $I132</f>
        <v>-6197.7839383690871</v>
      </c>
      <c r="AR132" s="46">
        <v>0</v>
      </c>
      <c r="AS132" s="46">
        <v>0</v>
      </c>
      <c r="AT132" s="46">
        <v>0</v>
      </c>
      <c r="AU132" s="95">
        <f t="shared" si="61"/>
        <v>-2.2268282065537601</v>
      </c>
      <c r="AV132" s="47">
        <f t="shared" si="62"/>
        <v>0.1</v>
      </c>
      <c r="AW132" s="96">
        <f t="shared" si="91"/>
        <v>-2.4495110272091365</v>
      </c>
      <c r="AX132" s="95">
        <f t="shared" si="63"/>
        <v>-25.534296768483113</v>
      </c>
      <c r="AY132" s="11">
        <f t="shared" si="64"/>
        <v>0.1</v>
      </c>
      <c r="AZ132" s="96">
        <f t="shared" si="92"/>
        <v>-28.087726445331427</v>
      </c>
      <c r="BA132" s="95">
        <f t="shared" si="93"/>
        <v>-2.1686709766140488</v>
      </c>
      <c r="BB132" s="64">
        <f t="shared" si="94"/>
        <v>-7.3393847520924482E-2</v>
      </c>
      <c r="BC132" s="95">
        <f t="shared" si="106"/>
        <v>-2.4495110272091365</v>
      </c>
      <c r="BD132" s="96">
        <f t="shared" si="106"/>
        <v>-8.2898254631737583E-2</v>
      </c>
      <c r="BE132" s="96">
        <f t="shared" si="95"/>
        <v>-2.1686709766140488</v>
      </c>
      <c r="BF132" s="96">
        <f t="shared" si="96"/>
        <v>-7.3393847520924482E-2</v>
      </c>
      <c r="BG132" s="15">
        <f t="shared" si="97"/>
        <v>-239.34768839534982</v>
      </c>
      <c r="BH132" s="46">
        <f>(SUMPRODUCT(BE133:BE$605,$I132:$I$604)+SUMPRODUCT(BF133:BF$605,$I133:$I$605)) / $I132</f>
        <v>-211.90612304940689</v>
      </c>
      <c r="BJ132" s="46">
        <f t="shared" si="98"/>
        <v>-2.1686709766140488</v>
      </c>
      <c r="BK132" s="46">
        <f t="shared" si="99"/>
        <v>-121.73576244645392</v>
      </c>
      <c r="BM132" s="49">
        <f t="shared" si="65"/>
        <v>7261.167172597864</v>
      </c>
      <c r="BN132" s="50">
        <f t="shared" si="100"/>
        <v>6409.6900614184924</v>
      </c>
      <c r="BP132" s="68">
        <f>INDEX(Others!$H$11:$I$60, MATCH(C132, Others!$A$11:$A$60, 0), MATCH(BP$3, Others!$H$10:$I$10, 0))</f>
        <v>4.1400830335480809E-2</v>
      </c>
      <c r="BQ132" s="16">
        <f t="shared" si="101"/>
        <v>3.3862838044163013E-3</v>
      </c>
      <c r="BR132" s="69">
        <f t="shared" si="102"/>
        <v>0.73062526202569067</v>
      </c>
      <c r="BT132" s="46">
        <f t="shared" si="103"/>
        <v>6612.794094270439</v>
      </c>
      <c r="BU132" s="49">
        <f t="shared" si="66"/>
        <v>230.0848125003441</v>
      </c>
      <c r="BV132" s="46">
        <f t="shared" si="104"/>
        <v>203.10403285194661</v>
      </c>
      <c r="BX132" s="46">
        <f t="shared" si="105"/>
        <v>7491.251985098208</v>
      </c>
    </row>
    <row r="133" spans="1:76" x14ac:dyDescent="0.25">
      <c r="A133" s="61">
        <f t="shared" si="55"/>
        <v>10.666666666666673</v>
      </c>
      <c r="B133" s="32">
        <f t="shared" si="67"/>
        <v>8</v>
      </c>
      <c r="C133" s="62">
        <f t="shared" si="68"/>
        <v>11</v>
      </c>
      <c r="D133" s="64">
        <f t="shared" si="69"/>
        <v>11.166666666666673</v>
      </c>
      <c r="E133" s="28">
        <f t="shared" si="70"/>
        <v>11</v>
      </c>
      <c r="G133" s="68">
        <f>INDEX(Others!$D$11:$E$60, MATCH(C133, Others!$A$11:$A$60, 0), MATCH(G$3, Others!$D$10:$E$10, 0))</f>
        <v>5.5201107113974412E-2</v>
      </c>
      <c r="H133" s="16">
        <f t="shared" si="71"/>
        <v>4.4876537952047713E-3</v>
      </c>
      <c r="I133" s="69">
        <f t="shared" si="72"/>
        <v>0.65650652023117673</v>
      </c>
      <c r="K133" s="80">
        <f>INDEX(Mortality!$B$7:$F$32, MATCH( E133,Mortality!$A$7:$A$32, 0), MATCH( K$3,Mortality!$B$6:$F$6,0))</f>
        <v>0.36000000000000004</v>
      </c>
      <c r="L133" s="11" cm="1">
        <f t="array" ref="L133">PAD_Res_Mort</f>
        <v>0.15</v>
      </c>
      <c r="M133" s="80">
        <f t="shared" si="73"/>
        <v>0.41400000000000003</v>
      </c>
      <c r="N133" s="76">
        <f>INDEX('Myopia_(Reserve)'!$H:$H, MATCH(E133, 'Myopia_(Reserve)'!$A:$A, 0)) * Trend_Factor_Reserve^(A133)</f>
        <v>26.926205338964103</v>
      </c>
      <c r="O133" s="11">
        <f t="shared" si="56"/>
        <v>0.3</v>
      </c>
      <c r="P133" s="80">
        <f t="shared" si="74"/>
        <v>35.004066940653331</v>
      </c>
      <c r="Q133" s="76">
        <f>VLOOKUP(C133,Others!$L$10:$M$61,2)</f>
        <v>0</v>
      </c>
      <c r="R133" s="11">
        <f t="shared" si="57"/>
        <v>0</v>
      </c>
      <c r="S133" s="80">
        <f t="shared" si="75"/>
        <v>0</v>
      </c>
      <c r="T133" s="78">
        <f t="shared" si="76"/>
        <v>3.4500000000000005E-5</v>
      </c>
      <c r="U133" s="81">
        <f t="shared" si="77"/>
        <v>2.9170055783877776E-3</v>
      </c>
      <c r="V133" s="81">
        <f t="shared" si="78"/>
        <v>0</v>
      </c>
      <c r="W133" s="77">
        <f t="shared" si="58"/>
        <v>0.88273550368146469</v>
      </c>
      <c r="X133" s="82">
        <f t="shared" si="79"/>
        <v>3.040995708630926E-5</v>
      </c>
      <c r="Y133" s="82">
        <f t="shared" si="80"/>
        <v>2.5748999706890758E-3</v>
      </c>
      <c r="Z133" s="82">
        <f t="shared" si="81"/>
        <v>0</v>
      </c>
      <c r="AA133" s="82">
        <f t="shared" si="82"/>
        <v>0.88013019375368928</v>
      </c>
      <c r="AC133" s="46">
        <f t="shared" si="59"/>
        <v>0</v>
      </c>
      <c r="AD133" s="15">
        <f t="shared" si="83"/>
        <v>0</v>
      </c>
      <c r="AE133" s="46">
        <f t="shared" si="84"/>
        <v>0</v>
      </c>
      <c r="AF133" s="15">
        <f t="shared" si="85"/>
        <v>0</v>
      </c>
      <c r="AG133" s="46">
        <f>SUMPRODUCT(AE134:AE$605, $I133:$I$604) / $I133</f>
        <v>0</v>
      </c>
      <c r="AI133" s="46">
        <f t="shared" si="60"/>
        <v>-47000</v>
      </c>
      <c r="AJ133" s="46">
        <f>IF(E133&gt;Mat_Year,0,  -SUM($AD$5:AD133))</f>
        <v>-9306</v>
      </c>
      <c r="AK133" s="24">
        <f t="shared" si="86"/>
        <v>-0.28299506064519397</v>
      </c>
      <c r="AL133" s="79">
        <f t="shared" si="87"/>
        <v>-121.02029862238656</v>
      </c>
      <c r="AM133" s="24">
        <f t="shared" si="88"/>
        <v>-137.41748595942286</v>
      </c>
      <c r="AN133" s="79">
        <f t="shared" si="89"/>
        <v>-121.30329368303175</v>
      </c>
      <c r="AO133" s="15">
        <f t="shared" si="90"/>
        <v>-6915.2018105546495</v>
      </c>
      <c r="AP133" s="46">
        <f>SUMPRODUCT(AN134:AN$605, $I134:$I$605) / $I133</f>
        <v>-6104.2941532989353</v>
      </c>
      <c r="AR133" s="46">
        <v>0</v>
      </c>
      <c r="AS133" s="46">
        <v>0</v>
      </c>
      <c r="AT133" s="46">
        <v>0</v>
      </c>
      <c r="AU133" s="95">
        <f t="shared" si="61"/>
        <v>-2.2311428015737729</v>
      </c>
      <c r="AV133" s="47">
        <f t="shared" si="62"/>
        <v>0.1</v>
      </c>
      <c r="AW133" s="96">
        <f t="shared" si="91"/>
        <v>-2.4542570817311504</v>
      </c>
      <c r="AX133" s="95">
        <f t="shared" si="63"/>
        <v>-25.583770791379262</v>
      </c>
      <c r="AY133" s="11">
        <f t="shared" si="64"/>
        <v>0.1</v>
      </c>
      <c r="AZ133" s="96">
        <f t="shared" si="92"/>
        <v>-28.142147870517192</v>
      </c>
      <c r="BA133" s="95">
        <f t="shared" si="93"/>
        <v>-2.1664598612057486</v>
      </c>
      <c r="BB133" s="64">
        <f t="shared" si="94"/>
        <v>-7.331901723598136E-2</v>
      </c>
      <c r="BC133" s="95">
        <f t="shared" si="106"/>
        <v>-2.4542570817311504</v>
      </c>
      <c r="BD133" s="96">
        <f t="shared" si="106"/>
        <v>-8.305887429496496E-2</v>
      </c>
      <c r="BE133" s="96">
        <f t="shared" si="95"/>
        <v>-2.1664598612057486</v>
      </c>
      <c r="BF133" s="96">
        <f t="shared" si="96"/>
        <v>-7.331901723598136E-2</v>
      </c>
      <c r="BG133" s="15">
        <f t="shared" si="97"/>
        <v>-238.58515069138357</v>
      </c>
      <c r="BH133" s="46">
        <f>(SUMPRODUCT(BE134:BE$605,$I133:$I$604)+SUMPRODUCT(BF134:BF$605,$I134:$I$605)) / $I133</f>
        <v>-210.60758316647664</v>
      </c>
      <c r="BJ133" s="46">
        <f t="shared" si="98"/>
        <v>-2.1664598612057486</v>
      </c>
      <c r="BK133" s="46">
        <f t="shared" si="99"/>
        <v>-121.37661270026774</v>
      </c>
      <c r="BM133" s="49">
        <f t="shared" si="65"/>
        <v>7174.9631830409426</v>
      </c>
      <c r="BN133" s="50">
        <f t="shared" si="100"/>
        <v>6314.9017364654119</v>
      </c>
      <c r="BP133" s="68">
        <f>INDEX(Others!$H$11:$I$60, MATCH(C133, Others!$A$11:$A$60, 0), MATCH(BP$3, Others!$H$10:$I$10, 0))</f>
        <v>4.1400830335480809E-2</v>
      </c>
      <c r="BQ133" s="16">
        <f t="shared" si="101"/>
        <v>3.3862838044163013E-3</v>
      </c>
      <c r="BR133" s="69">
        <f t="shared" si="102"/>
        <v>0.72815950727915946</v>
      </c>
      <c r="BT133" s="46">
        <f t="shared" si="103"/>
        <v>6511.6364830043931</v>
      </c>
      <c r="BU133" s="49">
        <f t="shared" si="66"/>
        <v>223.52914141022961</v>
      </c>
      <c r="BV133" s="46">
        <f t="shared" si="104"/>
        <v>196.7347465389812</v>
      </c>
      <c r="BX133" s="46">
        <f t="shared" si="105"/>
        <v>7398.492324451172</v>
      </c>
    </row>
    <row r="134" spans="1:76" x14ac:dyDescent="0.25">
      <c r="A134" s="61">
        <f t="shared" ref="A134:A197" si="107">A133+1/12</f>
        <v>10.750000000000007</v>
      </c>
      <c r="B134" s="32">
        <f t="shared" si="67"/>
        <v>9</v>
      </c>
      <c r="C134" s="62">
        <f t="shared" si="68"/>
        <v>11</v>
      </c>
      <c r="D134" s="64">
        <f t="shared" si="69"/>
        <v>11.250000000000007</v>
      </c>
      <c r="E134" s="28">
        <f t="shared" si="70"/>
        <v>11</v>
      </c>
      <c r="G134" s="68">
        <f>INDEX(Others!$D$11:$E$60, MATCH(C134, Others!$A$11:$A$60, 0), MATCH(G$3, Others!$D$10:$E$10, 0))</f>
        <v>5.5201107113974412E-2</v>
      </c>
      <c r="H134" s="16">
        <f t="shared" si="71"/>
        <v>4.4876537952047713E-3</v>
      </c>
      <c r="I134" s="69">
        <f t="shared" si="72"/>
        <v>0.65357350859488561</v>
      </c>
      <c r="K134" s="80">
        <f>INDEX(Mortality!$B$7:$F$32, MATCH( E134,Mortality!$A$7:$A$32, 0), MATCH( K$3,Mortality!$B$6:$F$6,0))</f>
        <v>0.36000000000000004</v>
      </c>
      <c r="L134" s="11" cm="1">
        <f t="array" ref="L134">PAD_Res_Mort</f>
        <v>0.15</v>
      </c>
      <c r="M134" s="80">
        <f t="shared" si="73"/>
        <v>0.41400000000000003</v>
      </c>
      <c r="N134" s="76">
        <f>INDEX('Myopia_(Reserve)'!$H:$H, MATCH(E134, 'Myopia_(Reserve)'!$A:$A, 0)) * Trend_Factor_Reserve^(A134)</f>
        <v>26.926205338964103</v>
      </c>
      <c r="O134" s="11">
        <f t="shared" ref="O134:O197" si="108">PAD_Res_Incid</f>
        <v>0.3</v>
      </c>
      <c r="P134" s="80">
        <f t="shared" si="74"/>
        <v>35.004066940653331</v>
      </c>
      <c r="Q134" s="76">
        <f>VLOOKUP(C134,Others!$L$10:$M$61,2)</f>
        <v>0</v>
      </c>
      <c r="R134" s="11">
        <f t="shared" ref="R134:R197" si="109">PAD_Res_Laspe</f>
        <v>0</v>
      </c>
      <c r="S134" s="80">
        <f t="shared" si="75"/>
        <v>0</v>
      </c>
      <c r="T134" s="78">
        <f t="shared" si="76"/>
        <v>3.4500000000000005E-5</v>
      </c>
      <c r="U134" s="81">
        <f t="shared" si="77"/>
        <v>2.9170055783877776E-3</v>
      </c>
      <c r="V134" s="81">
        <f t="shared" si="78"/>
        <v>0</v>
      </c>
      <c r="W134" s="77">
        <f t="shared" ref="W134:W197" si="110">IF(E134&gt;Mat_Year, 0, AA133)</f>
        <v>0.88013019375368928</v>
      </c>
      <c r="X134" s="82">
        <f t="shared" si="79"/>
        <v>3.0320204988687985E-5</v>
      </c>
      <c r="Y134" s="82">
        <f t="shared" si="80"/>
        <v>2.5673003981912133E-3</v>
      </c>
      <c r="Z134" s="82">
        <f t="shared" si="81"/>
        <v>0</v>
      </c>
      <c r="AA134" s="82">
        <f t="shared" si="82"/>
        <v>0.87753257315050937</v>
      </c>
      <c r="AC134" s="46">
        <f t="shared" ref="AC134:AC197" si="111">IF(C134&gt;Prem_Term,0,Ann_Prem)</f>
        <v>0</v>
      </c>
      <c r="AD134" s="15">
        <f t="shared" si="83"/>
        <v>0</v>
      </c>
      <c r="AE134" s="46">
        <f t="shared" si="84"/>
        <v>0</v>
      </c>
      <c r="AF134" s="15">
        <f t="shared" si="85"/>
        <v>0</v>
      </c>
      <c r="AG134" s="46">
        <f>SUMPRODUCT(AE135:AE$605, $I134:$I$604) / $I134</f>
        <v>0</v>
      </c>
      <c r="AI134" s="46">
        <f t="shared" ref="AI134:AI197" si="112">IF(E134&gt;Mat_Year,0, -Sum_Assured)</f>
        <v>-47000</v>
      </c>
      <c r="AJ134" s="46">
        <f>IF(E134&gt;Mat_Year,0,  -SUM($AD$5:AD134))</f>
        <v>-9306</v>
      </c>
      <c r="AK134" s="24">
        <f t="shared" si="86"/>
        <v>-0.28215982762473041</v>
      </c>
      <c r="AL134" s="79">
        <f t="shared" si="87"/>
        <v>-120.66311871498702</v>
      </c>
      <c r="AM134" s="24">
        <f t="shared" si="88"/>
        <v>-137.41748595942289</v>
      </c>
      <c r="AN134" s="79">
        <f t="shared" si="89"/>
        <v>-120.94527854261175</v>
      </c>
      <c r="AO134" s="15">
        <f t="shared" si="90"/>
        <v>-6829.3791943951546</v>
      </c>
      <c r="AP134" s="46">
        <f>SUMPRODUCT(AN135:AN$605, $I135:$I$605) / $I134</f>
        <v>-6010.7428335804216</v>
      </c>
      <c r="AR134" s="46">
        <v>0</v>
      </c>
      <c r="AS134" s="46">
        <v>0</v>
      </c>
      <c r="AT134" s="46">
        <v>0</v>
      </c>
      <c r="AU134" s="95">
        <f t="shared" ref="AU134:AU197" si="113">IF(E134&gt;Mat_Year,0,
-Exp_Main/12 * (1+Exp_Main_Infl_Reserve)^(A133))</f>
        <v>-2.2354657563451723</v>
      </c>
      <c r="AV134" s="47">
        <f t="shared" ref="AV134:AV197" si="114">PAD_Res_Exp_Main</f>
        <v>0.1</v>
      </c>
      <c r="AW134" s="96">
        <f t="shared" si="91"/>
        <v>-2.4590123319796899</v>
      </c>
      <c r="AX134" s="95">
        <f t="shared" ref="AX134:AX197" si="115">IF(E134&gt;Mat_Year,0,
-Exp_Claim* (1+Exp_Main_Infl_Reserve)^(A133))</f>
        <v>-25.633340672757974</v>
      </c>
      <c r="AY134" s="11">
        <f t="shared" ref="AY134:AY197" si="116">PAD_Res_Exp_Claim</f>
        <v>0.1</v>
      </c>
      <c r="AZ134" s="96">
        <f t="shared" si="92"/>
        <v>-28.196674740033774</v>
      </c>
      <c r="BA134" s="95">
        <f t="shared" si="93"/>
        <v>-2.164251000187996</v>
      </c>
      <c r="BB134" s="64">
        <f t="shared" si="94"/>
        <v>-7.3244263245874019E-2</v>
      </c>
      <c r="BC134" s="95">
        <f t="shared" si="106"/>
        <v>-2.4590123319796899</v>
      </c>
      <c r="BD134" s="96">
        <f t="shared" si="106"/>
        <v>-8.3219805167111388E-2</v>
      </c>
      <c r="BE134" s="96">
        <f t="shared" si="95"/>
        <v>-2.164251000187996</v>
      </c>
      <c r="BF134" s="96">
        <f t="shared" si="96"/>
        <v>-7.3244263245874019E-2</v>
      </c>
      <c r="BG134" s="15">
        <f t="shared" si="97"/>
        <v>-237.81198611202245</v>
      </c>
      <c r="BH134" s="46">
        <f>(SUMPRODUCT(BE135:BE$605,$I134:$I$604)+SUMPRODUCT(BF135:BF$605,$I135:$I$605)) / $I134</f>
        <v>-209.305509413724</v>
      </c>
      <c r="BJ134" s="46">
        <f t="shared" si="98"/>
        <v>-2.164251000187996</v>
      </c>
      <c r="BK134" s="46">
        <f t="shared" si="99"/>
        <v>-121.01852280585761</v>
      </c>
      <c r="BM134" s="49">
        <f t="shared" ref="BM134:BM197" si="117">IF($AA134 = 0, 0, BN134/$AA134)</f>
        <v>7088.1110665362376</v>
      </c>
      <c r="BN134" s="50">
        <f t="shared" si="100"/>
        <v>6220.048342994146</v>
      </c>
      <c r="BP134" s="68">
        <f>INDEX(Others!$H$11:$I$60, MATCH(C134, Others!$A$11:$A$60, 0), MATCH(BP$3, Others!$H$10:$I$10, 0))</f>
        <v>4.1400830335480809E-2</v>
      </c>
      <c r="BQ134" s="16">
        <f t="shared" si="101"/>
        <v>3.3862838044163013E-3</v>
      </c>
      <c r="BR134" s="69">
        <f t="shared" si="102"/>
        <v>0.72570207409880738</v>
      </c>
      <c r="BT134" s="46">
        <f t="shared" si="103"/>
        <v>6410.4966295928807</v>
      </c>
      <c r="BU134" s="49">
        <f t="shared" ref="BU134:BU197" si="118">IF($AA134 = 0, 0, BV134/$AA134)</f>
        <v>217.0270283130221</v>
      </c>
      <c r="BV134" s="46">
        <f t="shared" si="104"/>
        <v>190.44828659873474</v>
      </c>
      <c r="BX134" s="46">
        <f t="shared" si="105"/>
        <v>7305.1380948492597</v>
      </c>
    </row>
    <row r="135" spans="1:76" x14ac:dyDescent="0.25">
      <c r="A135" s="61">
        <f t="shared" si="107"/>
        <v>10.833333333333341</v>
      </c>
      <c r="B135" s="32">
        <f t="shared" ref="B135:B198" si="119">IF(B134=12,1,B134+1)</f>
        <v>10</v>
      </c>
      <c r="C135" s="62">
        <f t="shared" ref="C135:C198" si="120">IF(B134=12,C134+1,C134)</f>
        <v>11</v>
      </c>
      <c r="D135" s="64">
        <f t="shared" ref="D135:D198" si="121">$D$5+A135</f>
        <v>11.333333333333341</v>
      </c>
      <c r="E135" s="28">
        <f t="shared" ref="E135:E198" si="122">INT(D135+0.001)</f>
        <v>11</v>
      </c>
      <c r="G135" s="68">
        <f>INDEX(Others!$D$11:$E$60, MATCH(C135, Others!$A$11:$A$60, 0), MATCH(G$3, Others!$D$10:$E$10, 0))</f>
        <v>5.5201107113974412E-2</v>
      </c>
      <c r="H135" s="16">
        <f t="shared" ref="H135:H198" si="123">(1+G135)^(1/12) - 1</f>
        <v>4.4876537952047713E-3</v>
      </c>
      <c r="I135" s="69">
        <f t="shared" ref="I135:I198" si="124">I134/(1+H135)</f>
        <v>0.65065360049525944</v>
      </c>
      <c r="K135" s="80">
        <f>INDEX(Mortality!$B$7:$F$32, MATCH( E135,Mortality!$A$7:$A$32, 0), MATCH( K$3,Mortality!$B$6:$F$6,0))</f>
        <v>0.36000000000000004</v>
      </c>
      <c r="L135" s="11" cm="1">
        <f t="array" ref="L135">PAD_Res_Mort</f>
        <v>0.15</v>
      </c>
      <c r="M135" s="80">
        <f t="shared" ref="M135:M198" si="125">IFERROR( K135*(1+L135), 0)</f>
        <v>0.41400000000000003</v>
      </c>
      <c r="N135" s="76">
        <f>INDEX('Myopia_(Reserve)'!$H:$H, MATCH(E135, 'Myopia_(Reserve)'!$A:$A, 0)) * Trend_Factor_Reserve^(A135)</f>
        <v>26.926205338964103</v>
      </c>
      <c r="O135" s="11">
        <f t="shared" si="108"/>
        <v>0.3</v>
      </c>
      <c r="P135" s="80">
        <f t="shared" ref="P135:P198" si="126">IFERROR( N135*(1+O135), 0)</f>
        <v>35.004066940653331</v>
      </c>
      <c r="Q135" s="76">
        <f>VLOOKUP(C135,Others!$L$10:$M$61,2)</f>
        <v>0</v>
      </c>
      <c r="R135" s="11">
        <f t="shared" si="109"/>
        <v>0</v>
      </c>
      <c r="S135" s="80">
        <f t="shared" ref="S135:S198" si="127">IFERROR( Q135*(1+R135), 0)</f>
        <v>0</v>
      </c>
      <c r="T135" s="78">
        <f t="shared" ref="T135:T198" si="128">(M135/1000)/12</f>
        <v>3.4500000000000005E-5</v>
      </c>
      <c r="U135" s="81">
        <f t="shared" ref="U135:U198" si="129">(P135/1000)/12</f>
        <v>2.9170055783877776E-3</v>
      </c>
      <c r="V135" s="81">
        <f t="shared" ref="V135:V198" si="130">(S135/1000)/12</f>
        <v>0</v>
      </c>
      <c r="W135" s="77">
        <f t="shared" si="110"/>
        <v>0.87753257315050937</v>
      </c>
      <c r="X135" s="82">
        <f t="shared" ref="X135:X198" si="131">W135 * (T135)*(1-U135/2)</f>
        <v>3.0230717785851156E-5</v>
      </c>
      <c r="Y135" s="82">
        <f t="shared" ref="Y135:Y198" si="132">W135 * (1-T135/2)*(U135)</f>
        <v>2.559723255109175E-3</v>
      </c>
      <c r="Z135" s="82">
        <f t="shared" ref="Z135:Z198" si="133">W135 * (1-T135)*(1-U135)*(V135)</f>
        <v>0</v>
      </c>
      <c r="AA135" s="82">
        <f t="shared" ref="AA135:AA198" si="134">W135-SUM(X135:Z135)</f>
        <v>0.87494261917761429</v>
      </c>
      <c r="AC135" s="46">
        <f t="shared" si="111"/>
        <v>0</v>
      </c>
      <c r="AD135" s="15">
        <f t="shared" ref="AD135:AD198" si="135">IF(Prem_Mode="Mth",AC135/12,
IF(B135=1, AC135, 0))</f>
        <v>0</v>
      </c>
      <c r="AE135" s="46">
        <f t="shared" ref="AE135:AE198" si="136">AD135*$W135</f>
        <v>0</v>
      </c>
      <c r="AF135" s="15">
        <f t="shared" ref="AF135:AF198" si="137">IF($W135 = 0, 0, AG135/$W135)</f>
        <v>0</v>
      </c>
      <c r="AG135" s="46">
        <f>SUMPRODUCT(AE136:AE$605, $I135:$I$604) / $I135</f>
        <v>0</v>
      </c>
      <c r="AI135" s="46">
        <f t="shared" si="112"/>
        <v>-47000</v>
      </c>
      <c r="AJ135" s="46">
        <f>IF(E135&gt;Mat_Year,0,  -SUM($AD$5:AD135))</f>
        <v>-9306</v>
      </c>
      <c r="AK135" s="24">
        <f t="shared" ref="AK135:AK198" si="138">AJ135*X135</f>
        <v>-0.28132705971513083</v>
      </c>
      <c r="AL135" s="79">
        <f t="shared" ref="AL135:AL198" si="139">AI135*Y135</f>
        <v>-120.30699299013122</v>
      </c>
      <c r="AM135" s="24">
        <f t="shared" ref="AM135:AM198" si="140">IF($W135 = 0, 0, AN135/$W135)</f>
        <v>-137.41748595942286</v>
      </c>
      <c r="AN135" s="79">
        <f t="shared" ref="AN135:AN198" si="141">SUM(AK135:AL135)</f>
        <v>-120.58832004984635</v>
      </c>
      <c r="AO135" s="15">
        <f t="shared" ref="AO135:AO198" si="142">IF($W135 = 0, 0, AP135/$W135)</f>
        <v>-6742.9162488818747</v>
      </c>
      <c r="AP135" s="46">
        <f>SUMPRODUCT(AN136:AN$605, $I136:$I$605) / $I135</f>
        <v>-5917.1286464196919</v>
      </c>
      <c r="AR135" s="46">
        <v>0</v>
      </c>
      <c r="AS135" s="46">
        <v>0</v>
      </c>
      <c r="AT135" s="46">
        <v>0</v>
      </c>
      <c r="AU135" s="95">
        <f t="shared" si="113"/>
        <v>-2.2397970870654094</v>
      </c>
      <c r="AV135" s="47">
        <f t="shared" si="114"/>
        <v>0.1</v>
      </c>
      <c r="AW135" s="96">
        <f t="shared" ref="AW135:AW198" si="143">AU135*(1+AV135)</f>
        <v>-2.4637767957719503</v>
      </c>
      <c r="AX135" s="95">
        <f t="shared" si="115"/>
        <v>-25.683006598350023</v>
      </c>
      <c r="AY135" s="11">
        <f t="shared" si="116"/>
        <v>0.1</v>
      </c>
      <c r="AZ135" s="96">
        <f t="shared" ref="AZ135:AZ198" si="144">AX135*(1+AY135)</f>
        <v>-28.251307258185026</v>
      </c>
      <c r="BA135" s="95">
        <f t="shared" ref="BA135:BA198" si="145">AW135*$W135</f>
        <v>-2.1620443912622767</v>
      </c>
      <c r="BB135" s="64">
        <f t="shared" ref="BB135:BB198" si="146">AZ135*SUM(X135:Y135)</f>
        <v>-7.3169585472814394E-2</v>
      </c>
      <c r="BC135" s="95">
        <f t="shared" si="106"/>
        <v>-2.4637767957719503</v>
      </c>
      <c r="BD135" s="96">
        <f t="shared" si="106"/>
        <v>-8.3381047851160239E-2</v>
      </c>
      <c r="BE135" s="96">
        <f t="shared" ref="BE135:BE198" si="147">SUM(AT135,BA135)</f>
        <v>-2.1620443912622767</v>
      </c>
      <c r="BF135" s="96">
        <f t="shared" ref="BF135:BF198" si="148">SUM(BB135)</f>
        <v>-7.3169585472814394E-2</v>
      </c>
      <c r="BG135" s="15">
        <f t="shared" ref="BG135:BG198" si="149">IF($W135 = 0, 0, BH135/$W135)</f>
        <v>-237.02810580260225</v>
      </c>
      <c r="BH135" s="46">
        <f>(SUMPRODUCT(BE136:BE$605,$I135:$I$604)+SUMPRODUCT(BF136:BF$605,$I136:$I$605)) / $I135</f>
        <v>-207.99988359394874</v>
      </c>
      <c r="BJ135" s="46">
        <f t="shared" ref="BJ135:BJ198" si="150">SUM(AE135,BE135)</f>
        <v>-2.1620443912622767</v>
      </c>
      <c r="BK135" s="46">
        <f t="shared" ref="BK135:BK198" si="151">SUM(AN135,BF135)</f>
        <v>-120.66148963531916</v>
      </c>
      <c r="BM135" s="49">
        <f t="shared" si="117"/>
        <v>7000.6059777621076</v>
      </c>
      <c r="BN135" s="50">
        <f t="shared" ref="BN135:BN198" si="152">MAX(BN136/(1+H136) - (BJ136 + BK136/(1+H136)),0)</f>
        <v>6125.1285300136415</v>
      </c>
      <c r="BP135" s="68">
        <f>INDEX(Others!$H$11:$I$60, MATCH(C135, Others!$A$11:$A$60, 0), MATCH(BP$3, Others!$H$10:$I$10, 0))</f>
        <v>4.1400830335480809E-2</v>
      </c>
      <c r="BQ135" s="16">
        <f t="shared" ref="BQ135:BQ198" si="153">(1+BP135)^(1/12) - 1</f>
        <v>3.3862838044163013E-3</v>
      </c>
      <c r="BR135" s="69">
        <f t="shared" ref="BR135:BR198" si="154">BR134/(1+BQ135)</f>
        <v>0.72325293440055027</v>
      </c>
      <c r="BT135" s="46">
        <f t="shared" ref="BT135:BT198" si="155">MAX(BT136/(1+BQ136) - (BJ136 + BK136/(1+BQ136)),0)</f>
        <v>6309.3735351854484</v>
      </c>
      <c r="BU135" s="49">
        <f t="shared" si="118"/>
        <v>210.5795295981633</v>
      </c>
      <c r="BV135" s="46">
        <f t="shared" si="104"/>
        <v>184.24500517180695</v>
      </c>
      <c r="BX135" s="46">
        <f t="shared" si="105"/>
        <v>7211.185507360271</v>
      </c>
    </row>
    <row r="136" spans="1:76" x14ac:dyDescent="0.25">
      <c r="A136" s="61">
        <f t="shared" si="107"/>
        <v>10.916666666666675</v>
      </c>
      <c r="B136" s="32">
        <f t="shared" si="119"/>
        <v>11</v>
      </c>
      <c r="C136" s="62">
        <f t="shared" si="120"/>
        <v>11</v>
      </c>
      <c r="D136" s="64">
        <f t="shared" si="121"/>
        <v>11.416666666666675</v>
      </c>
      <c r="E136" s="28">
        <f t="shared" si="122"/>
        <v>11</v>
      </c>
      <c r="G136" s="68">
        <f>INDEX(Others!$D$11:$E$60, MATCH(C136, Others!$A$11:$A$60, 0), MATCH(G$3, Others!$D$10:$E$10, 0))</f>
        <v>5.5201107113974412E-2</v>
      </c>
      <c r="H136" s="16">
        <f t="shared" si="123"/>
        <v>4.4876537952047713E-3</v>
      </c>
      <c r="I136" s="69">
        <f t="shared" si="124"/>
        <v>0.64774673739087574</v>
      </c>
      <c r="K136" s="80">
        <f>INDEX(Mortality!$B$7:$F$32, MATCH( E136,Mortality!$A$7:$A$32, 0), MATCH( K$3,Mortality!$B$6:$F$6,0))</f>
        <v>0.36000000000000004</v>
      </c>
      <c r="L136" s="11" cm="1">
        <f t="array" ref="L136">PAD_Res_Mort</f>
        <v>0.15</v>
      </c>
      <c r="M136" s="80">
        <f t="shared" si="125"/>
        <v>0.41400000000000003</v>
      </c>
      <c r="N136" s="76">
        <f>INDEX('Myopia_(Reserve)'!$H:$H, MATCH(E136, 'Myopia_(Reserve)'!$A:$A, 0)) * Trend_Factor_Reserve^(A136)</f>
        <v>26.926205338964103</v>
      </c>
      <c r="O136" s="11">
        <f t="shared" si="108"/>
        <v>0.3</v>
      </c>
      <c r="P136" s="80">
        <f t="shared" si="126"/>
        <v>35.004066940653331</v>
      </c>
      <c r="Q136" s="76">
        <f>VLOOKUP(C136,Others!$L$10:$M$61,2)</f>
        <v>0</v>
      </c>
      <c r="R136" s="11">
        <f t="shared" si="109"/>
        <v>0</v>
      </c>
      <c r="S136" s="80">
        <f t="shared" si="127"/>
        <v>0</v>
      </c>
      <c r="T136" s="78">
        <f t="shared" si="128"/>
        <v>3.4500000000000005E-5</v>
      </c>
      <c r="U136" s="81">
        <f t="shared" si="129"/>
        <v>2.9170055783877776E-3</v>
      </c>
      <c r="V136" s="81">
        <f t="shared" si="130"/>
        <v>0</v>
      </c>
      <c r="W136" s="77">
        <f t="shared" si="110"/>
        <v>0.87494261917761429</v>
      </c>
      <c r="X136" s="82">
        <f t="shared" si="131"/>
        <v>3.0141494695986996E-5</v>
      </c>
      <c r="Y136" s="82">
        <f t="shared" si="132"/>
        <v>2.5521684752446735E-3</v>
      </c>
      <c r="Z136" s="82">
        <f t="shared" si="133"/>
        <v>0</v>
      </c>
      <c r="AA136" s="82">
        <f t="shared" si="134"/>
        <v>0.8723603092076736</v>
      </c>
      <c r="AC136" s="46">
        <f t="shared" si="111"/>
        <v>0</v>
      </c>
      <c r="AD136" s="15">
        <f t="shared" si="135"/>
        <v>0</v>
      </c>
      <c r="AE136" s="46">
        <f t="shared" si="136"/>
        <v>0</v>
      </c>
      <c r="AF136" s="15">
        <f t="shared" si="137"/>
        <v>0</v>
      </c>
      <c r="AG136" s="46">
        <f>SUMPRODUCT(AE137:AE$605, $I136:$I$604) / $I136</f>
        <v>0</v>
      </c>
      <c r="AI136" s="46">
        <f t="shared" si="112"/>
        <v>-47000</v>
      </c>
      <c r="AJ136" s="46">
        <f>IF(E136&gt;Mat_Year,0,  -SUM($AD$5:AD136))</f>
        <v>-9306</v>
      </c>
      <c r="AK136" s="24">
        <f t="shared" si="138"/>
        <v>-0.28049674964085497</v>
      </c>
      <c r="AL136" s="79">
        <f t="shared" si="139"/>
        <v>-119.95191833649966</v>
      </c>
      <c r="AM136" s="24">
        <f t="shared" si="140"/>
        <v>-137.41748595942292</v>
      </c>
      <c r="AN136" s="79">
        <f t="shared" si="141"/>
        <v>-120.23241508614052</v>
      </c>
      <c r="AO136" s="15">
        <f t="shared" si="142"/>
        <v>-6655.8081964666608</v>
      </c>
      <c r="AP136" s="46">
        <f>SUMPRODUCT(AN137:AN$605, $I137:$I$605) / $I136</f>
        <v>-5823.4502561603731</v>
      </c>
      <c r="AR136" s="46">
        <v>0</v>
      </c>
      <c r="AS136" s="46">
        <v>0</v>
      </c>
      <c r="AT136" s="46">
        <v>0</v>
      </c>
      <c r="AU136" s="95">
        <f t="shared" si="113"/>
        <v>-2.2441368099633188</v>
      </c>
      <c r="AV136" s="47">
        <f t="shared" si="114"/>
        <v>0.1</v>
      </c>
      <c r="AW136" s="96">
        <f t="shared" si="143"/>
        <v>-2.4685504909596507</v>
      </c>
      <c r="AX136" s="95">
        <f t="shared" si="115"/>
        <v>-25.732768754246049</v>
      </c>
      <c r="AY136" s="11">
        <f t="shared" si="116"/>
        <v>0.1</v>
      </c>
      <c r="AZ136" s="96">
        <f t="shared" si="144"/>
        <v>-28.306045629670656</v>
      </c>
      <c r="BA136" s="95">
        <f t="shared" si="145"/>
        <v>-2.1598400321324225</v>
      </c>
      <c r="BB136" s="64">
        <f t="shared" si="146"/>
        <v>-7.3094983839093797E-2</v>
      </c>
      <c r="BC136" s="95">
        <f t="shared" si="106"/>
        <v>-2.4685504909596507</v>
      </c>
      <c r="BD136" s="96">
        <f t="shared" si="106"/>
        <v>-8.3542602951263298E-2</v>
      </c>
      <c r="BE136" s="96">
        <f t="shared" si="147"/>
        <v>-2.1598400321324225</v>
      </c>
      <c r="BF136" s="96">
        <f t="shared" si="148"/>
        <v>-7.3094983839093797E-2</v>
      </c>
      <c r="BG136" s="15">
        <f t="shared" si="149"/>
        <v>-236.23342022697165</v>
      </c>
      <c r="BH136" s="46">
        <f>(SUMPRODUCT(BE137:BE$605,$I136:$I$604)+SUMPRODUCT(BF137:BF$605,$I137:$I$605)) / $I136</f>
        <v>-206.69068743067257</v>
      </c>
      <c r="BJ136" s="46">
        <f t="shared" si="150"/>
        <v>-2.1598400321324225</v>
      </c>
      <c r="BK136" s="46">
        <f t="shared" si="151"/>
        <v>-120.30551006997962</v>
      </c>
      <c r="BM136" s="49">
        <f t="shared" si="117"/>
        <v>6912.4430352269883</v>
      </c>
      <c r="BN136" s="50">
        <f t="shared" si="152"/>
        <v>6030.1409435910455</v>
      </c>
      <c r="BP136" s="68">
        <f>INDEX(Others!$H$11:$I$60, MATCH(C136, Others!$A$11:$A$60, 0), MATCH(BP$3, Others!$H$10:$I$10, 0))</f>
        <v>4.1400830335480809E-2</v>
      </c>
      <c r="BQ136" s="16">
        <f t="shared" si="153"/>
        <v>3.3862838044163013E-3</v>
      </c>
      <c r="BR136" s="69">
        <f t="shared" si="154"/>
        <v>0.7208120601950837</v>
      </c>
      <c r="BT136" s="46">
        <f t="shared" si="155"/>
        <v>6208.2662006702267</v>
      </c>
      <c r="BU136" s="49">
        <f t="shared" si="118"/>
        <v>204.18771372228585</v>
      </c>
      <c r="BV136" s="46">
        <f t="shared" ref="BV136:BV199" si="156">BT136-BN136</f>
        <v>178.12525707918121</v>
      </c>
      <c r="BX136" s="46">
        <f t="shared" ref="BX136:BX199" si="157">BM136+BU136</f>
        <v>7116.6307489492738</v>
      </c>
    </row>
    <row r="137" spans="1:76" x14ac:dyDescent="0.25">
      <c r="A137" s="61">
        <f t="shared" si="107"/>
        <v>11.000000000000009</v>
      </c>
      <c r="B137" s="32">
        <f t="shared" si="119"/>
        <v>12</v>
      </c>
      <c r="C137" s="62">
        <f t="shared" si="120"/>
        <v>11</v>
      </c>
      <c r="D137" s="64">
        <f t="shared" si="121"/>
        <v>11.500000000000009</v>
      </c>
      <c r="E137" s="28">
        <f t="shared" si="122"/>
        <v>11</v>
      </c>
      <c r="G137" s="68">
        <f>INDEX(Others!$D$11:$E$60, MATCH(C137, Others!$A$11:$A$60, 0), MATCH(G$3, Others!$D$10:$E$10, 0))</f>
        <v>5.5201107113974412E-2</v>
      </c>
      <c r="H137" s="16">
        <f t="shared" si="123"/>
        <v>4.4876537952047713E-3</v>
      </c>
      <c r="I137" s="69">
        <f t="shared" si="124"/>
        <v>0.64485286100185213</v>
      </c>
      <c r="K137" s="80">
        <f>INDEX(Mortality!$B$7:$F$32, MATCH( E137,Mortality!$A$7:$A$32, 0), MATCH( K$3,Mortality!$B$6:$F$6,0))</f>
        <v>0.36000000000000004</v>
      </c>
      <c r="L137" s="11" cm="1">
        <f t="array" ref="L137">PAD_Res_Mort</f>
        <v>0.15</v>
      </c>
      <c r="M137" s="80">
        <f t="shared" si="125"/>
        <v>0.41400000000000003</v>
      </c>
      <c r="N137" s="76">
        <f>INDEX('Myopia_(Reserve)'!$H:$H, MATCH(E137, 'Myopia_(Reserve)'!$A:$A, 0)) * Trend_Factor_Reserve^(A137)</f>
        <v>26.926205338964103</v>
      </c>
      <c r="O137" s="11">
        <f t="shared" si="108"/>
        <v>0.3</v>
      </c>
      <c r="P137" s="80">
        <f t="shared" si="126"/>
        <v>35.004066940653331</v>
      </c>
      <c r="Q137" s="76">
        <f>VLOOKUP(C137,Others!$L$10:$M$61,2)</f>
        <v>0</v>
      </c>
      <c r="R137" s="11">
        <f t="shared" si="109"/>
        <v>0</v>
      </c>
      <c r="S137" s="80">
        <f t="shared" si="127"/>
        <v>0</v>
      </c>
      <c r="T137" s="78">
        <f t="shared" si="128"/>
        <v>3.4500000000000005E-5</v>
      </c>
      <c r="U137" s="81">
        <f t="shared" si="129"/>
        <v>2.9170055783877776E-3</v>
      </c>
      <c r="V137" s="81">
        <f t="shared" si="130"/>
        <v>0</v>
      </c>
      <c r="W137" s="77">
        <f t="shared" si="110"/>
        <v>0.8723603092076736</v>
      </c>
      <c r="X137" s="82">
        <f t="shared" si="131"/>
        <v>3.0052534939591172E-5</v>
      </c>
      <c r="Y137" s="82">
        <f t="shared" si="132"/>
        <v>2.5446359925947971E-3</v>
      </c>
      <c r="Z137" s="82">
        <f t="shared" si="133"/>
        <v>0</v>
      </c>
      <c r="AA137" s="82">
        <f t="shared" si="134"/>
        <v>0.8697856206801392</v>
      </c>
      <c r="AC137" s="46">
        <f t="shared" si="111"/>
        <v>0</v>
      </c>
      <c r="AD137" s="15">
        <f t="shared" si="135"/>
        <v>0</v>
      </c>
      <c r="AE137" s="46">
        <f t="shared" si="136"/>
        <v>0</v>
      </c>
      <c r="AF137" s="15">
        <f t="shared" si="137"/>
        <v>0</v>
      </c>
      <c r="AG137" s="46">
        <f>SUMPRODUCT(AE138:AE$605, $I137:$I$604) / $I137</f>
        <v>0</v>
      </c>
      <c r="AI137" s="46">
        <f t="shared" si="112"/>
        <v>-47000</v>
      </c>
      <c r="AJ137" s="46">
        <f>IF(E137&gt;Mat_Year,0,  -SUM($AD$5:AD137))</f>
        <v>-9306</v>
      </c>
      <c r="AK137" s="24">
        <f t="shared" si="138"/>
        <v>-0.27966889014783547</v>
      </c>
      <c r="AL137" s="79">
        <f t="shared" si="139"/>
        <v>-119.59789165195546</v>
      </c>
      <c r="AM137" s="24">
        <f t="shared" si="140"/>
        <v>-137.41748595942289</v>
      </c>
      <c r="AN137" s="79">
        <f t="shared" si="141"/>
        <v>-119.8775605421033</v>
      </c>
      <c r="AO137" s="15">
        <f t="shared" si="142"/>
        <v>-6568.0502239556872</v>
      </c>
      <c r="AP137" s="46">
        <f>SUMPRODUCT(AN138:AN$605, $I138:$I$605) / $I137</f>
        <v>-5729.7063242615131</v>
      </c>
      <c r="AR137" s="46">
        <v>0</v>
      </c>
      <c r="AS137" s="46">
        <v>0</v>
      </c>
      <c r="AT137" s="46">
        <v>0</v>
      </c>
      <c r="AU137" s="95">
        <f t="shared" si="113"/>
        <v>-2.2484849412991799</v>
      </c>
      <c r="AV137" s="47">
        <f t="shared" si="114"/>
        <v>0.1</v>
      </c>
      <c r="AW137" s="96">
        <f t="shared" si="143"/>
        <v>-2.4733334354290979</v>
      </c>
      <c r="AX137" s="95">
        <f t="shared" si="115"/>
        <v>-25.782627326897256</v>
      </c>
      <c r="AY137" s="11">
        <f t="shared" si="116"/>
        <v>0.1</v>
      </c>
      <c r="AZ137" s="96">
        <f t="shared" si="144"/>
        <v>-28.360890059586982</v>
      </c>
      <c r="BA137" s="95">
        <f t="shared" si="145"/>
        <v>-2.1576379205046052</v>
      </c>
      <c r="BB137" s="64">
        <f t="shared" si="146"/>
        <v>-7.3020458267082686E-2</v>
      </c>
      <c r="BC137" s="95">
        <f t="shared" si="106"/>
        <v>-2.4733334354290974</v>
      </c>
      <c r="BD137" s="96">
        <f t="shared" si="106"/>
        <v>-8.37044710727428E-2</v>
      </c>
      <c r="BE137" s="96">
        <f t="shared" si="147"/>
        <v>-2.1576379205046052</v>
      </c>
      <c r="BF137" s="96">
        <f t="shared" si="148"/>
        <v>-7.3020458267082686E-2</v>
      </c>
      <c r="BG137" s="15">
        <f t="shared" si="149"/>
        <v>-235.42783916237053</v>
      </c>
      <c r="BH137" s="46">
        <f>(SUMPRODUCT(BE138:BE$605,$I137:$I$604)+SUMPRODUCT(BF138:BF$605,$I138:$I$605)) / $I137</f>
        <v>-205.37790256778001</v>
      </c>
      <c r="BJ137" s="46">
        <f t="shared" si="150"/>
        <v>-2.1576379205046052</v>
      </c>
      <c r="BK137" s="46">
        <f t="shared" si="151"/>
        <v>-119.95058100037038</v>
      </c>
      <c r="BM137" s="49">
        <f t="shared" si="117"/>
        <v>6823.617320999495</v>
      </c>
      <c r="BN137" s="50">
        <f t="shared" si="152"/>
        <v>5935.0842268292945</v>
      </c>
      <c r="BP137" s="68">
        <f>INDEX(Others!$H$11:$I$60, MATCH(C137, Others!$A$11:$A$60, 0), MATCH(BP$3, Others!$H$10:$I$10, 0))</f>
        <v>4.1400830335480809E-2</v>
      </c>
      <c r="BQ137" s="16">
        <f t="shared" si="153"/>
        <v>3.3862838044163013E-3</v>
      </c>
      <c r="BR137" s="69">
        <f t="shared" si="154"/>
        <v>0.71837942358756324</v>
      </c>
      <c r="BT137" s="46">
        <f t="shared" si="155"/>
        <v>6107.17362666384</v>
      </c>
      <c r="BU137" s="49">
        <f t="shared" si="118"/>
        <v>197.85266132587719</v>
      </c>
      <c r="BV137" s="46">
        <f t="shared" si="156"/>
        <v>172.08939983454547</v>
      </c>
      <c r="BX137" s="46">
        <f t="shared" si="157"/>
        <v>7021.4699823253723</v>
      </c>
    </row>
    <row r="138" spans="1:76" x14ac:dyDescent="0.25">
      <c r="A138" s="61">
        <f t="shared" si="107"/>
        <v>11.083333333333343</v>
      </c>
      <c r="B138" s="32">
        <f t="shared" si="119"/>
        <v>1</v>
      </c>
      <c r="C138" s="62">
        <f t="shared" si="120"/>
        <v>12</v>
      </c>
      <c r="D138" s="64">
        <f t="shared" si="121"/>
        <v>11.583333333333343</v>
      </c>
      <c r="E138" s="28">
        <f t="shared" si="122"/>
        <v>11</v>
      </c>
      <c r="G138" s="68">
        <f>INDEX(Others!$D$11:$E$60, MATCH(C138, Others!$A$11:$A$60, 0), MATCH(G$3, Others!$D$10:$E$10, 0))</f>
        <v>4.0690909090909333E-2</v>
      </c>
      <c r="H138" s="16">
        <f t="shared" si="123"/>
        <v>3.329265421250005E-3</v>
      </c>
      <c r="I138" s="69">
        <f t="shared" si="124"/>
        <v>0.64271309850720759</v>
      </c>
      <c r="K138" s="80">
        <f>INDEX(Mortality!$B$7:$F$32, MATCH( E138,Mortality!$A$7:$A$32, 0), MATCH( K$3,Mortality!$B$6:$F$6,0))</f>
        <v>0.36000000000000004</v>
      </c>
      <c r="L138" s="11" cm="1">
        <f t="array" ref="L138">PAD_Res_Mort</f>
        <v>0.15</v>
      </c>
      <c r="M138" s="80">
        <f t="shared" si="125"/>
        <v>0.41400000000000003</v>
      </c>
      <c r="N138" s="76">
        <f>INDEX('Myopia_(Reserve)'!$H:$H, MATCH(E138, 'Myopia_(Reserve)'!$A:$A, 0)) * Trend_Factor_Reserve^(A138)</f>
        <v>26.926205338964103</v>
      </c>
      <c r="O138" s="11">
        <f t="shared" si="108"/>
        <v>0.3</v>
      </c>
      <c r="P138" s="80">
        <f t="shared" si="126"/>
        <v>35.004066940653331</v>
      </c>
      <c r="Q138" s="76">
        <f>VLOOKUP(C138,Others!$L$10:$M$61,2)</f>
        <v>0</v>
      </c>
      <c r="R138" s="11">
        <f t="shared" si="109"/>
        <v>0</v>
      </c>
      <c r="S138" s="80">
        <f t="shared" si="127"/>
        <v>0</v>
      </c>
      <c r="T138" s="78">
        <f t="shared" si="128"/>
        <v>3.4500000000000005E-5</v>
      </c>
      <c r="U138" s="81">
        <f t="shared" si="129"/>
        <v>2.9170055783877776E-3</v>
      </c>
      <c r="V138" s="81">
        <f t="shared" si="130"/>
        <v>0</v>
      </c>
      <c r="W138" s="77">
        <f t="shared" si="110"/>
        <v>0.8697856206801392</v>
      </c>
      <c r="X138" s="82">
        <f t="shared" si="131"/>
        <v>2.9963837739459994E-5</v>
      </c>
      <c r="Y138" s="82">
        <f t="shared" si="132"/>
        <v>2.5371257413514367E-3</v>
      </c>
      <c r="Z138" s="82">
        <f t="shared" si="133"/>
        <v>0</v>
      </c>
      <c r="AA138" s="82">
        <f t="shared" si="134"/>
        <v>0.8672185311010483</v>
      </c>
      <c r="AC138" s="46">
        <f t="shared" si="111"/>
        <v>0</v>
      </c>
      <c r="AD138" s="15">
        <f t="shared" si="135"/>
        <v>0</v>
      </c>
      <c r="AE138" s="46">
        <f t="shared" si="136"/>
        <v>0</v>
      </c>
      <c r="AF138" s="15">
        <f t="shared" si="137"/>
        <v>0</v>
      </c>
      <c r="AG138" s="46">
        <f>SUMPRODUCT(AE139:AE$605, $I138:$I$604) / $I138</f>
        <v>0</v>
      </c>
      <c r="AI138" s="46">
        <f t="shared" si="112"/>
        <v>-47000</v>
      </c>
      <c r="AJ138" s="46">
        <f>IF(E138&gt;Mat_Year,0,  -SUM($AD$5:AD138))</f>
        <v>-9306</v>
      </c>
      <c r="AK138" s="24">
        <f t="shared" si="138"/>
        <v>-0.27884347400341469</v>
      </c>
      <c r="AL138" s="79">
        <f t="shared" si="139"/>
        <v>-119.24490984351752</v>
      </c>
      <c r="AM138" s="24">
        <f t="shared" si="140"/>
        <v>-137.41748595942286</v>
      </c>
      <c r="AN138" s="79">
        <f t="shared" si="141"/>
        <v>-119.52375331752093</v>
      </c>
      <c r="AO138" s="15">
        <f t="shared" si="142"/>
        <v>-6472.0066074228844</v>
      </c>
      <c r="AP138" s="46">
        <f>SUMPRODUCT(AN139:AN$605, $I139:$I$605) / $I138</f>
        <v>-5629.2582840832756</v>
      </c>
      <c r="AR138" s="46">
        <v>0</v>
      </c>
      <c r="AS138" s="46">
        <v>0</v>
      </c>
      <c r="AT138" s="46">
        <v>0</v>
      </c>
      <c r="AU138" s="95">
        <f t="shared" si="113"/>
        <v>-2.2528414973647766</v>
      </c>
      <c r="AV138" s="47">
        <f t="shared" si="114"/>
        <v>0.1</v>
      </c>
      <c r="AW138" s="96">
        <f t="shared" si="143"/>
        <v>-2.4781256471012543</v>
      </c>
      <c r="AX138" s="95">
        <f t="shared" si="115"/>
        <v>-25.8325825031161</v>
      </c>
      <c r="AY138" s="11">
        <f t="shared" si="116"/>
        <v>0.1</v>
      </c>
      <c r="AZ138" s="96">
        <f t="shared" si="144"/>
        <v>-28.415840753427712</v>
      </c>
      <c r="BA138" s="95">
        <f t="shared" si="145"/>
        <v>-2.1554380540873361</v>
      </c>
      <c r="BB138" s="64">
        <f t="shared" si="146"/>
        <v>-7.2946008679230692E-2</v>
      </c>
      <c r="BC138" s="95">
        <f t="shared" si="106"/>
        <v>-2.4781256471012543</v>
      </c>
      <c r="BD138" s="96">
        <f t="shared" si="106"/>
        <v>-8.3866652822093907E-2</v>
      </c>
      <c r="BE138" s="96">
        <f t="shared" si="147"/>
        <v>-2.1554380540873361</v>
      </c>
      <c r="BF138" s="96">
        <f t="shared" si="148"/>
        <v>-7.2946008679230692E-2</v>
      </c>
      <c r="BG138" s="15">
        <f t="shared" si="149"/>
        <v>-234.34061817388502</v>
      </c>
      <c r="BH138" s="46">
        <f>(SUMPRODUCT(BE139:BE$605,$I138:$I$604)+SUMPRODUCT(BF139:BF$605,$I139:$I$605)) / $I138</f>
        <v>-203.82610002894009</v>
      </c>
      <c r="BJ138" s="46">
        <f t="shared" si="150"/>
        <v>-2.1554380540873361</v>
      </c>
      <c r="BK138" s="46">
        <f t="shared" si="151"/>
        <v>-119.59669932620015</v>
      </c>
      <c r="BM138" s="49">
        <f t="shared" si="117"/>
        <v>6726.1989624533799</v>
      </c>
      <c r="BN138" s="50">
        <f t="shared" si="152"/>
        <v>5833.084384112215</v>
      </c>
      <c r="BP138" s="68">
        <f>INDEX(Others!$H$11:$I$60, MATCH(C138, Others!$A$11:$A$60, 0), MATCH(BP$3, Others!$H$10:$I$10, 0))</f>
        <v>3.0518181818182E-2</v>
      </c>
      <c r="BQ138" s="16">
        <f t="shared" si="153"/>
        <v>2.5082875760633616E-3</v>
      </c>
      <c r="BR138" s="69">
        <f t="shared" si="154"/>
        <v>0.71658202978502317</v>
      </c>
      <c r="BT138" s="46">
        <f t="shared" si="155"/>
        <v>6000.734630557683</v>
      </c>
      <c r="BU138" s="49">
        <f t="shared" si="118"/>
        <v>193.31949264577386</v>
      </c>
      <c r="BV138" s="46">
        <f t="shared" si="156"/>
        <v>167.65024644546793</v>
      </c>
      <c r="BX138" s="46">
        <f t="shared" si="157"/>
        <v>6919.5184550991535</v>
      </c>
    </row>
    <row r="139" spans="1:76" x14ac:dyDescent="0.25">
      <c r="A139" s="61">
        <f t="shared" si="107"/>
        <v>11.166666666666677</v>
      </c>
      <c r="B139" s="32">
        <f t="shared" si="119"/>
        <v>2</v>
      </c>
      <c r="C139" s="62">
        <f t="shared" si="120"/>
        <v>12</v>
      </c>
      <c r="D139" s="64">
        <f t="shared" si="121"/>
        <v>11.666666666666677</v>
      </c>
      <c r="E139" s="28">
        <f t="shared" si="122"/>
        <v>11</v>
      </c>
      <c r="G139" s="68">
        <f>INDEX(Others!$D$11:$E$60, MATCH(C139, Others!$A$11:$A$60, 0), MATCH(G$3, Others!$D$10:$E$10, 0))</f>
        <v>4.0690909090909333E-2</v>
      </c>
      <c r="H139" s="16">
        <f t="shared" si="123"/>
        <v>3.329265421250005E-3</v>
      </c>
      <c r="I139" s="69">
        <f t="shared" si="124"/>
        <v>0.64058043621139971</v>
      </c>
      <c r="K139" s="80">
        <f>INDEX(Mortality!$B$7:$F$32, MATCH( E139,Mortality!$A$7:$A$32, 0), MATCH( K$3,Mortality!$B$6:$F$6,0))</f>
        <v>0.36000000000000004</v>
      </c>
      <c r="L139" s="11" cm="1">
        <f t="array" ref="L139">PAD_Res_Mort</f>
        <v>0.15</v>
      </c>
      <c r="M139" s="80">
        <f t="shared" si="125"/>
        <v>0.41400000000000003</v>
      </c>
      <c r="N139" s="76">
        <f>INDEX('Myopia_(Reserve)'!$H:$H, MATCH(E139, 'Myopia_(Reserve)'!$A:$A, 0)) * Trend_Factor_Reserve^(A139)</f>
        <v>26.926205338964103</v>
      </c>
      <c r="O139" s="11">
        <f t="shared" si="108"/>
        <v>0.3</v>
      </c>
      <c r="P139" s="80">
        <f t="shared" si="126"/>
        <v>35.004066940653331</v>
      </c>
      <c r="Q139" s="76">
        <f>VLOOKUP(C139,Others!$L$10:$M$61,2)</f>
        <v>0</v>
      </c>
      <c r="R139" s="11">
        <f t="shared" si="109"/>
        <v>0</v>
      </c>
      <c r="S139" s="80">
        <f t="shared" si="127"/>
        <v>0</v>
      </c>
      <c r="T139" s="78">
        <f t="shared" si="128"/>
        <v>3.4500000000000005E-5</v>
      </c>
      <c r="U139" s="81">
        <f t="shared" si="129"/>
        <v>2.9170055783877776E-3</v>
      </c>
      <c r="V139" s="81">
        <f t="shared" si="130"/>
        <v>0</v>
      </c>
      <c r="W139" s="77">
        <f t="shared" si="110"/>
        <v>0.8672185311010483</v>
      </c>
      <c r="X139" s="82">
        <f t="shared" si="131"/>
        <v>2.9875402320683595E-5</v>
      </c>
      <c r="Y139" s="82">
        <f t="shared" si="132"/>
        <v>2.52963765590071E-3</v>
      </c>
      <c r="Z139" s="82">
        <f t="shared" si="133"/>
        <v>0</v>
      </c>
      <c r="AA139" s="82">
        <f t="shared" si="134"/>
        <v>0.86465901804282685</v>
      </c>
      <c r="AC139" s="46">
        <f t="shared" si="111"/>
        <v>0</v>
      </c>
      <c r="AD139" s="15">
        <f t="shared" si="135"/>
        <v>0</v>
      </c>
      <c r="AE139" s="46">
        <f t="shared" si="136"/>
        <v>0</v>
      </c>
      <c r="AF139" s="15">
        <f t="shared" si="137"/>
        <v>0</v>
      </c>
      <c r="AG139" s="46">
        <f>SUMPRODUCT(AE140:AE$605, $I139:$I$604) / $I139</f>
        <v>0</v>
      </c>
      <c r="AI139" s="46">
        <f t="shared" si="112"/>
        <v>-47000</v>
      </c>
      <c r="AJ139" s="46">
        <f>IF(E139&gt;Mat_Year,0,  -SUM($AD$5:AD139))</f>
        <v>-9306</v>
      </c>
      <c r="AK139" s="24">
        <f t="shared" si="138"/>
        <v>-0.27802049399628154</v>
      </c>
      <c r="AL139" s="79">
        <f t="shared" si="139"/>
        <v>-118.89296982733337</v>
      </c>
      <c r="AM139" s="24">
        <f t="shared" si="140"/>
        <v>-137.41748595942289</v>
      </c>
      <c r="AN139" s="79">
        <f t="shared" si="141"/>
        <v>-119.17099032132965</v>
      </c>
      <c r="AO139" s="15">
        <f t="shared" si="142"/>
        <v>-6375.357986982649</v>
      </c>
      <c r="AP139" s="46">
        <f>SUMPRODUCT(AN140:AN$605, $I140:$I$605) / $I139</f>
        <v>-5528.8285887144293</v>
      </c>
      <c r="AR139" s="46">
        <v>0</v>
      </c>
      <c r="AS139" s="46">
        <v>0</v>
      </c>
      <c r="AT139" s="46">
        <v>0</v>
      </c>
      <c r="AU139" s="95">
        <f t="shared" si="113"/>
        <v>-2.2572064944834591</v>
      </c>
      <c r="AV139" s="47">
        <f t="shared" si="114"/>
        <v>0.1</v>
      </c>
      <c r="AW139" s="96">
        <f t="shared" si="143"/>
        <v>-2.4829271439318052</v>
      </c>
      <c r="AX139" s="95">
        <f t="shared" si="115"/>
        <v>-25.882634470076994</v>
      </c>
      <c r="AY139" s="11">
        <f t="shared" si="116"/>
        <v>0.1</v>
      </c>
      <c r="AZ139" s="96">
        <f t="shared" si="144"/>
        <v>-28.470897917084695</v>
      </c>
      <c r="BA139" s="95">
        <f t="shared" si="145"/>
        <v>-2.1532404305914614</v>
      </c>
      <c r="BB139" s="64">
        <f t="shared" si="146"/>
        <v>-7.2871634998066551E-2</v>
      </c>
      <c r="BC139" s="95">
        <f t="shared" si="106"/>
        <v>-2.4829271439318052</v>
      </c>
      <c r="BD139" s="96">
        <f t="shared" si="106"/>
        <v>-8.4029148806986864E-2</v>
      </c>
      <c r="BE139" s="96">
        <f t="shared" si="147"/>
        <v>-2.1532404305914614</v>
      </c>
      <c r="BF139" s="96">
        <f t="shared" si="148"/>
        <v>-7.2871634998066551E-2</v>
      </c>
      <c r="BG139" s="15">
        <f t="shared" si="149"/>
        <v>-233.24156851722915</v>
      </c>
      <c r="BH139" s="46">
        <f>(SUMPRODUCT(BE140:BE$605,$I139:$I$604)+SUMPRODUCT(BF140:BF$605,$I140:$I$605)) / $I139</f>
        <v>-202.27141044121598</v>
      </c>
      <c r="BJ139" s="46">
        <f t="shared" si="150"/>
        <v>-2.1532404305914614</v>
      </c>
      <c r="BK139" s="46">
        <f t="shared" si="151"/>
        <v>-119.24386195632772</v>
      </c>
      <c r="BM139" s="49">
        <f t="shared" si="117"/>
        <v>6628.1619454199472</v>
      </c>
      <c r="BN139" s="50">
        <f t="shared" si="152"/>
        <v>5731.0999991556446</v>
      </c>
      <c r="BP139" s="68">
        <f>INDEX(Others!$H$11:$I$60, MATCH(C139, Others!$A$11:$A$60, 0), MATCH(BP$3, Others!$H$10:$I$10, 0))</f>
        <v>3.0518181818182E-2</v>
      </c>
      <c r="BQ139" s="16">
        <f t="shared" si="153"/>
        <v>2.5082875760633616E-3</v>
      </c>
      <c r="BR139" s="69">
        <f t="shared" si="154"/>
        <v>0.71478913308300596</v>
      </c>
      <c r="BT139" s="46">
        <f t="shared" si="155"/>
        <v>5894.3836953456239</v>
      </c>
      <c r="BU139" s="49">
        <f t="shared" si="118"/>
        <v>188.84172001071042</v>
      </c>
      <c r="BV139" s="46">
        <f t="shared" si="156"/>
        <v>163.28369618997931</v>
      </c>
      <c r="BX139" s="46">
        <f t="shared" si="157"/>
        <v>6817.0036654306577</v>
      </c>
    </row>
    <row r="140" spans="1:76" x14ac:dyDescent="0.25">
      <c r="A140" s="61">
        <f t="shared" si="107"/>
        <v>11.250000000000011</v>
      </c>
      <c r="B140" s="32">
        <f t="shared" si="119"/>
        <v>3</v>
      </c>
      <c r="C140" s="62">
        <f t="shared" si="120"/>
        <v>12</v>
      </c>
      <c r="D140" s="64">
        <f t="shared" si="121"/>
        <v>11.750000000000011</v>
      </c>
      <c r="E140" s="28">
        <f t="shared" si="122"/>
        <v>11</v>
      </c>
      <c r="G140" s="68">
        <f>INDEX(Others!$D$11:$E$60, MATCH(C140, Others!$A$11:$A$60, 0), MATCH(G$3, Others!$D$10:$E$10, 0))</f>
        <v>4.0690909090909333E-2</v>
      </c>
      <c r="H140" s="16">
        <f t="shared" si="123"/>
        <v>3.329265421250005E-3</v>
      </c>
      <c r="I140" s="69">
        <f t="shared" si="124"/>
        <v>0.63845485055441953</v>
      </c>
      <c r="K140" s="80">
        <f>INDEX(Mortality!$B$7:$F$32, MATCH( E140,Mortality!$A$7:$A$32, 0), MATCH( K$3,Mortality!$B$6:$F$6,0))</f>
        <v>0.36000000000000004</v>
      </c>
      <c r="L140" s="11" cm="1">
        <f t="array" ref="L140">PAD_Res_Mort</f>
        <v>0.15</v>
      </c>
      <c r="M140" s="80">
        <f t="shared" si="125"/>
        <v>0.41400000000000003</v>
      </c>
      <c r="N140" s="76">
        <f>INDEX('Myopia_(Reserve)'!$H:$H, MATCH(E140, 'Myopia_(Reserve)'!$A:$A, 0)) * Trend_Factor_Reserve^(A140)</f>
        <v>26.926205338964103</v>
      </c>
      <c r="O140" s="11">
        <f t="shared" si="108"/>
        <v>0.3</v>
      </c>
      <c r="P140" s="80">
        <f t="shared" si="126"/>
        <v>35.004066940653331</v>
      </c>
      <c r="Q140" s="76">
        <f>VLOOKUP(C140,Others!$L$10:$M$61,2)</f>
        <v>0</v>
      </c>
      <c r="R140" s="11">
        <f t="shared" si="109"/>
        <v>0</v>
      </c>
      <c r="S140" s="80">
        <f t="shared" si="127"/>
        <v>0</v>
      </c>
      <c r="T140" s="78">
        <f t="shared" si="128"/>
        <v>3.4500000000000005E-5</v>
      </c>
      <c r="U140" s="81">
        <f t="shared" si="129"/>
        <v>2.9170055783877776E-3</v>
      </c>
      <c r="V140" s="81">
        <f t="shared" si="130"/>
        <v>0</v>
      </c>
      <c r="W140" s="77">
        <f t="shared" si="110"/>
        <v>0.86465901804282685</v>
      </c>
      <c r="X140" s="82">
        <f t="shared" si="131"/>
        <v>2.9787227910639188E-5</v>
      </c>
      <c r="Y140" s="82">
        <f t="shared" si="132"/>
        <v>2.5221716708223856E-3</v>
      </c>
      <c r="Z140" s="82">
        <f t="shared" si="133"/>
        <v>0</v>
      </c>
      <c r="AA140" s="82">
        <f t="shared" si="134"/>
        <v>0.8621070591440938</v>
      </c>
      <c r="AC140" s="46">
        <f t="shared" si="111"/>
        <v>0</v>
      </c>
      <c r="AD140" s="15">
        <f t="shared" si="135"/>
        <v>0</v>
      </c>
      <c r="AE140" s="46">
        <f t="shared" si="136"/>
        <v>0</v>
      </c>
      <c r="AF140" s="15">
        <f t="shared" si="137"/>
        <v>0</v>
      </c>
      <c r="AG140" s="46">
        <f>SUMPRODUCT(AE141:AE$605, $I140:$I$604) / $I140</f>
        <v>0</v>
      </c>
      <c r="AI140" s="46">
        <f t="shared" si="112"/>
        <v>-47000</v>
      </c>
      <c r="AJ140" s="46">
        <f>IF(E140&gt;Mat_Year,0,  -SUM($AD$5:AD140))</f>
        <v>-9306</v>
      </c>
      <c r="AK140" s="24">
        <f t="shared" si="138"/>
        <v>-0.27719994293640826</v>
      </c>
      <c r="AL140" s="79">
        <f t="shared" si="139"/>
        <v>-118.54206852865212</v>
      </c>
      <c r="AM140" s="24">
        <f t="shared" si="140"/>
        <v>-137.41748595942286</v>
      </c>
      <c r="AN140" s="79">
        <f t="shared" si="141"/>
        <v>-118.81926847158853</v>
      </c>
      <c r="AO140" s="15">
        <f t="shared" si="142"/>
        <v>-6278.1005515568386</v>
      </c>
      <c r="AP140" s="46">
        <f>SUMPRODUCT(AN141:AN$605, $I141:$I$605) / $I140</f>
        <v>-5428.4162580832653</v>
      </c>
      <c r="AR140" s="46">
        <v>0</v>
      </c>
      <c r="AS140" s="46">
        <v>0</v>
      </c>
      <c r="AT140" s="46">
        <v>0</v>
      </c>
      <c r="AU140" s="95">
        <f t="shared" si="113"/>
        <v>-2.2615799490102058</v>
      </c>
      <c r="AV140" s="47">
        <f t="shared" si="114"/>
        <v>0.1</v>
      </c>
      <c r="AW140" s="96">
        <f t="shared" si="143"/>
        <v>-2.4877379439112266</v>
      </c>
      <c r="AX140" s="95">
        <f t="shared" si="115"/>
        <v>-25.932783415317022</v>
      </c>
      <c r="AY140" s="11">
        <f t="shared" si="116"/>
        <v>0.1</v>
      </c>
      <c r="AZ140" s="96">
        <f t="shared" si="144"/>
        <v>-28.526061756848726</v>
      </c>
      <c r="BA140" s="95">
        <f t="shared" si="145"/>
        <v>-2.1510450477301624</v>
      </c>
      <c r="BB140" s="64">
        <f t="shared" si="146"/>
        <v>-7.2797337146197932E-2</v>
      </c>
      <c r="BC140" s="95">
        <f t="shared" si="106"/>
        <v>-2.4877379439112266</v>
      </c>
      <c r="BD140" s="96">
        <f t="shared" si="106"/>
        <v>-8.4191959636269312E-2</v>
      </c>
      <c r="BE140" s="96">
        <f t="shared" si="147"/>
        <v>-2.1510450477301624</v>
      </c>
      <c r="BF140" s="96">
        <f t="shared" si="148"/>
        <v>-7.2797337146197932E-2</v>
      </c>
      <c r="BG140" s="15">
        <f t="shared" si="149"/>
        <v>-232.1306060315566</v>
      </c>
      <c r="BH140" s="46">
        <f>(SUMPRODUCT(BE141:BE$605,$I140:$I$604)+SUMPRODUCT(BF141:BF$605,$I141:$I$605)) / $I140</f>
        <v>-200.71382186893203</v>
      </c>
      <c r="BJ140" s="46">
        <f t="shared" si="150"/>
        <v>-2.1510450477301624</v>
      </c>
      <c r="BK140" s="46">
        <f t="shared" si="151"/>
        <v>-118.89206580873473</v>
      </c>
      <c r="BM140" s="49">
        <f t="shared" si="117"/>
        <v>6529.5023631297481</v>
      </c>
      <c r="BN140" s="50">
        <f t="shared" si="152"/>
        <v>5629.1300799521978</v>
      </c>
      <c r="BP140" s="68">
        <f>INDEX(Others!$H$11:$I$60, MATCH(C140, Others!$A$11:$A$60, 0), MATCH(BP$3, Others!$H$10:$I$10, 0))</f>
        <v>3.0518181818182E-2</v>
      </c>
      <c r="BQ140" s="16">
        <f t="shared" si="153"/>
        <v>2.5082875760633616E-3</v>
      </c>
      <c r="BR140" s="69">
        <f t="shared" si="154"/>
        <v>0.713000722229713</v>
      </c>
      <c r="BT140" s="46">
        <f t="shared" si="155"/>
        <v>5788.119998441176</v>
      </c>
      <c r="BU140" s="49">
        <f t="shared" si="118"/>
        <v>184.42015617738309</v>
      </c>
      <c r="BV140" s="46">
        <f t="shared" si="156"/>
        <v>158.98991848897822</v>
      </c>
      <c r="BX140" s="46">
        <f t="shared" si="157"/>
        <v>6713.9225193071316</v>
      </c>
    </row>
    <row r="141" spans="1:76" x14ac:dyDescent="0.25">
      <c r="A141" s="61">
        <f t="shared" si="107"/>
        <v>11.333333333333345</v>
      </c>
      <c r="B141" s="32">
        <f t="shared" si="119"/>
        <v>4</v>
      </c>
      <c r="C141" s="62">
        <f t="shared" si="120"/>
        <v>12</v>
      </c>
      <c r="D141" s="64">
        <f t="shared" si="121"/>
        <v>11.833333333333345</v>
      </c>
      <c r="E141" s="28">
        <f t="shared" si="122"/>
        <v>11</v>
      </c>
      <c r="G141" s="68">
        <f>INDEX(Others!$D$11:$E$60, MATCH(C141, Others!$A$11:$A$60, 0), MATCH(G$3, Others!$D$10:$E$10, 0))</f>
        <v>4.0690909090909333E-2</v>
      </c>
      <c r="H141" s="16">
        <f t="shared" si="123"/>
        <v>3.329265421250005E-3</v>
      </c>
      <c r="I141" s="69">
        <f t="shared" si="124"/>
        <v>0.63633631805443536</v>
      </c>
      <c r="K141" s="80">
        <f>INDEX(Mortality!$B$7:$F$32, MATCH( E141,Mortality!$A$7:$A$32, 0), MATCH( K$3,Mortality!$B$6:$F$6,0))</f>
        <v>0.36000000000000004</v>
      </c>
      <c r="L141" s="11" cm="1">
        <f t="array" ref="L141">PAD_Res_Mort</f>
        <v>0.15</v>
      </c>
      <c r="M141" s="80">
        <f t="shared" si="125"/>
        <v>0.41400000000000003</v>
      </c>
      <c r="N141" s="76">
        <f>INDEX('Myopia_(Reserve)'!$H:$H, MATCH(E141, 'Myopia_(Reserve)'!$A:$A, 0)) * Trend_Factor_Reserve^(A141)</f>
        <v>26.926205338964103</v>
      </c>
      <c r="O141" s="11">
        <f t="shared" si="108"/>
        <v>0.3</v>
      </c>
      <c r="P141" s="80">
        <f t="shared" si="126"/>
        <v>35.004066940653331</v>
      </c>
      <c r="Q141" s="76">
        <f>VLOOKUP(C141,Others!$L$10:$M$61,2)</f>
        <v>0</v>
      </c>
      <c r="R141" s="11">
        <f t="shared" si="109"/>
        <v>0</v>
      </c>
      <c r="S141" s="80">
        <f t="shared" si="127"/>
        <v>0</v>
      </c>
      <c r="T141" s="78">
        <f t="shared" si="128"/>
        <v>3.4500000000000005E-5</v>
      </c>
      <c r="U141" s="81">
        <f t="shared" si="129"/>
        <v>2.9170055783877776E-3</v>
      </c>
      <c r="V141" s="81">
        <f t="shared" si="130"/>
        <v>0</v>
      </c>
      <c r="W141" s="77">
        <f t="shared" si="110"/>
        <v>0.8621070591440938</v>
      </c>
      <c r="X141" s="82">
        <f t="shared" si="131"/>
        <v>2.9699313738984321E-5</v>
      </c>
      <c r="Y141" s="82">
        <f t="shared" si="132"/>
        <v>2.5147277208893166E-3</v>
      </c>
      <c r="Z141" s="82">
        <f t="shared" si="133"/>
        <v>0</v>
      </c>
      <c r="AA141" s="82">
        <f t="shared" si="134"/>
        <v>0.85956263210946549</v>
      </c>
      <c r="AC141" s="46">
        <f t="shared" si="111"/>
        <v>0</v>
      </c>
      <c r="AD141" s="15">
        <f t="shared" si="135"/>
        <v>0</v>
      </c>
      <c r="AE141" s="46">
        <f t="shared" si="136"/>
        <v>0</v>
      </c>
      <c r="AF141" s="15">
        <f t="shared" si="137"/>
        <v>0</v>
      </c>
      <c r="AG141" s="46">
        <f>SUMPRODUCT(AE142:AE$605, $I141:$I$604) / $I141</f>
        <v>0</v>
      </c>
      <c r="AI141" s="46">
        <f t="shared" si="112"/>
        <v>-47000</v>
      </c>
      <c r="AJ141" s="46">
        <f>IF(E141&gt;Mat_Year,0,  -SUM($AD$5:AD141))</f>
        <v>-9306</v>
      </c>
      <c r="AK141" s="24">
        <f t="shared" si="138"/>
        <v>-0.2763818136549881</v>
      </c>
      <c r="AL141" s="79">
        <f t="shared" si="139"/>
        <v>-118.19220288179788</v>
      </c>
      <c r="AM141" s="24">
        <f t="shared" si="140"/>
        <v>-137.41748595942289</v>
      </c>
      <c r="AN141" s="79">
        <f t="shared" si="141"/>
        <v>-118.46858469545288</v>
      </c>
      <c r="AO141" s="15">
        <f t="shared" si="142"/>
        <v>-6180.2304660603268</v>
      </c>
      <c r="AP141" s="46">
        <f>SUMPRODUCT(AN142:AN$605, $I142:$I$605) / $I141</f>
        <v>-5328.0203119280004</v>
      </c>
      <c r="AR141" s="46">
        <v>0</v>
      </c>
      <c r="AS141" s="46">
        <v>0</v>
      </c>
      <c r="AT141" s="46">
        <v>0</v>
      </c>
      <c r="AU141" s="95">
        <f t="shared" si="113"/>
        <v>-2.2659618773316819</v>
      </c>
      <c r="AV141" s="47">
        <f t="shared" si="114"/>
        <v>0.1</v>
      </c>
      <c r="AW141" s="96">
        <f t="shared" si="143"/>
        <v>-2.4925580650648502</v>
      </c>
      <c r="AX141" s="95">
        <f t="shared" si="115"/>
        <v>-25.983029526736615</v>
      </c>
      <c r="AY141" s="11">
        <f t="shared" si="116"/>
        <v>0.1</v>
      </c>
      <c r="AZ141" s="96">
        <f t="shared" si="144"/>
        <v>-28.581332479410278</v>
      </c>
      <c r="BA141" s="95">
        <f t="shared" si="145"/>
        <v>-2.1488519032189508</v>
      </c>
      <c r="BB141" s="64">
        <f t="shared" si="146"/>
        <v>-7.2723115046311432E-2</v>
      </c>
      <c r="BC141" s="95">
        <f t="shared" si="106"/>
        <v>-2.4925580650648502</v>
      </c>
      <c r="BD141" s="96">
        <f t="shared" si="106"/>
        <v>-8.4355085919968542E-2</v>
      </c>
      <c r="BE141" s="96">
        <f t="shared" si="147"/>
        <v>-2.1488519032189508</v>
      </c>
      <c r="BF141" s="96">
        <f t="shared" si="148"/>
        <v>-7.2723115046311432E-2</v>
      </c>
      <c r="BG141" s="15">
        <f t="shared" si="149"/>
        <v>-231.0076460071746</v>
      </c>
      <c r="BH141" s="46">
        <f>(SUMPRODUCT(BE142:BE$605,$I141:$I$604)+SUMPRODUCT(BF142:BF$605,$I142:$I$605)) / $I141</f>
        <v>-199.15332233904516</v>
      </c>
      <c r="BJ141" s="46">
        <f t="shared" si="150"/>
        <v>-2.1488519032189508</v>
      </c>
      <c r="BK141" s="46">
        <f t="shared" si="151"/>
        <v>-118.54130781049919</v>
      </c>
      <c r="BM141" s="49">
        <f t="shared" si="117"/>
        <v>6430.216284184814</v>
      </c>
      <c r="BN141" s="50">
        <f t="shared" si="152"/>
        <v>5527.1736342670456</v>
      </c>
      <c r="BP141" s="68">
        <f>INDEX(Others!$H$11:$I$60, MATCH(C141, Others!$A$11:$A$60, 0), MATCH(BP$3, Others!$H$10:$I$10, 0))</f>
        <v>3.0518181818182E-2</v>
      </c>
      <c r="BQ141" s="16">
        <f t="shared" si="153"/>
        <v>2.5082875760633616E-3</v>
      </c>
      <c r="BR141" s="69">
        <f t="shared" si="154"/>
        <v>0.71121678600149774</v>
      </c>
      <c r="BT141" s="46">
        <f t="shared" si="155"/>
        <v>5681.94271826978</v>
      </c>
      <c r="BU141" s="49">
        <f t="shared" si="118"/>
        <v>180.05562156990621</v>
      </c>
      <c r="BV141" s="46">
        <f t="shared" si="156"/>
        <v>154.76908400273442</v>
      </c>
      <c r="BX141" s="46">
        <f t="shared" si="157"/>
        <v>6610.2719057547201</v>
      </c>
    </row>
    <row r="142" spans="1:76" x14ac:dyDescent="0.25">
      <c r="A142" s="61">
        <f t="shared" si="107"/>
        <v>11.416666666666679</v>
      </c>
      <c r="B142" s="32">
        <f t="shared" si="119"/>
        <v>5</v>
      </c>
      <c r="C142" s="62">
        <f t="shared" si="120"/>
        <v>12</v>
      </c>
      <c r="D142" s="64">
        <f t="shared" si="121"/>
        <v>11.916666666666679</v>
      </c>
      <c r="E142" s="28">
        <f t="shared" si="122"/>
        <v>11</v>
      </c>
      <c r="G142" s="68">
        <f>INDEX(Others!$D$11:$E$60, MATCH(C142, Others!$A$11:$A$60, 0), MATCH(G$3, Others!$D$10:$E$10, 0))</f>
        <v>4.0690909090909333E-2</v>
      </c>
      <c r="H142" s="16">
        <f t="shared" si="123"/>
        <v>3.329265421250005E-3</v>
      </c>
      <c r="I142" s="69">
        <f t="shared" si="124"/>
        <v>0.63422481530753327</v>
      </c>
      <c r="K142" s="80">
        <f>INDEX(Mortality!$B$7:$F$32, MATCH( E142,Mortality!$A$7:$A$32, 0), MATCH( K$3,Mortality!$B$6:$F$6,0))</f>
        <v>0.36000000000000004</v>
      </c>
      <c r="L142" s="11" cm="1">
        <f t="array" ref="L142">PAD_Res_Mort</f>
        <v>0.15</v>
      </c>
      <c r="M142" s="80">
        <f t="shared" si="125"/>
        <v>0.41400000000000003</v>
      </c>
      <c r="N142" s="76">
        <f>INDEX('Myopia_(Reserve)'!$H:$H, MATCH(E142, 'Myopia_(Reserve)'!$A:$A, 0)) * Trend_Factor_Reserve^(A142)</f>
        <v>26.926205338964103</v>
      </c>
      <c r="O142" s="11">
        <f t="shared" si="108"/>
        <v>0.3</v>
      </c>
      <c r="P142" s="80">
        <f t="shared" si="126"/>
        <v>35.004066940653331</v>
      </c>
      <c r="Q142" s="76">
        <f>VLOOKUP(C142,Others!$L$10:$M$61,2)</f>
        <v>0</v>
      </c>
      <c r="R142" s="11">
        <f t="shared" si="109"/>
        <v>0</v>
      </c>
      <c r="S142" s="80">
        <f t="shared" si="127"/>
        <v>0</v>
      </c>
      <c r="T142" s="78">
        <f t="shared" si="128"/>
        <v>3.4500000000000005E-5</v>
      </c>
      <c r="U142" s="81">
        <f t="shared" si="129"/>
        <v>2.9170055783877776E-3</v>
      </c>
      <c r="V142" s="81">
        <f t="shared" si="130"/>
        <v>0</v>
      </c>
      <c r="W142" s="77">
        <f t="shared" si="110"/>
        <v>0.85956263210946549</v>
      </c>
      <c r="X142" s="82">
        <f t="shared" si="131"/>
        <v>2.9611659037650128E-5</v>
      </c>
      <c r="Y142" s="82">
        <f t="shared" si="132"/>
        <v>2.5073057410668655E-3</v>
      </c>
      <c r="Z142" s="82">
        <f t="shared" si="133"/>
        <v>0</v>
      </c>
      <c r="AA142" s="82">
        <f t="shared" si="134"/>
        <v>0.85702571470936095</v>
      </c>
      <c r="AC142" s="46">
        <f t="shared" si="111"/>
        <v>0</v>
      </c>
      <c r="AD142" s="15">
        <f t="shared" si="135"/>
        <v>0</v>
      </c>
      <c r="AE142" s="46">
        <f t="shared" si="136"/>
        <v>0</v>
      </c>
      <c r="AF142" s="15">
        <f t="shared" si="137"/>
        <v>0</v>
      </c>
      <c r="AG142" s="46">
        <f>SUMPRODUCT(AE143:AE$605, $I142:$I$604) / $I142</f>
        <v>0</v>
      </c>
      <c r="AI142" s="46">
        <f t="shared" si="112"/>
        <v>-47000</v>
      </c>
      <c r="AJ142" s="46">
        <f>IF(E142&gt;Mat_Year,0,  -SUM($AD$5:AD142))</f>
        <v>-9306</v>
      </c>
      <c r="AK142" s="24">
        <f t="shared" si="138"/>
        <v>-0.27556609900437207</v>
      </c>
      <c r="AL142" s="79">
        <f t="shared" si="139"/>
        <v>-117.84336983014268</v>
      </c>
      <c r="AM142" s="24">
        <f t="shared" si="140"/>
        <v>-137.41748595942286</v>
      </c>
      <c r="AN142" s="79">
        <f t="shared" si="141"/>
        <v>-118.11893592914704</v>
      </c>
      <c r="AO142" s="15">
        <f t="shared" si="142"/>
        <v>-6081.7438712497815</v>
      </c>
      <c r="AP142" s="46">
        <f>SUMPRODUCT(AN143:AN$605, $I143:$I$605) / $I142</f>
        <v>-5227.6397697870725</v>
      </c>
      <c r="AR142" s="46">
        <v>0</v>
      </c>
      <c r="AS142" s="46">
        <v>0</v>
      </c>
      <c r="AT142" s="46">
        <v>0</v>
      </c>
      <c r="AU142" s="95">
        <f t="shared" si="113"/>
        <v>-2.2703522958663047</v>
      </c>
      <c r="AV142" s="47">
        <f t="shared" si="114"/>
        <v>0.1</v>
      </c>
      <c r="AW142" s="96">
        <f t="shared" si="143"/>
        <v>-2.4973875254529352</v>
      </c>
      <c r="AX142" s="95">
        <f t="shared" si="115"/>
        <v>-26.033372992600292</v>
      </c>
      <c r="AY142" s="11">
        <f t="shared" si="116"/>
        <v>0.1</v>
      </c>
      <c r="AZ142" s="96">
        <f t="shared" si="144"/>
        <v>-28.636710291860322</v>
      </c>
      <c r="BA142" s="95">
        <f t="shared" si="145"/>
        <v>-2.1466609947756696</v>
      </c>
      <c r="BB142" s="64">
        <f t="shared" si="146"/>
        <v>-7.2648968621172511E-2</v>
      </c>
      <c r="BC142" s="95">
        <f t="shared" si="106"/>
        <v>-2.4973875254529352</v>
      </c>
      <c r="BD142" s="96">
        <f t="shared" si="106"/>
        <v>-8.4518528269293874E-2</v>
      </c>
      <c r="BE142" s="96">
        <f t="shared" si="147"/>
        <v>-2.1466609947756696</v>
      </c>
      <c r="BF142" s="96">
        <f t="shared" si="148"/>
        <v>-7.2648968621172511E-2</v>
      </c>
      <c r="BG142" s="15">
        <f t="shared" si="149"/>
        <v>-229.87260318205014</v>
      </c>
      <c r="BH142" s="46">
        <f>(SUMPRODUCT(BE143:BE$605,$I142:$I$604)+SUMPRODUCT(BF143:BF$605,$I143:$I$605)) / $I142</f>
        <v>-197.58989984101771</v>
      </c>
      <c r="BJ142" s="46">
        <f t="shared" si="150"/>
        <v>-2.1466609947756696</v>
      </c>
      <c r="BK142" s="46">
        <f t="shared" si="151"/>
        <v>-118.19158489776821</v>
      </c>
      <c r="BM142" s="49">
        <f t="shared" si="117"/>
        <v>6330.299752403489</v>
      </c>
      <c r="BN142" s="50">
        <f t="shared" si="152"/>
        <v>5425.229669628091</v>
      </c>
      <c r="BP142" s="68">
        <f>INDEX(Others!$H$11:$I$60, MATCH(C142, Others!$A$11:$A$60, 0), MATCH(BP$3, Others!$H$10:$I$10, 0))</f>
        <v>3.0518181818182E-2</v>
      </c>
      <c r="BQ142" s="16">
        <f t="shared" si="153"/>
        <v>2.5082875760633616E-3</v>
      </c>
      <c r="BR142" s="69">
        <f t="shared" si="154"/>
        <v>0.70943731320279535</v>
      </c>
      <c r="BT142" s="46">
        <f t="shared" si="155"/>
        <v>5575.8510342622722</v>
      </c>
      <c r="BU142" s="49">
        <f t="shared" si="118"/>
        <v>175.74894434207343</v>
      </c>
      <c r="BV142" s="46">
        <f t="shared" si="156"/>
        <v>150.62136463418119</v>
      </c>
      <c r="BX142" s="46">
        <f t="shared" si="157"/>
        <v>6506.0486967455627</v>
      </c>
    </row>
    <row r="143" spans="1:76" x14ac:dyDescent="0.25">
      <c r="A143" s="61">
        <f t="shared" si="107"/>
        <v>11.500000000000012</v>
      </c>
      <c r="B143" s="32">
        <f t="shared" si="119"/>
        <v>6</v>
      </c>
      <c r="C143" s="62">
        <f t="shared" si="120"/>
        <v>12</v>
      </c>
      <c r="D143" s="64">
        <f t="shared" si="121"/>
        <v>12.000000000000012</v>
      </c>
      <c r="E143" s="28">
        <f t="shared" si="122"/>
        <v>12</v>
      </c>
      <c r="G143" s="68">
        <f>INDEX(Others!$D$11:$E$60, MATCH(C143, Others!$A$11:$A$60, 0), MATCH(G$3, Others!$D$10:$E$10, 0))</f>
        <v>4.0690909090909333E-2</v>
      </c>
      <c r="H143" s="16">
        <f t="shared" si="123"/>
        <v>3.329265421250005E-3</v>
      </c>
      <c r="I143" s="69">
        <f t="shared" si="124"/>
        <v>0.6321203189874588</v>
      </c>
      <c r="K143" s="80">
        <f>INDEX(Mortality!$B$7:$F$32, MATCH( E143,Mortality!$A$7:$A$32, 0), MATCH( K$3,Mortality!$B$6:$F$6,0))</f>
        <v>0.36499999999999999</v>
      </c>
      <c r="L143" s="11" cm="1">
        <f t="array" ref="L143">PAD_Res_Mort</f>
        <v>0.15</v>
      </c>
      <c r="M143" s="80">
        <f t="shared" si="125"/>
        <v>0.41974999999999996</v>
      </c>
      <c r="N143" s="76">
        <f>INDEX('Myopia_(Reserve)'!$H:$H, MATCH(E143, 'Myopia_(Reserve)'!$A:$A, 0)) * Trend_Factor_Reserve^(A143)</f>
        <v>26.22019498477632</v>
      </c>
      <c r="O143" s="11">
        <f t="shared" si="108"/>
        <v>0.3</v>
      </c>
      <c r="P143" s="80">
        <f t="shared" si="126"/>
        <v>34.086253480209216</v>
      </c>
      <c r="Q143" s="76">
        <f>VLOOKUP(C143,Others!$L$10:$M$61,2)</f>
        <v>0</v>
      </c>
      <c r="R143" s="11">
        <f t="shared" si="109"/>
        <v>0</v>
      </c>
      <c r="S143" s="80">
        <f t="shared" si="127"/>
        <v>0</v>
      </c>
      <c r="T143" s="78">
        <f t="shared" si="128"/>
        <v>3.4979166666666659E-5</v>
      </c>
      <c r="U143" s="81">
        <f t="shared" si="129"/>
        <v>2.8405211233507679E-3</v>
      </c>
      <c r="V143" s="81">
        <f t="shared" si="130"/>
        <v>0</v>
      </c>
      <c r="W143" s="77">
        <f t="shared" si="110"/>
        <v>0.85702571470936095</v>
      </c>
      <c r="X143" s="82">
        <f t="shared" si="131"/>
        <v>2.9935468676964473E-5</v>
      </c>
      <c r="Y143" s="82">
        <f t="shared" si="132"/>
        <v>2.4343570692512552E-3</v>
      </c>
      <c r="Z143" s="82">
        <f t="shared" si="133"/>
        <v>0</v>
      </c>
      <c r="AA143" s="82">
        <f t="shared" si="134"/>
        <v>0.85456142217143272</v>
      </c>
      <c r="AC143" s="46">
        <f t="shared" si="111"/>
        <v>0</v>
      </c>
      <c r="AD143" s="15">
        <f t="shared" si="135"/>
        <v>0</v>
      </c>
      <c r="AE143" s="46">
        <f t="shared" si="136"/>
        <v>0</v>
      </c>
      <c r="AF143" s="15">
        <f t="shared" si="137"/>
        <v>0</v>
      </c>
      <c r="AG143" s="46">
        <f>SUMPRODUCT(AE144:AE$605, $I143:$I$604) / $I143</f>
        <v>0</v>
      </c>
      <c r="AI143" s="46">
        <f t="shared" si="112"/>
        <v>-47000</v>
      </c>
      <c r="AJ143" s="46">
        <f>IF(E143&gt;Mat_Year,0,  -SUM($AD$5:AD143))</f>
        <v>-9306</v>
      </c>
      <c r="AK143" s="24">
        <f t="shared" si="138"/>
        <v>-0.27857947150783141</v>
      </c>
      <c r="AL143" s="79">
        <f t="shared" si="139"/>
        <v>-114.414782254809</v>
      </c>
      <c r="AM143" s="24">
        <f t="shared" si="140"/>
        <v>-133.82721166681941</v>
      </c>
      <c r="AN143" s="79">
        <f t="shared" si="141"/>
        <v>-114.69336172631682</v>
      </c>
      <c r="AO143" s="15">
        <f t="shared" si="142"/>
        <v>-5986.2271578640921</v>
      </c>
      <c r="AP143" s="46">
        <f>SUMPRODUCT(AN144:AN$605, $I144:$I$605) / $I143</f>
        <v>-5130.3506083810598</v>
      </c>
      <c r="AR143" s="46">
        <v>0</v>
      </c>
      <c r="AS143" s="46">
        <v>0</v>
      </c>
      <c r="AT143" s="46">
        <v>0</v>
      </c>
      <c r="AU143" s="95">
        <f t="shared" si="113"/>
        <v>-2.2747512210643022</v>
      </c>
      <c r="AV143" s="47">
        <f t="shared" si="114"/>
        <v>0.1</v>
      </c>
      <c r="AW143" s="96">
        <f t="shared" si="143"/>
        <v>-2.5022263431707326</v>
      </c>
      <c r="AX143" s="95">
        <f t="shared" si="115"/>
        <v>-26.083814001537327</v>
      </c>
      <c r="AY143" s="11">
        <f t="shared" si="116"/>
        <v>0.1</v>
      </c>
      <c r="AZ143" s="96">
        <f t="shared" si="144"/>
        <v>-28.692195401691063</v>
      </c>
      <c r="BA143" s="95">
        <f t="shared" si="145"/>
        <v>-2.1444723201204878</v>
      </c>
      <c r="BB143" s="64">
        <f t="shared" si="146"/>
        <v>-7.0705963025165658E-2</v>
      </c>
      <c r="BC143" s="95">
        <f t="shared" si="106"/>
        <v>-2.5022263431707326</v>
      </c>
      <c r="BD143" s="96">
        <f t="shared" si="106"/>
        <v>-8.2501565369183627E-2</v>
      </c>
      <c r="BE143" s="96">
        <f t="shared" si="147"/>
        <v>-2.1444723201204878</v>
      </c>
      <c r="BF143" s="96">
        <f t="shared" si="148"/>
        <v>-7.0705963025165658E-2</v>
      </c>
      <c r="BG143" s="15">
        <f t="shared" si="149"/>
        <v>-228.72757246022192</v>
      </c>
      <c r="BH143" s="46">
        <f>(SUMPRODUCT(BE144:BE$605,$I143:$I$604)+SUMPRODUCT(BF144:BF$605,$I144:$I$605)) / $I143</f>
        <v>-196.02541126145883</v>
      </c>
      <c r="BJ143" s="46">
        <f t="shared" si="150"/>
        <v>-2.1444723201204878</v>
      </c>
      <c r="BK143" s="46">
        <f t="shared" si="151"/>
        <v>-114.76406768934199</v>
      </c>
      <c r="BM143" s="49">
        <f t="shared" si="117"/>
        <v>6232.8767499336054</v>
      </c>
      <c r="BN143" s="50">
        <f t="shared" si="152"/>
        <v>5326.3760196425192</v>
      </c>
      <c r="BP143" s="68">
        <f>INDEX(Others!$H$11:$I$60, MATCH(C143, Others!$A$11:$A$60, 0), MATCH(BP$3, Others!$H$10:$I$10, 0))</f>
        <v>3.0518181818182E-2</v>
      </c>
      <c r="BQ143" s="16">
        <f t="shared" si="153"/>
        <v>2.5082875760633616E-3</v>
      </c>
      <c r="BR143" s="69">
        <f t="shared" si="154"/>
        <v>0.70766229266605263</v>
      </c>
      <c r="BT143" s="46">
        <f t="shared" si="155"/>
        <v>5472.9229531747524</v>
      </c>
      <c r="BU143" s="49">
        <f t="shared" si="118"/>
        <v>171.4878880910149</v>
      </c>
      <c r="BV143" s="46">
        <f t="shared" si="156"/>
        <v>146.5469335322332</v>
      </c>
      <c r="BX143" s="46">
        <f t="shared" si="157"/>
        <v>6404.36463802462</v>
      </c>
    </row>
    <row r="144" spans="1:76" x14ac:dyDescent="0.25">
      <c r="A144" s="61">
        <f t="shared" si="107"/>
        <v>11.583333333333346</v>
      </c>
      <c r="B144" s="32">
        <f t="shared" si="119"/>
        <v>7</v>
      </c>
      <c r="C144" s="62">
        <f t="shared" si="120"/>
        <v>12</v>
      </c>
      <c r="D144" s="64">
        <f t="shared" si="121"/>
        <v>12.083333333333346</v>
      </c>
      <c r="E144" s="28">
        <f t="shared" si="122"/>
        <v>12</v>
      </c>
      <c r="G144" s="68">
        <f>INDEX(Others!$D$11:$E$60, MATCH(C144, Others!$A$11:$A$60, 0), MATCH(G$3, Others!$D$10:$E$10, 0))</f>
        <v>4.0690909090909333E-2</v>
      </c>
      <c r="H144" s="16">
        <f t="shared" si="123"/>
        <v>3.329265421250005E-3</v>
      </c>
      <c r="I144" s="69">
        <f t="shared" si="124"/>
        <v>0.63002280584535897</v>
      </c>
      <c r="K144" s="80">
        <f>INDEX(Mortality!$B$7:$F$32, MATCH( E144,Mortality!$A$7:$A$32, 0), MATCH( K$3,Mortality!$B$6:$F$6,0))</f>
        <v>0.36499999999999999</v>
      </c>
      <c r="L144" s="11" cm="1">
        <f t="array" ref="L144">PAD_Res_Mort</f>
        <v>0.15</v>
      </c>
      <c r="M144" s="80">
        <f t="shared" si="125"/>
        <v>0.41974999999999996</v>
      </c>
      <c r="N144" s="76">
        <f>INDEX('Myopia_(Reserve)'!$H:$H, MATCH(E144, 'Myopia_(Reserve)'!$A:$A, 0)) * Trend_Factor_Reserve^(A144)</f>
        <v>26.22019498477632</v>
      </c>
      <c r="O144" s="11">
        <f t="shared" si="108"/>
        <v>0.3</v>
      </c>
      <c r="P144" s="80">
        <f t="shared" si="126"/>
        <v>34.086253480209216</v>
      </c>
      <c r="Q144" s="76">
        <f>VLOOKUP(C144,Others!$L$10:$M$61,2)</f>
        <v>0</v>
      </c>
      <c r="R144" s="11">
        <f t="shared" si="109"/>
        <v>0</v>
      </c>
      <c r="S144" s="80">
        <f t="shared" si="127"/>
        <v>0</v>
      </c>
      <c r="T144" s="78">
        <f t="shared" si="128"/>
        <v>3.4979166666666659E-5</v>
      </c>
      <c r="U144" s="81">
        <f t="shared" si="129"/>
        <v>2.8405211233507679E-3</v>
      </c>
      <c r="V144" s="81">
        <f t="shared" si="130"/>
        <v>0</v>
      </c>
      <c r="W144" s="77">
        <f t="shared" si="110"/>
        <v>0.85456142217143272</v>
      </c>
      <c r="X144" s="82">
        <f t="shared" si="131"/>
        <v>2.9849392202462136E-5</v>
      </c>
      <c r="Y144" s="82">
        <f t="shared" si="132"/>
        <v>2.4273573166680518E-3</v>
      </c>
      <c r="Z144" s="82">
        <f t="shared" si="133"/>
        <v>0</v>
      </c>
      <c r="AA144" s="82">
        <f t="shared" si="134"/>
        <v>0.85210421546256221</v>
      </c>
      <c r="AC144" s="46">
        <f t="shared" si="111"/>
        <v>0</v>
      </c>
      <c r="AD144" s="15">
        <f t="shared" si="135"/>
        <v>0</v>
      </c>
      <c r="AE144" s="46">
        <f t="shared" si="136"/>
        <v>0</v>
      </c>
      <c r="AF144" s="15">
        <f t="shared" si="137"/>
        <v>0</v>
      </c>
      <c r="AG144" s="46">
        <f>SUMPRODUCT(AE145:AE$605, $I144:$I$604) / $I144</f>
        <v>0</v>
      </c>
      <c r="AI144" s="46">
        <f t="shared" si="112"/>
        <v>-47000</v>
      </c>
      <c r="AJ144" s="46">
        <f>IF(E144&gt;Mat_Year,0,  -SUM($AD$5:AD144))</f>
        <v>-9306</v>
      </c>
      <c r="AK144" s="24">
        <f t="shared" si="138"/>
        <v>-0.27777844383611261</v>
      </c>
      <c r="AL144" s="79">
        <f t="shared" si="139"/>
        <v>-114.08579388339844</v>
      </c>
      <c r="AM144" s="24">
        <f t="shared" si="140"/>
        <v>-133.82721166681941</v>
      </c>
      <c r="AN144" s="79">
        <f t="shared" si="141"/>
        <v>-114.36357232723455</v>
      </c>
      <c r="AO144" s="15">
        <f t="shared" si="142"/>
        <v>-5889.6495960983348</v>
      </c>
      <c r="AP144" s="46">
        <f>SUMPRODUCT(AN145:AN$605, $I145:$I$605) / $I144</f>
        <v>-5033.0673349331973</v>
      </c>
      <c r="AR144" s="46">
        <v>0</v>
      </c>
      <c r="AS144" s="46">
        <v>0</v>
      </c>
      <c r="AT144" s="46">
        <v>0</v>
      </c>
      <c r="AU144" s="95">
        <f t="shared" si="113"/>
        <v>-2.2791586694077739</v>
      </c>
      <c r="AV144" s="47">
        <f t="shared" si="114"/>
        <v>0.1</v>
      </c>
      <c r="AW144" s="96">
        <f t="shared" si="143"/>
        <v>-2.5070745363485516</v>
      </c>
      <c r="AX144" s="95">
        <f t="shared" si="115"/>
        <v>-26.134352742542472</v>
      </c>
      <c r="AY144" s="11">
        <f t="shared" si="116"/>
        <v>0.1</v>
      </c>
      <c r="AZ144" s="96">
        <f t="shared" si="144"/>
        <v>-28.747788016796722</v>
      </c>
      <c r="BA144" s="95">
        <f t="shared" si="145"/>
        <v>-2.1424491812718034</v>
      </c>
      <c r="BB144" s="64">
        <f t="shared" si="146"/>
        <v>-7.0639257580060275E-2</v>
      </c>
      <c r="BC144" s="95">
        <f t="shared" si="106"/>
        <v>-2.5070745363485516</v>
      </c>
      <c r="BD144" s="96">
        <f t="shared" si="106"/>
        <v>-8.2661416426412712E-2</v>
      </c>
      <c r="BE144" s="96">
        <f t="shared" si="147"/>
        <v>-2.1424491812718034</v>
      </c>
      <c r="BF144" s="96">
        <f t="shared" si="148"/>
        <v>-7.0639257580060275E-2</v>
      </c>
      <c r="BG144" s="15">
        <f t="shared" si="149"/>
        <v>-227.55276053758027</v>
      </c>
      <c r="BH144" s="46">
        <f>(SUMPRODUCT(BE145:BE$605,$I144:$I$604)+SUMPRODUCT(BF145:BF$605,$I145:$I$605)) / $I144</f>
        <v>-194.45781066403006</v>
      </c>
      <c r="BJ144" s="46">
        <f t="shared" si="150"/>
        <v>-2.1424491812718034</v>
      </c>
      <c r="BK144" s="46">
        <f t="shared" si="151"/>
        <v>-114.43421158481461</v>
      </c>
      <c r="BM144" s="49">
        <f t="shared" si="117"/>
        <v>6134.8424884384385</v>
      </c>
      <c r="BN144" s="50">
        <f t="shared" si="152"/>
        <v>5227.5251455972284</v>
      </c>
      <c r="BP144" s="68">
        <f>INDEX(Others!$H$11:$I$60, MATCH(C144, Others!$A$11:$A$60, 0), MATCH(BP$3, Others!$H$10:$I$10, 0))</f>
        <v>3.0518181818182E-2</v>
      </c>
      <c r="BQ144" s="16">
        <f t="shared" si="153"/>
        <v>2.5082875760633616E-3</v>
      </c>
      <c r="BR144" s="69">
        <f t="shared" si="154"/>
        <v>0.70589171325165745</v>
      </c>
      <c r="BT144" s="46">
        <f t="shared" si="155"/>
        <v>5370.0685831782021</v>
      </c>
      <c r="BU144" s="49">
        <f t="shared" si="118"/>
        <v>167.2840422501541</v>
      </c>
      <c r="BV144" s="46">
        <f t="shared" si="156"/>
        <v>142.54343758097366</v>
      </c>
      <c r="BX144" s="46">
        <f t="shared" si="157"/>
        <v>6302.1265306885925</v>
      </c>
    </row>
    <row r="145" spans="1:76" x14ac:dyDescent="0.25">
      <c r="A145" s="61">
        <f t="shared" si="107"/>
        <v>11.66666666666668</v>
      </c>
      <c r="B145" s="32">
        <f t="shared" si="119"/>
        <v>8</v>
      </c>
      <c r="C145" s="62">
        <f t="shared" si="120"/>
        <v>12</v>
      </c>
      <c r="D145" s="64">
        <f t="shared" si="121"/>
        <v>12.16666666666668</v>
      </c>
      <c r="E145" s="28">
        <f t="shared" si="122"/>
        <v>12</v>
      </c>
      <c r="G145" s="68">
        <f>INDEX(Others!$D$11:$E$60, MATCH(C145, Others!$A$11:$A$60, 0), MATCH(G$3, Others!$D$10:$E$10, 0))</f>
        <v>4.0690909090909333E-2</v>
      </c>
      <c r="H145" s="16">
        <f t="shared" si="123"/>
        <v>3.329265421250005E-3</v>
      </c>
      <c r="I145" s="69">
        <f t="shared" si="124"/>
        <v>0.62793225270952557</v>
      </c>
      <c r="K145" s="80">
        <f>INDEX(Mortality!$B$7:$F$32, MATCH( E145,Mortality!$A$7:$A$32, 0), MATCH( K$3,Mortality!$B$6:$F$6,0))</f>
        <v>0.36499999999999999</v>
      </c>
      <c r="L145" s="11" cm="1">
        <f t="array" ref="L145">PAD_Res_Mort</f>
        <v>0.15</v>
      </c>
      <c r="M145" s="80">
        <f t="shared" si="125"/>
        <v>0.41974999999999996</v>
      </c>
      <c r="N145" s="76">
        <f>INDEX('Myopia_(Reserve)'!$H:$H, MATCH(E145, 'Myopia_(Reserve)'!$A:$A, 0)) * Trend_Factor_Reserve^(A145)</f>
        <v>26.22019498477632</v>
      </c>
      <c r="O145" s="11">
        <f t="shared" si="108"/>
        <v>0.3</v>
      </c>
      <c r="P145" s="80">
        <f t="shared" si="126"/>
        <v>34.086253480209216</v>
      </c>
      <c r="Q145" s="76">
        <f>VLOOKUP(C145,Others!$L$10:$M$61,2)</f>
        <v>0</v>
      </c>
      <c r="R145" s="11">
        <f t="shared" si="109"/>
        <v>0</v>
      </c>
      <c r="S145" s="80">
        <f t="shared" si="127"/>
        <v>0</v>
      </c>
      <c r="T145" s="78">
        <f t="shared" si="128"/>
        <v>3.4979166666666659E-5</v>
      </c>
      <c r="U145" s="81">
        <f t="shared" si="129"/>
        <v>2.8405211233507679E-3</v>
      </c>
      <c r="V145" s="81">
        <f t="shared" si="130"/>
        <v>0</v>
      </c>
      <c r="W145" s="77">
        <f t="shared" si="110"/>
        <v>0.85210421546256221</v>
      </c>
      <c r="X145" s="82">
        <f t="shared" si="131"/>
        <v>2.9763563232334716E-5</v>
      </c>
      <c r="Y145" s="82">
        <f t="shared" si="132"/>
        <v>2.4203776911799423E-3</v>
      </c>
      <c r="Z145" s="82">
        <f t="shared" si="133"/>
        <v>0</v>
      </c>
      <c r="AA145" s="82">
        <f t="shared" si="134"/>
        <v>0.84965407420814998</v>
      </c>
      <c r="AC145" s="46">
        <f t="shared" si="111"/>
        <v>0</v>
      </c>
      <c r="AD145" s="15">
        <f t="shared" si="135"/>
        <v>0</v>
      </c>
      <c r="AE145" s="46">
        <f t="shared" si="136"/>
        <v>0</v>
      </c>
      <c r="AF145" s="15">
        <f t="shared" si="137"/>
        <v>0</v>
      </c>
      <c r="AG145" s="46">
        <f>SUMPRODUCT(AE146:AE$605, $I145:$I$604) / $I145</f>
        <v>0</v>
      </c>
      <c r="AI145" s="46">
        <f t="shared" si="112"/>
        <v>-47000</v>
      </c>
      <c r="AJ145" s="46">
        <f>IF(E145&gt;Mat_Year,0,  -SUM($AD$5:AD145))</f>
        <v>-9306</v>
      </c>
      <c r="AK145" s="24">
        <f t="shared" si="138"/>
        <v>-0.27697971944010685</v>
      </c>
      <c r="AL145" s="79">
        <f t="shared" si="139"/>
        <v>-113.75775148545729</v>
      </c>
      <c r="AM145" s="24">
        <f t="shared" si="140"/>
        <v>-133.82721166681941</v>
      </c>
      <c r="AN145" s="79">
        <f t="shared" si="141"/>
        <v>-114.0347312048974</v>
      </c>
      <c r="AO145" s="15">
        <f t="shared" si="142"/>
        <v>-5792.4710747850695</v>
      </c>
      <c r="AP145" s="46">
        <f>SUMPRODUCT(AN146:AN$605, $I146:$I$605) / $I145</f>
        <v>-4935.7890207693163</v>
      </c>
      <c r="AR145" s="46">
        <v>0</v>
      </c>
      <c r="AS145" s="46">
        <v>0</v>
      </c>
      <c r="AT145" s="46">
        <v>0</v>
      </c>
      <c r="AU145" s="95">
        <f t="shared" si="113"/>
        <v>-2.2835746574107572</v>
      </c>
      <c r="AV145" s="47">
        <f t="shared" si="114"/>
        <v>0.1</v>
      </c>
      <c r="AW145" s="96">
        <f t="shared" si="143"/>
        <v>-2.511932123151833</v>
      </c>
      <c r="AX145" s="95">
        <f t="shared" si="115"/>
        <v>-26.18498940497668</v>
      </c>
      <c r="AY145" s="11">
        <f t="shared" si="116"/>
        <v>0.1</v>
      </c>
      <c r="AZ145" s="96">
        <f t="shared" si="144"/>
        <v>-28.803488345474349</v>
      </c>
      <c r="BA145" s="95">
        <f t="shared" si="145"/>
        <v>-2.1404279510935007</v>
      </c>
      <c r="BB145" s="64">
        <f t="shared" si="146"/>
        <v>-7.057261506622993E-2</v>
      </c>
      <c r="BC145" s="95">
        <f t="shared" si="106"/>
        <v>-2.511932123151833</v>
      </c>
      <c r="BD145" s="96">
        <f t="shared" si="106"/>
        <v>-8.2821577203346888E-2</v>
      </c>
      <c r="BE145" s="96">
        <f t="shared" si="147"/>
        <v>-2.1404279510935007</v>
      </c>
      <c r="BF145" s="96">
        <f t="shared" si="148"/>
        <v>-7.057261506622993E-2</v>
      </c>
      <c r="BG145" s="15">
        <f t="shared" si="149"/>
        <v>-226.36560435900864</v>
      </c>
      <c r="BH145" s="46">
        <f>(SUMPRODUCT(BE146:BE$605,$I145:$I$604)+SUMPRODUCT(BF146:BF$605,$I146:$I$605)) / $I145</f>
        <v>-192.88708571004182</v>
      </c>
      <c r="BJ145" s="46">
        <f t="shared" si="150"/>
        <v>-2.1404279510935007</v>
      </c>
      <c r="BK145" s="46">
        <f t="shared" si="151"/>
        <v>-114.10530381996362</v>
      </c>
      <c r="BM145" s="49">
        <f t="shared" si="117"/>
        <v>6036.1931545601283</v>
      </c>
      <c r="BN145" s="50">
        <f t="shared" si="152"/>
        <v>5128.6761064793582</v>
      </c>
      <c r="BP145" s="68">
        <f>INDEX(Others!$H$11:$I$60, MATCH(C145, Others!$A$11:$A$60, 0), MATCH(BP$3, Others!$H$10:$I$10, 0))</f>
        <v>3.0518181818182E-2</v>
      </c>
      <c r="BQ145" s="16">
        <f t="shared" si="153"/>
        <v>2.5082875760633616E-3</v>
      </c>
      <c r="BR145" s="69">
        <f t="shared" si="154"/>
        <v>0.70412556384786928</v>
      </c>
      <c r="BT145" s="46">
        <f t="shared" si="155"/>
        <v>5267.2871589081014</v>
      </c>
      <c r="BU145" s="49">
        <f t="shared" si="118"/>
        <v>163.13821899568279</v>
      </c>
      <c r="BV145" s="46">
        <f t="shared" si="156"/>
        <v>138.61105242874328</v>
      </c>
      <c r="BX145" s="46">
        <f t="shared" si="157"/>
        <v>6199.3313735558113</v>
      </c>
    </row>
    <row r="146" spans="1:76" x14ac:dyDescent="0.25">
      <c r="A146" s="61">
        <f t="shared" si="107"/>
        <v>11.750000000000014</v>
      </c>
      <c r="B146" s="32">
        <f t="shared" si="119"/>
        <v>9</v>
      </c>
      <c r="C146" s="62">
        <f t="shared" si="120"/>
        <v>12</v>
      </c>
      <c r="D146" s="64">
        <f t="shared" si="121"/>
        <v>12.250000000000014</v>
      </c>
      <c r="E146" s="28">
        <f t="shared" si="122"/>
        <v>12</v>
      </c>
      <c r="G146" s="68">
        <f>INDEX(Others!$D$11:$E$60, MATCH(C146, Others!$A$11:$A$60, 0), MATCH(G$3, Others!$D$10:$E$10, 0))</f>
        <v>4.0690909090909333E-2</v>
      </c>
      <c r="H146" s="16">
        <f t="shared" si="123"/>
        <v>3.329265421250005E-3</v>
      </c>
      <c r="I146" s="69">
        <f t="shared" si="124"/>
        <v>0.62584863648513911</v>
      </c>
      <c r="K146" s="80">
        <f>INDEX(Mortality!$B$7:$F$32, MATCH( E146,Mortality!$A$7:$A$32, 0), MATCH( K$3,Mortality!$B$6:$F$6,0))</f>
        <v>0.36499999999999999</v>
      </c>
      <c r="L146" s="11" cm="1">
        <f t="array" ref="L146">PAD_Res_Mort</f>
        <v>0.15</v>
      </c>
      <c r="M146" s="80">
        <f t="shared" si="125"/>
        <v>0.41974999999999996</v>
      </c>
      <c r="N146" s="76">
        <f>INDEX('Myopia_(Reserve)'!$H:$H, MATCH(E146, 'Myopia_(Reserve)'!$A:$A, 0)) * Trend_Factor_Reserve^(A146)</f>
        <v>26.22019498477632</v>
      </c>
      <c r="O146" s="11">
        <f t="shared" si="108"/>
        <v>0.3</v>
      </c>
      <c r="P146" s="80">
        <f t="shared" si="126"/>
        <v>34.086253480209216</v>
      </c>
      <c r="Q146" s="76">
        <f>VLOOKUP(C146,Others!$L$10:$M$61,2)</f>
        <v>0</v>
      </c>
      <c r="R146" s="11">
        <f t="shared" si="109"/>
        <v>0</v>
      </c>
      <c r="S146" s="80">
        <f t="shared" si="127"/>
        <v>0</v>
      </c>
      <c r="T146" s="78">
        <f t="shared" si="128"/>
        <v>3.4979166666666659E-5</v>
      </c>
      <c r="U146" s="81">
        <f t="shared" si="129"/>
        <v>2.8405211233507679E-3</v>
      </c>
      <c r="V146" s="81">
        <f t="shared" si="130"/>
        <v>0</v>
      </c>
      <c r="W146" s="77">
        <f t="shared" si="110"/>
        <v>0.84965407420814998</v>
      </c>
      <c r="X146" s="82">
        <f t="shared" si="131"/>
        <v>2.9677981054907909E-5</v>
      </c>
      <c r="Y146" s="82">
        <f t="shared" si="132"/>
        <v>2.4134181349134594E-3</v>
      </c>
      <c r="Z146" s="82">
        <f t="shared" si="133"/>
        <v>0</v>
      </c>
      <c r="AA146" s="82">
        <f t="shared" si="134"/>
        <v>0.8472109780921816</v>
      </c>
      <c r="AC146" s="46">
        <f t="shared" si="111"/>
        <v>0</v>
      </c>
      <c r="AD146" s="15">
        <f t="shared" si="135"/>
        <v>0</v>
      </c>
      <c r="AE146" s="46">
        <f t="shared" si="136"/>
        <v>0</v>
      </c>
      <c r="AF146" s="15">
        <f t="shared" si="137"/>
        <v>0</v>
      </c>
      <c r="AG146" s="46">
        <f>SUMPRODUCT(AE147:AE$605, $I146:$I$604) / $I146</f>
        <v>0</v>
      </c>
      <c r="AI146" s="46">
        <f t="shared" si="112"/>
        <v>-47000</v>
      </c>
      <c r="AJ146" s="46">
        <f>IF(E146&gt;Mat_Year,0,  -SUM($AD$5:AD146))</f>
        <v>-9306</v>
      </c>
      <c r="AK146" s="24">
        <f t="shared" si="138"/>
        <v>-0.27618329169697298</v>
      </c>
      <c r="AL146" s="79">
        <f t="shared" si="139"/>
        <v>-113.4306523409326</v>
      </c>
      <c r="AM146" s="24">
        <f t="shared" si="140"/>
        <v>-133.82721166681941</v>
      </c>
      <c r="AN146" s="79">
        <f t="shared" si="141"/>
        <v>-113.70683563262956</v>
      </c>
      <c r="AO146" s="15">
        <f t="shared" si="142"/>
        <v>-5694.6878544182318</v>
      </c>
      <c r="AP146" s="46">
        <f>SUMPRODUCT(AN147:AN$605, $I147:$I$605) / $I146</f>
        <v>-4838.5147368501184</v>
      </c>
      <c r="AR146" s="46">
        <v>0</v>
      </c>
      <c r="AS146" s="46">
        <v>0</v>
      </c>
      <c r="AT146" s="46">
        <v>0</v>
      </c>
      <c r="AU146" s="95">
        <f t="shared" si="113"/>
        <v>-2.2879992016192845</v>
      </c>
      <c r="AV146" s="47">
        <f t="shared" si="114"/>
        <v>0.1</v>
      </c>
      <c r="AW146" s="96">
        <f t="shared" si="143"/>
        <v>-2.5167991217812133</v>
      </c>
      <c r="AX146" s="95">
        <f t="shared" si="115"/>
        <v>-26.235724178567793</v>
      </c>
      <c r="AY146" s="11">
        <f t="shared" si="116"/>
        <v>0.1</v>
      </c>
      <c r="AZ146" s="96">
        <f t="shared" si="144"/>
        <v>-28.859296596424574</v>
      </c>
      <c r="BA146" s="95">
        <f t="shared" si="145"/>
        <v>-2.1384086277849019</v>
      </c>
      <c r="BB146" s="64">
        <f t="shared" si="146"/>
        <v>-7.0506035424304003E-2</v>
      </c>
      <c r="BC146" s="95">
        <f t="shared" si="106"/>
        <v>-2.5167991217812138</v>
      </c>
      <c r="BD146" s="96">
        <f t="shared" si="106"/>
        <v>-8.2982048300084169E-2</v>
      </c>
      <c r="BE146" s="96">
        <f t="shared" si="147"/>
        <v>-2.1384086277849019</v>
      </c>
      <c r="BF146" s="96">
        <f t="shared" si="148"/>
        <v>-7.0506035424304003E-2</v>
      </c>
      <c r="BG146" s="15">
        <f t="shared" si="149"/>
        <v>-225.16601735816946</v>
      </c>
      <c r="BH146" s="46">
        <f>(SUMPRODUCT(BE147:BE$605,$I146:$I$604)+SUMPRODUCT(BF147:BF$605,$I147:$I$605)) / $I146</f>
        <v>-191.31322402159171</v>
      </c>
      <c r="BJ146" s="46">
        <f t="shared" si="150"/>
        <v>-2.1384086277849019</v>
      </c>
      <c r="BK146" s="46">
        <f t="shared" si="151"/>
        <v>-113.77734166805386</v>
      </c>
      <c r="BM146" s="49">
        <f t="shared" si="117"/>
        <v>5936.9249111930603</v>
      </c>
      <c r="BN146" s="50">
        <f t="shared" si="152"/>
        <v>5029.8279608717112</v>
      </c>
      <c r="BP146" s="68">
        <f>INDEX(Others!$H$11:$I$60, MATCH(C146, Others!$A$11:$A$60, 0), MATCH(BP$3, Others!$H$10:$I$10, 0))</f>
        <v>3.0518181818182E-2</v>
      </c>
      <c r="BQ146" s="16">
        <f t="shared" si="153"/>
        <v>2.5082875760633616E-3</v>
      </c>
      <c r="BR146" s="69">
        <f t="shared" si="154"/>
        <v>0.70236383337074915</v>
      </c>
      <c r="BT146" s="46">
        <f t="shared" si="155"/>
        <v>5164.5779158087171</v>
      </c>
      <c r="BU146" s="49">
        <f t="shared" si="118"/>
        <v>159.05123802862749</v>
      </c>
      <c r="BV146" s="46">
        <f t="shared" si="156"/>
        <v>134.7499549370059</v>
      </c>
      <c r="BX146" s="46">
        <f t="shared" si="157"/>
        <v>6095.9761492216876</v>
      </c>
    </row>
    <row r="147" spans="1:76" x14ac:dyDescent="0.25">
      <c r="A147" s="61">
        <f t="shared" si="107"/>
        <v>11.833333333333348</v>
      </c>
      <c r="B147" s="32">
        <f t="shared" si="119"/>
        <v>10</v>
      </c>
      <c r="C147" s="62">
        <f t="shared" si="120"/>
        <v>12</v>
      </c>
      <c r="D147" s="64">
        <f t="shared" si="121"/>
        <v>12.333333333333348</v>
      </c>
      <c r="E147" s="28">
        <f t="shared" si="122"/>
        <v>12</v>
      </c>
      <c r="G147" s="68">
        <f>INDEX(Others!$D$11:$E$60, MATCH(C147, Others!$A$11:$A$60, 0), MATCH(G$3, Others!$D$10:$E$10, 0))</f>
        <v>4.0690909090909333E-2</v>
      </c>
      <c r="H147" s="16">
        <f t="shared" si="123"/>
        <v>3.329265421250005E-3</v>
      </c>
      <c r="I147" s="69">
        <f t="shared" si="124"/>
        <v>0.62377193415401389</v>
      </c>
      <c r="K147" s="80">
        <f>INDEX(Mortality!$B$7:$F$32, MATCH( E147,Mortality!$A$7:$A$32, 0), MATCH( K$3,Mortality!$B$6:$F$6,0))</f>
        <v>0.36499999999999999</v>
      </c>
      <c r="L147" s="11" cm="1">
        <f t="array" ref="L147">PAD_Res_Mort</f>
        <v>0.15</v>
      </c>
      <c r="M147" s="80">
        <f t="shared" si="125"/>
        <v>0.41974999999999996</v>
      </c>
      <c r="N147" s="76">
        <f>INDEX('Myopia_(Reserve)'!$H:$H, MATCH(E147, 'Myopia_(Reserve)'!$A:$A, 0)) * Trend_Factor_Reserve^(A147)</f>
        <v>26.22019498477632</v>
      </c>
      <c r="O147" s="11">
        <f t="shared" si="108"/>
        <v>0.3</v>
      </c>
      <c r="P147" s="80">
        <f t="shared" si="126"/>
        <v>34.086253480209216</v>
      </c>
      <c r="Q147" s="76">
        <f>VLOOKUP(C147,Others!$L$10:$M$61,2)</f>
        <v>0</v>
      </c>
      <c r="R147" s="11">
        <f t="shared" si="109"/>
        <v>0</v>
      </c>
      <c r="S147" s="80">
        <f t="shared" si="127"/>
        <v>0</v>
      </c>
      <c r="T147" s="78">
        <f t="shared" si="128"/>
        <v>3.4979166666666659E-5</v>
      </c>
      <c r="U147" s="81">
        <f t="shared" si="129"/>
        <v>2.8405211233507679E-3</v>
      </c>
      <c r="V147" s="81">
        <f t="shared" si="130"/>
        <v>0</v>
      </c>
      <c r="W147" s="77">
        <f t="shared" si="110"/>
        <v>0.8472109780921816</v>
      </c>
      <c r="X147" s="82">
        <f t="shared" si="131"/>
        <v>2.9592644960553738E-5</v>
      </c>
      <c r="Y147" s="82">
        <f t="shared" si="132"/>
        <v>2.4064785901615443E-3</v>
      </c>
      <c r="Z147" s="82">
        <f t="shared" si="133"/>
        <v>0</v>
      </c>
      <c r="AA147" s="82">
        <f t="shared" si="134"/>
        <v>0.84477490685705947</v>
      </c>
      <c r="AC147" s="46">
        <f t="shared" si="111"/>
        <v>0</v>
      </c>
      <c r="AD147" s="15">
        <f t="shared" si="135"/>
        <v>0</v>
      </c>
      <c r="AE147" s="46">
        <f t="shared" si="136"/>
        <v>0</v>
      </c>
      <c r="AF147" s="15">
        <f t="shared" si="137"/>
        <v>0</v>
      </c>
      <c r="AG147" s="46">
        <f>SUMPRODUCT(AE148:AE$605, $I147:$I$604) / $I147</f>
        <v>0</v>
      </c>
      <c r="AI147" s="46">
        <f t="shared" si="112"/>
        <v>-47000</v>
      </c>
      <c r="AJ147" s="46">
        <f>IF(E147&gt;Mat_Year,0,  -SUM($AD$5:AD147))</f>
        <v>-9306</v>
      </c>
      <c r="AK147" s="24">
        <f t="shared" si="138"/>
        <v>-0.27538915400291308</v>
      </c>
      <c r="AL147" s="79">
        <f t="shared" si="139"/>
        <v>-113.10449373759258</v>
      </c>
      <c r="AM147" s="24">
        <f t="shared" si="140"/>
        <v>-133.82721166681941</v>
      </c>
      <c r="AN147" s="79">
        <f t="shared" si="141"/>
        <v>-113.37988289159549</v>
      </c>
      <c r="AO147" s="15">
        <f t="shared" si="142"/>
        <v>-5596.2961722224654</v>
      </c>
      <c r="AP147" s="46">
        <f>SUMPRODUCT(AN148:AN$605, $I148:$I$605) / $I147</f>
        <v>-4741.2435537621268</v>
      </c>
      <c r="AR147" s="46">
        <v>0</v>
      </c>
      <c r="AS147" s="46">
        <v>0</v>
      </c>
      <c r="AT147" s="46">
        <v>0</v>
      </c>
      <c r="AU147" s="95">
        <f t="shared" si="113"/>
        <v>-2.2924323186114468</v>
      </c>
      <c r="AV147" s="47">
        <f t="shared" si="114"/>
        <v>0.1</v>
      </c>
      <c r="AW147" s="96">
        <f t="shared" si="143"/>
        <v>-2.5216755504725916</v>
      </c>
      <c r="AX147" s="95">
        <f t="shared" si="115"/>
        <v>-26.286557253411253</v>
      </c>
      <c r="AY147" s="11">
        <f t="shared" si="116"/>
        <v>0.1</v>
      </c>
      <c r="AZ147" s="96">
        <f t="shared" si="144"/>
        <v>-28.915212978752379</v>
      </c>
      <c r="BA147" s="95">
        <f t="shared" si="145"/>
        <v>-2.1363912095470248</v>
      </c>
      <c r="BB147" s="64">
        <f t="shared" si="146"/>
        <v>-7.0439518594967832E-2</v>
      </c>
      <c r="BC147" s="95">
        <f t="shared" si="106"/>
        <v>-2.5216755504725916</v>
      </c>
      <c r="BD147" s="96">
        <f t="shared" si="106"/>
        <v>-8.3142830317885219E-2</v>
      </c>
      <c r="BE147" s="96">
        <f t="shared" si="147"/>
        <v>-2.1363912095470248</v>
      </c>
      <c r="BF147" s="96">
        <f t="shared" si="148"/>
        <v>-7.0439518594967832E-2</v>
      </c>
      <c r="BG147" s="15">
        <f t="shared" si="149"/>
        <v>-223.95391241116334</v>
      </c>
      <c r="BH147" s="46">
        <f>(SUMPRODUCT(BE148:BE$605,$I147:$I$604)+SUMPRODUCT(BF148:BF$605,$I148:$I$605)) / $I147</f>
        <v>-189.73621318143248</v>
      </c>
      <c r="BJ147" s="46">
        <f t="shared" si="150"/>
        <v>-2.1363912095470248</v>
      </c>
      <c r="BK147" s="46">
        <f t="shared" si="151"/>
        <v>-113.45032241019045</v>
      </c>
      <c r="BM147" s="49">
        <f t="shared" si="117"/>
        <v>5837.0338973360494</v>
      </c>
      <c r="BN147" s="50">
        <f t="shared" si="152"/>
        <v>4930.9797669435602</v>
      </c>
      <c r="BP147" s="68">
        <f>INDEX(Others!$H$11:$I$60, MATCH(C147, Others!$A$11:$A$60, 0), MATCH(BP$3, Others!$H$10:$I$10, 0))</f>
        <v>3.0518181818182E-2</v>
      </c>
      <c r="BQ147" s="16">
        <f t="shared" si="153"/>
        <v>2.5082875760633616E-3</v>
      </c>
      <c r="BR147" s="69">
        <f t="shared" si="154"/>
        <v>0.70060651076409053</v>
      </c>
      <c r="BT147" s="46">
        <f t="shared" si="155"/>
        <v>5061.9400901272857</v>
      </c>
      <c r="BU147" s="49">
        <f t="shared" si="118"/>
        <v>155.02392663503281</v>
      </c>
      <c r="BV147" s="46">
        <f t="shared" si="156"/>
        <v>130.96032318372545</v>
      </c>
      <c r="BX147" s="46">
        <f t="shared" si="157"/>
        <v>5992.0578239710821</v>
      </c>
    </row>
    <row r="148" spans="1:76" x14ac:dyDescent="0.25">
      <c r="A148" s="61">
        <f t="shared" si="107"/>
        <v>11.916666666666682</v>
      </c>
      <c r="B148" s="32">
        <f t="shared" si="119"/>
        <v>11</v>
      </c>
      <c r="C148" s="62">
        <f t="shared" si="120"/>
        <v>12</v>
      </c>
      <c r="D148" s="64">
        <f t="shared" si="121"/>
        <v>12.416666666666682</v>
      </c>
      <c r="E148" s="28">
        <f t="shared" si="122"/>
        <v>12</v>
      </c>
      <c r="G148" s="68">
        <f>INDEX(Others!$D$11:$E$60, MATCH(C148, Others!$A$11:$A$60, 0), MATCH(G$3, Others!$D$10:$E$10, 0))</f>
        <v>4.0690909090909333E-2</v>
      </c>
      <c r="H148" s="16">
        <f t="shared" si="123"/>
        <v>3.329265421250005E-3</v>
      </c>
      <c r="I148" s="69">
        <f t="shared" si="124"/>
        <v>0.62170212277434356</v>
      </c>
      <c r="K148" s="80">
        <f>INDEX(Mortality!$B$7:$F$32, MATCH( E148,Mortality!$A$7:$A$32, 0), MATCH( K$3,Mortality!$B$6:$F$6,0))</f>
        <v>0.36499999999999999</v>
      </c>
      <c r="L148" s="11" cm="1">
        <f t="array" ref="L148">PAD_Res_Mort</f>
        <v>0.15</v>
      </c>
      <c r="M148" s="80">
        <f t="shared" si="125"/>
        <v>0.41974999999999996</v>
      </c>
      <c r="N148" s="76">
        <f>INDEX('Myopia_(Reserve)'!$H:$H, MATCH(E148, 'Myopia_(Reserve)'!$A:$A, 0)) * Trend_Factor_Reserve^(A148)</f>
        <v>26.22019498477632</v>
      </c>
      <c r="O148" s="11">
        <f t="shared" si="108"/>
        <v>0.3</v>
      </c>
      <c r="P148" s="80">
        <f t="shared" si="126"/>
        <v>34.086253480209216</v>
      </c>
      <c r="Q148" s="76">
        <f>VLOOKUP(C148,Others!$L$10:$M$61,2)</f>
        <v>0</v>
      </c>
      <c r="R148" s="11">
        <f t="shared" si="109"/>
        <v>0</v>
      </c>
      <c r="S148" s="80">
        <f t="shared" si="127"/>
        <v>0</v>
      </c>
      <c r="T148" s="78">
        <f t="shared" si="128"/>
        <v>3.4979166666666659E-5</v>
      </c>
      <c r="U148" s="81">
        <f t="shared" si="129"/>
        <v>2.8405211233507679E-3</v>
      </c>
      <c r="V148" s="81">
        <f t="shared" si="130"/>
        <v>0</v>
      </c>
      <c r="W148" s="77">
        <f t="shared" si="110"/>
        <v>0.84477490685705947</v>
      </c>
      <c r="X148" s="82">
        <f t="shared" si="131"/>
        <v>2.9507554241684723E-5</v>
      </c>
      <c r="Y148" s="82">
        <f t="shared" si="132"/>
        <v>2.3995589993830685E-3</v>
      </c>
      <c r="Z148" s="82">
        <f t="shared" si="133"/>
        <v>0</v>
      </c>
      <c r="AA148" s="82">
        <f t="shared" si="134"/>
        <v>0.84234584030343473</v>
      </c>
      <c r="AC148" s="46">
        <f t="shared" si="111"/>
        <v>0</v>
      </c>
      <c r="AD148" s="15">
        <f t="shared" si="135"/>
        <v>0</v>
      </c>
      <c r="AE148" s="46">
        <f t="shared" si="136"/>
        <v>0</v>
      </c>
      <c r="AF148" s="15">
        <f t="shared" si="137"/>
        <v>0</v>
      </c>
      <c r="AG148" s="46">
        <f>SUMPRODUCT(AE149:AE$605, $I148:$I$604) / $I148</f>
        <v>0</v>
      </c>
      <c r="AI148" s="46">
        <f t="shared" si="112"/>
        <v>-47000</v>
      </c>
      <c r="AJ148" s="46">
        <f>IF(E148&gt;Mat_Year,0,  -SUM($AD$5:AD148))</f>
        <v>-9306</v>
      </c>
      <c r="AK148" s="24">
        <f t="shared" si="138"/>
        <v>-0.27459729977311803</v>
      </c>
      <c r="AL148" s="79">
        <f t="shared" si="139"/>
        <v>-112.77927297100422</v>
      </c>
      <c r="AM148" s="24">
        <f t="shared" si="140"/>
        <v>-133.82721166681941</v>
      </c>
      <c r="AN148" s="79">
        <f t="shared" si="141"/>
        <v>-113.05387027077734</v>
      </c>
      <c r="AO148" s="15">
        <f t="shared" si="142"/>
        <v>-5497.2922420083196</v>
      </c>
      <c r="AP148" s="46">
        <f>SUMPRODUCT(AN149:AN$605, $I149:$I$605) / $I148</f>
        <v>-4643.9745417086142</v>
      </c>
      <c r="AR148" s="46">
        <v>0</v>
      </c>
      <c r="AS148" s="46">
        <v>0</v>
      </c>
      <c r="AT148" s="46">
        <v>0</v>
      </c>
      <c r="AU148" s="95">
        <f t="shared" si="113"/>
        <v>-2.2968740249974573</v>
      </c>
      <c r="AV148" s="47">
        <f t="shared" si="114"/>
        <v>0.1</v>
      </c>
      <c r="AW148" s="96">
        <f t="shared" si="143"/>
        <v>-2.526561427497203</v>
      </c>
      <c r="AX148" s="95">
        <f t="shared" si="115"/>
        <v>-26.33748881997084</v>
      </c>
      <c r="AY148" s="11">
        <f t="shared" si="116"/>
        <v>0.1</v>
      </c>
      <c r="AZ148" s="96">
        <f t="shared" si="144"/>
        <v>-28.971237701967926</v>
      </c>
      <c r="BA148" s="95">
        <f t="shared" si="145"/>
        <v>-2.1343756945825887</v>
      </c>
      <c r="BB148" s="64">
        <f t="shared" si="146"/>
        <v>-7.0373064518962747E-2</v>
      </c>
      <c r="BC148" s="95">
        <f t="shared" si="106"/>
        <v>-2.5265614274972026</v>
      </c>
      <c r="BD148" s="96">
        <f t="shared" si="106"/>
        <v>-8.3303923859175719E-2</v>
      </c>
      <c r="BE148" s="96">
        <f t="shared" si="147"/>
        <v>-2.1343756945825887</v>
      </c>
      <c r="BF148" s="96">
        <f t="shared" si="148"/>
        <v>-7.0373064518962747E-2</v>
      </c>
      <c r="BG148" s="15">
        <f t="shared" si="149"/>
        <v>-222.72920183302261</v>
      </c>
      <c r="BH148" s="46">
        <f>(SUMPRODUCT(BE149:BE$605,$I148:$I$604)+SUMPRODUCT(BF149:BF$605,$I149:$I$605)) / $I148</f>
        <v>-188.15604073283887</v>
      </c>
      <c r="BJ148" s="46">
        <f t="shared" si="150"/>
        <v>-2.1343756945825887</v>
      </c>
      <c r="BK148" s="46">
        <f t="shared" si="151"/>
        <v>-113.1242433352963</v>
      </c>
      <c r="BM148" s="49">
        <f t="shared" si="117"/>
        <v>5736.5162279436145</v>
      </c>
      <c r="BN148" s="50">
        <f t="shared" si="152"/>
        <v>4832.130582441454</v>
      </c>
      <c r="BP148" s="68">
        <f>INDEX(Others!$H$11:$I$60, MATCH(C148, Others!$A$11:$A$60, 0), MATCH(BP$3, Others!$H$10:$I$10, 0))</f>
        <v>3.0518181818182E-2</v>
      </c>
      <c r="BQ148" s="16">
        <f t="shared" si="153"/>
        <v>2.5082875760633616E-3</v>
      </c>
      <c r="BR148" s="69">
        <f t="shared" si="154"/>
        <v>0.69885358499934935</v>
      </c>
      <c r="BT148" s="46">
        <f t="shared" si="155"/>
        <v>4959.3729189082133</v>
      </c>
      <c r="BU148" s="49">
        <f t="shared" si="118"/>
        <v>151.05711974659164</v>
      </c>
      <c r="BV148" s="46">
        <f t="shared" si="156"/>
        <v>127.2423364667593</v>
      </c>
      <c r="BX148" s="46">
        <f t="shared" si="157"/>
        <v>5887.573347690206</v>
      </c>
    </row>
    <row r="149" spans="1:76" x14ac:dyDescent="0.25">
      <c r="A149" s="61">
        <f t="shared" si="107"/>
        <v>12.000000000000016</v>
      </c>
      <c r="B149" s="32">
        <f t="shared" si="119"/>
        <v>12</v>
      </c>
      <c r="C149" s="62">
        <f t="shared" si="120"/>
        <v>12</v>
      </c>
      <c r="D149" s="64">
        <f t="shared" si="121"/>
        <v>12.500000000000016</v>
      </c>
      <c r="E149" s="28">
        <f t="shared" si="122"/>
        <v>12</v>
      </c>
      <c r="G149" s="68">
        <f>INDEX(Others!$D$11:$E$60, MATCH(C149, Others!$A$11:$A$60, 0), MATCH(G$3, Others!$D$10:$E$10, 0))</f>
        <v>4.0690909090909333E-2</v>
      </c>
      <c r="H149" s="16">
        <f t="shared" si="123"/>
        <v>3.329265421250005E-3</v>
      </c>
      <c r="I149" s="69">
        <f t="shared" si="124"/>
        <v>0.61963917948044756</v>
      </c>
      <c r="K149" s="80">
        <f>INDEX(Mortality!$B$7:$F$32, MATCH( E149,Mortality!$A$7:$A$32, 0), MATCH( K$3,Mortality!$B$6:$F$6,0))</f>
        <v>0.36499999999999999</v>
      </c>
      <c r="L149" s="11" cm="1">
        <f t="array" ref="L149">PAD_Res_Mort</f>
        <v>0.15</v>
      </c>
      <c r="M149" s="80">
        <f t="shared" si="125"/>
        <v>0.41974999999999996</v>
      </c>
      <c r="N149" s="76">
        <f>INDEX('Myopia_(Reserve)'!$H:$H, MATCH(E149, 'Myopia_(Reserve)'!$A:$A, 0)) * Trend_Factor_Reserve^(A149)</f>
        <v>26.22019498477632</v>
      </c>
      <c r="O149" s="11">
        <f t="shared" si="108"/>
        <v>0.3</v>
      </c>
      <c r="P149" s="80">
        <f t="shared" si="126"/>
        <v>34.086253480209216</v>
      </c>
      <c r="Q149" s="76">
        <f>VLOOKUP(C149,Others!$L$10:$M$61,2)</f>
        <v>0</v>
      </c>
      <c r="R149" s="11">
        <f t="shared" si="109"/>
        <v>0</v>
      </c>
      <c r="S149" s="80">
        <f t="shared" si="127"/>
        <v>0</v>
      </c>
      <c r="T149" s="78">
        <f t="shared" si="128"/>
        <v>3.4979166666666659E-5</v>
      </c>
      <c r="U149" s="81">
        <f t="shared" si="129"/>
        <v>2.8405211233507679E-3</v>
      </c>
      <c r="V149" s="81">
        <f t="shared" si="130"/>
        <v>0</v>
      </c>
      <c r="W149" s="77">
        <f t="shared" si="110"/>
        <v>0.84234584030343473</v>
      </c>
      <c r="X149" s="82">
        <f t="shared" si="131"/>
        <v>2.9422708192747958E-5</v>
      </c>
      <c r="Y149" s="82">
        <f t="shared" si="132"/>
        <v>2.3926593052023596E-3</v>
      </c>
      <c r="Z149" s="82">
        <f t="shared" si="133"/>
        <v>0</v>
      </c>
      <c r="AA149" s="82">
        <f t="shared" si="134"/>
        <v>0.83992375829003962</v>
      </c>
      <c r="AC149" s="46">
        <f t="shared" si="111"/>
        <v>0</v>
      </c>
      <c r="AD149" s="15">
        <f t="shared" si="135"/>
        <v>0</v>
      </c>
      <c r="AE149" s="46">
        <f t="shared" si="136"/>
        <v>0</v>
      </c>
      <c r="AF149" s="15">
        <f t="shared" si="137"/>
        <v>0</v>
      </c>
      <c r="AG149" s="46">
        <f>SUMPRODUCT(AE150:AE$605, $I149:$I$604) / $I149</f>
        <v>0</v>
      </c>
      <c r="AI149" s="46">
        <f t="shared" si="112"/>
        <v>-47000</v>
      </c>
      <c r="AJ149" s="46">
        <f>IF(E149&gt;Mat_Year,0,  -SUM($AD$5:AD149))</f>
        <v>-9306</v>
      </c>
      <c r="AK149" s="24">
        <f t="shared" si="138"/>
        <v>-0.27380772244171248</v>
      </c>
      <c r="AL149" s="79">
        <f t="shared" si="139"/>
        <v>-112.4549873445109</v>
      </c>
      <c r="AM149" s="24">
        <f t="shared" si="140"/>
        <v>-133.82721166681941</v>
      </c>
      <c r="AN149" s="79">
        <f t="shared" si="141"/>
        <v>-112.72879506695261</v>
      </c>
      <c r="AO149" s="15">
        <f t="shared" si="142"/>
        <v>-5397.67225402656</v>
      </c>
      <c r="AP149" s="46">
        <f>SUMPRODUCT(AN150:AN$605, $I150:$I$605) / $I149</f>
        <v>-4546.7067705005375</v>
      </c>
      <c r="AR149" s="46">
        <v>0</v>
      </c>
      <c r="AS149" s="46">
        <v>0</v>
      </c>
      <c r="AT149" s="46">
        <v>0</v>
      </c>
      <c r="AU149" s="95">
        <f t="shared" si="113"/>
        <v>-2.301324337419711</v>
      </c>
      <c r="AV149" s="47">
        <f t="shared" si="114"/>
        <v>0.1</v>
      </c>
      <c r="AW149" s="96">
        <f t="shared" si="143"/>
        <v>-2.5314567711616824</v>
      </c>
      <c r="AX149" s="95">
        <f t="shared" si="115"/>
        <v>-26.388519069079351</v>
      </c>
      <c r="AY149" s="11">
        <f t="shared" si="116"/>
        <v>0.1</v>
      </c>
      <c r="AZ149" s="96">
        <f t="shared" si="144"/>
        <v>-29.027370975987289</v>
      </c>
      <c r="BA149" s="95">
        <f t="shared" si="145"/>
        <v>-2.1323620810960069</v>
      </c>
      <c r="BB149" s="64">
        <f t="shared" si="146"/>
        <v>-7.0306673137085995E-2</v>
      </c>
      <c r="BC149" s="95">
        <f t="shared" si="106"/>
        <v>-2.531456771161682</v>
      </c>
      <c r="BD149" s="96">
        <f t="shared" si="106"/>
        <v>-8.3465329527548579E-2</v>
      </c>
      <c r="BE149" s="96">
        <f t="shared" si="147"/>
        <v>-2.1323620810960069</v>
      </c>
      <c r="BF149" s="96">
        <f t="shared" si="148"/>
        <v>-7.0306673137085995E-2</v>
      </c>
      <c r="BG149" s="15">
        <f t="shared" si="149"/>
        <v>-221.49179737418356</v>
      </c>
      <c r="BH149" s="46">
        <f>(SUMPRODUCT(BE150:BE$605,$I149:$I$604)+SUMPRODUCT(BF150:BF$605,$I150:$I$605)) / $I149</f>
        <v>-186.57269417947475</v>
      </c>
      <c r="BJ149" s="46">
        <f t="shared" si="150"/>
        <v>-2.1323620810960069</v>
      </c>
      <c r="BK149" s="46">
        <f t="shared" si="151"/>
        <v>-112.7991017400897</v>
      </c>
      <c r="BM149" s="49">
        <f t="shared" si="117"/>
        <v>5635.3679937763263</v>
      </c>
      <c r="BN149" s="50">
        <f t="shared" si="152"/>
        <v>4733.279464680013</v>
      </c>
      <c r="BP149" s="68">
        <f>INDEX(Others!$H$11:$I$60, MATCH(C149, Others!$A$11:$A$60, 0), MATCH(BP$3, Others!$H$10:$I$10, 0))</f>
        <v>3.0518181818182E-2</v>
      </c>
      <c r="BQ149" s="16">
        <f t="shared" si="153"/>
        <v>2.5082875760633616E-3</v>
      </c>
      <c r="BR149" s="69">
        <f t="shared" si="154"/>
        <v>0.69710504507557525</v>
      </c>
      <c r="BT149" s="46">
        <f t="shared" si="155"/>
        <v>4856.8756399872736</v>
      </c>
      <c r="BU149" s="49">
        <f t="shared" si="118"/>
        <v>147.15166000171746</v>
      </c>
      <c r="BV149" s="46">
        <f t="shared" si="156"/>
        <v>123.59617530726064</v>
      </c>
      <c r="BX149" s="46">
        <f t="shared" si="157"/>
        <v>5782.5196537780439</v>
      </c>
    </row>
    <row r="150" spans="1:76" x14ac:dyDescent="0.25">
      <c r="A150" s="61">
        <f t="shared" si="107"/>
        <v>12.08333333333335</v>
      </c>
      <c r="B150" s="32">
        <f t="shared" si="119"/>
        <v>1</v>
      </c>
      <c r="C150" s="62">
        <f t="shared" si="120"/>
        <v>13</v>
      </c>
      <c r="D150" s="64">
        <f t="shared" si="121"/>
        <v>12.58333333333335</v>
      </c>
      <c r="E150" s="28">
        <f t="shared" si="122"/>
        <v>12</v>
      </c>
      <c r="G150" s="68">
        <f>INDEX(Others!$D$11:$E$60, MATCH(C150, Others!$A$11:$A$60, 0), MATCH(G$3, Others!$D$10:$E$10, 0))</f>
        <v>4.0690909090908889E-2</v>
      </c>
      <c r="H150" s="16">
        <f t="shared" si="123"/>
        <v>3.329265421250005E-3</v>
      </c>
      <c r="I150" s="69">
        <f t="shared" si="124"/>
        <v>0.61758308148251884</v>
      </c>
      <c r="K150" s="80">
        <f>INDEX(Mortality!$B$7:$F$32, MATCH( E150,Mortality!$A$7:$A$32, 0), MATCH( K$3,Mortality!$B$6:$F$6,0))</f>
        <v>0.36499999999999999</v>
      </c>
      <c r="L150" s="11" cm="1">
        <f t="array" ref="L150">PAD_Res_Mort</f>
        <v>0.15</v>
      </c>
      <c r="M150" s="80">
        <f t="shared" si="125"/>
        <v>0.41974999999999996</v>
      </c>
      <c r="N150" s="76">
        <f>INDEX('Myopia_(Reserve)'!$H:$H, MATCH(E150, 'Myopia_(Reserve)'!$A:$A, 0)) * Trend_Factor_Reserve^(A150)</f>
        <v>26.22019498477632</v>
      </c>
      <c r="O150" s="11">
        <f t="shared" si="108"/>
        <v>0.3</v>
      </c>
      <c r="P150" s="80">
        <f t="shared" si="126"/>
        <v>34.086253480209216</v>
      </c>
      <c r="Q150" s="76">
        <f>VLOOKUP(C150,Others!$L$10:$M$61,2)</f>
        <v>0</v>
      </c>
      <c r="R150" s="11">
        <f t="shared" si="109"/>
        <v>0</v>
      </c>
      <c r="S150" s="80">
        <f t="shared" si="127"/>
        <v>0</v>
      </c>
      <c r="T150" s="78">
        <f t="shared" si="128"/>
        <v>3.4979166666666659E-5</v>
      </c>
      <c r="U150" s="81">
        <f t="shared" si="129"/>
        <v>2.8405211233507679E-3</v>
      </c>
      <c r="V150" s="81">
        <f t="shared" si="130"/>
        <v>0</v>
      </c>
      <c r="W150" s="77">
        <f t="shared" si="110"/>
        <v>0.83992375829003962</v>
      </c>
      <c r="X150" s="82">
        <f t="shared" si="131"/>
        <v>2.9338106110219294E-5</v>
      </c>
      <c r="Y150" s="82">
        <f t="shared" si="132"/>
        <v>2.3857794504087209E-3</v>
      </c>
      <c r="Z150" s="82">
        <f t="shared" si="133"/>
        <v>0</v>
      </c>
      <c r="AA150" s="82">
        <f t="shared" si="134"/>
        <v>0.83750864073352072</v>
      </c>
      <c r="AC150" s="46">
        <f t="shared" si="111"/>
        <v>0</v>
      </c>
      <c r="AD150" s="15">
        <f t="shared" si="135"/>
        <v>0</v>
      </c>
      <c r="AE150" s="46">
        <f t="shared" si="136"/>
        <v>0</v>
      </c>
      <c r="AF150" s="15">
        <f t="shared" si="137"/>
        <v>0</v>
      </c>
      <c r="AG150" s="46">
        <f>SUMPRODUCT(AE151:AE$605, $I150:$I$604) / $I150</f>
        <v>0</v>
      </c>
      <c r="AI150" s="46">
        <f t="shared" si="112"/>
        <v>-47000</v>
      </c>
      <c r="AJ150" s="46">
        <f>IF(E150&gt;Mat_Year,0,  -SUM($AD$5:AD150))</f>
        <v>-9306</v>
      </c>
      <c r="AK150" s="24">
        <f t="shared" si="138"/>
        <v>-0.27302041546170075</v>
      </c>
      <c r="AL150" s="79">
        <f t="shared" si="139"/>
        <v>-112.13163416920989</v>
      </c>
      <c r="AM150" s="24">
        <f t="shared" si="140"/>
        <v>-133.82721166681941</v>
      </c>
      <c r="AN150" s="79">
        <f t="shared" si="141"/>
        <v>-112.40465458467159</v>
      </c>
      <c r="AO150" s="15">
        <f t="shared" si="142"/>
        <v>-5297.432374821562</v>
      </c>
      <c r="AP150" s="46">
        <f>SUMPRODUCT(AN151:AN$605, $I151:$I$605) / $I150</f>
        <v>-4449.4393095474561</v>
      </c>
      <c r="AR150" s="46">
        <v>0</v>
      </c>
      <c r="AS150" s="46">
        <v>0</v>
      </c>
      <c r="AT150" s="46">
        <v>0</v>
      </c>
      <c r="AU150" s="95">
        <f t="shared" si="113"/>
        <v>-2.3057832725528491</v>
      </c>
      <c r="AV150" s="47">
        <f t="shared" si="114"/>
        <v>0.1</v>
      </c>
      <c r="AW150" s="96">
        <f t="shared" si="143"/>
        <v>-2.5363615998081341</v>
      </c>
      <c r="AX150" s="95">
        <f t="shared" si="115"/>
        <v>-26.439648191939334</v>
      </c>
      <c r="AY150" s="11">
        <f t="shared" si="116"/>
        <v>0.1</v>
      </c>
      <c r="AZ150" s="96">
        <f t="shared" si="144"/>
        <v>-29.08361301113327</v>
      </c>
      <c r="BA150" s="95">
        <f t="shared" si="145"/>
        <v>-2.1303503672933854</v>
      </c>
      <c r="BB150" s="64">
        <f t="shared" si="146"/>
        <v>-7.024034439019064E-2</v>
      </c>
      <c r="BC150" s="95">
        <f t="shared" si="106"/>
        <v>-2.5363615998081341</v>
      </c>
      <c r="BD150" s="96">
        <f t="shared" si="106"/>
        <v>-8.3627047927766179E-2</v>
      </c>
      <c r="BE150" s="96">
        <f t="shared" si="147"/>
        <v>-2.1303503672933854</v>
      </c>
      <c r="BF150" s="96">
        <f t="shared" si="148"/>
        <v>-7.024034439019064E-2</v>
      </c>
      <c r="BG150" s="15">
        <f t="shared" si="149"/>
        <v>-220.24161021693661</v>
      </c>
      <c r="BH150" s="46">
        <f>(SUMPRODUCT(BE151:BE$605,$I150:$I$604)+SUMPRODUCT(BF151:BF$605,$I151:$I$605)) / $I150</f>
        <v>-184.98616098525937</v>
      </c>
      <c r="BJ150" s="46">
        <f t="shared" si="150"/>
        <v>-2.1303503672933854</v>
      </c>
      <c r="BK150" s="46">
        <f t="shared" si="151"/>
        <v>-112.47489492906178</v>
      </c>
      <c r="BM150" s="49">
        <f t="shared" si="117"/>
        <v>5533.5852612502213</v>
      </c>
      <c r="BN150" s="50">
        <f t="shared" si="152"/>
        <v>4634.4254705327166</v>
      </c>
      <c r="BP150" s="68">
        <f>INDEX(Others!$H$11:$I$60, MATCH(C150, Others!$A$11:$A$60, 0), MATCH(BP$3, Others!$H$10:$I$10, 0))</f>
        <v>3.0518181818181667E-2</v>
      </c>
      <c r="BQ150" s="16">
        <f t="shared" si="153"/>
        <v>2.5082875760633616E-3</v>
      </c>
      <c r="BR150" s="69">
        <f t="shared" si="154"/>
        <v>0.69536088001934226</v>
      </c>
      <c r="BT150" s="46">
        <f t="shared" si="155"/>
        <v>4754.4474919858249</v>
      </c>
      <c r="BU150" s="49">
        <f t="shared" si="118"/>
        <v>143.30839780708237</v>
      </c>
      <c r="BV150" s="46">
        <f t="shared" si="156"/>
        <v>120.02202145310821</v>
      </c>
      <c r="BX150" s="46">
        <f t="shared" si="157"/>
        <v>5676.8936590573039</v>
      </c>
    </row>
    <row r="151" spans="1:76" x14ac:dyDescent="0.25">
      <c r="A151" s="61">
        <f t="shared" si="107"/>
        <v>12.166666666666684</v>
      </c>
      <c r="B151" s="32">
        <f t="shared" si="119"/>
        <v>2</v>
      </c>
      <c r="C151" s="62">
        <f t="shared" si="120"/>
        <v>13</v>
      </c>
      <c r="D151" s="64">
        <f t="shared" si="121"/>
        <v>12.666666666666684</v>
      </c>
      <c r="E151" s="28">
        <f t="shared" si="122"/>
        <v>12</v>
      </c>
      <c r="G151" s="68">
        <f>INDEX(Others!$D$11:$E$60, MATCH(C151, Others!$A$11:$A$60, 0), MATCH(G$3, Others!$D$10:$E$10, 0))</f>
        <v>4.0690909090908889E-2</v>
      </c>
      <c r="H151" s="16">
        <f t="shared" si="123"/>
        <v>3.329265421250005E-3</v>
      </c>
      <c r="I151" s="69">
        <f t="shared" si="124"/>
        <v>0.61553380606637165</v>
      </c>
      <c r="K151" s="80">
        <f>INDEX(Mortality!$B$7:$F$32, MATCH( E151,Mortality!$A$7:$A$32, 0), MATCH( K$3,Mortality!$B$6:$F$6,0))</f>
        <v>0.36499999999999999</v>
      </c>
      <c r="L151" s="11" cm="1">
        <f t="array" ref="L151">PAD_Res_Mort</f>
        <v>0.15</v>
      </c>
      <c r="M151" s="80">
        <f t="shared" si="125"/>
        <v>0.41974999999999996</v>
      </c>
      <c r="N151" s="76">
        <f>INDEX('Myopia_(Reserve)'!$H:$H, MATCH(E151, 'Myopia_(Reserve)'!$A:$A, 0)) * Trend_Factor_Reserve^(A151)</f>
        <v>26.22019498477632</v>
      </c>
      <c r="O151" s="11">
        <f t="shared" si="108"/>
        <v>0.3</v>
      </c>
      <c r="P151" s="80">
        <f t="shared" si="126"/>
        <v>34.086253480209216</v>
      </c>
      <c r="Q151" s="76">
        <f>VLOOKUP(C151,Others!$L$10:$M$61,2)</f>
        <v>0</v>
      </c>
      <c r="R151" s="11">
        <f t="shared" si="109"/>
        <v>0</v>
      </c>
      <c r="S151" s="80">
        <f t="shared" si="127"/>
        <v>0</v>
      </c>
      <c r="T151" s="78">
        <f t="shared" si="128"/>
        <v>3.4979166666666659E-5</v>
      </c>
      <c r="U151" s="81">
        <f t="shared" si="129"/>
        <v>2.8405211233507679E-3</v>
      </c>
      <c r="V151" s="81">
        <f t="shared" si="130"/>
        <v>0</v>
      </c>
      <c r="W151" s="77">
        <f t="shared" si="110"/>
        <v>0.83750864073352072</v>
      </c>
      <c r="X151" s="82">
        <f t="shared" si="131"/>
        <v>2.9253747292597499E-5</v>
      </c>
      <c r="Y151" s="82">
        <f t="shared" si="132"/>
        <v>2.378919377955961E-3</v>
      </c>
      <c r="Z151" s="82">
        <f t="shared" si="133"/>
        <v>0</v>
      </c>
      <c r="AA151" s="82">
        <f t="shared" si="134"/>
        <v>0.83510046760827217</v>
      </c>
      <c r="AC151" s="46">
        <f t="shared" si="111"/>
        <v>0</v>
      </c>
      <c r="AD151" s="15">
        <f t="shared" si="135"/>
        <v>0</v>
      </c>
      <c r="AE151" s="46">
        <f t="shared" si="136"/>
        <v>0</v>
      </c>
      <c r="AF151" s="15">
        <f t="shared" si="137"/>
        <v>0</v>
      </c>
      <c r="AG151" s="46">
        <f>SUMPRODUCT(AE152:AE$605, $I151:$I$604) / $I151</f>
        <v>0</v>
      </c>
      <c r="AI151" s="46">
        <f t="shared" si="112"/>
        <v>-47000</v>
      </c>
      <c r="AJ151" s="46">
        <f>IF(E151&gt;Mat_Year,0,  -SUM($AD$5:AD151))</f>
        <v>-9306</v>
      </c>
      <c r="AK151" s="24">
        <f t="shared" si="138"/>
        <v>-0.27223537230491235</v>
      </c>
      <c r="AL151" s="79">
        <f t="shared" si="139"/>
        <v>-111.80921076393017</v>
      </c>
      <c r="AM151" s="24">
        <f t="shared" si="140"/>
        <v>-133.82721166681938</v>
      </c>
      <c r="AN151" s="79">
        <f t="shared" si="141"/>
        <v>-112.08144613623507</v>
      </c>
      <c r="AO151" s="15">
        <f t="shared" si="142"/>
        <v>-5196.5687470838002</v>
      </c>
      <c r="AP151" s="46">
        <f>SUMPRODUCT(AN152:AN$605, $I152:$I$605) / $I151</f>
        <v>-4352.1712278484483</v>
      </c>
      <c r="AR151" s="46">
        <v>0</v>
      </c>
      <c r="AS151" s="46">
        <v>0</v>
      </c>
      <c r="AT151" s="46">
        <v>0</v>
      </c>
      <c r="AU151" s="95">
        <f t="shared" si="113"/>
        <v>-2.3102508471038208</v>
      </c>
      <c r="AV151" s="47">
        <f t="shared" si="114"/>
        <v>0.1</v>
      </c>
      <c r="AW151" s="96">
        <f t="shared" si="143"/>
        <v>-2.5412759318142029</v>
      </c>
      <c r="AX151" s="95">
        <f t="shared" si="115"/>
        <v>-26.490876380123812</v>
      </c>
      <c r="AY151" s="11">
        <f t="shared" si="116"/>
        <v>0.1</v>
      </c>
      <c r="AZ151" s="96">
        <f t="shared" si="144"/>
        <v>-29.139964018136194</v>
      </c>
      <c r="BA151" s="95">
        <f t="shared" si="145"/>
        <v>-2.1283405513825242</v>
      </c>
      <c r="BB151" s="64">
        <f t="shared" si="146"/>
        <v>-7.0174078219185573E-2</v>
      </c>
      <c r="BC151" s="95">
        <f t="shared" ref="BC151:BD214" si="158">IF($W151 = 0, 0, BE151/$W151)</f>
        <v>-2.5412759318142029</v>
      </c>
      <c r="BD151" s="96">
        <f t="shared" si="158"/>
        <v>-8.378907966576267E-2</v>
      </c>
      <c r="BE151" s="96">
        <f t="shared" si="147"/>
        <v>-2.1283405513825242</v>
      </c>
      <c r="BF151" s="96">
        <f t="shared" si="148"/>
        <v>-7.0174078219185573E-2</v>
      </c>
      <c r="BG151" s="15">
        <f t="shared" si="149"/>
        <v>-218.97855097185388</v>
      </c>
      <c r="BH151" s="46">
        <f>(SUMPRODUCT(BE152:BE$605,$I151:$I$604)+SUMPRODUCT(BF152:BF$605,$I152:$I$605)) / $I151</f>
        <v>-183.39642857423331</v>
      </c>
      <c r="BJ151" s="46">
        <f t="shared" si="150"/>
        <v>-2.1283405513825242</v>
      </c>
      <c r="BK151" s="46">
        <f t="shared" si="151"/>
        <v>-112.15162021445425</v>
      </c>
      <c r="BM151" s="49">
        <f t="shared" si="117"/>
        <v>5431.1640722852771</v>
      </c>
      <c r="BN151" s="50">
        <f t="shared" si="152"/>
        <v>4535.5676564226824</v>
      </c>
      <c r="BP151" s="68">
        <f>INDEX(Others!$H$11:$I$60, MATCH(C151, Others!$A$11:$A$60, 0), MATCH(BP$3, Others!$H$10:$I$10, 0))</f>
        <v>3.0518181818181667E-2</v>
      </c>
      <c r="BQ151" s="16">
        <f t="shared" si="153"/>
        <v>2.5082875760633616E-3</v>
      </c>
      <c r="BR151" s="69">
        <f t="shared" si="154"/>
        <v>0.69362107888468016</v>
      </c>
      <c r="BT151" s="46">
        <f t="shared" si="155"/>
        <v>4652.0877143050184</v>
      </c>
      <c r="BU151" s="49">
        <f t="shared" si="118"/>
        <v>139.52819139959226</v>
      </c>
      <c r="BV151" s="46">
        <f t="shared" si="156"/>
        <v>116.520057882336</v>
      </c>
      <c r="BX151" s="46">
        <f t="shared" si="157"/>
        <v>5570.6922636848694</v>
      </c>
    </row>
    <row r="152" spans="1:76" x14ac:dyDescent="0.25">
      <c r="A152" s="61">
        <f t="shared" si="107"/>
        <v>12.250000000000018</v>
      </c>
      <c r="B152" s="32">
        <f t="shared" si="119"/>
        <v>3</v>
      </c>
      <c r="C152" s="62">
        <f t="shared" si="120"/>
        <v>13</v>
      </c>
      <c r="D152" s="64">
        <f t="shared" si="121"/>
        <v>12.750000000000018</v>
      </c>
      <c r="E152" s="28">
        <f t="shared" si="122"/>
        <v>12</v>
      </c>
      <c r="G152" s="68">
        <f>INDEX(Others!$D$11:$E$60, MATCH(C152, Others!$A$11:$A$60, 0), MATCH(G$3, Others!$D$10:$E$10, 0))</f>
        <v>4.0690909090908889E-2</v>
      </c>
      <c r="H152" s="16">
        <f t="shared" si="123"/>
        <v>3.329265421250005E-3</v>
      </c>
      <c r="I152" s="69">
        <f t="shared" si="124"/>
        <v>0.61349133059319105</v>
      </c>
      <c r="K152" s="80">
        <f>INDEX(Mortality!$B$7:$F$32, MATCH( E152,Mortality!$A$7:$A$32, 0), MATCH( K$3,Mortality!$B$6:$F$6,0))</f>
        <v>0.36499999999999999</v>
      </c>
      <c r="L152" s="11" cm="1">
        <f t="array" ref="L152">PAD_Res_Mort</f>
        <v>0.15</v>
      </c>
      <c r="M152" s="80">
        <f t="shared" si="125"/>
        <v>0.41974999999999996</v>
      </c>
      <c r="N152" s="76">
        <f>INDEX('Myopia_(Reserve)'!$H:$H, MATCH(E152, 'Myopia_(Reserve)'!$A:$A, 0)) * Trend_Factor_Reserve^(A152)</f>
        <v>26.22019498477632</v>
      </c>
      <c r="O152" s="11">
        <f t="shared" si="108"/>
        <v>0.3</v>
      </c>
      <c r="P152" s="80">
        <f t="shared" si="126"/>
        <v>34.086253480209216</v>
      </c>
      <c r="Q152" s="76">
        <f>VLOOKUP(C152,Others!$L$10:$M$61,2)</f>
        <v>0</v>
      </c>
      <c r="R152" s="11">
        <f t="shared" si="109"/>
        <v>0</v>
      </c>
      <c r="S152" s="80">
        <f t="shared" si="127"/>
        <v>0</v>
      </c>
      <c r="T152" s="78">
        <f t="shared" si="128"/>
        <v>3.4979166666666659E-5</v>
      </c>
      <c r="U152" s="81">
        <f t="shared" si="129"/>
        <v>2.8405211233507679E-3</v>
      </c>
      <c r="V152" s="81">
        <f t="shared" si="130"/>
        <v>0</v>
      </c>
      <c r="W152" s="77">
        <f t="shared" si="110"/>
        <v>0.83510046760827217</v>
      </c>
      <c r="X152" s="82">
        <f t="shared" si="131"/>
        <v>2.9169631040398421E-5</v>
      </c>
      <c r="Y152" s="82">
        <f t="shared" si="132"/>
        <v>2.3720790309619184E-3</v>
      </c>
      <c r="Z152" s="82">
        <f t="shared" si="133"/>
        <v>0</v>
      </c>
      <c r="AA152" s="82">
        <f t="shared" si="134"/>
        <v>0.83269921894626986</v>
      </c>
      <c r="AC152" s="46">
        <f t="shared" si="111"/>
        <v>0</v>
      </c>
      <c r="AD152" s="15">
        <f t="shared" si="135"/>
        <v>0</v>
      </c>
      <c r="AE152" s="46">
        <f t="shared" si="136"/>
        <v>0</v>
      </c>
      <c r="AF152" s="15">
        <f t="shared" si="137"/>
        <v>0</v>
      </c>
      <c r="AG152" s="46">
        <f>SUMPRODUCT(AE153:AE$605, $I152:$I$604) / $I152</f>
        <v>0</v>
      </c>
      <c r="AI152" s="46">
        <f t="shared" si="112"/>
        <v>-47000</v>
      </c>
      <c r="AJ152" s="46">
        <f>IF(E152&gt;Mat_Year,0,  -SUM($AD$5:AD152))</f>
        <v>-9306</v>
      </c>
      <c r="AK152" s="24">
        <f t="shared" si="138"/>
        <v>-0.2714525864619477</v>
      </c>
      <c r="AL152" s="79">
        <f t="shared" si="139"/>
        <v>-111.48771445521017</v>
      </c>
      <c r="AM152" s="24">
        <f t="shared" si="140"/>
        <v>-133.82721166681941</v>
      </c>
      <c r="AN152" s="79">
        <f t="shared" si="141"/>
        <v>-111.75916704167211</v>
      </c>
      <c r="AO152" s="15">
        <f t="shared" si="142"/>
        <v>-5095.0774895014129</v>
      </c>
      <c r="AP152" s="46">
        <f>SUMPRODUCT(AN153:AN$605, $I153:$I$605) / $I152</f>
        <v>-4254.9015939830115</v>
      </c>
      <c r="AR152" s="46">
        <v>0</v>
      </c>
      <c r="AS152" s="46">
        <v>0</v>
      </c>
      <c r="AT152" s="46">
        <v>0</v>
      </c>
      <c r="AU152" s="95">
        <f t="shared" si="113"/>
        <v>-2.3147270778119458</v>
      </c>
      <c r="AV152" s="47">
        <f t="shared" si="114"/>
        <v>0.1</v>
      </c>
      <c r="AW152" s="96">
        <f t="shared" si="143"/>
        <v>-2.5461997855931404</v>
      </c>
      <c r="AX152" s="95">
        <f t="shared" si="115"/>
        <v>-26.542203825576976</v>
      </c>
      <c r="AY152" s="11">
        <f t="shared" si="116"/>
        <v>0.1</v>
      </c>
      <c r="AZ152" s="96">
        <f t="shared" si="144"/>
        <v>-29.196424208134676</v>
      </c>
      <c r="BA152" s="95">
        <f t="shared" si="145"/>
        <v>-2.1263326315729141</v>
      </c>
      <c r="BB152" s="64">
        <f t="shared" si="146"/>
        <v>-7.0107874565035436E-2</v>
      </c>
      <c r="BC152" s="95">
        <f t="shared" si="158"/>
        <v>-2.5461997855931404</v>
      </c>
      <c r="BD152" s="96">
        <f t="shared" si="158"/>
        <v>-8.3951425348646247E-2</v>
      </c>
      <c r="BE152" s="96">
        <f t="shared" si="147"/>
        <v>-2.1263326315729141</v>
      </c>
      <c r="BF152" s="96">
        <f t="shared" si="148"/>
        <v>-7.0107874565035436E-2</v>
      </c>
      <c r="BG152" s="15">
        <f t="shared" si="149"/>
        <v>-217.70252967419489</v>
      </c>
      <c r="BH152" s="46">
        <f>(SUMPRODUCT(BE153:BE$605,$I152:$I$604)+SUMPRODUCT(BF153:BF$605,$I153:$I$605)) / $I152</f>
        <v>-181.80348433042391</v>
      </c>
      <c r="BJ152" s="46">
        <f t="shared" si="150"/>
        <v>-2.1263326315729141</v>
      </c>
      <c r="BK152" s="46">
        <f t="shared" si="151"/>
        <v>-111.82927491623715</v>
      </c>
      <c r="BM152" s="49">
        <f t="shared" si="117"/>
        <v>5328.1004441529503</v>
      </c>
      <c r="BN152" s="50">
        <f t="shared" si="152"/>
        <v>4436.7050783134355</v>
      </c>
      <c r="BP152" s="68">
        <f>INDEX(Others!$H$11:$I$60, MATCH(C152, Others!$A$11:$A$60, 0), MATCH(BP$3, Others!$H$10:$I$10, 0))</f>
        <v>3.0518181818181667E-2</v>
      </c>
      <c r="BQ152" s="16">
        <f t="shared" si="153"/>
        <v>2.5082875760633616E-3</v>
      </c>
      <c r="BR152" s="69">
        <f t="shared" si="154"/>
        <v>0.69188563075300569</v>
      </c>
      <c r="BT152" s="46">
        <f t="shared" si="155"/>
        <v>4549.7955471200348</v>
      </c>
      <c r="BU152" s="49">
        <f t="shared" si="118"/>
        <v>135.81190690884571</v>
      </c>
      <c r="BV152" s="46">
        <f t="shared" si="156"/>
        <v>113.09046880659935</v>
      </c>
      <c r="BX152" s="46">
        <f t="shared" si="157"/>
        <v>5463.9123510617965</v>
      </c>
    </row>
    <row r="153" spans="1:76" x14ac:dyDescent="0.25">
      <c r="A153" s="61">
        <f t="shared" si="107"/>
        <v>12.333333333333352</v>
      </c>
      <c r="B153" s="32">
        <f t="shared" si="119"/>
        <v>4</v>
      </c>
      <c r="C153" s="62">
        <f t="shared" si="120"/>
        <v>13</v>
      </c>
      <c r="D153" s="64">
        <f t="shared" si="121"/>
        <v>12.833333333333352</v>
      </c>
      <c r="E153" s="28">
        <f t="shared" si="122"/>
        <v>12</v>
      </c>
      <c r="G153" s="68">
        <f>INDEX(Others!$D$11:$E$60, MATCH(C153, Others!$A$11:$A$60, 0), MATCH(G$3, Others!$D$10:$E$10, 0))</f>
        <v>4.0690909090908889E-2</v>
      </c>
      <c r="H153" s="16">
        <f t="shared" si="123"/>
        <v>3.329265421250005E-3</v>
      </c>
      <c r="I153" s="69">
        <f t="shared" si="124"/>
        <v>0.61145563249928259</v>
      </c>
      <c r="K153" s="80">
        <f>INDEX(Mortality!$B$7:$F$32, MATCH( E153,Mortality!$A$7:$A$32, 0), MATCH( K$3,Mortality!$B$6:$F$6,0))</f>
        <v>0.36499999999999999</v>
      </c>
      <c r="L153" s="11" cm="1">
        <f t="array" ref="L153">PAD_Res_Mort</f>
        <v>0.15</v>
      </c>
      <c r="M153" s="80">
        <f t="shared" si="125"/>
        <v>0.41974999999999996</v>
      </c>
      <c r="N153" s="76">
        <f>INDEX('Myopia_(Reserve)'!$H:$H, MATCH(E153, 'Myopia_(Reserve)'!$A:$A, 0)) * Trend_Factor_Reserve^(A153)</f>
        <v>26.22019498477632</v>
      </c>
      <c r="O153" s="11">
        <f t="shared" si="108"/>
        <v>0.3</v>
      </c>
      <c r="P153" s="80">
        <f t="shared" si="126"/>
        <v>34.086253480209216</v>
      </c>
      <c r="Q153" s="76">
        <f>VLOOKUP(C153,Others!$L$10:$M$61,2)</f>
        <v>0</v>
      </c>
      <c r="R153" s="11">
        <f t="shared" si="109"/>
        <v>0</v>
      </c>
      <c r="S153" s="80">
        <f t="shared" si="127"/>
        <v>0</v>
      </c>
      <c r="T153" s="78">
        <f t="shared" si="128"/>
        <v>3.4979166666666659E-5</v>
      </c>
      <c r="U153" s="81">
        <f t="shared" si="129"/>
        <v>2.8405211233507679E-3</v>
      </c>
      <c r="V153" s="81">
        <f t="shared" si="130"/>
        <v>0</v>
      </c>
      <c r="W153" s="77">
        <f t="shared" si="110"/>
        <v>0.83269921894626986</v>
      </c>
      <c r="X153" s="82">
        <f t="shared" si="131"/>
        <v>2.9085756656149229E-5</v>
      </c>
      <c r="Y153" s="82">
        <f t="shared" si="132"/>
        <v>2.3652583527079898E-3</v>
      </c>
      <c r="Z153" s="82">
        <f t="shared" si="133"/>
        <v>0</v>
      </c>
      <c r="AA153" s="82">
        <f t="shared" si="134"/>
        <v>0.83030487483690574</v>
      </c>
      <c r="AC153" s="46">
        <f t="shared" si="111"/>
        <v>0</v>
      </c>
      <c r="AD153" s="15">
        <f t="shared" si="135"/>
        <v>0</v>
      </c>
      <c r="AE153" s="46">
        <f t="shared" si="136"/>
        <v>0</v>
      </c>
      <c r="AF153" s="15">
        <f t="shared" si="137"/>
        <v>0</v>
      </c>
      <c r="AG153" s="46">
        <f>SUMPRODUCT(AE154:AE$605, $I153:$I$604) / $I153</f>
        <v>0</v>
      </c>
      <c r="AI153" s="46">
        <f t="shared" si="112"/>
        <v>-47000</v>
      </c>
      <c r="AJ153" s="46">
        <f>IF(E153&gt;Mat_Year,0,  -SUM($AD$5:AD153))</f>
        <v>-9306</v>
      </c>
      <c r="AK153" s="24">
        <f t="shared" si="138"/>
        <v>-0.27067205144212475</v>
      </c>
      <c r="AL153" s="79">
        <f t="shared" si="139"/>
        <v>-111.16714257727553</v>
      </c>
      <c r="AM153" s="24">
        <f t="shared" si="140"/>
        <v>-133.82721166681941</v>
      </c>
      <c r="AN153" s="79">
        <f t="shared" si="141"/>
        <v>-111.43781462871765</v>
      </c>
      <c r="AO153" s="15">
        <f t="shared" si="142"/>
        <v>-4992.9546966108492</v>
      </c>
      <c r="AP153" s="46">
        <f>SUMPRODUCT(AN154:AN$605, $I154:$I$605) / $I153</f>
        <v>-4157.6294761019635</v>
      </c>
      <c r="AR153" s="46">
        <v>0</v>
      </c>
      <c r="AS153" s="46">
        <v>0</v>
      </c>
      <c r="AT153" s="46">
        <v>0</v>
      </c>
      <c r="AU153" s="95">
        <f t="shared" si="113"/>
        <v>-2.3192119814489769</v>
      </c>
      <c r="AV153" s="47">
        <f t="shared" si="114"/>
        <v>0.1</v>
      </c>
      <c r="AW153" s="96">
        <f t="shared" si="143"/>
        <v>-2.551133179593875</v>
      </c>
      <c r="AX153" s="95">
        <f t="shared" si="115"/>
        <v>-26.593630720614932</v>
      </c>
      <c r="AY153" s="11">
        <f t="shared" si="116"/>
        <v>0.1</v>
      </c>
      <c r="AZ153" s="96">
        <f t="shared" si="144"/>
        <v>-29.252993792676428</v>
      </c>
      <c r="BA153" s="95">
        <f t="shared" si="145"/>
        <v>-2.1243266060757335</v>
      </c>
      <c r="BB153" s="64">
        <f t="shared" si="146"/>
        <v>-7.0041733368760531E-2</v>
      </c>
      <c r="BC153" s="95">
        <f t="shared" si="158"/>
        <v>-2.551133179593875</v>
      </c>
      <c r="BD153" s="96">
        <f t="shared" si="158"/>
        <v>-8.4114085584701376E-2</v>
      </c>
      <c r="BE153" s="96">
        <f t="shared" si="147"/>
        <v>-2.1243266060757335</v>
      </c>
      <c r="BF153" s="96">
        <f t="shared" si="148"/>
        <v>-7.0041733368760531E-2</v>
      </c>
      <c r="BG153" s="15">
        <f t="shared" si="149"/>
        <v>-216.41345578028987</v>
      </c>
      <c r="BH153" s="46">
        <f>(SUMPRODUCT(BE154:BE$605,$I153:$I$604)+SUMPRODUCT(BF154:BF$605,$I154:$I$605)) / $I153</f>
        <v>-180.20731559771048</v>
      </c>
      <c r="BJ153" s="46">
        <f t="shared" si="150"/>
        <v>-2.1243266060757335</v>
      </c>
      <c r="BK153" s="46">
        <f t="shared" si="151"/>
        <v>-111.5078563620864</v>
      </c>
      <c r="BM153" s="49">
        <f t="shared" si="117"/>
        <v>5224.3903693227649</v>
      </c>
      <c r="BN153" s="50">
        <f t="shared" si="152"/>
        <v>4337.836791699674</v>
      </c>
      <c r="BP153" s="68">
        <f>INDEX(Others!$H$11:$I$60, MATCH(C153, Others!$A$11:$A$60, 0), MATCH(BP$3, Others!$H$10:$I$10, 0))</f>
        <v>3.0518181818181667E-2</v>
      </c>
      <c r="BQ153" s="16">
        <f t="shared" si="153"/>
        <v>2.5082875760633616E-3</v>
      </c>
      <c r="BR153" s="69">
        <f t="shared" si="154"/>
        <v>0.69015452473305383</v>
      </c>
      <c r="BT153" s="46">
        <f t="shared" si="155"/>
        <v>4447.5702313743086</v>
      </c>
      <c r="BU153" s="49">
        <f t="shared" si="118"/>
        <v>132.16041842002821</v>
      </c>
      <c r="BV153" s="46">
        <f t="shared" si="156"/>
        <v>109.73343967463461</v>
      </c>
      <c r="BX153" s="46">
        <f t="shared" si="157"/>
        <v>5356.5507877427926</v>
      </c>
    </row>
    <row r="154" spans="1:76" x14ac:dyDescent="0.25">
      <c r="A154" s="61">
        <f t="shared" si="107"/>
        <v>12.416666666666686</v>
      </c>
      <c r="B154" s="32">
        <f t="shared" si="119"/>
        <v>5</v>
      </c>
      <c r="C154" s="62">
        <f t="shared" si="120"/>
        <v>13</v>
      </c>
      <c r="D154" s="64">
        <f t="shared" si="121"/>
        <v>12.916666666666686</v>
      </c>
      <c r="E154" s="28">
        <f t="shared" si="122"/>
        <v>12</v>
      </c>
      <c r="G154" s="68">
        <f>INDEX(Others!$D$11:$E$60, MATCH(C154, Others!$A$11:$A$60, 0), MATCH(G$3, Others!$D$10:$E$10, 0))</f>
        <v>4.0690909090908889E-2</v>
      </c>
      <c r="H154" s="16">
        <f t="shared" si="123"/>
        <v>3.329265421250005E-3</v>
      </c>
      <c r="I154" s="69">
        <f t="shared" si="124"/>
        <v>0.60942668929582311</v>
      </c>
      <c r="K154" s="80">
        <f>INDEX(Mortality!$B$7:$F$32, MATCH( E154,Mortality!$A$7:$A$32, 0), MATCH( K$3,Mortality!$B$6:$F$6,0))</f>
        <v>0.36499999999999999</v>
      </c>
      <c r="L154" s="11" cm="1">
        <f t="array" ref="L154">PAD_Res_Mort</f>
        <v>0.15</v>
      </c>
      <c r="M154" s="80">
        <f t="shared" si="125"/>
        <v>0.41974999999999996</v>
      </c>
      <c r="N154" s="76">
        <f>INDEX('Myopia_(Reserve)'!$H:$H, MATCH(E154, 'Myopia_(Reserve)'!$A:$A, 0)) * Trend_Factor_Reserve^(A154)</f>
        <v>26.22019498477632</v>
      </c>
      <c r="O154" s="11">
        <f t="shared" si="108"/>
        <v>0.3</v>
      </c>
      <c r="P154" s="80">
        <f t="shared" si="126"/>
        <v>34.086253480209216</v>
      </c>
      <c r="Q154" s="76">
        <f>VLOOKUP(C154,Others!$L$10:$M$61,2)</f>
        <v>0</v>
      </c>
      <c r="R154" s="11">
        <f t="shared" si="109"/>
        <v>0</v>
      </c>
      <c r="S154" s="80">
        <f t="shared" si="127"/>
        <v>0</v>
      </c>
      <c r="T154" s="78">
        <f t="shared" si="128"/>
        <v>3.4979166666666659E-5</v>
      </c>
      <c r="U154" s="81">
        <f t="shared" si="129"/>
        <v>2.8405211233507679E-3</v>
      </c>
      <c r="V154" s="81">
        <f t="shared" si="130"/>
        <v>0</v>
      </c>
      <c r="W154" s="77">
        <f t="shared" si="110"/>
        <v>0.83030487483690574</v>
      </c>
      <c r="X154" s="82">
        <f t="shared" si="131"/>
        <v>2.9002123444382589E-5</v>
      </c>
      <c r="Y154" s="82">
        <f t="shared" si="132"/>
        <v>2.3584572866386629E-3</v>
      </c>
      <c r="Z154" s="82">
        <f t="shared" si="133"/>
        <v>0</v>
      </c>
      <c r="AA154" s="82">
        <f t="shared" si="134"/>
        <v>0.82791741542682273</v>
      </c>
      <c r="AC154" s="46">
        <f t="shared" si="111"/>
        <v>0</v>
      </c>
      <c r="AD154" s="15">
        <f t="shared" si="135"/>
        <v>0</v>
      </c>
      <c r="AE154" s="46">
        <f t="shared" si="136"/>
        <v>0</v>
      </c>
      <c r="AF154" s="15">
        <f t="shared" si="137"/>
        <v>0</v>
      </c>
      <c r="AG154" s="46">
        <f>SUMPRODUCT(AE155:AE$605, $I154:$I$604) / $I154</f>
        <v>0</v>
      </c>
      <c r="AI154" s="46">
        <f t="shared" si="112"/>
        <v>-47000</v>
      </c>
      <c r="AJ154" s="46">
        <f>IF(E154&gt;Mat_Year,0,  -SUM($AD$5:AD154))</f>
        <v>-9306</v>
      </c>
      <c r="AK154" s="24">
        <f t="shared" si="138"/>
        <v>-0.26989376077342436</v>
      </c>
      <c r="AL154" s="79">
        <f t="shared" si="139"/>
        <v>-110.84749247201715</v>
      </c>
      <c r="AM154" s="24">
        <f t="shared" si="140"/>
        <v>-133.82721166681941</v>
      </c>
      <c r="AN154" s="79">
        <f t="shared" si="141"/>
        <v>-111.11738623279058</v>
      </c>
      <c r="AO154" s="15">
        <f t="shared" si="142"/>
        <v>-4890.1964386465779</v>
      </c>
      <c r="AP154" s="46">
        <f>SUMPRODUCT(AN155:AN$605, $I155:$I$605) / $I154</f>
        <v>-4060.3539419183294</v>
      </c>
      <c r="AR154" s="46">
        <v>0</v>
      </c>
      <c r="AS154" s="46">
        <v>0</v>
      </c>
      <c r="AT154" s="46">
        <v>0</v>
      </c>
      <c r="AU154" s="95">
        <f t="shared" si="113"/>
        <v>-2.3237055748191633</v>
      </c>
      <c r="AV154" s="47">
        <f t="shared" si="114"/>
        <v>0.1</v>
      </c>
      <c r="AW154" s="96">
        <f t="shared" si="143"/>
        <v>-2.5560761323010799</v>
      </c>
      <c r="AX154" s="95">
        <f t="shared" si="115"/>
        <v>-26.645157257926403</v>
      </c>
      <c r="AY154" s="11">
        <f t="shared" si="116"/>
        <v>0.1</v>
      </c>
      <c r="AZ154" s="96">
        <f t="shared" si="144"/>
        <v>-29.309672983719047</v>
      </c>
      <c r="BA154" s="95">
        <f t="shared" si="145"/>
        <v>-2.1223224731038504</v>
      </c>
      <c r="BB154" s="64">
        <f t="shared" si="146"/>
        <v>-6.9975654571436854E-2</v>
      </c>
      <c r="BC154" s="95">
        <f t="shared" si="158"/>
        <v>-2.5560761323010799</v>
      </c>
      <c r="BD154" s="96">
        <f t="shared" si="158"/>
        <v>-8.4277060983391147E-2</v>
      </c>
      <c r="BE154" s="96">
        <f t="shared" si="147"/>
        <v>-2.1223224731038504</v>
      </c>
      <c r="BF154" s="96">
        <f t="shared" si="148"/>
        <v>-6.9975654571436854E-2</v>
      </c>
      <c r="BG154" s="15">
        <f t="shared" si="149"/>
        <v>-215.1112381638996</v>
      </c>
      <c r="BH154" s="46">
        <f>(SUMPRODUCT(BE155:BE$605,$I154:$I$604)+SUMPRODUCT(BF155:BF$605,$I155:$I$605)) / $I154</f>
        <v>-178.60790967968848</v>
      </c>
      <c r="BJ154" s="46">
        <f t="shared" si="150"/>
        <v>-2.1223224731038504</v>
      </c>
      <c r="BK154" s="46">
        <f t="shared" si="151"/>
        <v>-111.18736188736202</v>
      </c>
      <c r="BM154" s="49">
        <f t="shared" si="117"/>
        <v>5120.0298153079339</v>
      </c>
      <c r="BN154" s="50">
        <f t="shared" si="152"/>
        <v>4238.9618515980173</v>
      </c>
      <c r="BP154" s="68">
        <f>INDEX(Others!$H$11:$I$60, MATCH(C154, Others!$A$11:$A$60, 0), MATCH(BP$3, Others!$H$10:$I$10, 0))</f>
        <v>3.0518181818181667E-2</v>
      </c>
      <c r="BQ154" s="16">
        <f t="shared" si="153"/>
        <v>2.5082875760633616E-3</v>
      </c>
      <c r="BR154" s="69">
        <f t="shared" si="154"/>
        <v>0.68842774996080991</v>
      </c>
      <c r="BT154" s="46">
        <f t="shared" si="155"/>
        <v>4345.4110087737763</v>
      </c>
      <c r="BU154" s="49">
        <f t="shared" si="118"/>
        <v>128.57460803730092</v>
      </c>
      <c r="BV154" s="46">
        <f t="shared" si="156"/>
        <v>106.44915717575896</v>
      </c>
      <c r="BX154" s="46">
        <f t="shared" si="157"/>
        <v>5248.6044233452349</v>
      </c>
    </row>
    <row r="155" spans="1:76" x14ac:dyDescent="0.25">
      <c r="A155" s="61">
        <f t="shared" si="107"/>
        <v>12.50000000000002</v>
      </c>
      <c r="B155" s="32">
        <f t="shared" si="119"/>
        <v>6</v>
      </c>
      <c r="C155" s="62">
        <f t="shared" si="120"/>
        <v>13</v>
      </c>
      <c r="D155" s="64">
        <f t="shared" si="121"/>
        <v>13.00000000000002</v>
      </c>
      <c r="E155" s="28">
        <f t="shared" si="122"/>
        <v>13</v>
      </c>
      <c r="G155" s="68">
        <f>INDEX(Others!$D$11:$E$60, MATCH(C155, Others!$A$11:$A$60, 0), MATCH(G$3, Others!$D$10:$E$10, 0))</f>
        <v>4.0690909090908889E-2</v>
      </c>
      <c r="H155" s="16">
        <f t="shared" si="123"/>
        <v>3.329265421250005E-3</v>
      </c>
      <c r="I155" s="69">
        <f t="shared" si="124"/>
        <v>0.60740447856861224</v>
      </c>
      <c r="K155" s="80">
        <f>INDEX(Mortality!$B$7:$F$32, MATCH( E155,Mortality!$A$7:$A$32, 0), MATCH( K$3,Mortality!$B$6:$F$6,0))</f>
        <v>0.371</v>
      </c>
      <c r="L155" s="11" cm="1">
        <f t="array" ref="L155">PAD_Res_Mort</f>
        <v>0.15</v>
      </c>
      <c r="M155" s="80">
        <f t="shared" si="125"/>
        <v>0.42664999999999997</v>
      </c>
      <c r="N155" s="76">
        <f>INDEX('Myopia_(Reserve)'!$H:$H, MATCH(E155, 'Myopia_(Reserve)'!$A:$A, 0)) * Trend_Factor_Reserve^(A155)</f>
        <v>22.773501315763465</v>
      </c>
      <c r="O155" s="11">
        <f t="shared" si="108"/>
        <v>0.3</v>
      </c>
      <c r="P155" s="80">
        <f t="shared" si="126"/>
        <v>29.605551710492506</v>
      </c>
      <c r="Q155" s="76">
        <f>VLOOKUP(C155,Others!$L$10:$M$61,2)</f>
        <v>0</v>
      </c>
      <c r="R155" s="11">
        <f t="shared" si="109"/>
        <v>0</v>
      </c>
      <c r="S155" s="80">
        <f t="shared" si="127"/>
        <v>0</v>
      </c>
      <c r="T155" s="78">
        <f t="shared" si="128"/>
        <v>3.5554166666666666E-5</v>
      </c>
      <c r="U155" s="81">
        <f t="shared" si="129"/>
        <v>2.4671293092077087E-3</v>
      </c>
      <c r="V155" s="81">
        <f t="shared" si="130"/>
        <v>0</v>
      </c>
      <c r="W155" s="77">
        <f t="shared" si="110"/>
        <v>0.82791741542682273</v>
      </c>
      <c r="X155" s="82">
        <f t="shared" si="131"/>
        <v>2.9399602671513187E-5</v>
      </c>
      <c r="Y155" s="82">
        <f t="shared" si="132"/>
        <v>2.042543010100201E-3</v>
      </c>
      <c r="Z155" s="82">
        <f t="shared" si="133"/>
        <v>0</v>
      </c>
      <c r="AA155" s="82">
        <f t="shared" si="134"/>
        <v>0.82584547281405107</v>
      </c>
      <c r="AC155" s="46">
        <f t="shared" si="111"/>
        <v>0</v>
      </c>
      <c r="AD155" s="15">
        <f t="shared" si="135"/>
        <v>0</v>
      </c>
      <c r="AE155" s="46">
        <f t="shared" si="136"/>
        <v>0</v>
      </c>
      <c r="AF155" s="15">
        <f t="shared" si="137"/>
        <v>0</v>
      </c>
      <c r="AG155" s="46">
        <f>SUMPRODUCT(AE156:AE$605, $I155:$I$604) / $I155</f>
        <v>0</v>
      </c>
      <c r="AI155" s="46">
        <f t="shared" si="112"/>
        <v>-47000</v>
      </c>
      <c r="AJ155" s="46">
        <f>IF(E155&gt;Mat_Year,0,  -SUM($AD$5:AD155))</f>
        <v>-9306</v>
      </c>
      <c r="AK155" s="24">
        <f t="shared" si="138"/>
        <v>-0.27359270246110173</v>
      </c>
      <c r="AL155" s="79">
        <f t="shared" si="139"/>
        <v>-95.999521474709454</v>
      </c>
      <c r="AM155" s="24">
        <f t="shared" si="140"/>
        <v>-116.28347511875701</v>
      </c>
      <c r="AN155" s="79">
        <f t="shared" si="141"/>
        <v>-96.273114177170555</v>
      </c>
      <c r="AO155" s="15">
        <f t="shared" si="142"/>
        <v>-4804.3424979379388</v>
      </c>
      <c r="AP155" s="46">
        <f>SUMPRODUCT(AN156:AN$605, $I156:$I$605) / $I155</f>
        <v>-3977.5988237180241</v>
      </c>
      <c r="AR155" s="46">
        <v>0</v>
      </c>
      <c r="AS155" s="46">
        <v>0</v>
      </c>
      <c r="AT155" s="46">
        <v>0</v>
      </c>
      <c r="AU155" s="95">
        <f t="shared" si="113"/>
        <v>-2.3282078747593138</v>
      </c>
      <c r="AV155" s="47">
        <f t="shared" si="114"/>
        <v>0.1</v>
      </c>
      <c r="AW155" s="96">
        <f t="shared" si="143"/>
        <v>-2.5610286622352452</v>
      </c>
      <c r="AX155" s="95">
        <f t="shared" si="115"/>
        <v>-26.69678363057346</v>
      </c>
      <c r="AY155" s="11">
        <f t="shared" si="116"/>
        <v>0.1</v>
      </c>
      <c r="AZ155" s="96">
        <f t="shared" si="144"/>
        <v>-29.366461993630807</v>
      </c>
      <c r="BA155" s="95">
        <f t="shared" si="145"/>
        <v>-2.1203202308718176</v>
      </c>
      <c r="BB155" s="64">
        <f t="shared" si="146"/>
        <v>-6.0845623990944661E-2</v>
      </c>
      <c r="BC155" s="95">
        <f t="shared" si="158"/>
        <v>-2.5610286622352452</v>
      </c>
      <c r="BD155" s="96">
        <f t="shared" si="158"/>
        <v>-7.3492383246433396E-2</v>
      </c>
      <c r="BE155" s="96">
        <f t="shared" si="147"/>
        <v>-2.1203202308718176</v>
      </c>
      <c r="BF155" s="96">
        <f t="shared" si="148"/>
        <v>-6.0845623990944661E-2</v>
      </c>
      <c r="BG155" s="15">
        <f t="shared" si="149"/>
        <v>-213.80673308146305</v>
      </c>
      <c r="BH155" s="46">
        <f>(SUMPRODUCT(BE156:BE$605,$I155:$I$604)+SUMPRODUCT(BF156:BF$605,$I156:$I$605)) / $I155</f>
        <v>-177.01431785365745</v>
      </c>
      <c r="BJ155" s="46">
        <f t="shared" si="150"/>
        <v>-2.1203202308718176</v>
      </c>
      <c r="BK155" s="46">
        <f t="shared" si="151"/>
        <v>-96.333959801161498</v>
      </c>
      <c r="BM155" s="49">
        <f t="shared" si="117"/>
        <v>5030.7391374501622</v>
      </c>
      <c r="BN155" s="50">
        <f t="shared" si="152"/>
        <v>4154.6131415716809</v>
      </c>
      <c r="BP155" s="68">
        <f>INDEX(Others!$H$11:$I$60, MATCH(C155, Others!$A$11:$A$60, 0), MATCH(BP$3, Others!$H$10:$I$10, 0))</f>
        <v>3.0518181818181667E-2</v>
      </c>
      <c r="BQ155" s="16">
        <f t="shared" si="153"/>
        <v>2.5082875760633616E-3</v>
      </c>
      <c r="BR155" s="69">
        <f t="shared" si="154"/>
        <v>0.68670529559944093</v>
      </c>
      <c r="BT155" s="46">
        <f t="shared" si="155"/>
        <v>4257.8509508150464</v>
      </c>
      <c r="BU155" s="49">
        <f t="shared" si="118"/>
        <v>125.0086276934895</v>
      </c>
      <c r="BV155" s="46">
        <f t="shared" si="156"/>
        <v>103.23780924336552</v>
      </c>
      <c r="BX155" s="46">
        <f t="shared" si="157"/>
        <v>5155.747765143652</v>
      </c>
    </row>
    <row r="156" spans="1:76" x14ac:dyDescent="0.25">
      <c r="A156" s="61">
        <f t="shared" si="107"/>
        <v>12.583333333333353</v>
      </c>
      <c r="B156" s="32">
        <f t="shared" si="119"/>
        <v>7</v>
      </c>
      <c r="C156" s="62">
        <f t="shared" si="120"/>
        <v>13</v>
      </c>
      <c r="D156" s="64">
        <f t="shared" si="121"/>
        <v>13.083333333333353</v>
      </c>
      <c r="E156" s="28">
        <f t="shared" si="122"/>
        <v>13</v>
      </c>
      <c r="G156" s="68">
        <f>INDEX(Others!$D$11:$E$60, MATCH(C156, Others!$A$11:$A$60, 0), MATCH(G$3, Others!$D$10:$E$10, 0))</f>
        <v>4.0690909090908889E-2</v>
      </c>
      <c r="H156" s="16">
        <f t="shared" si="123"/>
        <v>3.329265421250005E-3</v>
      </c>
      <c r="I156" s="69">
        <f t="shared" si="124"/>
        <v>0.60538897797782476</v>
      </c>
      <c r="K156" s="80">
        <f>INDEX(Mortality!$B$7:$F$32, MATCH( E156,Mortality!$A$7:$A$32, 0), MATCH( K$3,Mortality!$B$6:$F$6,0))</f>
        <v>0.371</v>
      </c>
      <c r="L156" s="11" cm="1">
        <f t="array" ref="L156">PAD_Res_Mort</f>
        <v>0.15</v>
      </c>
      <c r="M156" s="80">
        <f t="shared" si="125"/>
        <v>0.42664999999999997</v>
      </c>
      <c r="N156" s="76">
        <f>INDEX('Myopia_(Reserve)'!$H:$H, MATCH(E156, 'Myopia_(Reserve)'!$A:$A, 0)) * Trend_Factor_Reserve^(A156)</f>
        <v>22.773501315763465</v>
      </c>
      <c r="O156" s="11">
        <f t="shared" si="108"/>
        <v>0.3</v>
      </c>
      <c r="P156" s="80">
        <f t="shared" si="126"/>
        <v>29.605551710492506</v>
      </c>
      <c r="Q156" s="76">
        <f>VLOOKUP(C156,Others!$L$10:$M$61,2)</f>
        <v>0</v>
      </c>
      <c r="R156" s="11">
        <f t="shared" si="109"/>
        <v>0</v>
      </c>
      <c r="S156" s="80">
        <f t="shared" si="127"/>
        <v>0</v>
      </c>
      <c r="T156" s="78">
        <f t="shared" si="128"/>
        <v>3.5554166666666666E-5</v>
      </c>
      <c r="U156" s="81">
        <f t="shared" si="129"/>
        <v>2.4671293092077087E-3</v>
      </c>
      <c r="V156" s="81">
        <f t="shared" si="130"/>
        <v>0</v>
      </c>
      <c r="W156" s="77">
        <f t="shared" si="110"/>
        <v>0.82584547281405107</v>
      </c>
      <c r="X156" s="82">
        <f t="shared" si="131"/>
        <v>2.9326027350546832E-5</v>
      </c>
      <c r="Y156" s="82">
        <f t="shared" si="132"/>
        <v>2.0374313506252473E-3</v>
      </c>
      <c r="Z156" s="82">
        <f t="shared" si="133"/>
        <v>0</v>
      </c>
      <c r="AA156" s="82">
        <f t="shared" si="134"/>
        <v>0.82377871543607528</v>
      </c>
      <c r="AC156" s="46">
        <f t="shared" si="111"/>
        <v>0</v>
      </c>
      <c r="AD156" s="15">
        <f t="shared" si="135"/>
        <v>0</v>
      </c>
      <c r="AE156" s="46">
        <f t="shared" si="136"/>
        <v>0</v>
      </c>
      <c r="AF156" s="15">
        <f t="shared" si="137"/>
        <v>0</v>
      </c>
      <c r="AG156" s="46">
        <f>SUMPRODUCT(AE157:AE$605, $I156:$I$604) / $I156</f>
        <v>0</v>
      </c>
      <c r="AI156" s="46">
        <f t="shared" si="112"/>
        <v>-47000</v>
      </c>
      <c r="AJ156" s="46">
        <f>IF(E156&gt;Mat_Year,0,  -SUM($AD$5:AD156))</f>
        <v>-9306</v>
      </c>
      <c r="AK156" s="24">
        <f t="shared" si="138"/>
        <v>-0.27290801052418884</v>
      </c>
      <c r="AL156" s="79">
        <f t="shared" si="139"/>
        <v>-95.759273479386621</v>
      </c>
      <c r="AM156" s="24">
        <f t="shared" si="140"/>
        <v>-116.283475118757</v>
      </c>
      <c r="AN156" s="79">
        <f t="shared" si="141"/>
        <v>-96.032181489910812</v>
      </c>
      <c r="AO156" s="15">
        <f t="shared" si="142"/>
        <v>-4716.1475756233676</v>
      </c>
      <c r="AP156" s="46">
        <f>SUMPRODUCT(AN157:AN$605, $I157:$I$605) / $I156</f>
        <v>-3894.8091244515208</v>
      </c>
      <c r="AR156" s="46">
        <v>0</v>
      </c>
      <c r="AS156" s="46">
        <v>0</v>
      </c>
      <c r="AT156" s="46">
        <v>0</v>
      </c>
      <c r="AU156" s="95">
        <f t="shared" si="113"/>
        <v>-2.3327188981388574</v>
      </c>
      <c r="AV156" s="47">
        <f t="shared" si="114"/>
        <v>0.1</v>
      </c>
      <c r="AW156" s="96">
        <f t="shared" si="143"/>
        <v>-2.5659907879527433</v>
      </c>
      <c r="AX156" s="95">
        <f t="shared" si="115"/>
        <v>-26.748510031992229</v>
      </c>
      <c r="AY156" s="11">
        <f t="shared" si="116"/>
        <v>0.1</v>
      </c>
      <c r="AZ156" s="96">
        <f t="shared" si="144"/>
        <v>-29.423361035191455</v>
      </c>
      <c r="BA156" s="95">
        <f t="shared" si="145"/>
        <v>-2.1191118755133327</v>
      </c>
      <c r="BB156" s="64">
        <f t="shared" si="146"/>
        <v>-6.0810948504327438E-2</v>
      </c>
      <c r="BC156" s="95">
        <f t="shared" si="158"/>
        <v>-2.5659907879527433</v>
      </c>
      <c r="BD156" s="96">
        <f t="shared" si="158"/>
        <v>-7.3634778546542629E-2</v>
      </c>
      <c r="BE156" s="96">
        <f t="shared" si="147"/>
        <v>-2.1191118755133327</v>
      </c>
      <c r="BF156" s="96">
        <f t="shared" si="148"/>
        <v>-6.0810948504327438E-2</v>
      </c>
      <c r="BG156" s="15">
        <f t="shared" si="149"/>
        <v>-212.40858413077763</v>
      </c>
      <c r="BH156" s="46">
        <f>(SUMPRODUCT(BE157:BE$605,$I156:$I$604)+SUMPRODUCT(BF157:BF$605,$I157:$I$605)) / $I156</f>
        <v>-175.41666759124519</v>
      </c>
      <c r="BJ156" s="46">
        <f t="shared" si="150"/>
        <v>-2.1191118755133327</v>
      </c>
      <c r="BK156" s="46">
        <f t="shared" si="151"/>
        <v>-96.092992438415138</v>
      </c>
      <c r="BM156" s="49">
        <f t="shared" si="117"/>
        <v>4940.9212884168219</v>
      </c>
      <c r="BN156" s="50">
        <f t="shared" si="152"/>
        <v>4070.2257920427674</v>
      </c>
      <c r="BP156" s="68">
        <f>INDEX(Others!$H$11:$I$60, MATCH(C156, Others!$A$11:$A$60, 0), MATCH(BP$3, Others!$H$10:$I$10, 0))</f>
        <v>3.0518181818181667E-2</v>
      </c>
      <c r="BQ156" s="16">
        <f t="shared" si="153"/>
        <v>2.5082875760633616E-3</v>
      </c>
      <c r="BR156" s="69">
        <f t="shared" si="154"/>
        <v>0.6849871508392279</v>
      </c>
      <c r="BT156" s="46">
        <f t="shared" si="155"/>
        <v>4170.3134457997867</v>
      </c>
      <c r="BU156" s="49">
        <f t="shared" si="118"/>
        <v>121.49822747488317</v>
      </c>
      <c r="BV156" s="46">
        <f t="shared" si="156"/>
        <v>100.08765375701932</v>
      </c>
      <c r="BX156" s="46">
        <f t="shared" si="157"/>
        <v>5062.4195158917055</v>
      </c>
    </row>
    <row r="157" spans="1:76" x14ac:dyDescent="0.25">
      <c r="A157" s="61">
        <f t="shared" si="107"/>
        <v>12.666666666666687</v>
      </c>
      <c r="B157" s="32">
        <f t="shared" si="119"/>
        <v>8</v>
      </c>
      <c r="C157" s="62">
        <f t="shared" si="120"/>
        <v>13</v>
      </c>
      <c r="D157" s="64">
        <f t="shared" si="121"/>
        <v>13.166666666666687</v>
      </c>
      <c r="E157" s="28">
        <f t="shared" si="122"/>
        <v>13</v>
      </c>
      <c r="G157" s="68">
        <f>INDEX(Others!$D$11:$E$60, MATCH(C157, Others!$A$11:$A$60, 0), MATCH(G$3, Others!$D$10:$E$10, 0))</f>
        <v>4.0690909090908889E-2</v>
      </c>
      <c r="H157" s="16">
        <f t="shared" si="123"/>
        <v>3.329265421250005E-3</v>
      </c>
      <c r="I157" s="69">
        <f t="shared" si="124"/>
        <v>0.60338016525776395</v>
      </c>
      <c r="K157" s="80">
        <f>INDEX(Mortality!$B$7:$F$32, MATCH( E157,Mortality!$A$7:$A$32, 0), MATCH( K$3,Mortality!$B$6:$F$6,0))</f>
        <v>0.371</v>
      </c>
      <c r="L157" s="11" cm="1">
        <f t="array" ref="L157">PAD_Res_Mort</f>
        <v>0.15</v>
      </c>
      <c r="M157" s="80">
        <f t="shared" si="125"/>
        <v>0.42664999999999997</v>
      </c>
      <c r="N157" s="76">
        <f>INDEX('Myopia_(Reserve)'!$H:$H, MATCH(E157, 'Myopia_(Reserve)'!$A:$A, 0)) * Trend_Factor_Reserve^(A157)</f>
        <v>22.773501315763465</v>
      </c>
      <c r="O157" s="11">
        <f t="shared" si="108"/>
        <v>0.3</v>
      </c>
      <c r="P157" s="80">
        <f t="shared" si="126"/>
        <v>29.605551710492506</v>
      </c>
      <c r="Q157" s="76">
        <f>VLOOKUP(C157,Others!$L$10:$M$61,2)</f>
        <v>0</v>
      </c>
      <c r="R157" s="11">
        <f t="shared" si="109"/>
        <v>0</v>
      </c>
      <c r="S157" s="80">
        <f t="shared" si="127"/>
        <v>0</v>
      </c>
      <c r="T157" s="78">
        <f t="shared" si="128"/>
        <v>3.5554166666666666E-5</v>
      </c>
      <c r="U157" s="81">
        <f t="shared" si="129"/>
        <v>2.4671293092077087E-3</v>
      </c>
      <c r="V157" s="81">
        <f t="shared" si="130"/>
        <v>0</v>
      </c>
      <c r="W157" s="77">
        <f t="shared" si="110"/>
        <v>0.82377871543607528</v>
      </c>
      <c r="X157" s="82">
        <f t="shared" si="131"/>
        <v>2.9252636158866705E-5</v>
      </c>
      <c r="Y157" s="82">
        <f t="shared" si="132"/>
        <v>2.0323324835676182E-3</v>
      </c>
      <c r="Z157" s="82">
        <f t="shared" si="133"/>
        <v>0</v>
      </c>
      <c r="AA157" s="82">
        <f t="shared" si="134"/>
        <v>0.82171713031634874</v>
      </c>
      <c r="AC157" s="46">
        <f t="shared" si="111"/>
        <v>0</v>
      </c>
      <c r="AD157" s="15">
        <f t="shared" si="135"/>
        <v>0</v>
      </c>
      <c r="AE157" s="46">
        <f t="shared" si="136"/>
        <v>0</v>
      </c>
      <c r="AF157" s="15">
        <f t="shared" si="137"/>
        <v>0</v>
      </c>
      <c r="AG157" s="46">
        <f>SUMPRODUCT(AE158:AE$605, $I157:$I$604) / $I157</f>
        <v>0</v>
      </c>
      <c r="AI157" s="46">
        <f t="shared" si="112"/>
        <v>-47000</v>
      </c>
      <c r="AJ157" s="46">
        <f>IF(E157&gt;Mat_Year,0,  -SUM($AD$5:AD157))</f>
        <v>-9306</v>
      </c>
      <c r="AK157" s="24">
        <f t="shared" si="138"/>
        <v>-0.27222503209441357</v>
      </c>
      <c r="AL157" s="79">
        <f t="shared" si="139"/>
        <v>-95.519626727678059</v>
      </c>
      <c r="AM157" s="24">
        <f t="shared" si="140"/>
        <v>-116.28347511875701</v>
      </c>
      <c r="AN157" s="79">
        <f t="shared" si="141"/>
        <v>-95.79185175977247</v>
      </c>
      <c r="AO157" s="15">
        <f t="shared" si="142"/>
        <v>-4627.4370223491924</v>
      </c>
      <c r="AP157" s="46">
        <f>SUMPRODUCT(AN158:AN$605, $I158:$I$605) / $I157</f>
        <v>-3811.9841260321546</v>
      </c>
      <c r="AR157" s="46">
        <v>0</v>
      </c>
      <c r="AS157" s="46">
        <v>0</v>
      </c>
      <c r="AT157" s="46">
        <v>0</v>
      </c>
      <c r="AU157" s="95">
        <f t="shared" si="113"/>
        <v>-2.3372386618599106</v>
      </c>
      <c r="AV157" s="47">
        <f t="shared" si="114"/>
        <v>0.1</v>
      </c>
      <c r="AW157" s="96">
        <f t="shared" si="143"/>
        <v>-2.5709625280459019</v>
      </c>
      <c r="AX157" s="95">
        <f t="shared" si="115"/>
        <v>-26.80033665599364</v>
      </c>
      <c r="AY157" s="11">
        <f t="shared" si="116"/>
        <v>0.1</v>
      </c>
      <c r="AZ157" s="96">
        <f t="shared" si="144"/>
        <v>-29.480370321593007</v>
      </c>
      <c r="BA157" s="95">
        <f t="shared" si="145"/>
        <v>-2.1179042087879378</v>
      </c>
      <c r="BB157" s="64">
        <f t="shared" si="146"/>
        <v>-6.0776292779022439E-2</v>
      </c>
      <c r="BC157" s="95">
        <f t="shared" si="158"/>
        <v>-2.5709625280459019</v>
      </c>
      <c r="BD157" s="96">
        <f t="shared" si="158"/>
        <v>-7.3777449744923201E-2</v>
      </c>
      <c r="BE157" s="96">
        <f t="shared" si="147"/>
        <v>-2.1179042087879378</v>
      </c>
      <c r="BF157" s="96">
        <f t="shared" si="148"/>
        <v>-6.0776292779022439E-2</v>
      </c>
      <c r="BG157" s="15">
        <f t="shared" si="149"/>
        <v>-210.99712994908137</v>
      </c>
      <c r="BH157" s="46">
        <f>(SUMPRODUCT(BE158:BE$605,$I157:$I$604)+SUMPRODUCT(BF158:BF$605,$I158:$I$605)) / $I157</f>
        <v>-173.8149446701529</v>
      </c>
      <c r="BJ157" s="46">
        <f t="shared" si="150"/>
        <v>-2.1179042087879378</v>
      </c>
      <c r="BK157" s="46">
        <f t="shared" si="151"/>
        <v>-95.852628052551495</v>
      </c>
      <c r="BM157" s="49">
        <f t="shared" si="117"/>
        <v>4850.5731761583638</v>
      </c>
      <c r="BN157" s="50">
        <f t="shared" si="152"/>
        <v>3985.7990707023082</v>
      </c>
      <c r="BP157" s="68">
        <f>INDEX(Others!$H$11:$I$60, MATCH(C157, Others!$A$11:$A$60, 0), MATCH(BP$3, Others!$H$10:$I$10, 0))</f>
        <v>3.0518181818181667E-2</v>
      </c>
      <c r="BQ157" s="16">
        <f t="shared" si="153"/>
        <v>2.5082875760633616E-3</v>
      </c>
      <c r="BR157" s="69">
        <f t="shared" si="154"/>
        <v>0.68327330489749771</v>
      </c>
      <c r="BT157" s="46">
        <f t="shared" si="155"/>
        <v>4082.7979466300226</v>
      </c>
      <c r="BU157" s="49">
        <f t="shared" si="118"/>
        <v>118.04412047534079</v>
      </c>
      <c r="BV157" s="46">
        <f t="shared" si="156"/>
        <v>96.99887592771438</v>
      </c>
      <c r="BX157" s="46">
        <f t="shared" si="157"/>
        <v>4968.6172966337044</v>
      </c>
    </row>
    <row r="158" spans="1:76" x14ac:dyDescent="0.25">
      <c r="A158" s="61">
        <f t="shared" si="107"/>
        <v>12.750000000000021</v>
      </c>
      <c r="B158" s="32">
        <f t="shared" si="119"/>
        <v>9</v>
      </c>
      <c r="C158" s="62">
        <f t="shared" si="120"/>
        <v>13</v>
      </c>
      <c r="D158" s="64">
        <f t="shared" si="121"/>
        <v>13.250000000000021</v>
      </c>
      <c r="E158" s="28">
        <f t="shared" si="122"/>
        <v>13</v>
      </c>
      <c r="G158" s="68">
        <f>INDEX(Others!$D$11:$E$60, MATCH(C158, Others!$A$11:$A$60, 0), MATCH(G$3, Others!$D$10:$E$10, 0))</f>
        <v>4.0690909090908889E-2</v>
      </c>
      <c r="H158" s="16">
        <f t="shared" si="123"/>
        <v>3.329265421250005E-3</v>
      </c>
      <c r="I158" s="69">
        <f t="shared" si="124"/>
        <v>0.60137801821661552</v>
      </c>
      <c r="K158" s="80">
        <f>INDEX(Mortality!$B$7:$F$32, MATCH( E158,Mortality!$A$7:$A$32, 0), MATCH( K$3,Mortality!$B$6:$F$6,0))</f>
        <v>0.371</v>
      </c>
      <c r="L158" s="11" cm="1">
        <f t="array" ref="L158">PAD_Res_Mort</f>
        <v>0.15</v>
      </c>
      <c r="M158" s="80">
        <f t="shared" si="125"/>
        <v>0.42664999999999997</v>
      </c>
      <c r="N158" s="76">
        <f>INDEX('Myopia_(Reserve)'!$H:$H, MATCH(E158, 'Myopia_(Reserve)'!$A:$A, 0)) * Trend_Factor_Reserve^(A158)</f>
        <v>22.773501315763465</v>
      </c>
      <c r="O158" s="11">
        <f t="shared" si="108"/>
        <v>0.3</v>
      </c>
      <c r="P158" s="80">
        <f t="shared" si="126"/>
        <v>29.605551710492506</v>
      </c>
      <c r="Q158" s="76">
        <f>VLOOKUP(C158,Others!$L$10:$M$61,2)</f>
        <v>0</v>
      </c>
      <c r="R158" s="11">
        <f t="shared" si="109"/>
        <v>0</v>
      </c>
      <c r="S158" s="80">
        <f t="shared" si="127"/>
        <v>0</v>
      </c>
      <c r="T158" s="78">
        <f t="shared" si="128"/>
        <v>3.5554166666666666E-5</v>
      </c>
      <c r="U158" s="81">
        <f t="shared" si="129"/>
        <v>2.4671293092077087E-3</v>
      </c>
      <c r="V158" s="81">
        <f t="shared" si="130"/>
        <v>0</v>
      </c>
      <c r="W158" s="77">
        <f t="shared" si="110"/>
        <v>0.82171713031634874</v>
      </c>
      <c r="X158" s="82">
        <f t="shared" si="131"/>
        <v>2.9179428635671631E-5</v>
      </c>
      <c r="Y158" s="82">
        <f t="shared" si="132"/>
        <v>2.0272463769130632E-3</v>
      </c>
      <c r="Z158" s="82">
        <f t="shared" si="133"/>
        <v>0</v>
      </c>
      <c r="AA158" s="82">
        <f t="shared" si="134"/>
        <v>0.81966070451079998</v>
      </c>
      <c r="AC158" s="46">
        <f t="shared" si="111"/>
        <v>0</v>
      </c>
      <c r="AD158" s="15">
        <f t="shared" si="135"/>
        <v>0</v>
      </c>
      <c r="AE158" s="46">
        <f t="shared" si="136"/>
        <v>0</v>
      </c>
      <c r="AF158" s="15">
        <f t="shared" si="137"/>
        <v>0</v>
      </c>
      <c r="AG158" s="46">
        <f>SUMPRODUCT(AE159:AE$605, $I158:$I$604) / $I158</f>
        <v>0</v>
      </c>
      <c r="AI158" s="46">
        <f t="shared" si="112"/>
        <v>-47000</v>
      </c>
      <c r="AJ158" s="46">
        <f>IF(E158&gt;Mat_Year,0,  -SUM($AD$5:AD158))</f>
        <v>-9306</v>
      </c>
      <c r="AK158" s="24">
        <f t="shared" si="138"/>
        <v>-0.27154376288356019</v>
      </c>
      <c r="AL158" s="79">
        <f t="shared" si="139"/>
        <v>-95.280579714913969</v>
      </c>
      <c r="AM158" s="24">
        <f t="shared" si="140"/>
        <v>-116.28347511875698</v>
      </c>
      <c r="AN158" s="79">
        <f t="shared" si="141"/>
        <v>-95.552123477797522</v>
      </c>
      <c r="AO158" s="15">
        <f t="shared" si="142"/>
        <v>-4538.2078234828241</v>
      </c>
      <c r="AP158" s="46">
        <f>SUMPRODUCT(AN159:AN$605, $I159:$I$605) / $I158</f>
        <v>-3729.1231094915092</v>
      </c>
      <c r="AR158" s="46">
        <v>0</v>
      </c>
      <c r="AS158" s="46">
        <v>0</v>
      </c>
      <c r="AT158" s="46">
        <v>0</v>
      </c>
      <c r="AU158" s="95">
        <f t="shared" si="113"/>
        <v>-2.3417671828573381</v>
      </c>
      <c r="AV158" s="47">
        <f t="shared" si="114"/>
        <v>0.1</v>
      </c>
      <c r="AW158" s="96">
        <f t="shared" si="143"/>
        <v>-2.5759439011430723</v>
      </c>
      <c r="AX158" s="95">
        <f t="shared" si="115"/>
        <v>-26.85226369676414</v>
      </c>
      <c r="AY158" s="11">
        <f t="shared" si="116"/>
        <v>0.1</v>
      </c>
      <c r="AZ158" s="96">
        <f t="shared" si="144"/>
        <v>-29.537490066440558</v>
      </c>
      <c r="BA158" s="95">
        <f t="shared" si="145"/>
        <v>-2.1166972303031857</v>
      </c>
      <c r="BB158" s="64">
        <f t="shared" si="146"/>
        <v>-6.0741656803767773E-2</v>
      </c>
      <c r="BC158" s="95">
        <f t="shared" si="158"/>
        <v>-2.5759439011430723</v>
      </c>
      <c r="BD158" s="96">
        <f t="shared" si="158"/>
        <v>-7.3920397376142255E-2</v>
      </c>
      <c r="BE158" s="96">
        <f t="shared" si="147"/>
        <v>-2.1166972303031857</v>
      </c>
      <c r="BF158" s="96">
        <f t="shared" si="148"/>
        <v>-6.0741656803767773E-2</v>
      </c>
      <c r="BG158" s="15">
        <f t="shared" si="149"/>
        <v>-209.57228280593188</v>
      </c>
      <c r="BH158" s="46">
        <f>(SUMPRODUCT(BE159:BE$605,$I158:$I$604)+SUMPRODUCT(BF159:BF$605,$I159:$I$605)) / $I158</f>
        <v>-172.20913482113662</v>
      </c>
      <c r="BJ158" s="46">
        <f t="shared" si="150"/>
        <v>-2.1166972303031857</v>
      </c>
      <c r="BK158" s="46">
        <f t="shared" si="151"/>
        <v>-95.612865134601293</v>
      </c>
      <c r="BM158" s="49">
        <f t="shared" si="117"/>
        <v>4759.6916905283251</v>
      </c>
      <c r="BN158" s="50">
        <f t="shared" si="152"/>
        <v>3901.3322443126472</v>
      </c>
      <c r="BP158" s="68">
        <f>INDEX(Others!$H$11:$I$60, MATCH(C158, Others!$A$11:$A$60, 0), MATCH(BP$3, Others!$H$10:$I$10, 0))</f>
        <v>3.0518181818181667E-2</v>
      </c>
      <c r="BQ158" s="16">
        <f t="shared" si="153"/>
        <v>2.5082875760633616E-3</v>
      </c>
      <c r="BR158" s="69">
        <f t="shared" si="154"/>
        <v>0.68156374701855593</v>
      </c>
      <c r="BT158" s="46">
        <f t="shared" si="155"/>
        <v>3995.3039063448618</v>
      </c>
      <c r="BU158" s="49">
        <f t="shared" si="118"/>
        <v>114.64702591580257</v>
      </c>
      <c r="BV158" s="46">
        <f t="shared" si="156"/>
        <v>93.971662032214681</v>
      </c>
      <c r="BX158" s="46">
        <f t="shared" si="157"/>
        <v>4874.3387164441274</v>
      </c>
    </row>
    <row r="159" spans="1:76" x14ac:dyDescent="0.25">
      <c r="A159" s="61">
        <f t="shared" si="107"/>
        <v>12.833333333333355</v>
      </c>
      <c r="B159" s="32">
        <f t="shared" si="119"/>
        <v>10</v>
      </c>
      <c r="C159" s="62">
        <f t="shared" si="120"/>
        <v>13</v>
      </c>
      <c r="D159" s="64">
        <f t="shared" si="121"/>
        <v>13.333333333333355</v>
      </c>
      <c r="E159" s="28">
        <f t="shared" si="122"/>
        <v>13</v>
      </c>
      <c r="G159" s="68">
        <f>INDEX(Others!$D$11:$E$60, MATCH(C159, Others!$A$11:$A$60, 0), MATCH(G$3, Others!$D$10:$E$10, 0))</f>
        <v>4.0690909090908889E-2</v>
      </c>
      <c r="H159" s="16">
        <f t="shared" si="123"/>
        <v>3.329265421250005E-3</v>
      </c>
      <c r="I159" s="69">
        <f t="shared" si="124"/>
        <v>0.59938251473620241</v>
      </c>
      <c r="K159" s="80">
        <f>INDEX(Mortality!$B$7:$F$32, MATCH( E159,Mortality!$A$7:$A$32, 0), MATCH( K$3,Mortality!$B$6:$F$6,0))</f>
        <v>0.371</v>
      </c>
      <c r="L159" s="11" cm="1">
        <f t="array" ref="L159">PAD_Res_Mort</f>
        <v>0.15</v>
      </c>
      <c r="M159" s="80">
        <f t="shared" si="125"/>
        <v>0.42664999999999997</v>
      </c>
      <c r="N159" s="76">
        <f>INDEX('Myopia_(Reserve)'!$H:$H, MATCH(E159, 'Myopia_(Reserve)'!$A:$A, 0)) * Trend_Factor_Reserve^(A159)</f>
        <v>22.773501315763465</v>
      </c>
      <c r="O159" s="11">
        <f t="shared" si="108"/>
        <v>0.3</v>
      </c>
      <c r="P159" s="80">
        <f t="shared" si="126"/>
        <v>29.605551710492506</v>
      </c>
      <c r="Q159" s="76">
        <f>VLOOKUP(C159,Others!$L$10:$M$61,2)</f>
        <v>0</v>
      </c>
      <c r="R159" s="11">
        <f t="shared" si="109"/>
        <v>0</v>
      </c>
      <c r="S159" s="80">
        <f t="shared" si="127"/>
        <v>0</v>
      </c>
      <c r="T159" s="78">
        <f t="shared" si="128"/>
        <v>3.5554166666666666E-5</v>
      </c>
      <c r="U159" s="81">
        <f t="shared" si="129"/>
        <v>2.4671293092077087E-3</v>
      </c>
      <c r="V159" s="81">
        <f t="shared" si="130"/>
        <v>0</v>
      </c>
      <c r="W159" s="77">
        <f t="shared" si="110"/>
        <v>0.81966070451079998</v>
      </c>
      <c r="X159" s="82">
        <f t="shared" si="131"/>
        <v>2.9106404321313645E-5</v>
      </c>
      <c r="Y159" s="82">
        <f t="shared" si="132"/>
        <v>2.0221729987274532E-3</v>
      </c>
      <c r="Z159" s="82">
        <f t="shared" si="133"/>
        <v>0</v>
      </c>
      <c r="AA159" s="82">
        <f t="shared" si="134"/>
        <v>0.81760942510775125</v>
      </c>
      <c r="AC159" s="46">
        <f t="shared" si="111"/>
        <v>0</v>
      </c>
      <c r="AD159" s="15">
        <f t="shared" si="135"/>
        <v>0</v>
      </c>
      <c r="AE159" s="46">
        <f t="shared" si="136"/>
        <v>0</v>
      </c>
      <c r="AF159" s="15">
        <f t="shared" si="137"/>
        <v>0</v>
      </c>
      <c r="AG159" s="46">
        <f>SUMPRODUCT(AE160:AE$605, $I159:$I$604) / $I159</f>
        <v>0</v>
      </c>
      <c r="AI159" s="46">
        <f t="shared" si="112"/>
        <v>-47000</v>
      </c>
      <c r="AJ159" s="46">
        <f>IF(E159&gt;Mat_Year,0,  -SUM($AD$5:AD159))</f>
        <v>-9306</v>
      </c>
      <c r="AK159" s="24">
        <f t="shared" si="138"/>
        <v>-0.27086419861414479</v>
      </c>
      <c r="AL159" s="79">
        <f t="shared" si="139"/>
        <v>-95.042130940190304</v>
      </c>
      <c r="AM159" s="24">
        <f t="shared" si="140"/>
        <v>-116.28347511875701</v>
      </c>
      <c r="AN159" s="79">
        <f t="shared" si="141"/>
        <v>-95.312995138804453</v>
      </c>
      <c r="AO159" s="15">
        <f t="shared" si="142"/>
        <v>-4448.456946766657</v>
      </c>
      <c r="AP159" s="46">
        <f>SUMPRODUCT(AN160:AN$605, $I160:$I$605) / $I159</f>
        <v>-3646.2253549727207</v>
      </c>
      <c r="AR159" s="46">
        <v>0</v>
      </c>
      <c r="AS159" s="46">
        <v>0</v>
      </c>
      <c r="AT159" s="46">
        <v>0</v>
      </c>
      <c r="AU159" s="95">
        <f t="shared" si="113"/>
        <v>-2.3463044780988165</v>
      </c>
      <c r="AV159" s="47">
        <f t="shared" si="114"/>
        <v>0.1</v>
      </c>
      <c r="AW159" s="96">
        <f t="shared" si="143"/>
        <v>-2.5809349259086982</v>
      </c>
      <c r="AX159" s="95">
        <f t="shared" si="115"/>
        <v>-26.904291348866426</v>
      </c>
      <c r="AY159" s="11">
        <f t="shared" si="116"/>
        <v>0.1</v>
      </c>
      <c r="AZ159" s="96">
        <f t="shared" si="144"/>
        <v>-29.594720483753072</v>
      </c>
      <c r="BA159" s="95">
        <f t="shared" si="145"/>
        <v>-2.1154909396668531</v>
      </c>
      <c r="BB159" s="64">
        <f t="shared" si="146"/>
        <v>-6.0707040567308107E-2</v>
      </c>
      <c r="BC159" s="95">
        <f t="shared" si="158"/>
        <v>-2.5809349259086982</v>
      </c>
      <c r="BD159" s="96">
        <f t="shared" si="158"/>
        <v>-7.4063621975802824E-2</v>
      </c>
      <c r="BE159" s="96">
        <f t="shared" si="147"/>
        <v>-2.1154909396668531</v>
      </c>
      <c r="BF159" s="96">
        <f t="shared" si="148"/>
        <v>-6.0707040567308107E-2</v>
      </c>
      <c r="BG159" s="15">
        <f t="shared" si="149"/>
        <v>-208.13395443870962</v>
      </c>
      <c r="BH159" s="46">
        <f>(SUMPRODUCT(BE160:BE$605,$I159:$I$604)+SUMPRODUCT(BF160:BF$605,$I160:$I$605)) / $I159</f>
        <v>-170.59922372785147</v>
      </c>
      <c r="BJ159" s="46">
        <f t="shared" si="150"/>
        <v>-2.1154909396668531</v>
      </c>
      <c r="BK159" s="46">
        <f t="shared" si="151"/>
        <v>-95.373702179371762</v>
      </c>
      <c r="BM159" s="49">
        <f t="shared" si="117"/>
        <v>4668.2737031774795</v>
      </c>
      <c r="BN159" s="50">
        <f t="shared" si="152"/>
        <v>3816.8245787005721</v>
      </c>
      <c r="BP159" s="68">
        <f>INDEX(Others!$H$11:$I$60, MATCH(C159, Others!$A$11:$A$60, 0), MATCH(BP$3, Others!$H$10:$I$10, 0))</f>
        <v>3.0518181818181667E-2</v>
      </c>
      <c r="BQ159" s="16">
        <f t="shared" si="153"/>
        <v>2.5082875760633616E-3</v>
      </c>
      <c r="BR159" s="69">
        <f t="shared" si="154"/>
        <v>0.67985846647361869</v>
      </c>
      <c r="BT159" s="46">
        <f t="shared" si="155"/>
        <v>3907.8307781170643</v>
      </c>
      <c r="BU159" s="49">
        <f t="shared" si="118"/>
        <v>111.3076691899663</v>
      </c>
      <c r="BV159" s="46">
        <f t="shared" si="156"/>
        <v>91.006199416492109</v>
      </c>
      <c r="BX159" s="46">
        <f t="shared" si="157"/>
        <v>4779.5813723674455</v>
      </c>
    </row>
    <row r="160" spans="1:76" x14ac:dyDescent="0.25">
      <c r="A160" s="61">
        <f t="shared" si="107"/>
        <v>12.916666666666689</v>
      </c>
      <c r="B160" s="32">
        <f t="shared" si="119"/>
        <v>11</v>
      </c>
      <c r="C160" s="62">
        <f t="shared" si="120"/>
        <v>13</v>
      </c>
      <c r="D160" s="64">
        <f t="shared" si="121"/>
        <v>13.416666666666689</v>
      </c>
      <c r="E160" s="28">
        <f t="shared" si="122"/>
        <v>13</v>
      </c>
      <c r="G160" s="68">
        <f>INDEX(Others!$D$11:$E$60, MATCH(C160, Others!$A$11:$A$60, 0), MATCH(G$3, Others!$D$10:$E$10, 0))</f>
        <v>4.0690909090908889E-2</v>
      </c>
      <c r="H160" s="16">
        <f t="shared" si="123"/>
        <v>3.329265421250005E-3</v>
      </c>
      <c r="I160" s="69">
        <f t="shared" si="124"/>
        <v>0.59739363277174051</v>
      </c>
      <c r="K160" s="80">
        <f>INDEX(Mortality!$B$7:$F$32, MATCH( E160,Mortality!$A$7:$A$32, 0), MATCH( K$3,Mortality!$B$6:$F$6,0))</f>
        <v>0.371</v>
      </c>
      <c r="L160" s="11" cm="1">
        <f t="array" ref="L160">PAD_Res_Mort</f>
        <v>0.15</v>
      </c>
      <c r="M160" s="80">
        <f t="shared" si="125"/>
        <v>0.42664999999999997</v>
      </c>
      <c r="N160" s="76">
        <f>INDEX('Myopia_(Reserve)'!$H:$H, MATCH(E160, 'Myopia_(Reserve)'!$A:$A, 0)) * Trend_Factor_Reserve^(A160)</f>
        <v>22.773501315763465</v>
      </c>
      <c r="O160" s="11">
        <f t="shared" si="108"/>
        <v>0.3</v>
      </c>
      <c r="P160" s="80">
        <f t="shared" si="126"/>
        <v>29.605551710492506</v>
      </c>
      <c r="Q160" s="76">
        <f>VLOOKUP(C160,Others!$L$10:$M$61,2)</f>
        <v>0</v>
      </c>
      <c r="R160" s="11">
        <f t="shared" si="109"/>
        <v>0</v>
      </c>
      <c r="S160" s="80">
        <f t="shared" si="127"/>
        <v>0</v>
      </c>
      <c r="T160" s="78">
        <f t="shared" si="128"/>
        <v>3.5554166666666666E-5</v>
      </c>
      <c r="U160" s="81">
        <f t="shared" si="129"/>
        <v>2.4671293092077087E-3</v>
      </c>
      <c r="V160" s="81">
        <f t="shared" si="130"/>
        <v>0</v>
      </c>
      <c r="W160" s="77">
        <f t="shared" si="110"/>
        <v>0.81760942510775125</v>
      </c>
      <c r="X160" s="82">
        <f t="shared" si="131"/>
        <v>2.9033562757295087E-5</v>
      </c>
      <c r="Y160" s="82">
        <f t="shared" si="132"/>
        <v>2.017112317156575E-3</v>
      </c>
      <c r="Z160" s="82">
        <f t="shared" si="133"/>
        <v>0</v>
      </c>
      <c r="AA160" s="82">
        <f t="shared" si="134"/>
        <v>0.81556327922783733</v>
      </c>
      <c r="AC160" s="46">
        <f t="shared" si="111"/>
        <v>0</v>
      </c>
      <c r="AD160" s="15">
        <f t="shared" si="135"/>
        <v>0</v>
      </c>
      <c r="AE160" s="46">
        <f t="shared" si="136"/>
        <v>0</v>
      </c>
      <c r="AF160" s="15">
        <f t="shared" si="137"/>
        <v>0</v>
      </c>
      <c r="AG160" s="46">
        <f>SUMPRODUCT(AE161:AE$605, $I160:$I$604) / $I160</f>
        <v>0</v>
      </c>
      <c r="AI160" s="46">
        <f t="shared" si="112"/>
        <v>-47000</v>
      </c>
      <c r="AJ160" s="46">
        <f>IF(E160&gt;Mat_Year,0,  -SUM($AD$5:AD160))</f>
        <v>-9306</v>
      </c>
      <c r="AK160" s="24">
        <f t="shared" si="138"/>
        <v>-0.2701863350193881</v>
      </c>
      <c r="AL160" s="79">
        <f t="shared" si="139"/>
        <v>-94.804278906359031</v>
      </c>
      <c r="AM160" s="24">
        <f t="shared" si="140"/>
        <v>-116.28347511875701</v>
      </c>
      <c r="AN160" s="79">
        <f t="shared" si="141"/>
        <v>-95.074465241378419</v>
      </c>
      <c r="AO160" s="15">
        <f t="shared" si="142"/>
        <v>-4358.1813422150044</v>
      </c>
      <c r="AP160" s="46">
        <f>SUMPRODUCT(AN161:AN$605, $I161:$I$605) / $I160</f>
        <v>-3563.2901417237376</v>
      </c>
      <c r="AR160" s="46">
        <v>0</v>
      </c>
      <c r="AS160" s="46">
        <v>0</v>
      </c>
      <c r="AT160" s="46">
        <v>0</v>
      </c>
      <c r="AU160" s="95">
        <f t="shared" si="113"/>
        <v>-2.3508505645848978</v>
      </c>
      <c r="AV160" s="47">
        <f t="shared" si="114"/>
        <v>0.1</v>
      </c>
      <c r="AW160" s="96">
        <f t="shared" si="143"/>
        <v>-2.5859356210433879</v>
      </c>
      <c r="AX160" s="95">
        <f t="shared" si="115"/>
        <v>-26.95641980724016</v>
      </c>
      <c r="AY160" s="11">
        <f t="shared" si="116"/>
        <v>0.1</v>
      </c>
      <c r="AZ160" s="96">
        <f t="shared" si="144"/>
        <v>-29.652061787964179</v>
      </c>
      <c r="BA160" s="95">
        <f t="shared" si="145"/>
        <v>-2.1142853364869403</v>
      </c>
      <c r="BB160" s="64">
        <f t="shared" si="146"/>
        <v>-6.0672444058394413E-2</v>
      </c>
      <c r="BC160" s="95">
        <f t="shared" si="158"/>
        <v>-2.5859356210433879</v>
      </c>
      <c r="BD160" s="96">
        <f t="shared" si="158"/>
        <v>-7.4207124080545556E-2</v>
      </c>
      <c r="BE160" s="96">
        <f t="shared" si="147"/>
        <v>-2.1142853364869403</v>
      </c>
      <c r="BF160" s="96">
        <f t="shared" si="148"/>
        <v>-6.0672444058394413E-2</v>
      </c>
      <c r="BG160" s="15">
        <f t="shared" si="149"/>
        <v>-206.68205604946849</v>
      </c>
      <c r="BH160" s="46">
        <f>(SUMPRODUCT(BE161:BE$605,$I160:$I$604)+SUMPRODUCT(BF161:BF$605,$I161:$I$605)) / $I160</f>
        <v>-168.98519702669395</v>
      </c>
      <c r="BJ160" s="46">
        <f t="shared" si="150"/>
        <v>-2.1142853364869403</v>
      </c>
      <c r="BK160" s="46">
        <f t="shared" si="151"/>
        <v>-95.135137685436817</v>
      </c>
      <c r="BM160" s="49">
        <f t="shared" si="117"/>
        <v>4576.3160674473875</v>
      </c>
      <c r="BN160" s="50">
        <f t="shared" si="152"/>
        <v>3732.2753387504322</v>
      </c>
      <c r="BP160" s="68">
        <f>INDEX(Others!$H$11:$I$60, MATCH(C160, Others!$A$11:$A$60, 0), MATCH(BP$3, Others!$H$10:$I$10, 0))</f>
        <v>3.0518181818181667E-2</v>
      </c>
      <c r="BQ160" s="16">
        <f t="shared" si="153"/>
        <v>2.5082875760633616E-3</v>
      </c>
      <c r="BR160" s="69">
        <f t="shared" si="154"/>
        <v>0.67815745256074578</v>
      </c>
      <c r="BT160" s="46">
        <f t="shared" si="155"/>
        <v>3820.3780152496079</v>
      </c>
      <c r="BU160" s="49">
        <f t="shared" si="118"/>
        <v>108.02678191027671</v>
      </c>
      <c r="BV160" s="46">
        <f t="shared" si="156"/>
        <v>88.102676499175686</v>
      </c>
      <c r="BX160" s="46">
        <f t="shared" si="157"/>
        <v>4684.3428493576639</v>
      </c>
    </row>
    <row r="161" spans="1:76" x14ac:dyDescent="0.25">
      <c r="A161" s="61">
        <f t="shared" si="107"/>
        <v>13.000000000000023</v>
      </c>
      <c r="B161" s="32">
        <f t="shared" si="119"/>
        <v>12</v>
      </c>
      <c r="C161" s="62">
        <f t="shared" si="120"/>
        <v>13</v>
      </c>
      <c r="D161" s="64">
        <f t="shared" si="121"/>
        <v>13.500000000000023</v>
      </c>
      <c r="E161" s="28">
        <f t="shared" si="122"/>
        <v>13</v>
      </c>
      <c r="G161" s="68">
        <f>INDEX(Others!$D$11:$E$60, MATCH(C161, Others!$A$11:$A$60, 0), MATCH(G$3, Others!$D$10:$E$10, 0))</f>
        <v>4.0690909090908889E-2</v>
      </c>
      <c r="H161" s="16">
        <f t="shared" si="123"/>
        <v>3.329265421250005E-3</v>
      </c>
      <c r="I161" s="69">
        <f t="shared" si="124"/>
        <v>0.5954113503515952</v>
      </c>
      <c r="K161" s="80">
        <f>INDEX(Mortality!$B$7:$F$32, MATCH( E161,Mortality!$A$7:$A$32, 0), MATCH( K$3,Mortality!$B$6:$F$6,0))</f>
        <v>0.371</v>
      </c>
      <c r="L161" s="11" cm="1">
        <f t="array" ref="L161">PAD_Res_Mort</f>
        <v>0.15</v>
      </c>
      <c r="M161" s="80">
        <f t="shared" si="125"/>
        <v>0.42664999999999997</v>
      </c>
      <c r="N161" s="76">
        <f>INDEX('Myopia_(Reserve)'!$H:$H, MATCH(E161, 'Myopia_(Reserve)'!$A:$A, 0)) * Trend_Factor_Reserve^(A161)</f>
        <v>22.773501315763465</v>
      </c>
      <c r="O161" s="11">
        <f t="shared" si="108"/>
        <v>0.3</v>
      </c>
      <c r="P161" s="80">
        <f t="shared" si="126"/>
        <v>29.605551710492506</v>
      </c>
      <c r="Q161" s="76">
        <f>VLOOKUP(C161,Others!$L$10:$M$61,2)</f>
        <v>0</v>
      </c>
      <c r="R161" s="11">
        <f t="shared" si="109"/>
        <v>0</v>
      </c>
      <c r="S161" s="80">
        <f t="shared" si="127"/>
        <v>0</v>
      </c>
      <c r="T161" s="78">
        <f t="shared" si="128"/>
        <v>3.5554166666666666E-5</v>
      </c>
      <c r="U161" s="81">
        <f t="shared" si="129"/>
        <v>2.4671293092077087E-3</v>
      </c>
      <c r="V161" s="81">
        <f t="shared" si="130"/>
        <v>0</v>
      </c>
      <c r="W161" s="77">
        <f t="shared" si="110"/>
        <v>0.81556327922783733</v>
      </c>
      <c r="X161" s="82">
        <f t="shared" si="131"/>
        <v>2.8960903486265732E-5</v>
      </c>
      <c r="Y161" s="82">
        <f t="shared" si="132"/>
        <v>2.0120643004259342E-3</v>
      </c>
      <c r="Z161" s="82">
        <f t="shared" si="133"/>
        <v>0</v>
      </c>
      <c r="AA161" s="82">
        <f t="shared" si="134"/>
        <v>0.81352225402392508</v>
      </c>
      <c r="AC161" s="46">
        <f t="shared" si="111"/>
        <v>0</v>
      </c>
      <c r="AD161" s="15">
        <f t="shared" si="135"/>
        <v>0</v>
      </c>
      <c r="AE161" s="46">
        <f t="shared" si="136"/>
        <v>0</v>
      </c>
      <c r="AF161" s="15">
        <f t="shared" si="137"/>
        <v>0</v>
      </c>
      <c r="AG161" s="46">
        <f>SUMPRODUCT(AE162:AE$605, $I161:$I$604) / $I161</f>
        <v>0</v>
      </c>
      <c r="AI161" s="46">
        <f t="shared" si="112"/>
        <v>-47000</v>
      </c>
      <c r="AJ161" s="46">
        <f>IF(E161&gt;Mat_Year,0,  -SUM($AD$5:AD161))</f>
        <v>-9306</v>
      </c>
      <c r="AK161" s="24">
        <f t="shared" si="138"/>
        <v>-0.26951016784318893</v>
      </c>
      <c r="AL161" s="79">
        <f t="shared" si="139"/>
        <v>-94.567022120018905</v>
      </c>
      <c r="AM161" s="24">
        <f t="shared" si="140"/>
        <v>-116.28347511875701</v>
      </c>
      <c r="AN161" s="79">
        <f t="shared" si="141"/>
        <v>-94.836532287862099</v>
      </c>
      <c r="AO161" s="15">
        <f t="shared" si="142"/>
        <v>-4267.3779420104675</v>
      </c>
      <c r="AP161" s="46">
        <f>SUMPRODUCT(AN162:AN$605, $I162:$I$605) / $I161</f>
        <v>-3480.3167480905968</v>
      </c>
      <c r="AR161" s="46">
        <v>0</v>
      </c>
      <c r="AS161" s="46">
        <v>0</v>
      </c>
      <c r="AT161" s="46">
        <v>0</v>
      </c>
      <c r="AU161" s="95">
        <f t="shared" si="113"/>
        <v>-2.3554054593490745</v>
      </c>
      <c r="AV161" s="47">
        <f t="shared" si="114"/>
        <v>0.1</v>
      </c>
      <c r="AW161" s="96">
        <f t="shared" si="143"/>
        <v>-2.5909460052839823</v>
      </c>
      <c r="AX161" s="95">
        <f t="shared" si="115"/>
        <v>-27.008649267202717</v>
      </c>
      <c r="AY161" s="11">
        <f t="shared" si="116"/>
        <v>0.1</v>
      </c>
      <c r="AZ161" s="96">
        <f t="shared" si="144"/>
        <v>-29.709514193922992</v>
      </c>
      <c r="BA161" s="95">
        <f t="shared" si="145"/>
        <v>-2.11308042037167</v>
      </c>
      <c r="BB161" s="64">
        <f t="shared" si="146"/>
        <v>-6.0637867265784066E-2</v>
      </c>
      <c r="BC161" s="95">
        <f t="shared" si="158"/>
        <v>-2.5909460052839819</v>
      </c>
      <c r="BD161" s="96">
        <f t="shared" si="158"/>
        <v>-7.4350904228050893E-2</v>
      </c>
      <c r="BE161" s="96">
        <f t="shared" si="147"/>
        <v>-2.11308042037167</v>
      </c>
      <c r="BF161" s="96">
        <f t="shared" si="148"/>
        <v>-6.0637867265784066E-2</v>
      </c>
      <c r="BG161" s="15">
        <f t="shared" si="149"/>
        <v>-205.21649830176915</v>
      </c>
      <c r="BH161" s="46">
        <f>(SUMPRODUCT(BE162:BE$605,$I161:$I$604)+SUMPRODUCT(BF162:BF$605,$I162:$I$605)) / $I161</f>
        <v>-167.36704030664475</v>
      </c>
      <c r="BJ161" s="46">
        <f t="shared" si="150"/>
        <v>-2.11308042037167</v>
      </c>
      <c r="BK161" s="46">
        <f t="shared" si="151"/>
        <v>-94.897170155127881</v>
      </c>
      <c r="BM161" s="49">
        <f t="shared" si="117"/>
        <v>4483.8156182633047</v>
      </c>
      <c r="BN161" s="50">
        <f t="shared" si="152"/>
        <v>3647.683788397243</v>
      </c>
      <c r="BP161" s="68">
        <f>INDEX(Others!$H$11:$I$60, MATCH(C161, Others!$A$11:$A$60, 0), MATCH(BP$3, Others!$H$10:$I$10, 0))</f>
        <v>3.0518181818181667E-2</v>
      </c>
      <c r="BQ161" s="16">
        <f t="shared" si="153"/>
        <v>2.5082875760633616E-3</v>
      </c>
      <c r="BR161" s="69">
        <f t="shared" si="154"/>
        <v>0.67646069460477343</v>
      </c>
      <c r="BT161" s="46">
        <f t="shared" si="155"/>
        <v>3732.9450711722588</v>
      </c>
      <c r="BU161" s="49">
        <f t="shared" si="118"/>
        <v>104.80510195423415</v>
      </c>
      <c r="BV161" s="46">
        <f t="shared" si="156"/>
        <v>85.261282775015843</v>
      </c>
      <c r="BX161" s="46">
        <f t="shared" si="157"/>
        <v>4588.6207202175392</v>
      </c>
    </row>
    <row r="162" spans="1:76" x14ac:dyDescent="0.25">
      <c r="A162" s="61">
        <f t="shared" si="107"/>
        <v>13.083333333333357</v>
      </c>
      <c r="B162" s="32">
        <f t="shared" si="119"/>
        <v>1</v>
      </c>
      <c r="C162" s="62">
        <f t="shared" si="120"/>
        <v>14</v>
      </c>
      <c r="D162" s="64">
        <f t="shared" si="121"/>
        <v>13.583333333333357</v>
      </c>
      <c r="E162" s="28">
        <f t="shared" si="122"/>
        <v>13</v>
      </c>
      <c r="G162" s="68">
        <f>INDEX(Others!$D$11:$E$60, MATCH(C162, Others!$A$11:$A$60, 0), MATCH(G$3, Others!$D$10:$E$10, 0))</f>
        <v>4.0690909090909333E-2</v>
      </c>
      <c r="H162" s="16">
        <f t="shared" si="123"/>
        <v>3.329265421250005E-3</v>
      </c>
      <c r="I162" s="69">
        <f t="shared" si="124"/>
        <v>0.59343564557703843</v>
      </c>
      <c r="K162" s="80">
        <f>INDEX(Mortality!$B$7:$F$32, MATCH( E162,Mortality!$A$7:$A$32, 0), MATCH( K$3,Mortality!$B$6:$F$6,0))</f>
        <v>0.371</v>
      </c>
      <c r="L162" s="11" cm="1">
        <f t="array" ref="L162">PAD_Res_Mort</f>
        <v>0.15</v>
      </c>
      <c r="M162" s="80">
        <f t="shared" si="125"/>
        <v>0.42664999999999997</v>
      </c>
      <c r="N162" s="76">
        <f>INDEX('Myopia_(Reserve)'!$H:$H, MATCH(E162, 'Myopia_(Reserve)'!$A:$A, 0)) * Trend_Factor_Reserve^(A162)</f>
        <v>22.773501315763465</v>
      </c>
      <c r="O162" s="11">
        <f t="shared" si="108"/>
        <v>0.3</v>
      </c>
      <c r="P162" s="80">
        <f t="shared" si="126"/>
        <v>29.605551710492506</v>
      </c>
      <c r="Q162" s="76">
        <f>VLOOKUP(C162,Others!$L$10:$M$61,2)</f>
        <v>0</v>
      </c>
      <c r="R162" s="11">
        <f t="shared" si="109"/>
        <v>0</v>
      </c>
      <c r="S162" s="80">
        <f t="shared" si="127"/>
        <v>0</v>
      </c>
      <c r="T162" s="78">
        <f t="shared" si="128"/>
        <v>3.5554166666666666E-5</v>
      </c>
      <c r="U162" s="81">
        <f t="shared" si="129"/>
        <v>2.4671293092077087E-3</v>
      </c>
      <c r="V162" s="81">
        <f t="shared" si="130"/>
        <v>0</v>
      </c>
      <c r="W162" s="77">
        <f t="shared" si="110"/>
        <v>0.81352225402392508</v>
      </c>
      <c r="X162" s="82">
        <f t="shared" si="131"/>
        <v>2.8888426052019912E-5</v>
      </c>
      <c r="Y162" s="82">
        <f t="shared" si="132"/>
        <v>2.0070289168405554E-3</v>
      </c>
      <c r="Z162" s="82">
        <f t="shared" si="133"/>
        <v>0</v>
      </c>
      <c r="AA162" s="82">
        <f t="shared" si="134"/>
        <v>0.81148633668103254</v>
      </c>
      <c r="AC162" s="46">
        <f t="shared" si="111"/>
        <v>0</v>
      </c>
      <c r="AD162" s="15">
        <f t="shared" si="135"/>
        <v>0</v>
      </c>
      <c r="AE162" s="46">
        <f t="shared" si="136"/>
        <v>0</v>
      </c>
      <c r="AF162" s="15">
        <f t="shared" si="137"/>
        <v>0</v>
      </c>
      <c r="AG162" s="46">
        <f>SUMPRODUCT(AE163:AE$605, $I162:$I$604) / $I162</f>
        <v>0</v>
      </c>
      <c r="AI162" s="46">
        <f t="shared" si="112"/>
        <v>-47000</v>
      </c>
      <c r="AJ162" s="46">
        <f>IF(E162&gt;Mat_Year,0,  -SUM($AD$5:AD162))</f>
        <v>-9306</v>
      </c>
      <c r="AK162" s="24">
        <f t="shared" si="138"/>
        <v>-0.26883569284009728</v>
      </c>
      <c r="AL162" s="79">
        <f t="shared" si="139"/>
        <v>-94.330359091506111</v>
      </c>
      <c r="AM162" s="24">
        <f t="shared" si="140"/>
        <v>-116.28347511875701</v>
      </c>
      <c r="AN162" s="79">
        <f t="shared" si="141"/>
        <v>-94.59919478434621</v>
      </c>
      <c r="AO162" s="15">
        <f t="shared" si="142"/>
        <v>-4176.0436603996741</v>
      </c>
      <c r="AP162" s="46">
        <f>SUMPRODUCT(AN163:AN$605, $I163:$I$605) / $I162</f>
        <v>-3397.3044515106658</v>
      </c>
      <c r="AR162" s="46">
        <v>0</v>
      </c>
      <c r="AS162" s="46">
        <v>0</v>
      </c>
      <c r="AT162" s="46">
        <v>0</v>
      </c>
      <c r="AU162" s="95">
        <f t="shared" si="113"/>
        <v>-2.3599691794578419</v>
      </c>
      <c r="AV162" s="47">
        <f t="shared" si="114"/>
        <v>0.1</v>
      </c>
      <c r="AW162" s="96">
        <f t="shared" si="143"/>
        <v>-2.5959660974036263</v>
      </c>
      <c r="AX162" s="95">
        <f t="shared" si="115"/>
        <v>-27.060979924449917</v>
      </c>
      <c r="AY162" s="11">
        <f t="shared" si="116"/>
        <v>0.1</v>
      </c>
      <c r="AZ162" s="96">
        <f t="shared" si="144"/>
        <v>-29.767077916894912</v>
      </c>
      <c r="BA162" s="95">
        <f t="shared" si="145"/>
        <v>-2.1118761909294901</v>
      </c>
      <c r="BB162" s="64">
        <f t="shared" si="146"/>
        <v>-6.060331017824095E-2</v>
      </c>
      <c r="BC162" s="95">
        <f t="shared" si="158"/>
        <v>-2.5959660974036258</v>
      </c>
      <c r="BD162" s="96">
        <f t="shared" si="158"/>
        <v>-7.4494962957041194E-2</v>
      </c>
      <c r="BE162" s="96">
        <f t="shared" si="147"/>
        <v>-2.1118761909294901</v>
      </c>
      <c r="BF162" s="96">
        <f t="shared" si="148"/>
        <v>-6.060331017824095E-2</v>
      </c>
      <c r="BG162" s="15">
        <f t="shared" si="149"/>
        <v>-203.73719131749289</v>
      </c>
      <c r="BH162" s="46">
        <f>(SUMPRODUCT(BE163:BE$605,$I162:$I$604)+SUMPRODUCT(BF163:BF$605,$I163:$I$605)) / $I162</f>
        <v>-165.74473910911047</v>
      </c>
      <c r="BJ162" s="46">
        <f t="shared" si="150"/>
        <v>-2.1118761909294901</v>
      </c>
      <c r="BK162" s="46">
        <f t="shared" si="151"/>
        <v>-94.659798094524447</v>
      </c>
      <c r="BM162" s="49">
        <f t="shared" si="117"/>
        <v>4390.7691720264793</v>
      </c>
      <c r="BN162" s="50">
        <f t="shared" si="152"/>
        <v>3563.0491906197781</v>
      </c>
      <c r="BP162" s="68">
        <f>INDEX(Others!$H$11:$I$60, MATCH(C162, Others!$A$11:$A$60, 0), MATCH(BP$3, Others!$H$10:$I$10, 0))</f>
        <v>3.0518181818182E-2</v>
      </c>
      <c r="BQ162" s="16">
        <f t="shared" si="153"/>
        <v>2.5082875760633616E-3</v>
      </c>
      <c r="BR162" s="69">
        <f t="shared" si="154"/>
        <v>0.67476818195724719</v>
      </c>
      <c r="BT162" s="46">
        <f t="shared" si="155"/>
        <v>3645.5313994381413</v>
      </c>
      <c r="BU162" s="49">
        <f t="shared" si="118"/>
        <v>101.64337351102458</v>
      </c>
      <c r="BV162" s="46">
        <f t="shared" si="156"/>
        <v>82.482208818363233</v>
      </c>
      <c r="BX162" s="46">
        <f t="shared" si="157"/>
        <v>4492.4125455375042</v>
      </c>
    </row>
    <row r="163" spans="1:76" x14ac:dyDescent="0.25">
      <c r="A163" s="61">
        <f t="shared" si="107"/>
        <v>13.166666666666691</v>
      </c>
      <c r="B163" s="32">
        <f t="shared" si="119"/>
        <v>2</v>
      </c>
      <c r="C163" s="62">
        <f t="shared" si="120"/>
        <v>14</v>
      </c>
      <c r="D163" s="64">
        <f t="shared" si="121"/>
        <v>13.666666666666691</v>
      </c>
      <c r="E163" s="28">
        <f t="shared" si="122"/>
        <v>13</v>
      </c>
      <c r="G163" s="68">
        <f>INDEX(Others!$D$11:$E$60, MATCH(C163, Others!$A$11:$A$60, 0), MATCH(G$3, Others!$D$10:$E$10, 0))</f>
        <v>4.0690909090909333E-2</v>
      </c>
      <c r="H163" s="16">
        <f t="shared" si="123"/>
        <v>3.329265421250005E-3</v>
      </c>
      <c r="I163" s="69">
        <f t="shared" si="124"/>
        <v>0.5914664966220069</v>
      </c>
      <c r="K163" s="80">
        <f>INDEX(Mortality!$B$7:$F$32, MATCH( E163,Mortality!$A$7:$A$32, 0), MATCH( K$3,Mortality!$B$6:$F$6,0))</f>
        <v>0.371</v>
      </c>
      <c r="L163" s="11" cm="1">
        <f t="array" ref="L163">PAD_Res_Mort</f>
        <v>0.15</v>
      </c>
      <c r="M163" s="80">
        <f t="shared" si="125"/>
        <v>0.42664999999999997</v>
      </c>
      <c r="N163" s="76">
        <f>INDEX('Myopia_(Reserve)'!$H:$H, MATCH(E163, 'Myopia_(Reserve)'!$A:$A, 0)) * Trend_Factor_Reserve^(A163)</f>
        <v>22.773501315763465</v>
      </c>
      <c r="O163" s="11">
        <f t="shared" si="108"/>
        <v>0.3</v>
      </c>
      <c r="P163" s="80">
        <f t="shared" si="126"/>
        <v>29.605551710492506</v>
      </c>
      <c r="Q163" s="76">
        <f>VLOOKUP(C163,Others!$L$10:$M$61,2)</f>
        <v>0</v>
      </c>
      <c r="R163" s="11">
        <f t="shared" si="109"/>
        <v>0</v>
      </c>
      <c r="S163" s="80">
        <f t="shared" si="127"/>
        <v>0</v>
      </c>
      <c r="T163" s="78">
        <f t="shared" si="128"/>
        <v>3.5554166666666666E-5</v>
      </c>
      <c r="U163" s="81">
        <f t="shared" si="129"/>
        <v>2.4671293092077087E-3</v>
      </c>
      <c r="V163" s="81">
        <f t="shared" si="130"/>
        <v>0</v>
      </c>
      <c r="W163" s="77">
        <f t="shared" si="110"/>
        <v>0.81148633668103254</v>
      </c>
      <c r="X163" s="82">
        <f t="shared" si="131"/>
        <v>2.8816129999493676E-5</v>
      </c>
      <c r="Y163" s="82">
        <f t="shared" si="132"/>
        <v>2.0020061347847833E-3</v>
      </c>
      <c r="Z163" s="82">
        <f t="shared" si="133"/>
        <v>0</v>
      </c>
      <c r="AA163" s="82">
        <f t="shared" si="134"/>
        <v>0.8094555144162483</v>
      </c>
      <c r="AC163" s="46">
        <f t="shared" si="111"/>
        <v>0</v>
      </c>
      <c r="AD163" s="15">
        <f t="shared" si="135"/>
        <v>0</v>
      </c>
      <c r="AE163" s="46">
        <f t="shared" si="136"/>
        <v>0</v>
      </c>
      <c r="AF163" s="15">
        <f t="shared" si="137"/>
        <v>0</v>
      </c>
      <c r="AG163" s="46">
        <f>SUMPRODUCT(AE164:AE$605, $I163:$I$604) / $I163</f>
        <v>0</v>
      </c>
      <c r="AI163" s="46">
        <f t="shared" si="112"/>
        <v>-47000</v>
      </c>
      <c r="AJ163" s="46">
        <f>IF(E163&gt;Mat_Year,0,  -SUM($AD$5:AD163))</f>
        <v>-9306</v>
      </c>
      <c r="AK163" s="24">
        <f t="shared" si="138"/>
        <v>-0.26816290577528817</v>
      </c>
      <c r="AL163" s="79">
        <f t="shared" si="139"/>
        <v>-94.094288334884823</v>
      </c>
      <c r="AM163" s="24">
        <f t="shared" si="140"/>
        <v>-116.283475118757</v>
      </c>
      <c r="AN163" s="79">
        <f t="shared" si="141"/>
        <v>-94.362451240660107</v>
      </c>
      <c r="AO163" s="15">
        <f t="shared" si="142"/>
        <v>-4084.1753935884176</v>
      </c>
      <c r="AP163" s="46">
        <f>SUMPRODUCT(AN164:AN$605, $I164:$I$605) / $I163</f>
        <v>-3314.2525285058791</v>
      </c>
      <c r="AR163" s="46">
        <v>0</v>
      </c>
      <c r="AS163" s="46">
        <v>0</v>
      </c>
      <c r="AT163" s="46">
        <v>0</v>
      </c>
      <c r="AU163" s="95">
        <f t="shared" si="113"/>
        <v>-2.3645417420107617</v>
      </c>
      <c r="AV163" s="47">
        <f t="shared" si="114"/>
        <v>0.1</v>
      </c>
      <c r="AW163" s="96">
        <f t="shared" si="143"/>
        <v>-2.6009959162118381</v>
      </c>
      <c r="AX163" s="95">
        <f t="shared" si="115"/>
        <v>-27.113411975056728</v>
      </c>
      <c r="AY163" s="11">
        <f t="shared" si="116"/>
        <v>0.1</v>
      </c>
      <c r="AZ163" s="96">
        <f t="shared" si="144"/>
        <v>-29.824753172562403</v>
      </c>
      <c r="BA163" s="95">
        <f t="shared" si="145"/>
        <v>-2.1106726477690705</v>
      </c>
      <c r="BB163" s="64">
        <f t="shared" si="146"/>
        <v>-6.0568772784535221E-2</v>
      </c>
      <c r="BC163" s="95">
        <f t="shared" si="158"/>
        <v>-2.6009959162118381</v>
      </c>
      <c r="BD163" s="96">
        <f t="shared" si="158"/>
        <v>-7.4639300807282385E-2</v>
      </c>
      <c r="BE163" s="96">
        <f t="shared" si="147"/>
        <v>-2.1106726477690705</v>
      </c>
      <c r="BF163" s="96">
        <f t="shared" si="148"/>
        <v>-6.0568772784535221E-2</v>
      </c>
      <c r="BG163" s="15">
        <f t="shared" si="149"/>
        <v>-202.2440446736374</v>
      </c>
      <c r="BH163" s="46">
        <f>(SUMPRODUCT(BE164:BE$605,$I163:$I$604)+SUMPRODUCT(BF164:BF$605,$I164:$I$605)) / $I163</f>
        <v>-164.11827892776512</v>
      </c>
      <c r="BJ163" s="46">
        <f t="shared" si="150"/>
        <v>-2.1106726477690705</v>
      </c>
      <c r="BK163" s="46">
        <f t="shared" si="151"/>
        <v>-94.423020013444642</v>
      </c>
      <c r="BM163" s="49">
        <f t="shared" si="117"/>
        <v>4297.1735265058114</v>
      </c>
      <c r="BN163" s="50">
        <f t="shared" si="152"/>
        <v>3478.3708074336455</v>
      </c>
      <c r="BP163" s="68">
        <f>INDEX(Others!$H$11:$I$60, MATCH(C163, Others!$A$11:$A$60, 0), MATCH(BP$3, Others!$H$10:$I$10, 0))</f>
        <v>3.0518181818182E-2</v>
      </c>
      <c r="BQ163" s="16">
        <f t="shared" si="153"/>
        <v>2.5082875760633616E-3</v>
      </c>
      <c r="BR163" s="69">
        <f t="shared" si="154"/>
        <v>0.6730799039963552</v>
      </c>
      <c r="BT163" s="46">
        <f t="shared" si="155"/>
        <v>3558.1364537203076</v>
      </c>
      <c r="BU163" s="49">
        <f t="shared" si="118"/>
        <v>98.542347128472358</v>
      </c>
      <c r="BV163" s="46">
        <f t="shared" si="156"/>
        <v>79.765646286662104</v>
      </c>
      <c r="BX163" s="46">
        <f t="shared" si="157"/>
        <v>4395.7158736342835</v>
      </c>
    </row>
    <row r="164" spans="1:76" x14ac:dyDescent="0.25">
      <c r="A164" s="61">
        <f t="shared" si="107"/>
        <v>13.250000000000025</v>
      </c>
      <c r="B164" s="32">
        <f t="shared" si="119"/>
        <v>3</v>
      </c>
      <c r="C164" s="62">
        <f t="shared" si="120"/>
        <v>14</v>
      </c>
      <c r="D164" s="64">
        <f t="shared" si="121"/>
        <v>13.750000000000025</v>
      </c>
      <c r="E164" s="28">
        <f t="shared" si="122"/>
        <v>13</v>
      </c>
      <c r="G164" s="68">
        <f>INDEX(Others!$D$11:$E$60, MATCH(C164, Others!$A$11:$A$60, 0), MATCH(G$3, Others!$D$10:$E$10, 0))</f>
        <v>4.0690909090909333E-2</v>
      </c>
      <c r="H164" s="16">
        <f t="shared" si="123"/>
        <v>3.329265421250005E-3</v>
      </c>
      <c r="I164" s="69">
        <f t="shared" si="124"/>
        <v>0.58950388173286106</v>
      </c>
      <c r="K164" s="80">
        <f>INDEX(Mortality!$B$7:$F$32, MATCH( E164,Mortality!$A$7:$A$32, 0), MATCH( K$3,Mortality!$B$6:$F$6,0))</f>
        <v>0.371</v>
      </c>
      <c r="L164" s="11" cm="1">
        <f t="array" ref="L164">PAD_Res_Mort</f>
        <v>0.15</v>
      </c>
      <c r="M164" s="80">
        <f t="shared" si="125"/>
        <v>0.42664999999999997</v>
      </c>
      <c r="N164" s="76">
        <f>INDEX('Myopia_(Reserve)'!$H:$H, MATCH(E164, 'Myopia_(Reserve)'!$A:$A, 0)) * Trend_Factor_Reserve^(A164)</f>
        <v>22.773501315763465</v>
      </c>
      <c r="O164" s="11">
        <f t="shared" si="108"/>
        <v>0.3</v>
      </c>
      <c r="P164" s="80">
        <f t="shared" si="126"/>
        <v>29.605551710492506</v>
      </c>
      <c r="Q164" s="76">
        <f>VLOOKUP(C164,Others!$L$10:$M$61,2)</f>
        <v>0</v>
      </c>
      <c r="R164" s="11">
        <f t="shared" si="109"/>
        <v>0</v>
      </c>
      <c r="S164" s="80">
        <f t="shared" si="127"/>
        <v>0</v>
      </c>
      <c r="T164" s="78">
        <f t="shared" si="128"/>
        <v>3.5554166666666666E-5</v>
      </c>
      <c r="U164" s="81">
        <f t="shared" si="129"/>
        <v>2.4671293092077087E-3</v>
      </c>
      <c r="V164" s="81">
        <f t="shared" si="130"/>
        <v>0</v>
      </c>
      <c r="W164" s="77">
        <f t="shared" si="110"/>
        <v>0.8094555144162483</v>
      </c>
      <c r="X164" s="82">
        <f t="shared" si="131"/>
        <v>2.8744014874761895E-5</v>
      </c>
      <c r="Y164" s="82">
        <f t="shared" si="132"/>
        <v>1.9969959227220833E-3</v>
      </c>
      <c r="Z164" s="82">
        <f t="shared" si="133"/>
        <v>0</v>
      </c>
      <c r="AA164" s="82">
        <f t="shared" si="134"/>
        <v>0.8074297744786515</v>
      </c>
      <c r="AC164" s="46">
        <f t="shared" si="111"/>
        <v>0</v>
      </c>
      <c r="AD164" s="15">
        <f t="shared" si="135"/>
        <v>0</v>
      </c>
      <c r="AE164" s="46">
        <f t="shared" si="136"/>
        <v>0</v>
      </c>
      <c r="AF164" s="15">
        <f t="shared" si="137"/>
        <v>0</v>
      </c>
      <c r="AG164" s="46">
        <f>SUMPRODUCT(AE165:AE$605, $I164:$I$604) / $I164</f>
        <v>0</v>
      </c>
      <c r="AI164" s="46">
        <f t="shared" si="112"/>
        <v>-47000</v>
      </c>
      <c r="AJ164" s="46">
        <f>IF(E164&gt;Mat_Year,0,  -SUM($AD$5:AD164))</f>
        <v>-9306</v>
      </c>
      <c r="AK164" s="24">
        <f t="shared" si="138"/>
        <v>-0.26749180242453419</v>
      </c>
      <c r="AL164" s="79">
        <f t="shared" si="139"/>
        <v>-93.858808367937911</v>
      </c>
      <c r="AM164" s="24">
        <f t="shared" si="140"/>
        <v>-116.28347511875698</v>
      </c>
      <c r="AN164" s="79">
        <f t="shared" si="141"/>
        <v>-94.126300170362441</v>
      </c>
      <c r="AO164" s="15">
        <f t="shared" si="142"/>
        <v>-3991.7700196361802</v>
      </c>
      <c r="AP164" s="46">
        <f>SUMPRODUCT(AN165:AN$605, $I165:$I$605) / $I164</f>
        <v>-3231.1602546759618</v>
      </c>
      <c r="AR164" s="46">
        <v>0</v>
      </c>
      <c r="AS164" s="46">
        <v>0</v>
      </c>
      <c r="AT164" s="46">
        <v>0</v>
      </c>
      <c r="AU164" s="95">
        <f t="shared" si="113"/>
        <v>-2.369123164140527</v>
      </c>
      <c r="AV164" s="47">
        <f t="shared" si="114"/>
        <v>0.1</v>
      </c>
      <c r="AW164" s="96">
        <f t="shared" si="143"/>
        <v>-2.60603548055458</v>
      </c>
      <c r="AX164" s="95">
        <f t="shared" si="115"/>
        <v>-27.165945615478041</v>
      </c>
      <c r="AY164" s="11">
        <f t="shared" si="116"/>
        <v>0.1</v>
      </c>
      <c r="AZ164" s="96">
        <f t="shared" si="144"/>
        <v>-29.882540177025849</v>
      </c>
      <c r="BA164" s="95">
        <f t="shared" si="145"/>
        <v>-2.1094697904993023</v>
      </c>
      <c r="BB164" s="64">
        <f t="shared" si="146"/>
        <v>-6.0534255073443559E-2</v>
      </c>
      <c r="BC164" s="95">
        <f t="shared" si="158"/>
        <v>-2.60603548055458</v>
      </c>
      <c r="BD164" s="96">
        <f t="shared" si="158"/>
        <v>-7.4783918319586473E-2</v>
      </c>
      <c r="BE164" s="96">
        <f t="shared" si="147"/>
        <v>-2.1094697904993023</v>
      </c>
      <c r="BF164" s="96">
        <f t="shared" si="148"/>
        <v>-6.0534255073443559E-2</v>
      </c>
      <c r="BG164" s="15">
        <f t="shared" si="149"/>
        <v>-200.7369673990936</v>
      </c>
      <c r="BH164" s="46">
        <f>(SUMPRODUCT(BE165:BE$605,$I164:$I$604)+SUMPRODUCT(BF165:BF$605,$I165:$I$605)) / $I164</f>
        <v>-162.48764520839097</v>
      </c>
      <c r="BJ164" s="46">
        <f t="shared" si="150"/>
        <v>-2.1094697904993023</v>
      </c>
      <c r="BK164" s="46">
        <f t="shared" si="151"/>
        <v>-94.18683442543589</v>
      </c>
      <c r="BM164" s="49">
        <f t="shared" si="117"/>
        <v>4203.0254607288853</v>
      </c>
      <c r="BN164" s="50">
        <f t="shared" si="152"/>
        <v>3393.647899884354</v>
      </c>
      <c r="BP164" s="68">
        <f>INDEX(Others!$H$11:$I$60, MATCH(C164, Others!$A$11:$A$60, 0), MATCH(BP$3, Others!$H$10:$I$10, 0))</f>
        <v>3.0518181818182E-2</v>
      </c>
      <c r="BQ164" s="16">
        <f t="shared" si="153"/>
        <v>2.5082875760633616E-3</v>
      </c>
      <c r="BR164" s="69">
        <f t="shared" si="154"/>
        <v>0.67139585012686154</v>
      </c>
      <c r="BT164" s="46">
        <f t="shared" si="155"/>
        <v>3470.7596878083095</v>
      </c>
      <c r="BU164" s="49">
        <f t="shared" si="118"/>
        <v>95.502779760315036</v>
      </c>
      <c r="BV164" s="46">
        <f t="shared" si="156"/>
        <v>77.11178792395549</v>
      </c>
      <c r="BX164" s="46">
        <f t="shared" si="157"/>
        <v>4298.5282404892005</v>
      </c>
    </row>
    <row r="165" spans="1:76" x14ac:dyDescent="0.25">
      <c r="A165" s="61">
        <f t="shared" si="107"/>
        <v>13.333333333333359</v>
      </c>
      <c r="B165" s="32">
        <f t="shared" si="119"/>
        <v>4</v>
      </c>
      <c r="C165" s="62">
        <f t="shared" si="120"/>
        <v>14</v>
      </c>
      <c r="D165" s="64">
        <f t="shared" si="121"/>
        <v>13.833333333333359</v>
      </c>
      <c r="E165" s="28">
        <f t="shared" si="122"/>
        <v>13</v>
      </c>
      <c r="G165" s="68">
        <f>INDEX(Others!$D$11:$E$60, MATCH(C165, Others!$A$11:$A$60, 0), MATCH(G$3, Others!$D$10:$E$10, 0))</f>
        <v>4.0690909090909333E-2</v>
      </c>
      <c r="H165" s="16">
        <f t="shared" si="123"/>
        <v>3.329265421250005E-3</v>
      </c>
      <c r="I165" s="69">
        <f t="shared" si="124"/>
        <v>0.58754777922814461</v>
      </c>
      <c r="K165" s="80">
        <f>INDEX(Mortality!$B$7:$F$32, MATCH( E165,Mortality!$A$7:$A$32, 0), MATCH( K$3,Mortality!$B$6:$F$6,0))</f>
        <v>0.371</v>
      </c>
      <c r="L165" s="11" cm="1">
        <f t="array" ref="L165">PAD_Res_Mort</f>
        <v>0.15</v>
      </c>
      <c r="M165" s="80">
        <f t="shared" si="125"/>
        <v>0.42664999999999997</v>
      </c>
      <c r="N165" s="76">
        <f>INDEX('Myopia_(Reserve)'!$H:$H, MATCH(E165, 'Myopia_(Reserve)'!$A:$A, 0)) * Trend_Factor_Reserve^(A165)</f>
        <v>22.773501315763465</v>
      </c>
      <c r="O165" s="11">
        <f t="shared" si="108"/>
        <v>0.3</v>
      </c>
      <c r="P165" s="80">
        <f t="shared" si="126"/>
        <v>29.605551710492506</v>
      </c>
      <c r="Q165" s="76">
        <f>VLOOKUP(C165,Others!$L$10:$M$61,2)</f>
        <v>0</v>
      </c>
      <c r="R165" s="11">
        <f t="shared" si="109"/>
        <v>0</v>
      </c>
      <c r="S165" s="80">
        <f t="shared" si="127"/>
        <v>0</v>
      </c>
      <c r="T165" s="78">
        <f t="shared" si="128"/>
        <v>3.5554166666666666E-5</v>
      </c>
      <c r="U165" s="81">
        <f t="shared" si="129"/>
        <v>2.4671293092077087E-3</v>
      </c>
      <c r="V165" s="81">
        <f t="shared" si="130"/>
        <v>0</v>
      </c>
      <c r="W165" s="77">
        <f t="shared" si="110"/>
        <v>0.8074297744786515</v>
      </c>
      <c r="X165" s="82">
        <f t="shared" si="131"/>
        <v>2.8672080225035439E-5</v>
      </c>
      <c r="Y165" s="82">
        <f t="shared" si="132"/>
        <v>1.991998249194844E-3</v>
      </c>
      <c r="Z165" s="82">
        <f t="shared" si="133"/>
        <v>0</v>
      </c>
      <c r="AA165" s="82">
        <f t="shared" si="134"/>
        <v>0.80540910414923161</v>
      </c>
      <c r="AC165" s="46">
        <f t="shared" si="111"/>
        <v>0</v>
      </c>
      <c r="AD165" s="15">
        <f t="shared" si="135"/>
        <v>0</v>
      </c>
      <c r="AE165" s="46">
        <f t="shared" si="136"/>
        <v>0</v>
      </c>
      <c r="AF165" s="15">
        <f t="shared" si="137"/>
        <v>0</v>
      </c>
      <c r="AG165" s="46">
        <f>SUMPRODUCT(AE166:AE$605, $I165:$I$604) / $I165</f>
        <v>0</v>
      </c>
      <c r="AI165" s="46">
        <f t="shared" si="112"/>
        <v>-47000</v>
      </c>
      <c r="AJ165" s="46">
        <f>IF(E165&gt;Mat_Year,0,  -SUM($AD$5:AD165))</f>
        <v>-9306</v>
      </c>
      <c r="AK165" s="24">
        <f t="shared" si="138"/>
        <v>-0.26682237857417979</v>
      </c>
      <c r="AL165" s="79">
        <f t="shared" si="139"/>
        <v>-93.623917712157663</v>
      </c>
      <c r="AM165" s="24">
        <f t="shared" si="140"/>
        <v>-116.283475118757</v>
      </c>
      <c r="AN165" s="79">
        <f t="shared" si="141"/>
        <v>-93.890740090731839</v>
      </c>
      <c r="AO165" s="15">
        <f t="shared" si="142"/>
        <v>-3898.8243983500438</v>
      </c>
      <c r="AP165" s="46">
        <f>SUMPRODUCT(AN166:AN$605, $I166:$I$605) / $I165</f>
        <v>-3148.0269046916401</v>
      </c>
      <c r="AR165" s="46">
        <v>0</v>
      </c>
      <c r="AS165" s="46">
        <v>0</v>
      </c>
      <c r="AT165" s="46">
        <v>0</v>
      </c>
      <c r="AU165" s="95">
        <f t="shared" si="113"/>
        <v>-2.3737134630130288</v>
      </c>
      <c r="AV165" s="47">
        <f t="shared" si="114"/>
        <v>0.1</v>
      </c>
      <c r="AW165" s="96">
        <f t="shared" si="143"/>
        <v>-2.611084809314332</v>
      </c>
      <c r="AX165" s="95">
        <f t="shared" si="115"/>
        <v>-27.218581042549392</v>
      </c>
      <c r="AY165" s="11">
        <f t="shared" si="116"/>
        <v>0.1</v>
      </c>
      <c r="AZ165" s="96">
        <f t="shared" si="144"/>
        <v>-29.940439146804334</v>
      </c>
      <c r="BA165" s="95">
        <f t="shared" si="145"/>
        <v>-2.1082676187293039</v>
      </c>
      <c r="BB165" s="64">
        <f t="shared" si="146"/>
        <v>-6.0499757033748963E-2</v>
      </c>
      <c r="BC165" s="95">
        <f t="shared" si="158"/>
        <v>-2.611084809314332</v>
      </c>
      <c r="BD165" s="96">
        <f t="shared" si="158"/>
        <v>-7.4928816035813126E-2</v>
      </c>
      <c r="BE165" s="96">
        <f t="shared" si="147"/>
        <v>-2.1082676187293039</v>
      </c>
      <c r="BF165" s="96">
        <f t="shared" si="148"/>
        <v>-6.0499757033748963E-2</v>
      </c>
      <c r="BG165" s="15">
        <f t="shared" si="149"/>
        <v>-199.21586797140304</v>
      </c>
      <c r="BH165" s="46">
        <f>(SUMPRODUCT(BE166:BE$605,$I165:$I$604)+SUMPRODUCT(BF166:BF$605,$I166:$I$605)) / $I165</f>
        <v>-160.85282334871877</v>
      </c>
      <c r="BJ165" s="46">
        <f t="shared" si="150"/>
        <v>-2.1082676187293039</v>
      </c>
      <c r="BK165" s="46">
        <f t="shared" si="151"/>
        <v>-93.951239847765592</v>
      </c>
      <c r="BM165" s="49">
        <f t="shared" si="117"/>
        <v>4108.3217348723547</v>
      </c>
      <c r="BN165" s="50">
        <f t="shared" si="152"/>
        <v>3308.8797280403601</v>
      </c>
      <c r="BP165" s="68">
        <f>INDEX(Others!$H$11:$I$60, MATCH(C165, Others!$A$11:$A$60, 0), MATCH(BP$3, Others!$H$10:$I$10, 0))</f>
        <v>3.0518181818182E-2</v>
      </c>
      <c r="BQ165" s="16">
        <f t="shared" si="153"/>
        <v>2.5082875760633616E-3</v>
      </c>
      <c r="BR165" s="69">
        <f t="shared" si="154"/>
        <v>0.66971600978003953</v>
      </c>
      <c r="BT165" s="46">
        <f t="shared" si="155"/>
        <v>3383.4005556047705</v>
      </c>
      <c r="BU165" s="49">
        <f t="shared" si="118"/>
        <v>92.525434813811955</v>
      </c>
      <c r="BV165" s="46">
        <f t="shared" si="156"/>
        <v>74.520827564410411</v>
      </c>
      <c r="BX165" s="46">
        <f t="shared" si="157"/>
        <v>4200.847169686167</v>
      </c>
    </row>
    <row r="166" spans="1:76" x14ac:dyDescent="0.25">
      <c r="A166" s="61">
        <f t="shared" si="107"/>
        <v>13.416666666666693</v>
      </c>
      <c r="B166" s="32">
        <f t="shared" si="119"/>
        <v>5</v>
      </c>
      <c r="C166" s="62">
        <f t="shared" si="120"/>
        <v>14</v>
      </c>
      <c r="D166" s="64">
        <f t="shared" si="121"/>
        <v>13.916666666666693</v>
      </c>
      <c r="E166" s="28">
        <f t="shared" si="122"/>
        <v>13</v>
      </c>
      <c r="G166" s="68">
        <f>INDEX(Others!$D$11:$E$60, MATCH(C166, Others!$A$11:$A$60, 0), MATCH(G$3, Others!$D$10:$E$10, 0))</f>
        <v>4.0690909090909333E-2</v>
      </c>
      <c r="H166" s="16">
        <f t="shared" si="123"/>
        <v>3.329265421250005E-3</v>
      </c>
      <c r="I166" s="69">
        <f t="shared" si="124"/>
        <v>0.58559816749834503</v>
      </c>
      <c r="K166" s="80">
        <f>INDEX(Mortality!$B$7:$F$32, MATCH( E166,Mortality!$A$7:$A$32, 0), MATCH( K$3,Mortality!$B$6:$F$6,0))</f>
        <v>0.371</v>
      </c>
      <c r="L166" s="11" cm="1">
        <f t="array" ref="L166">PAD_Res_Mort</f>
        <v>0.15</v>
      </c>
      <c r="M166" s="80">
        <f t="shared" si="125"/>
        <v>0.42664999999999997</v>
      </c>
      <c r="N166" s="76">
        <f>INDEX('Myopia_(Reserve)'!$H:$H, MATCH(E166, 'Myopia_(Reserve)'!$A:$A, 0)) * Trend_Factor_Reserve^(A166)</f>
        <v>22.773501315763465</v>
      </c>
      <c r="O166" s="11">
        <f t="shared" si="108"/>
        <v>0.3</v>
      </c>
      <c r="P166" s="80">
        <f t="shared" si="126"/>
        <v>29.605551710492506</v>
      </c>
      <c r="Q166" s="76">
        <f>VLOOKUP(C166,Others!$L$10:$M$61,2)</f>
        <v>0</v>
      </c>
      <c r="R166" s="11">
        <f t="shared" si="109"/>
        <v>0</v>
      </c>
      <c r="S166" s="80">
        <f t="shared" si="127"/>
        <v>0</v>
      </c>
      <c r="T166" s="78">
        <f t="shared" si="128"/>
        <v>3.5554166666666666E-5</v>
      </c>
      <c r="U166" s="81">
        <f t="shared" si="129"/>
        <v>2.4671293092077087E-3</v>
      </c>
      <c r="V166" s="81">
        <f t="shared" si="130"/>
        <v>0</v>
      </c>
      <c r="W166" s="77">
        <f t="shared" si="110"/>
        <v>0.80540910414923161</v>
      </c>
      <c r="X166" s="82">
        <f t="shared" si="131"/>
        <v>2.8600325598658319E-5</v>
      </c>
      <c r="Y166" s="82">
        <f t="shared" si="132"/>
        <v>1.9870130828241795E-3</v>
      </c>
      <c r="Z166" s="82">
        <f t="shared" si="133"/>
        <v>0</v>
      </c>
      <c r="AA166" s="82">
        <f t="shared" si="134"/>
        <v>0.80339349074080879</v>
      </c>
      <c r="AC166" s="46">
        <f t="shared" si="111"/>
        <v>0</v>
      </c>
      <c r="AD166" s="15">
        <f t="shared" si="135"/>
        <v>0</v>
      </c>
      <c r="AE166" s="46">
        <f t="shared" si="136"/>
        <v>0</v>
      </c>
      <c r="AF166" s="15">
        <f t="shared" si="137"/>
        <v>0</v>
      </c>
      <c r="AG166" s="46">
        <f>SUMPRODUCT(AE167:AE$605, $I166:$I$604) / $I166</f>
        <v>0</v>
      </c>
      <c r="AI166" s="46">
        <f t="shared" si="112"/>
        <v>-47000</v>
      </c>
      <c r="AJ166" s="46">
        <f>IF(E166&gt;Mat_Year,0,  -SUM($AD$5:AD166))</f>
        <v>-9306</v>
      </c>
      <c r="AK166" s="24">
        <f t="shared" si="138"/>
        <v>-0.26615463002111434</v>
      </c>
      <c r="AL166" s="79">
        <f t="shared" si="139"/>
        <v>-93.389614892736432</v>
      </c>
      <c r="AM166" s="24">
        <f t="shared" si="140"/>
        <v>-116.28347511875701</v>
      </c>
      <c r="AN166" s="79">
        <f t="shared" si="141"/>
        <v>-93.655769522757552</v>
      </c>
      <c r="AO166" s="15">
        <f t="shared" si="142"/>
        <v>-3805.3353711779746</v>
      </c>
      <c r="AP166" s="46">
        <f>SUMPRODUCT(AN167:AN$605, $I167:$I$605) / $I166</f>
        <v>-3064.8517522878365</v>
      </c>
      <c r="AR166" s="46">
        <v>0</v>
      </c>
      <c r="AS166" s="46">
        <v>0</v>
      </c>
      <c r="AT166" s="46">
        <v>0</v>
      </c>
      <c r="AU166" s="95">
        <f t="shared" si="113"/>
        <v>-2.3783126558274144</v>
      </c>
      <c r="AV166" s="47">
        <f t="shared" si="114"/>
        <v>0.1</v>
      </c>
      <c r="AW166" s="96">
        <f t="shared" si="143"/>
        <v>-2.6161439214101558</v>
      </c>
      <c r="AX166" s="95">
        <f t="shared" si="115"/>
        <v>-27.271318453487684</v>
      </c>
      <c r="AY166" s="11">
        <f t="shared" si="116"/>
        <v>0.1</v>
      </c>
      <c r="AZ166" s="96">
        <f t="shared" si="144"/>
        <v>-29.998450298836456</v>
      </c>
      <c r="BA166" s="95">
        <f t="shared" si="145"/>
        <v>-2.1070661320684114</v>
      </c>
      <c r="BB166" s="64">
        <f t="shared" si="146"/>
        <v>-6.0465278654240853E-2</v>
      </c>
      <c r="BC166" s="95">
        <f t="shared" si="158"/>
        <v>-2.6161439214101558</v>
      </c>
      <c r="BD166" s="96">
        <f t="shared" si="158"/>
        <v>-7.5073994498872018E-2</v>
      </c>
      <c r="BE166" s="96">
        <f t="shared" si="147"/>
        <v>-2.1070661320684114</v>
      </c>
      <c r="BF166" s="96">
        <f t="shared" si="148"/>
        <v>-6.0465278654240853E-2</v>
      </c>
      <c r="BG166" s="15">
        <f t="shared" si="149"/>
        <v>-197.68065431349709</v>
      </c>
      <c r="BH166" s="46">
        <f>(SUMPRODUCT(BE167:BE$605,$I166:$I$604)+SUMPRODUCT(BF167:BF$605,$I167:$I$605)) / $I166</f>
        <v>-159.21379869826762</v>
      </c>
      <c r="BJ166" s="46">
        <f t="shared" si="150"/>
        <v>-2.1070661320684114</v>
      </c>
      <c r="BK166" s="46">
        <f t="shared" si="151"/>
        <v>-93.716234801411787</v>
      </c>
      <c r="BM166" s="49">
        <f t="shared" si="117"/>
        <v>4013.0590901516966</v>
      </c>
      <c r="BN166" s="50">
        <f t="shared" si="152"/>
        <v>3224.0655509861058</v>
      </c>
      <c r="BP166" s="68">
        <f>INDEX(Others!$H$11:$I$60, MATCH(C166, Others!$A$11:$A$60, 0), MATCH(BP$3, Others!$H$10:$I$10, 0))</f>
        <v>3.0518181818182E-2</v>
      </c>
      <c r="BQ166" s="16">
        <f t="shared" si="153"/>
        <v>2.5082875760633616E-3</v>
      </c>
      <c r="BR166" s="69">
        <f t="shared" si="154"/>
        <v>0.6680403724136057</v>
      </c>
      <c r="BT166" s="46">
        <f t="shared" si="155"/>
        <v>3296.0585111219584</v>
      </c>
      <c r="BU166" s="49">
        <f t="shared" si="118"/>
        <v>89.611082197676197</v>
      </c>
      <c r="BV166" s="46">
        <f t="shared" si="156"/>
        <v>71.992960135852627</v>
      </c>
      <c r="BX166" s="46">
        <f t="shared" si="157"/>
        <v>4102.6701723493725</v>
      </c>
    </row>
    <row r="167" spans="1:76" x14ac:dyDescent="0.25">
      <c r="A167" s="61">
        <f t="shared" si="107"/>
        <v>13.500000000000027</v>
      </c>
      <c r="B167" s="32">
        <f t="shared" si="119"/>
        <v>6</v>
      </c>
      <c r="C167" s="62">
        <f t="shared" si="120"/>
        <v>14</v>
      </c>
      <c r="D167" s="64">
        <f t="shared" si="121"/>
        <v>14.000000000000027</v>
      </c>
      <c r="E167" s="28">
        <f t="shared" si="122"/>
        <v>14</v>
      </c>
      <c r="G167" s="68">
        <f>INDEX(Others!$D$11:$E$60, MATCH(C167, Others!$A$11:$A$60, 0), MATCH(G$3, Others!$D$10:$E$10, 0))</f>
        <v>4.0690909090909333E-2</v>
      </c>
      <c r="H167" s="16">
        <f t="shared" si="123"/>
        <v>3.329265421250005E-3</v>
      </c>
      <c r="I167" s="69">
        <f t="shared" si="124"/>
        <v>0.58365502500565491</v>
      </c>
      <c r="K167" s="80">
        <f>INDEX(Mortality!$B$7:$F$32, MATCH( E167,Mortality!$A$7:$A$32, 0), MATCH( K$3,Mortality!$B$6:$F$6,0))</f>
        <v>0.377</v>
      </c>
      <c r="L167" s="11" cm="1">
        <f t="array" ref="L167">PAD_Res_Mort</f>
        <v>0.15</v>
      </c>
      <c r="M167" s="80">
        <f t="shared" si="125"/>
        <v>0.43354999999999999</v>
      </c>
      <c r="N167" s="76">
        <f>INDEX('Myopia_(Reserve)'!$H:$H, MATCH(E167, 'Myopia_(Reserve)'!$A:$A, 0)) * Trend_Factor_Reserve^(A167)</f>
        <v>22.266417038050125</v>
      </c>
      <c r="O167" s="11">
        <f t="shared" si="108"/>
        <v>0.3</v>
      </c>
      <c r="P167" s="80">
        <f t="shared" si="126"/>
        <v>28.946342149465163</v>
      </c>
      <c r="Q167" s="76">
        <f>VLOOKUP(C167,Others!$L$10:$M$61,2)</f>
        <v>0</v>
      </c>
      <c r="R167" s="11">
        <f t="shared" si="109"/>
        <v>0</v>
      </c>
      <c r="S167" s="80">
        <f t="shared" si="127"/>
        <v>0</v>
      </c>
      <c r="T167" s="78">
        <f t="shared" si="128"/>
        <v>3.6129166666666666E-5</v>
      </c>
      <c r="U167" s="81">
        <f t="shared" si="129"/>
        <v>2.4121951791220967E-3</v>
      </c>
      <c r="V167" s="81">
        <f t="shared" si="130"/>
        <v>0</v>
      </c>
      <c r="W167" s="77">
        <f t="shared" si="110"/>
        <v>0.80339349074080879</v>
      </c>
      <c r="X167" s="82">
        <f t="shared" si="131"/>
        <v>2.8990929212846298E-5</v>
      </c>
      <c r="Y167" s="82">
        <f t="shared" si="132"/>
        <v>1.9379068971900084E-3</v>
      </c>
      <c r="Z167" s="82">
        <f t="shared" si="133"/>
        <v>0</v>
      </c>
      <c r="AA167" s="82">
        <f t="shared" si="134"/>
        <v>0.80142659291440599</v>
      </c>
      <c r="AC167" s="46">
        <f t="shared" si="111"/>
        <v>0</v>
      </c>
      <c r="AD167" s="15">
        <f t="shared" si="135"/>
        <v>0</v>
      </c>
      <c r="AE167" s="46">
        <f t="shared" si="136"/>
        <v>0</v>
      </c>
      <c r="AF167" s="15">
        <f t="shared" si="137"/>
        <v>0</v>
      </c>
      <c r="AG167" s="46">
        <f>SUMPRODUCT(AE168:AE$605, $I167:$I$604) / $I167</f>
        <v>0</v>
      </c>
      <c r="AI167" s="46">
        <f t="shared" si="112"/>
        <v>-47000</v>
      </c>
      <c r="AJ167" s="46">
        <f>IF(E167&gt;Mat_Year,0,  -SUM($AD$5:AD167))</f>
        <v>-9306</v>
      </c>
      <c r="AK167" s="24">
        <f t="shared" si="138"/>
        <v>-0.26978958725474766</v>
      </c>
      <c r="AL167" s="79">
        <f t="shared" si="139"/>
        <v>-91.081624167930386</v>
      </c>
      <c r="AM167" s="24">
        <f t="shared" si="140"/>
        <v>-113.70693789285004</v>
      </c>
      <c r="AN167" s="79">
        <f t="shared" si="141"/>
        <v>-91.351413755185135</v>
      </c>
      <c r="AO167" s="15">
        <f t="shared" si="142"/>
        <v>-3713.8762983273973</v>
      </c>
      <c r="AP167" s="46">
        <f>SUMPRODUCT(AN168:AN$605, $I168:$I$605) / $I167</f>
        <v>-2983.7040434928012</v>
      </c>
      <c r="AR167" s="46">
        <v>0</v>
      </c>
      <c r="AS167" s="46">
        <v>0</v>
      </c>
      <c r="AT167" s="46">
        <v>0</v>
      </c>
      <c r="AU167" s="95">
        <f t="shared" si="113"/>
        <v>-2.3829207598161579</v>
      </c>
      <c r="AV167" s="47">
        <f t="shared" si="114"/>
        <v>0.1</v>
      </c>
      <c r="AW167" s="96">
        <f t="shared" si="143"/>
        <v>-2.621212835797774</v>
      </c>
      <c r="AX167" s="95">
        <f t="shared" si="115"/>
        <v>-27.324158045891942</v>
      </c>
      <c r="AY167" s="11">
        <f t="shared" si="116"/>
        <v>0.1</v>
      </c>
      <c r="AZ167" s="96">
        <f t="shared" si="144"/>
        <v>-30.056573850481136</v>
      </c>
      <c r="BA167" s="95">
        <f t="shared" si="145"/>
        <v>-2.1058653301261883</v>
      </c>
      <c r="BB167" s="64">
        <f t="shared" si="146"/>
        <v>-5.9118209775628226E-2</v>
      </c>
      <c r="BC167" s="95">
        <f t="shared" si="158"/>
        <v>-2.6212128357977744</v>
      </c>
      <c r="BD167" s="96">
        <f t="shared" si="158"/>
        <v>-7.3585622060636E-2</v>
      </c>
      <c r="BE167" s="96">
        <f t="shared" si="147"/>
        <v>-2.1058653301261883</v>
      </c>
      <c r="BF167" s="96">
        <f t="shared" si="148"/>
        <v>-5.9118209775628226E-2</v>
      </c>
      <c r="BG167" s="15">
        <f t="shared" si="149"/>
        <v>-196.13286762260853</v>
      </c>
      <c r="BH167" s="46">
        <f>(SUMPRODUCT(BE168:BE$605,$I167:$I$604)+SUMPRODUCT(BF168:BF$605,$I168:$I$605)) / $I167</f>
        <v>-157.57186916833243</v>
      </c>
      <c r="BJ167" s="46">
        <f t="shared" si="150"/>
        <v>-2.1058653301261883</v>
      </c>
      <c r="BK167" s="46">
        <f t="shared" si="151"/>
        <v>-91.410531964960768</v>
      </c>
      <c r="BM167" s="49">
        <f t="shared" si="117"/>
        <v>3919.605289409993</v>
      </c>
      <c r="BN167" s="50">
        <f t="shared" si="152"/>
        <v>3141.275912661135</v>
      </c>
      <c r="BP167" s="68">
        <f>INDEX(Others!$H$11:$I$60, MATCH(C167, Others!$A$11:$A$60, 0), MATCH(BP$3, Others!$H$10:$I$10, 0))</f>
        <v>3.0518181818182E-2</v>
      </c>
      <c r="BQ167" s="16">
        <f t="shared" si="153"/>
        <v>2.5082875760633616E-3</v>
      </c>
      <c r="BR167" s="69">
        <f t="shared" si="154"/>
        <v>0.66636892751165355</v>
      </c>
      <c r="BT167" s="46">
        <f t="shared" si="155"/>
        <v>3210.8042943244523</v>
      </c>
      <c r="BU167" s="49">
        <f t="shared" si="118"/>
        <v>86.755770619584467</v>
      </c>
      <c r="BV167" s="46">
        <f t="shared" si="156"/>
        <v>69.528381663317305</v>
      </c>
      <c r="BX167" s="46">
        <f t="shared" si="157"/>
        <v>4006.3610600295774</v>
      </c>
    </row>
    <row r="168" spans="1:76" x14ac:dyDescent="0.25">
      <c r="A168" s="61">
        <f t="shared" si="107"/>
        <v>13.583333333333361</v>
      </c>
      <c r="B168" s="32">
        <f t="shared" si="119"/>
        <v>7</v>
      </c>
      <c r="C168" s="62">
        <f t="shared" si="120"/>
        <v>14</v>
      </c>
      <c r="D168" s="64">
        <f t="shared" si="121"/>
        <v>14.083333333333361</v>
      </c>
      <c r="E168" s="28">
        <f t="shared" si="122"/>
        <v>14</v>
      </c>
      <c r="G168" s="68">
        <f>INDEX(Others!$D$11:$E$60, MATCH(C168, Others!$A$11:$A$60, 0), MATCH(G$3, Others!$D$10:$E$10, 0))</f>
        <v>4.0690909090909333E-2</v>
      </c>
      <c r="H168" s="16">
        <f t="shared" si="123"/>
        <v>3.329265421250005E-3</v>
      </c>
      <c r="I168" s="69">
        <f t="shared" si="124"/>
        <v>0.58171833028373399</v>
      </c>
      <c r="K168" s="80">
        <f>INDEX(Mortality!$B$7:$F$32, MATCH( E168,Mortality!$A$7:$A$32, 0), MATCH( K$3,Mortality!$B$6:$F$6,0))</f>
        <v>0.377</v>
      </c>
      <c r="L168" s="11" cm="1">
        <f t="array" ref="L168">PAD_Res_Mort</f>
        <v>0.15</v>
      </c>
      <c r="M168" s="80">
        <f t="shared" si="125"/>
        <v>0.43354999999999999</v>
      </c>
      <c r="N168" s="76">
        <f>INDEX('Myopia_(Reserve)'!$H:$H, MATCH(E168, 'Myopia_(Reserve)'!$A:$A, 0)) * Trend_Factor_Reserve^(A168)</f>
        <v>22.266417038050125</v>
      </c>
      <c r="O168" s="11">
        <f t="shared" si="108"/>
        <v>0.3</v>
      </c>
      <c r="P168" s="80">
        <f t="shared" si="126"/>
        <v>28.946342149465163</v>
      </c>
      <c r="Q168" s="76">
        <f>VLOOKUP(C168,Others!$L$10:$M$61,2)</f>
        <v>0</v>
      </c>
      <c r="R168" s="11">
        <f t="shared" si="109"/>
        <v>0</v>
      </c>
      <c r="S168" s="80">
        <f t="shared" si="127"/>
        <v>0</v>
      </c>
      <c r="T168" s="78">
        <f t="shared" si="128"/>
        <v>3.6129166666666666E-5</v>
      </c>
      <c r="U168" s="81">
        <f t="shared" si="129"/>
        <v>2.4121951791220967E-3</v>
      </c>
      <c r="V168" s="81">
        <f t="shared" si="130"/>
        <v>0</v>
      </c>
      <c r="W168" s="77">
        <f t="shared" si="110"/>
        <v>0.80142659291440599</v>
      </c>
      <c r="X168" s="82">
        <f t="shared" si="131"/>
        <v>2.8919952541624372E-5</v>
      </c>
      <c r="Y168" s="82">
        <f t="shared" si="132"/>
        <v>1.9331624414434985E-3</v>
      </c>
      <c r="Z168" s="82">
        <f t="shared" si="133"/>
        <v>0</v>
      </c>
      <c r="AA168" s="82">
        <f t="shared" si="134"/>
        <v>0.79946451052042089</v>
      </c>
      <c r="AC168" s="46">
        <f t="shared" si="111"/>
        <v>0</v>
      </c>
      <c r="AD168" s="15">
        <f t="shared" si="135"/>
        <v>0</v>
      </c>
      <c r="AE168" s="46">
        <f t="shared" si="136"/>
        <v>0</v>
      </c>
      <c r="AF168" s="15">
        <f t="shared" si="137"/>
        <v>0</v>
      </c>
      <c r="AG168" s="46">
        <f>SUMPRODUCT(AE169:AE$605, $I168:$I$604) / $I168</f>
        <v>0</v>
      </c>
      <c r="AI168" s="46">
        <f t="shared" si="112"/>
        <v>-47000</v>
      </c>
      <c r="AJ168" s="46">
        <f>IF(E168&gt;Mat_Year,0,  -SUM($AD$5:AD168))</f>
        <v>-9306</v>
      </c>
      <c r="AK168" s="24">
        <f t="shared" si="138"/>
        <v>-0.26912907835235639</v>
      </c>
      <c r="AL168" s="79">
        <f t="shared" si="139"/>
        <v>-90.858634747844434</v>
      </c>
      <c r="AM168" s="24">
        <f t="shared" si="140"/>
        <v>-113.70693789285005</v>
      </c>
      <c r="AN168" s="79">
        <f t="shared" si="141"/>
        <v>-91.127763826196784</v>
      </c>
      <c r="AO168" s="15">
        <f t="shared" si="142"/>
        <v>-3621.678951045044</v>
      </c>
      <c r="AP168" s="46">
        <f>SUMPRODUCT(AN169:AN$605, $I169:$I$605) / $I168</f>
        <v>-2902.5098223658492</v>
      </c>
      <c r="AR168" s="46">
        <v>0</v>
      </c>
      <c r="AS168" s="46">
        <v>0</v>
      </c>
      <c r="AT168" s="46">
        <v>0</v>
      </c>
      <c r="AU168" s="95">
        <f t="shared" si="113"/>
        <v>-2.3875377922451211</v>
      </c>
      <c r="AV168" s="47">
        <f t="shared" si="114"/>
        <v>0.1</v>
      </c>
      <c r="AW168" s="96">
        <f t="shared" si="143"/>
        <v>-2.6262915714696335</v>
      </c>
      <c r="AX168" s="95">
        <f t="shared" si="115"/>
        <v>-27.377100017744048</v>
      </c>
      <c r="AY168" s="11">
        <f t="shared" si="116"/>
        <v>0.1</v>
      </c>
      <c r="AZ168" s="96">
        <f t="shared" si="144"/>
        <v>-30.114810019518455</v>
      </c>
      <c r="BA168" s="95">
        <f t="shared" si="145"/>
        <v>-2.1047799061227295</v>
      </c>
      <c r="BB168" s="64">
        <f t="shared" si="146"/>
        <v>-5.9087738537503931E-2</v>
      </c>
      <c r="BC168" s="95">
        <f t="shared" si="158"/>
        <v>-2.6262915714696335</v>
      </c>
      <c r="BD168" s="96">
        <f t="shared" si="158"/>
        <v>-7.3728198015778373E-2</v>
      </c>
      <c r="BE168" s="96">
        <f t="shared" si="147"/>
        <v>-2.1047799061227295</v>
      </c>
      <c r="BF168" s="96">
        <f t="shared" si="148"/>
        <v>-5.9087738537503931E-2</v>
      </c>
      <c r="BG168" s="15">
        <f t="shared" si="149"/>
        <v>-194.5600434358789</v>
      </c>
      <c r="BH168" s="46">
        <f>(SUMPRODUCT(BE169:BE$605,$I168:$I$604)+SUMPRODUCT(BF169:BF$605,$I169:$I$605)) / $I168</f>
        <v>-155.92559272809527</v>
      </c>
      <c r="BJ168" s="46">
        <f t="shared" si="150"/>
        <v>-2.1047799061227295</v>
      </c>
      <c r="BK168" s="46">
        <f t="shared" si="151"/>
        <v>-91.186851564734283</v>
      </c>
      <c r="BM168" s="49">
        <f t="shared" si="117"/>
        <v>3825.6049828941382</v>
      </c>
      <c r="BN168" s="50">
        <f t="shared" si="152"/>
        <v>3058.4354150939453</v>
      </c>
      <c r="BP168" s="68">
        <f>INDEX(Others!$H$11:$I$60, MATCH(C168, Others!$A$11:$A$60, 0), MATCH(BP$3, Others!$H$10:$I$10, 0))</f>
        <v>3.0518181818182E-2</v>
      </c>
      <c r="BQ168" s="16">
        <f t="shared" si="153"/>
        <v>2.5082875760633616E-3</v>
      </c>
      <c r="BR168" s="69">
        <f t="shared" si="154"/>
        <v>0.66470166458458735</v>
      </c>
      <c r="BT168" s="46">
        <f t="shared" si="155"/>
        <v>3125.5610039809312</v>
      </c>
      <c r="BU168" s="49">
        <f t="shared" si="118"/>
        <v>83.963187863448439</v>
      </c>
      <c r="BV168" s="46">
        <f t="shared" si="156"/>
        <v>67.125588886985952</v>
      </c>
      <c r="BX168" s="46">
        <f t="shared" si="157"/>
        <v>3909.5681707575868</v>
      </c>
    </row>
    <row r="169" spans="1:76" x14ac:dyDescent="0.25">
      <c r="A169" s="61">
        <f t="shared" si="107"/>
        <v>13.666666666666694</v>
      </c>
      <c r="B169" s="32">
        <f t="shared" si="119"/>
        <v>8</v>
      </c>
      <c r="C169" s="62">
        <f t="shared" si="120"/>
        <v>14</v>
      </c>
      <c r="D169" s="64">
        <f t="shared" si="121"/>
        <v>14.166666666666694</v>
      </c>
      <c r="E169" s="28">
        <f t="shared" si="122"/>
        <v>14</v>
      </c>
      <c r="G169" s="68">
        <f>INDEX(Others!$D$11:$E$60, MATCH(C169, Others!$A$11:$A$60, 0), MATCH(G$3, Others!$D$10:$E$10, 0))</f>
        <v>4.0690909090909333E-2</v>
      </c>
      <c r="H169" s="16">
        <f t="shared" si="123"/>
        <v>3.329265421250005E-3</v>
      </c>
      <c r="I169" s="69">
        <f t="shared" si="124"/>
        <v>0.57978806193747201</v>
      </c>
      <c r="K169" s="80">
        <f>INDEX(Mortality!$B$7:$F$32, MATCH( E169,Mortality!$A$7:$A$32, 0), MATCH( K$3,Mortality!$B$6:$F$6,0))</f>
        <v>0.377</v>
      </c>
      <c r="L169" s="11" cm="1">
        <f t="array" ref="L169">PAD_Res_Mort</f>
        <v>0.15</v>
      </c>
      <c r="M169" s="80">
        <f t="shared" si="125"/>
        <v>0.43354999999999999</v>
      </c>
      <c r="N169" s="76">
        <f>INDEX('Myopia_(Reserve)'!$H:$H, MATCH(E169, 'Myopia_(Reserve)'!$A:$A, 0)) * Trend_Factor_Reserve^(A169)</f>
        <v>22.266417038050125</v>
      </c>
      <c r="O169" s="11">
        <f t="shared" si="108"/>
        <v>0.3</v>
      </c>
      <c r="P169" s="80">
        <f t="shared" si="126"/>
        <v>28.946342149465163</v>
      </c>
      <c r="Q169" s="76">
        <f>VLOOKUP(C169,Others!$L$10:$M$61,2)</f>
        <v>0</v>
      </c>
      <c r="R169" s="11">
        <f t="shared" si="109"/>
        <v>0</v>
      </c>
      <c r="S169" s="80">
        <f t="shared" si="127"/>
        <v>0</v>
      </c>
      <c r="T169" s="78">
        <f t="shared" si="128"/>
        <v>3.6129166666666666E-5</v>
      </c>
      <c r="U169" s="81">
        <f t="shared" si="129"/>
        <v>2.4121951791220967E-3</v>
      </c>
      <c r="V169" s="81">
        <f t="shared" si="130"/>
        <v>0</v>
      </c>
      <c r="W169" s="77">
        <f t="shared" si="110"/>
        <v>0.79946451052042089</v>
      </c>
      <c r="X169" s="82">
        <f t="shared" si="131"/>
        <v>2.8849149638128926E-5</v>
      </c>
      <c r="Y169" s="82">
        <f t="shared" si="132"/>
        <v>1.9284296012500178E-3</v>
      </c>
      <c r="Z169" s="82">
        <f t="shared" si="133"/>
        <v>0</v>
      </c>
      <c r="AA169" s="82">
        <f t="shared" si="134"/>
        <v>0.79750723176953275</v>
      </c>
      <c r="AC169" s="46">
        <f t="shared" si="111"/>
        <v>0</v>
      </c>
      <c r="AD169" s="15">
        <f t="shared" si="135"/>
        <v>0</v>
      </c>
      <c r="AE169" s="46">
        <f t="shared" si="136"/>
        <v>0</v>
      </c>
      <c r="AF169" s="15">
        <f t="shared" si="137"/>
        <v>0</v>
      </c>
      <c r="AG169" s="46">
        <f>SUMPRODUCT(AE170:AE$605, $I169:$I$604) / $I169</f>
        <v>0</v>
      </c>
      <c r="AI169" s="46">
        <f t="shared" si="112"/>
        <v>-47000</v>
      </c>
      <c r="AJ169" s="46">
        <f>IF(E169&gt;Mat_Year,0,  -SUM($AD$5:AD169))</f>
        <v>-9306</v>
      </c>
      <c r="AK169" s="24">
        <f t="shared" si="138"/>
        <v>-0.26847018653242777</v>
      </c>
      <c r="AL169" s="79">
        <f t="shared" si="139"/>
        <v>-90.636191258750841</v>
      </c>
      <c r="AM169" s="24">
        <f t="shared" si="140"/>
        <v>-113.70693789285005</v>
      </c>
      <c r="AN169" s="79">
        <f t="shared" si="141"/>
        <v>-90.904661445283267</v>
      </c>
      <c r="AO169" s="15">
        <f t="shared" si="142"/>
        <v>-3528.947626043423</v>
      </c>
      <c r="AP169" s="46">
        <f>SUMPRODUCT(AN170:AN$605, $I170:$I$605) / $I169</f>
        <v>-2821.2683865070067</v>
      </c>
      <c r="AR169" s="46">
        <v>0</v>
      </c>
      <c r="AS169" s="46">
        <v>0</v>
      </c>
      <c r="AT169" s="46">
        <v>0</v>
      </c>
      <c r="AU169" s="95">
        <f t="shared" si="113"/>
        <v>-2.3921637704136192</v>
      </c>
      <c r="AV169" s="47">
        <f t="shared" si="114"/>
        <v>0.1</v>
      </c>
      <c r="AW169" s="96">
        <f t="shared" si="143"/>
        <v>-2.6313801474549812</v>
      </c>
      <c r="AX169" s="95">
        <f t="shared" si="115"/>
        <v>-27.430144567409496</v>
      </c>
      <c r="AY169" s="11">
        <f t="shared" si="116"/>
        <v>0.1</v>
      </c>
      <c r="AZ169" s="96">
        <f t="shared" si="144"/>
        <v>-30.173159024150447</v>
      </c>
      <c r="BA169" s="95">
        <f t="shared" si="145"/>
        <v>-2.1036950415782494</v>
      </c>
      <c r="BB169" s="64">
        <f t="shared" si="146"/>
        <v>-5.9057283005138593E-2</v>
      </c>
      <c r="BC169" s="95">
        <f t="shared" si="158"/>
        <v>-2.6313801474549812</v>
      </c>
      <c r="BD169" s="96">
        <f t="shared" si="158"/>
        <v>-7.3871050219220552E-2</v>
      </c>
      <c r="BE169" s="96">
        <f t="shared" si="147"/>
        <v>-2.1036950415782494</v>
      </c>
      <c r="BF169" s="96">
        <f t="shared" si="148"/>
        <v>-5.9057283005138593E-2</v>
      </c>
      <c r="BG169" s="15">
        <f t="shared" si="149"/>
        <v>-192.97286158216519</v>
      </c>
      <c r="BH169" s="46">
        <f>(SUMPRODUCT(BE170:BE$605,$I169:$I$604)+SUMPRODUCT(BF170:BF$605,$I170:$I$605)) / $I169</f>
        <v>-154.27495432851063</v>
      </c>
      <c r="BJ169" s="46">
        <f t="shared" si="150"/>
        <v>-2.1036950415782494</v>
      </c>
      <c r="BK169" s="46">
        <f t="shared" si="151"/>
        <v>-90.963718728288413</v>
      </c>
      <c r="BM169" s="49">
        <f t="shared" si="117"/>
        <v>3731.0549952422311</v>
      </c>
      <c r="BN169" s="50">
        <f t="shared" si="152"/>
        <v>2975.5433408355188</v>
      </c>
      <c r="BP169" s="68">
        <f>INDEX(Others!$H$11:$I$60, MATCH(C169, Others!$A$11:$A$60, 0), MATCH(BP$3, Others!$H$10:$I$10, 0))</f>
        <v>3.0518181818182E-2</v>
      </c>
      <c r="BQ169" s="16">
        <f t="shared" si="153"/>
        <v>2.5082875760633616E-3</v>
      </c>
      <c r="BR169" s="69">
        <f t="shared" si="154"/>
        <v>0.66303857316905668</v>
      </c>
      <c r="BT169" s="46">
        <f t="shared" si="155"/>
        <v>3040.3281193734415</v>
      </c>
      <c r="BU169" s="49">
        <f t="shared" si="118"/>
        <v>81.234095387669726</v>
      </c>
      <c r="BV169" s="46">
        <f t="shared" si="156"/>
        <v>64.784778537922648</v>
      </c>
      <c r="BX169" s="46">
        <f t="shared" si="157"/>
        <v>3812.2890906299008</v>
      </c>
    </row>
    <row r="170" spans="1:76" x14ac:dyDescent="0.25">
      <c r="A170" s="61">
        <f t="shared" si="107"/>
        <v>13.750000000000028</v>
      </c>
      <c r="B170" s="32">
        <f t="shared" si="119"/>
        <v>9</v>
      </c>
      <c r="C170" s="62">
        <f t="shared" si="120"/>
        <v>14</v>
      </c>
      <c r="D170" s="64">
        <f t="shared" si="121"/>
        <v>14.250000000000028</v>
      </c>
      <c r="E170" s="28">
        <f t="shared" si="122"/>
        <v>14</v>
      </c>
      <c r="G170" s="68">
        <f>INDEX(Others!$D$11:$E$60, MATCH(C170, Others!$A$11:$A$60, 0), MATCH(G$3, Others!$D$10:$E$10, 0))</f>
        <v>4.0690909090909333E-2</v>
      </c>
      <c r="H170" s="16">
        <f t="shared" si="123"/>
        <v>3.329265421250005E-3</v>
      </c>
      <c r="I170" s="69">
        <f t="shared" si="124"/>
        <v>0.5778641986427524</v>
      </c>
      <c r="K170" s="80">
        <f>INDEX(Mortality!$B$7:$F$32, MATCH( E170,Mortality!$A$7:$A$32, 0), MATCH( K$3,Mortality!$B$6:$F$6,0))</f>
        <v>0.377</v>
      </c>
      <c r="L170" s="11" cm="1">
        <f t="array" ref="L170">PAD_Res_Mort</f>
        <v>0.15</v>
      </c>
      <c r="M170" s="80">
        <f t="shared" si="125"/>
        <v>0.43354999999999999</v>
      </c>
      <c r="N170" s="76">
        <f>INDEX('Myopia_(Reserve)'!$H:$H, MATCH(E170, 'Myopia_(Reserve)'!$A:$A, 0)) * Trend_Factor_Reserve^(A170)</f>
        <v>22.266417038050125</v>
      </c>
      <c r="O170" s="11">
        <f t="shared" si="108"/>
        <v>0.3</v>
      </c>
      <c r="P170" s="80">
        <f t="shared" si="126"/>
        <v>28.946342149465163</v>
      </c>
      <c r="Q170" s="76">
        <f>VLOOKUP(C170,Others!$L$10:$M$61,2)</f>
        <v>0</v>
      </c>
      <c r="R170" s="11">
        <f t="shared" si="109"/>
        <v>0</v>
      </c>
      <c r="S170" s="80">
        <f t="shared" si="127"/>
        <v>0</v>
      </c>
      <c r="T170" s="78">
        <f t="shared" si="128"/>
        <v>3.6129166666666666E-5</v>
      </c>
      <c r="U170" s="81">
        <f t="shared" si="129"/>
        <v>2.4121951791220967E-3</v>
      </c>
      <c r="V170" s="81">
        <f t="shared" si="130"/>
        <v>0</v>
      </c>
      <c r="W170" s="77">
        <f t="shared" si="110"/>
        <v>0.79750723176953275</v>
      </c>
      <c r="X170" s="82">
        <f t="shared" si="131"/>
        <v>2.8778520076935339E-5</v>
      </c>
      <c r="Y170" s="82">
        <f t="shared" si="132"/>
        <v>1.9237083481719376E-3</v>
      </c>
      <c r="Z170" s="82">
        <f t="shared" si="133"/>
        <v>0</v>
      </c>
      <c r="AA170" s="82">
        <f t="shared" si="134"/>
        <v>0.79555474490128386</v>
      </c>
      <c r="AC170" s="46">
        <f t="shared" si="111"/>
        <v>0</v>
      </c>
      <c r="AD170" s="15">
        <f t="shared" si="135"/>
        <v>0</v>
      </c>
      <c r="AE170" s="46">
        <f t="shared" si="136"/>
        <v>0</v>
      </c>
      <c r="AF170" s="15">
        <f t="shared" si="137"/>
        <v>0</v>
      </c>
      <c r="AG170" s="46">
        <f>SUMPRODUCT(AE171:AE$605, $I170:$I$604) / $I170</f>
        <v>0</v>
      </c>
      <c r="AI170" s="46">
        <f t="shared" si="112"/>
        <v>-47000</v>
      </c>
      <c r="AJ170" s="46">
        <f>IF(E170&gt;Mat_Year,0,  -SUM($AD$5:AD170))</f>
        <v>-9306</v>
      </c>
      <c r="AK170" s="24">
        <f t="shared" si="138"/>
        <v>-0.26781290783596029</v>
      </c>
      <c r="AL170" s="79">
        <f t="shared" si="139"/>
        <v>-90.414292364081064</v>
      </c>
      <c r="AM170" s="24">
        <f t="shared" si="140"/>
        <v>-113.70693789285004</v>
      </c>
      <c r="AN170" s="79">
        <f t="shared" si="141"/>
        <v>-90.682105271917024</v>
      </c>
      <c r="AO170" s="15">
        <f t="shared" si="142"/>
        <v>-3435.6792306933758</v>
      </c>
      <c r="AP170" s="46">
        <f>SUMPRODUCT(AN171:AN$605, $I171:$I$605) / $I170</f>
        <v>-2739.9790325183521</v>
      </c>
      <c r="AR170" s="46">
        <v>0</v>
      </c>
      <c r="AS170" s="46">
        <v>0</v>
      </c>
      <c r="AT170" s="46">
        <v>0</v>
      </c>
      <c r="AU170" s="95">
        <f t="shared" si="113"/>
        <v>-2.396798711654486</v>
      </c>
      <c r="AV170" s="47">
        <f t="shared" si="114"/>
        <v>0.1</v>
      </c>
      <c r="AW170" s="96">
        <f t="shared" si="143"/>
        <v>-2.6364785828199349</v>
      </c>
      <c r="AX170" s="95">
        <f t="shared" si="115"/>
        <v>-27.483291893638103</v>
      </c>
      <c r="AY170" s="11">
        <f t="shared" si="116"/>
        <v>0.1</v>
      </c>
      <c r="AZ170" s="96">
        <f t="shared" si="144"/>
        <v>-30.231621083001915</v>
      </c>
      <c r="BA170" s="95">
        <f t="shared" si="145"/>
        <v>-2.1026107362043871</v>
      </c>
      <c r="BB170" s="64">
        <f t="shared" si="146"/>
        <v>-5.9026843170437014E-2</v>
      </c>
      <c r="BC170" s="95">
        <f t="shared" si="158"/>
        <v>-2.6364785828199349</v>
      </c>
      <c r="BD170" s="96">
        <f t="shared" si="158"/>
        <v>-7.4014179206207953E-2</v>
      </c>
      <c r="BE170" s="96">
        <f t="shared" si="147"/>
        <v>-2.1026107362043871</v>
      </c>
      <c r="BF170" s="96">
        <f t="shared" si="148"/>
        <v>-5.9026843170437014E-2</v>
      </c>
      <c r="BG170" s="15">
        <f t="shared" si="149"/>
        <v>-191.37122873743803</v>
      </c>
      <c r="BH170" s="46">
        <f>(SUMPRODUCT(BE171:BE$605,$I170:$I$604)+SUMPRODUCT(BF171:BF$605,$I171:$I$605)) / $I170</f>
        <v>-152.61993887072825</v>
      </c>
      <c r="BJ170" s="46">
        <f t="shared" si="150"/>
        <v>-2.1026107362043871</v>
      </c>
      <c r="BK170" s="46">
        <f t="shared" si="151"/>
        <v>-90.741132115087467</v>
      </c>
      <c r="BM170" s="49">
        <f t="shared" si="117"/>
        <v>3635.9521326819686</v>
      </c>
      <c r="BN170" s="50">
        <f t="shared" si="152"/>
        <v>2892.5989713890826</v>
      </c>
      <c r="BP170" s="68">
        <f>INDEX(Others!$H$11:$I$60, MATCH(C170, Others!$A$11:$A$60, 0), MATCH(BP$3, Others!$H$10:$I$10, 0))</f>
        <v>3.0518181818182E-2</v>
      </c>
      <c r="BQ170" s="16">
        <f t="shared" si="153"/>
        <v>2.5082875760633616E-3</v>
      </c>
      <c r="BR170" s="69">
        <f t="shared" si="154"/>
        <v>0.6613796428278903</v>
      </c>
      <c r="BT170" s="46">
        <f t="shared" si="155"/>
        <v>2955.1051198187433</v>
      </c>
      <c r="BU170" s="49">
        <f t="shared" si="118"/>
        <v>78.569261047417612</v>
      </c>
      <c r="BV170" s="46">
        <f t="shared" si="156"/>
        <v>62.506148429660698</v>
      </c>
      <c r="BX170" s="46">
        <f t="shared" si="157"/>
        <v>3714.5213937293861</v>
      </c>
    </row>
    <row r="171" spans="1:76" x14ac:dyDescent="0.25">
      <c r="A171" s="61">
        <f t="shared" si="107"/>
        <v>13.833333333333362</v>
      </c>
      <c r="B171" s="32">
        <f t="shared" si="119"/>
        <v>10</v>
      </c>
      <c r="C171" s="62">
        <f t="shared" si="120"/>
        <v>14</v>
      </c>
      <c r="D171" s="64">
        <f t="shared" si="121"/>
        <v>14.333333333333362</v>
      </c>
      <c r="E171" s="28">
        <f t="shared" si="122"/>
        <v>14</v>
      </c>
      <c r="G171" s="68">
        <f>INDEX(Others!$D$11:$E$60, MATCH(C171, Others!$A$11:$A$60, 0), MATCH(G$3, Others!$D$10:$E$10, 0))</f>
        <v>4.0690909090909333E-2</v>
      </c>
      <c r="H171" s="16">
        <f t="shared" si="123"/>
        <v>3.329265421250005E-3</v>
      </c>
      <c r="I171" s="69">
        <f t="shared" si="124"/>
        <v>0.57594671914621653</v>
      </c>
      <c r="K171" s="80">
        <f>INDEX(Mortality!$B$7:$F$32, MATCH( E171,Mortality!$A$7:$A$32, 0), MATCH( K$3,Mortality!$B$6:$F$6,0))</f>
        <v>0.377</v>
      </c>
      <c r="L171" s="11" cm="1">
        <f t="array" ref="L171">PAD_Res_Mort</f>
        <v>0.15</v>
      </c>
      <c r="M171" s="80">
        <f t="shared" si="125"/>
        <v>0.43354999999999999</v>
      </c>
      <c r="N171" s="76">
        <f>INDEX('Myopia_(Reserve)'!$H:$H, MATCH(E171, 'Myopia_(Reserve)'!$A:$A, 0)) * Trend_Factor_Reserve^(A171)</f>
        <v>22.266417038050125</v>
      </c>
      <c r="O171" s="11">
        <f t="shared" si="108"/>
        <v>0.3</v>
      </c>
      <c r="P171" s="80">
        <f t="shared" si="126"/>
        <v>28.946342149465163</v>
      </c>
      <c r="Q171" s="76">
        <f>VLOOKUP(C171,Others!$L$10:$M$61,2)</f>
        <v>0</v>
      </c>
      <c r="R171" s="11">
        <f t="shared" si="109"/>
        <v>0</v>
      </c>
      <c r="S171" s="80">
        <f t="shared" si="127"/>
        <v>0</v>
      </c>
      <c r="T171" s="78">
        <f t="shared" si="128"/>
        <v>3.6129166666666666E-5</v>
      </c>
      <c r="U171" s="81">
        <f t="shared" si="129"/>
        <v>2.4121951791220967E-3</v>
      </c>
      <c r="V171" s="81">
        <f t="shared" si="130"/>
        <v>0</v>
      </c>
      <c r="W171" s="77">
        <f t="shared" si="110"/>
        <v>0.79555474490128386</v>
      </c>
      <c r="X171" s="82">
        <f t="shared" si="131"/>
        <v>2.8708063433660546E-5</v>
      </c>
      <c r="Y171" s="82">
        <f t="shared" si="132"/>
        <v>1.918998653841251E-3</v>
      </c>
      <c r="Z171" s="82">
        <f t="shared" si="133"/>
        <v>0</v>
      </c>
      <c r="AA171" s="82">
        <f t="shared" si="134"/>
        <v>0.79360703818400891</v>
      </c>
      <c r="AC171" s="46">
        <f t="shared" si="111"/>
        <v>0</v>
      </c>
      <c r="AD171" s="15">
        <f t="shared" si="135"/>
        <v>0</v>
      </c>
      <c r="AE171" s="46">
        <f t="shared" si="136"/>
        <v>0</v>
      </c>
      <c r="AF171" s="15">
        <f t="shared" si="137"/>
        <v>0</v>
      </c>
      <c r="AG171" s="46">
        <f>SUMPRODUCT(AE172:AE$605, $I171:$I$604) / $I171</f>
        <v>0</v>
      </c>
      <c r="AI171" s="46">
        <f t="shared" si="112"/>
        <v>-47000</v>
      </c>
      <c r="AJ171" s="46">
        <f>IF(E171&gt;Mat_Year,0,  -SUM($AD$5:AD171))</f>
        <v>-9306</v>
      </c>
      <c r="AK171" s="24">
        <f t="shared" si="138"/>
        <v>-0.26715723831364502</v>
      </c>
      <c r="AL171" s="79">
        <f t="shared" si="139"/>
        <v>-90.19293673053879</v>
      </c>
      <c r="AM171" s="24">
        <f t="shared" si="140"/>
        <v>-113.70693789285004</v>
      </c>
      <c r="AN171" s="79">
        <f t="shared" si="141"/>
        <v>-90.460093968852433</v>
      </c>
      <c r="AO171" s="15">
        <f t="shared" si="142"/>
        <v>-3341.8706544542188</v>
      </c>
      <c r="AP171" s="46">
        <f>SUMPRODUCT(AN172:AN$605, $I172:$I$605) / $I171</f>
        <v>-2658.6410559974124</v>
      </c>
      <c r="AR171" s="46">
        <v>0</v>
      </c>
      <c r="AS171" s="46">
        <v>0</v>
      </c>
      <c r="AT171" s="46">
        <v>0</v>
      </c>
      <c r="AU171" s="95">
        <f t="shared" si="113"/>
        <v>-2.4014426333341392</v>
      </c>
      <c r="AV171" s="47">
        <f t="shared" si="114"/>
        <v>0.1</v>
      </c>
      <c r="AW171" s="96">
        <f t="shared" si="143"/>
        <v>-2.6415868966675533</v>
      </c>
      <c r="AX171" s="95">
        <f t="shared" si="115"/>
        <v>-27.536542195564795</v>
      </c>
      <c r="AY171" s="11">
        <f t="shared" si="116"/>
        <v>0.1</v>
      </c>
      <c r="AZ171" s="96">
        <f t="shared" si="144"/>
        <v>-30.290196415121276</v>
      </c>
      <c r="BA171" s="95">
        <f t="shared" si="145"/>
        <v>-2.1015269897129296</v>
      </c>
      <c r="BB171" s="64">
        <f t="shared" si="146"/>
        <v>-5.8996419025308153E-2</v>
      </c>
      <c r="BC171" s="95">
        <f t="shared" si="158"/>
        <v>-2.6415868966675533</v>
      </c>
      <c r="BD171" s="96">
        <f t="shared" si="158"/>
        <v>-7.4157585513022997E-2</v>
      </c>
      <c r="BE171" s="96">
        <f t="shared" si="147"/>
        <v>-2.1015269897129296</v>
      </c>
      <c r="BF171" s="96">
        <f t="shared" si="148"/>
        <v>-5.8996419025308153E-2</v>
      </c>
      <c r="BG171" s="15">
        <f t="shared" si="149"/>
        <v>-189.7550510174618</v>
      </c>
      <c r="BH171" s="46">
        <f>(SUMPRODUCT(BE172:BE$605,$I171:$I$604)+SUMPRODUCT(BF172:BF$605,$I172:$I$605)) / $I171</f>
        <v>-150.96053120592691</v>
      </c>
      <c r="BJ171" s="46">
        <f t="shared" si="150"/>
        <v>-2.1015269897129296</v>
      </c>
      <c r="BK171" s="46">
        <f t="shared" si="151"/>
        <v>-90.519090387877739</v>
      </c>
      <c r="BM171" s="49">
        <f t="shared" si="117"/>
        <v>3540.293182923986</v>
      </c>
      <c r="BN171" s="50">
        <f t="shared" si="152"/>
        <v>2809.6015872033422</v>
      </c>
      <c r="BP171" s="68">
        <f>INDEX(Others!$H$11:$I$60, MATCH(C171, Others!$A$11:$A$60, 0), MATCH(BP$3, Others!$H$10:$I$10, 0))</f>
        <v>3.0518181818182E-2</v>
      </c>
      <c r="BQ171" s="16">
        <f t="shared" si="153"/>
        <v>2.5082875760633616E-3</v>
      </c>
      <c r="BR171" s="69">
        <f t="shared" si="154"/>
        <v>0.65972486315003098</v>
      </c>
      <c r="BT171" s="46">
        <f t="shared" si="155"/>
        <v>2869.8914846651164</v>
      </c>
      <c r="BU171" s="49">
        <f t="shared" si="118"/>
        <v>75.969459141559625</v>
      </c>
      <c r="BV171" s="46">
        <f t="shared" si="156"/>
        <v>60.289897461774217</v>
      </c>
      <c r="BX171" s="46">
        <f t="shared" si="157"/>
        <v>3616.2626420655456</v>
      </c>
    </row>
    <row r="172" spans="1:76" x14ac:dyDescent="0.25">
      <c r="A172" s="61">
        <f t="shared" si="107"/>
        <v>13.916666666666696</v>
      </c>
      <c r="B172" s="32">
        <f t="shared" si="119"/>
        <v>11</v>
      </c>
      <c r="C172" s="62">
        <f t="shared" si="120"/>
        <v>14</v>
      </c>
      <c r="D172" s="64">
        <f t="shared" si="121"/>
        <v>14.416666666666696</v>
      </c>
      <c r="E172" s="28">
        <f t="shared" si="122"/>
        <v>14</v>
      </c>
      <c r="G172" s="68">
        <f>INDEX(Others!$D$11:$E$60, MATCH(C172, Others!$A$11:$A$60, 0), MATCH(G$3, Others!$D$10:$E$10, 0))</f>
        <v>4.0690909090909333E-2</v>
      </c>
      <c r="H172" s="16">
        <f t="shared" si="123"/>
        <v>3.329265421250005E-3</v>
      </c>
      <c r="I172" s="69">
        <f t="shared" si="124"/>
        <v>0.57403560226502914</v>
      </c>
      <c r="K172" s="80">
        <f>INDEX(Mortality!$B$7:$F$32, MATCH( E172,Mortality!$A$7:$A$32, 0), MATCH( K$3,Mortality!$B$6:$F$6,0))</f>
        <v>0.377</v>
      </c>
      <c r="L172" s="11" cm="1">
        <f t="array" ref="L172">PAD_Res_Mort</f>
        <v>0.15</v>
      </c>
      <c r="M172" s="80">
        <f t="shared" si="125"/>
        <v>0.43354999999999999</v>
      </c>
      <c r="N172" s="76">
        <f>INDEX('Myopia_(Reserve)'!$H:$H, MATCH(E172, 'Myopia_(Reserve)'!$A:$A, 0)) * Trend_Factor_Reserve^(A172)</f>
        <v>22.266417038050125</v>
      </c>
      <c r="O172" s="11">
        <f t="shared" si="108"/>
        <v>0.3</v>
      </c>
      <c r="P172" s="80">
        <f t="shared" si="126"/>
        <v>28.946342149465163</v>
      </c>
      <c r="Q172" s="76">
        <f>VLOOKUP(C172,Others!$L$10:$M$61,2)</f>
        <v>0</v>
      </c>
      <c r="R172" s="11">
        <f t="shared" si="109"/>
        <v>0</v>
      </c>
      <c r="S172" s="80">
        <f t="shared" si="127"/>
        <v>0</v>
      </c>
      <c r="T172" s="78">
        <f t="shared" si="128"/>
        <v>3.6129166666666666E-5</v>
      </c>
      <c r="U172" s="81">
        <f t="shared" si="129"/>
        <v>2.4121951791220967E-3</v>
      </c>
      <c r="V172" s="81">
        <f t="shared" si="130"/>
        <v>0</v>
      </c>
      <c r="W172" s="77">
        <f t="shared" si="110"/>
        <v>0.79360703818400891</v>
      </c>
      <c r="X172" s="82">
        <f t="shared" si="131"/>
        <v>2.8637779284960465E-5</v>
      </c>
      <c r="Y172" s="82">
        <f t="shared" si="132"/>
        <v>1.9143004899594028E-3</v>
      </c>
      <c r="Z172" s="82">
        <f t="shared" si="133"/>
        <v>0</v>
      </c>
      <c r="AA172" s="82">
        <f t="shared" si="134"/>
        <v>0.7916640999147645</v>
      </c>
      <c r="AC172" s="46">
        <f t="shared" si="111"/>
        <v>0</v>
      </c>
      <c r="AD172" s="15">
        <f t="shared" si="135"/>
        <v>0</v>
      </c>
      <c r="AE172" s="46">
        <f t="shared" si="136"/>
        <v>0</v>
      </c>
      <c r="AF172" s="15">
        <f t="shared" si="137"/>
        <v>0</v>
      </c>
      <c r="AG172" s="46">
        <f>SUMPRODUCT(AE173:AE$605, $I172:$I$604) / $I172</f>
        <v>0</v>
      </c>
      <c r="AI172" s="46">
        <f t="shared" si="112"/>
        <v>-47000</v>
      </c>
      <c r="AJ172" s="46">
        <f>IF(E172&gt;Mat_Year,0,  -SUM($AD$5:AD172))</f>
        <v>-9306</v>
      </c>
      <c r="AK172" s="24">
        <f t="shared" si="138"/>
        <v>-0.26650317402584212</v>
      </c>
      <c r="AL172" s="79">
        <f t="shared" si="139"/>
        <v>-89.972123028091929</v>
      </c>
      <c r="AM172" s="24">
        <f t="shared" si="140"/>
        <v>-113.70693789285004</v>
      </c>
      <c r="AN172" s="79">
        <f t="shared" si="141"/>
        <v>-90.238626202117771</v>
      </c>
      <c r="AO172" s="15">
        <f t="shared" si="142"/>
        <v>-3247.518768770005</v>
      </c>
      <c r="AP172" s="46">
        <f>SUMPRODUCT(AN173:AN$605, $I173:$I$605) / $I172</f>
        <v>-2577.253751530543</v>
      </c>
      <c r="AR172" s="46">
        <v>0</v>
      </c>
      <c r="AS172" s="46">
        <v>0</v>
      </c>
      <c r="AT172" s="46">
        <v>0</v>
      </c>
      <c r="AU172" s="95">
        <f t="shared" si="113"/>
        <v>-2.4060955528526438</v>
      </c>
      <c r="AV172" s="47">
        <f t="shared" si="114"/>
        <v>0.1</v>
      </c>
      <c r="AW172" s="96">
        <f t="shared" si="143"/>
        <v>-2.6467051081379083</v>
      </c>
      <c r="AX172" s="95">
        <f t="shared" si="115"/>
        <v>-27.589895672710313</v>
      </c>
      <c r="AY172" s="11">
        <f t="shared" si="116"/>
        <v>0.1</v>
      </c>
      <c r="AZ172" s="96">
        <f t="shared" si="144"/>
        <v>-30.348885239981346</v>
      </c>
      <c r="BA172" s="95">
        <f t="shared" si="145"/>
        <v>-2.1004438018158123</v>
      </c>
      <c r="BB172" s="64">
        <f t="shared" si="146"/>
        <v>-5.8966010561665158E-2</v>
      </c>
      <c r="BC172" s="95">
        <f t="shared" si="158"/>
        <v>-2.6467051081379083</v>
      </c>
      <c r="BD172" s="96">
        <f t="shared" si="158"/>
        <v>-7.4301269676987247E-2</v>
      </c>
      <c r="BE172" s="96">
        <f t="shared" si="147"/>
        <v>-2.1004438018158123</v>
      </c>
      <c r="BF172" s="96">
        <f t="shared" si="148"/>
        <v>-5.8966010561665158E-2</v>
      </c>
      <c r="BG172" s="15">
        <f t="shared" si="149"/>
        <v>-188.12423397451226</v>
      </c>
      <c r="BH172" s="46">
        <f>(SUMPRODUCT(BE173:BE$605,$I172:$I$604)+SUMPRODUCT(BF173:BF$605,$I173:$I$605)) / $I172</f>
        <v>-149.29671613514819</v>
      </c>
      <c r="BJ172" s="46">
        <f t="shared" si="150"/>
        <v>-2.1004438018158123</v>
      </c>
      <c r="BK172" s="46">
        <f t="shared" si="151"/>
        <v>-90.297592212679433</v>
      </c>
      <c r="BM172" s="49">
        <f t="shared" si="117"/>
        <v>3444.0749150545676</v>
      </c>
      <c r="BN172" s="50">
        <f t="shared" si="152"/>
        <v>2726.5504676656933</v>
      </c>
      <c r="BP172" s="68">
        <f>INDEX(Others!$H$11:$I$60, MATCH(C172, Others!$A$11:$A$60, 0), MATCH(BP$3, Others!$H$10:$I$10, 0))</f>
        <v>3.0518181818182E-2</v>
      </c>
      <c r="BQ172" s="16">
        <f t="shared" si="153"/>
        <v>2.5082875760633616E-3</v>
      </c>
      <c r="BR172" s="69">
        <f t="shared" si="154"/>
        <v>0.65807422375047009</v>
      </c>
      <c r="BT172" s="46">
        <f t="shared" si="155"/>
        <v>2784.6866932891644</v>
      </c>
      <c r="BU172" s="49">
        <f t="shared" si="118"/>
        <v>73.435470459921575</v>
      </c>
      <c r="BV172" s="46">
        <f t="shared" si="156"/>
        <v>58.136225623471091</v>
      </c>
      <c r="BX172" s="46">
        <f t="shared" si="157"/>
        <v>3517.5103855144889</v>
      </c>
    </row>
    <row r="173" spans="1:76" x14ac:dyDescent="0.25">
      <c r="A173" s="61">
        <f t="shared" si="107"/>
        <v>14.00000000000003</v>
      </c>
      <c r="B173" s="32">
        <f t="shared" si="119"/>
        <v>12</v>
      </c>
      <c r="C173" s="62">
        <f t="shared" si="120"/>
        <v>14</v>
      </c>
      <c r="D173" s="64">
        <f t="shared" si="121"/>
        <v>14.50000000000003</v>
      </c>
      <c r="E173" s="28">
        <f t="shared" si="122"/>
        <v>14</v>
      </c>
      <c r="G173" s="68">
        <f>INDEX(Others!$D$11:$E$60, MATCH(C173, Others!$A$11:$A$60, 0), MATCH(G$3, Others!$D$10:$E$10, 0))</f>
        <v>4.0690909090909333E-2</v>
      </c>
      <c r="H173" s="16">
        <f t="shared" si="123"/>
        <v>3.329265421250005E-3</v>
      </c>
      <c r="I173" s="69">
        <f t="shared" si="124"/>
        <v>0.57213082688664429</v>
      </c>
      <c r="K173" s="80">
        <f>INDEX(Mortality!$B$7:$F$32, MATCH( E173,Mortality!$A$7:$A$32, 0), MATCH( K$3,Mortality!$B$6:$F$6,0))</f>
        <v>0.377</v>
      </c>
      <c r="L173" s="11" cm="1">
        <f t="array" ref="L173">PAD_Res_Mort</f>
        <v>0.15</v>
      </c>
      <c r="M173" s="80">
        <f t="shared" si="125"/>
        <v>0.43354999999999999</v>
      </c>
      <c r="N173" s="76">
        <f>INDEX('Myopia_(Reserve)'!$H:$H, MATCH(E173, 'Myopia_(Reserve)'!$A:$A, 0)) * Trend_Factor_Reserve^(A173)</f>
        <v>22.266417038050125</v>
      </c>
      <c r="O173" s="11">
        <f t="shared" si="108"/>
        <v>0.3</v>
      </c>
      <c r="P173" s="80">
        <f t="shared" si="126"/>
        <v>28.946342149465163</v>
      </c>
      <c r="Q173" s="76">
        <f>VLOOKUP(C173,Others!$L$10:$M$61,2)</f>
        <v>0</v>
      </c>
      <c r="R173" s="11">
        <f t="shared" si="109"/>
        <v>0</v>
      </c>
      <c r="S173" s="80">
        <f t="shared" si="127"/>
        <v>0</v>
      </c>
      <c r="T173" s="78">
        <f t="shared" si="128"/>
        <v>3.6129166666666666E-5</v>
      </c>
      <c r="U173" s="81">
        <f t="shared" si="129"/>
        <v>2.4121951791220967E-3</v>
      </c>
      <c r="V173" s="81">
        <f t="shared" si="130"/>
        <v>0</v>
      </c>
      <c r="W173" s="77">
        <f t="shared" si="110"/>
        <v>0.7916640999147645</v>
      </c>
      <c r="X173" s="82">
        <f t="shared" si="131"/>
        <v>2.8567667208527467E-5</v>
      </c>
      <c r="Y173" s="82">
        <f t="shared" si="132"/>
        <v>1.9096138282971192E-3</v>
      </c>
      <c r="Z173" s="82">
        <f t="shared" si="133"/>
        <v>0</v>
      </c>
      <c r="AA173" s="82">
        <f t="shared" si="134"/>
        <v>0.78972591841925888</v>
      </c>
      <c r="AC173" s="46">
        <f t="shared" si="111"/>
        <v>0</v>
      </c>
      <c r="AD173" s="15">
        <f t="shared" si="135"/>
        <v>0</v>
      </c>
      <c r="AE173" s="46">
        <f t="shared" si="136"/>
        <v>0</v>
      </c>
      <c r="AF173" s="15">
        <f t="shared" si="137"/>
        <v>0</v>
      </c>
      <c r="AG173" s="46">
        <f>SUMPRODUCT(AE174:AE$605, $I173:$I$604) / $I173</f>
        <v>0</v>
      </c>
      <c r="AI173" s="46">
        <f t="shared" si="112"/>
        <v>-47000</v>
      </c>
      <c r="AJ173" s="46">
        <f>IF(E173&gt;Mat_Year,0,  -SUM($AD$5:AD173))</f>
        <v>-9306</v>
      </c>
      <c r="AK173" s="24">
        <f t="shared" si="138"/>
        <v>-0.26585071104255659</v>
      </c>
      <c r="AL173" s="79">
        <f t="shared" si="139"/>
        <v>-89.751849929964607</v>
      </c>
      <c r="AM173" s="24">
        <f t="shared" si="140"/>
        <v>-113.70693789285005</v>
      </c>
      <c r="AN173" s="79">
        <f t="shared" si="141"/>
        <v>-90.017700641007167</v>
      </c>
      <c r="AO173" s="15">
        <f t="shared" si="142"/>
        <v>-3152.6204269651853</v>
      </c>
      <c r="AP173" s="46">
        <f>SUMPRODUCT(AN174:AN$605, $I174:$I$605) / $I173</f>
        <v>-2495.8164126862939</v>
      </c>
      <c r="AR173" s="46">
        <v>0</v>
      </c>
      <c r="AS173" s="46">
        <v>0</v>
      </c>
      <c r="AT173" s="46">
        <v>0</v>
      </c>
      <c r="AU173" s="95">
        <f t="shared" si="113"/>
        <v>-2.4107574876437785</v>
      </c>
      <c r="AV173" s="47">
        <f t="shared" si="114"/>
        <v>0.1</v>
      </c>
      <c r="AW173" s="96">
        <f t="shared" si="143"/>
        <v>-2.6518332364081565</v>
      </c>
      <c r="AX173" s="95">
        <f t="shared" si="115"/>
        <v>-27.643352524981992</v>
      </c>
      <c r="AY173" s="11">
        <f t="shared" si="116"/>
        <v>0.1</v>
      </c>
      <c r="AZ173" s="96">
        <f t="shared" si="144"/>
        <v>-30.407687777480195</v>
      </c>
      <c r="BA173" s="95">
        <f t="shared" si="145"/>
        <v>-2.09936117222512</v>
      </c>
      <c r="BB173" s="64">
        <f t="shared" si="146"/>
        <v>-5.8935617771425336E-2</v>
      </c>
      <c r="BC173" s="95">
        <f t="shared" si="158"/>
        <v>-2.6518332364081565</v>
      </c>
      <c r="BD173" s="96">
        <f t="shared" si="158"/>
        <v>-7.4445232236463307E-2</v>
      </c>
      <c r="BE173" s="96">
        <f t="shared" si="147"/>
        <v>-2.09936117222512</v>
      </c>
      <c r="BF173" s="96">
        <f t="shared" si="148"/>
        <v>-5.8935617771425336E-2</v>
      </c>
      <c r="BG173" s="15">
        <f t="shared" si="149"/>
        <v>-186.47868259407463</v>
      </c>
      <c r="BH173" s="46">
        <f>(SUMPRODUCT(BE174:BE$605,$I173:$I$604)+SUMPRODUCT(BF174:BF$605,$I174:$I$605)) / $I173</f>
        <v>-147.62847840912914</v>
      </c>
      <c r="BJ173" s="46">
        <f t="shared" si="150"/>
        <v>-2.09936117222512</v>
      </c>
      <c r="BK173" s="46">
        <f t="shared" si="151"/>
        <v>-90.076636258778592</v>
      </c>
      <c r="BM173" s="49">
        <f t="shared" si="117"/>
        <v>3347.2940794277465</v>
      </c>
      <c r="BN173" s="50">
        <f t="shared" si="152"/>
        <v>2643.4448910954247</v>
      </c>
      <c r="BP173" s="68">
        <f>INDEX(Others!$H$11:$I$60, MATCH(C173, Others!$A$11:$A$60, 0), MATCH(BP$3, Others!$H$10:$I$10, 0))</f>
        <v>3.0518181818182E-2</v>
      </c>
      <c r="BQ173" s="16">
        <f t="shared" si="153"/>
        <v>2.5082875760633616E-3</v>
      </c>
      <c r="BR173" s="69">
        <f t="shared" si="154"/>
        <v>0.65642771427018254</v>
      </c>
      <c r="BT173" s="46">
        <f t="shared" si="155"/>
        <v>2699.4902250926211</v>
      </c>
      <c r="BU173" s="49">
        <f t="shared" si="118"/>
        <v>70.96808233086557</v>
      </c>
      <c r="BV173" s="46">
        <f t="shared" si="156"/>
        <v>56.045333997196394</v>
      </c>
      <c r="BX173" s="46">
        <f t="shared" si="157"/>
        <v>3418.2621617586119</v>
      </c>
    </row>
    <row r="174" spans="1:76" x14ac:dyDescent="0.25">
      <c r="A174" s="61">
        <f t="shared" si="107"/>
        <v>14.083333333333364</v>
      </c>
      <c r="B174" s="32">
        <f t="shared" si="119"/>
        <v>1</v>
      </c>
      <c r="C174" s="62">
        <f t="shared" si="120"/>
        <v>15</v>
      </c>
      <c r="D174" s="64">
        <f t="shared" si="121"/>
        <v>14.583333333333364</v>
      </c>
      <c r="E174" s="28">
        <f t="shared" si="122"/>
        <v>14</v>
      </c>
      <c r="G174" s="68">
        <f>INDEX(Others!$D$11:$E$60, MATCH(C174, Others!$A$11:$A$60, 0), MATCH(G$3, Others!$D$10:$E$10, 0))</f>
        <v>4.0690909090909111E-2</v>
      </c>
      <c r="H174" s="16">
        <f t="shared" si="123"/>
        <v>3.329265421250005E-3</v>
      </c>
      <c r="I174" s="69">
        <f t="shared" si="124"/>
        <v>0.57023237196857191</v>
      </c>
      <c r="K174" s="80">
        <f>INDEX(Mortality!$B$7:$F$32, MATCH( E174,Mortality!$A$7:$A$32, 0), MATCH( K$3,Mortality!$B$6:$F$6,0))</f>
        <v>0.377</v>
      </c>
      <c r="L174" s="11" cm="1">
        <f t="array" ref="L174">PAD_Res_Mort</f>
        <v>0.15</v>
      </c>
      <c r="M174" s="80">
        <f t="shared" si="125"/>
        <v>0.43354999999999999</v>
      </c>
      <c r="N174" s="76">
        <f>INDEX('Myopia_(Reserve)'!$H:$H, MATCH(E174, 'Myopia_(Reserve)'!$A:$A, 0)) * Trend_Factor_Reserve^(A174)</f>
        <v>22.266417038050125</v>
      </c>
      <c r="O174" s="11">
        <f t="shared" si="108"/>
        <v>0.3</v>
      </c>
      <c r="P174" s="80">
        <f t="shared" si="126"/>
        <v>28.946342149465163</v>
      </c>
      <c r="Q174" s="76">
        <f>VLOOKUP(C174,Others!$L$10:$M$61,2)</f>
        <v>0</v>
      </c>
      <c r="R174" s="11">
        <f t="shared" si="109"/>
        <v>0</v>
      </c>
      <c r="S174" s="80">
        <f t="shared" si="127"/>
        <v>0</v>
      </c>
      <c r="T174" s="78">
        <f t="shared" si="128"/>
        <v>3.6129166666666666E-5</v>
      </c>
      <c r="U174" s="81">
        <f t="shared" si="129"/>
        <v>2.4121951791220967E-3</v>
      </c>
      <c r="V174" s="81">
        <f t="shared" si="130"/>
        <v>0</v>
      </c>
      <c r="W174" s="77">
        <f t="shared" si="110"/>
        <v>0.78972591841925888</v>
      </c>
      <c r="X174" s="82">
        <f t="shared" si="131"/>
        <v>2.8497726783087822E-5</v>
      </c>
      <c r="Y174" s="82">
        <f t="shared" si="132"/>
        <v>1.9049386406942384E-3</v>
      </c>
      <c r="Z174" s="82">
        <f t="shared" si="133"/>
        <v>0</v>
      </c>
      <c r="AA174" s="82">
        <f t="shared" si="134"/>
        <v>0.78779248205178154</v>
      </c>
      <c r="AC174" s="46">
        <f t="shared" si="111"/>
        <v>0</v>
      </c>
      <c r="AD174" s="15">
        <f t="shared" si="135"/>
        <v>0</v>
      </c>
      <c r="AE174" s="46">
        <f t="shared" si="136"/>
        <v>0</v>
      </c>
      <c r="AF174" s="15">
        <f t="shared" si="137"/>
        <v>0</v>
      </c>
      <c r="AG174" s="46">
        <f>SUMPRODUCT(AE175:AE$605, $I174:$I$604) / $I174</f>
        <v>0</v>
      </c>
      <c r="AI174" s="46">
        <f t="shared" si="112"/>
        <v>-47000</v>
      </c>
      <c r="AJ174" s="46">
        <f>IF(E174&gt;Mat_Year,0,  -SUM($AD$5:AD174))</f>
        <v>-9306</v>
      </c>
      <c r="AK174" s="24">
        <f t="shared" si="138"/>
        <v>-0.26519984544341529</v>
      </c>
      <c r="AL174" s="79">
        <f t="shared" si="139"/>
        <v>-89.532116112629211</v>
      </c>
      <c r="AM174" s="24">
        <f t="shared" si="140"/>
        <v>-113.70693789285005</v>
      </c>
      <c r="AN174" s="79">
        <f t="shared" si="141"/>
        <v>-89.79731595807263</v>
      </c>
      <c r="AO174" s="15">
        <f t="shared" si="142"/>
        <v>-3057.1724641396654</v>
      </c>
      <c r="AP174" s="46">
        <f>SUMPRODUCT(AN175:AN$605, $I175:$I$605) / $I174</f>
        <v>-2414.3283320087662</v>
      </c>
      <c r="AR174" s="46">
        <v>0</v>
      </c>
      <c r="AS174" s="46">
        <v>0</v>
      </c>
      <c r="AT174" s="46">
        <v>0</v>
      </c>
      <c r="AU174" s="95">
        <f t="shared" si="113"/>
        <v>-2.4154284551751015</v>
      </c>
      <c r="AV174" s="47">
        <f t="shared" si="114"/>
        <v>0.1</v>
      </c>
      <c r="AW174" s="96">
        <f t="shared" si="143"/>
        <v>-2.6569713006926117</v>
      </c>
      <c r="AX174" s="95">
        <f t="shared" si="115"/>
        <v>-27.696912952674495</v>
      </c>
      <c r="AY174" s="11">
        <f t="shared" si="116"/>
        <v>0.1</v>
      </c>
      <c r="AZ174" s="96">
        <f t="shared" si="144"/>
        <v>-30.466604247941948</v>
      </c>
      <c r="BA174" s="95">
        <f t="shared" si="145"/>
        <v>-2.0982791006530856</v>
      </c>
      <c r="BB174" s="64">
        <f t="shared" si="146"/>
        <v>-5.8905240646510162E-2</v>
      </c>
      <c r="BC174" s="95">
        <f t="shared" si="158"/>
        <v>-2.6569713006926117</v>
      </c>
      <c r="BD174" s="96">
        <f t="shared" si="158"/>
        <v>-7.458947373085692E-2</v>
      </c>
      <c r="BE174" s="96">
        <f t="shared" si="147"/>
        <v>-2.0982791006530856</v>
      </c>
      <c r="BF174" s="96">
        <f t="shared" si="148"/>
        <v>-5.8905240646510162E-2</v>
      </c>
      <c r="BG174" s="15">
        <f t="shared" si="149"/>
        <v>-184.81830129152249</v>
      </c>
      <c r="BH174" s="46">
        <f>(SUMPRODUCT(BE175:BE$605,$I174:$I$604)+SUMPRODUCT(BF175:BF$605,$I175:$I$605)) / $I174</f>
        <v>-145.9558027281349</v>
      </c>
      <c r="BJ174" s="46">
        <f t="shared" si="150"/>
        <v>-2.0982791006530856</v>
      </c>
      <c r="BK174" s="46">
        <f t="shared" si="151"/>
        <v>-89.85622119871914</v>
      </c>
      <c r="BM174" s="49">
        <f t="shared" si="117"/>
        <v>3249.9474075567723</v>
      </c>
      <c r="BN174" s="50">
        <f t="shared" si="152"/>
        <v>2560.2841347369026</v>
      </c>
      <c r="BP174" s="68">
        <f>INDEX(Others!$H$11:$I$60, MATCH(C174, Others!$A$11:$A$60, 0), MATCH(BP$3, Others!$H$10:$I$10, 0))</f>
        <v>3.0518181818181833E-2</v>
      </c>
      <c r="BQ174" s="16">
        <f t="shared" si="153"/>
        <v>2.5082875760633616E-3</v>
      </c>
      <c r="BR174" s="69">
        <f t="shared" si="154"/>
        <v>0.65478532437606141</v>
      </c>
      <c r="BT174" s="46">
        <f t="shared" si="155"/>
        <v>2614.3015594991539</v>
      </c>
      <c r="BU174" s="49">
        <f t="shared" si="118"/>
        <v>68.568088669194367</v>
      </c>
      <c r="BV174" s="46">
        <f t="shared" si="156"/>
        <v>54.017424762251267</v>
      </c>
      <c r="BX174" s="46">
        <f t="shared" si="157"/>
        <v>3318.5154962259667</v>
      </c>
    </row>
    <row r="175" spans="1:76" x14ac:dyDescent="0.25">
      <c r="A175" s="61">
        <f t="shared" si="107"/>
        <v>14.166666666666698</v>
      </c>
      <c r="B175" s="32">
        <f t="shared" si="119"/>
        <v>2</v>
      </c>
      <c r="C175" s="62">
        <f t="shared" si="120"/>
        <v>15</v>
      </c>
      <c r="D175" s="64">
        <f t="shared" si="121"/>
        <v>14.666666666666698</v>
      </c>
      <c r="E175" s="28">
        <f t="shared" si="122"/>
        <v>14</v>
      </c>
      <c r="G175" s="68">
        <f>INDEX(Others!$D$11:$E$60, MATCH(C175, Others!$A$11:$A$60, 0), MATCH(G$3, Others!$D$10:$E$10, 0))</f>
        <v>4.0690909090909111E-2</v>
      </c>
      <c r="H175" s="16">
        <f t="shared" si="123"/>
        <v>3.329265421250005E-3</v>
      </c>
      <c r="I175" s="69">
        <f t="shared" si="124"/>
        <v>0.5683402165381457</v>
      </c>
      <c r="K175" s="80">
        <f>INDEX(Mortality!$B$7:$F$32, MATCH( E175,Mortality!$A$7:$A$32, 0), MATCH( K$3,Mortality!$B$6:$F$6,0))</f>
        <v>0.377</v>
      </c>
      <c r="L175" s="11" cm="1">
        <f t="array" ref="L175">PAD_Res_Mort</f>
        <v>0.15</v>
      </c>
      <c r="M175" s="80">
        <f t="shared" si="125"/>
        <v>0.43354999999999999</v>
      </c>
      <c r="N175" s="76">
        <f>INDEX('Myopia_(Reserve)'!$H:$H, MATCH(E175, 'Myopia_(Reserve)'!$A:$A, 0)) * Trend_Factor_Reserve^(A175)</f>
        <v>22.266417038050125</v>
      </c>
      <c r="O175" s="11">
        <f t="shared" si="108"/>
        <v>0.3</v>
      </c>
      <c r="P175" s="80">
        <f t="shared" si="126"/>
        <v>28.946342149465163</v>
      </c>
      <c r="Q175" s="76">
        <f>VLOOKUP(C175,Others!$L$10:$M$61,2)</f>
        <v>0</v>
      </c>
      <c r="R175" s="11">
        <f t="shared" si="109"/>
        <v>0</v>
      </c>
      <c r="S175" s="80">
        <f t="shared" si="127"/>
        <v>0</v>
      </c>
      <c r="T175" s="78">
        <f t="shared" si="128"/>
        <v>3.6129166666666666E-5</v>
      </c>
      <c r="U175" s="81">
        <f t="shared" si="129"/>
        <v>2.4121951791220967E-3</v>
      </c>
      <c r="V175" s="81">
        <f t="shared" si="130"/>
        <v>0</v>
      </c>
      <c r="W175" s="77">
        <f t="shared" si="110"/>
        <v>0.78779248205178154</v>
      </c>
      <c r="X175" s="82">
        <f t="shared" si="131"/>
        <v>2.8427957588399184E-5</v>
      </c>
      <c r="Y175" s="82">
        <f t="shared" si="132"/>
        <v>1.9002748990595416E-3</v>
      </c>
      <c r="Z175" s="82">
        <f t="shared" si="133"/>
        <v>0</v>
      </c>
      <c r="AA175" s="82">
        <f t="shared" si="134"/>
        <v>0.78586377919513362</v>
      </c>
      <c r="AC175" s="46">
        <f t="shared" si="111"/>
        <v>0</v>
      </c>
      <c r="AD175" s="15">
        <f t="shared" si="135"/>
        <v>0</v>
      </c>
      <c r="AE175" s="46">
        <f t="shared" si="136"/>
        <v>0</v>
      </c>
      <c r="AF175" s="15">
        <f t="shared" si="137"/>
        <v>0</v>
      </c>
      <c r="AG175" s="46">
        <f>SUMPRODUCT(AE176:AE$605, $I175:$I$604) / $I175</f>
        <v>0</v>
      </c>
      <c r="AI175" s="46">
        <f t="shared" si="112"/>
        <v>-47000</v>
      </c>
      <c r="AJ175" s="46">
        <f>IF(E175&gt;Mat_Year,0,  -SUM($AD$5:AD175))</f>
        <v>-9306</v>
      </c>
      <c r="AK175" s="24">
        <f t="shared" si="138"/>
        <v>-0.26455057331764281</v>
      </c>
      <c r="AL175" s="79">
        <f t="shared" si="139"/>
        <v>-89.31292025579846</v>
      </c>
      <c r="AM175" s="24">
        <f t="shared" si="140"/>
        <v>-113.70693789285005</v>
      </c>
      <c r="AN175" s="79">
        <f t="shared" si="141"/>
        <v>-89.577470829116109</v>
      </c>
      <c r="AO175" s="15">
        <f t="shared" si="142"/>
        <v>-2961.1716970632588</v>
      </c>
      <c r="AP175" s="46">
        <f>SUMPRODUCT(AN176:AN$605, $I176:$I$605) / $I175</f>
        <v>-2332.7888010109509</v>
      </c>
      <c r="AR175" s="46">
        <v>0</v>
      </c>
      <c r="AS175" s="46">
        <v>0</v>
      </c>
      <c r="AT175" s="46">
        <v>0</v>
      </c>
      <c r="AU175" s="95">
        <f t="shared" si="113"/>
        <v>-2.4201084729480149</v>
      </c>
      <c r="AV175" s="47">
        <f t="shared" si="114"/>
        <v>0.1</v>
      </c>
      <c r="AW175" s="96">
        <f t="shared" si="143"/>
        <v>-2.6621193202428164</v>
      </c>
      <c r="AX175" s="95">
        <f t="shared" si="115"/>
        <v>-27.750577156470566</v>
      </c>
      <c r="AY175" s="11">
        <f t="shared" si="116"/>
        <v>0.1</v>
      </c>
      <c r="AZ175" s="96">
        <f t="shared" si="144"/>
        <v>-30.525634872117624</v>
      </c>
      <c r="BA175" s="95">
        <f t="shared" si="145"/>
        <v>-2.09719758681209</v>
      </c>
      <c r="BB175" s="64">
        <f t="shared" si="146"/>
        <v>-5.8874879178845263E-2</v>
      </c>
      <c r="BC175" s="95">
        <f t="shared" si="158"/>
        <v>-2.6621193202428168</v>
      </c>
      <c r="BD175" s="96">
        <f t="shared" si="158"/>
        <v>-7.4733994700618908E-2</v>
      </c>
      <c r="BE175" s="96">
        <f t="shared" si="147"/>
        <v>-2.09719758681209</v>
      </c>
      <c r="BF175" s="96">
        <f t="shared" si="148"/>
        <v>-5.8874879178845263E-2</v>
      </c>
      <c r="BG175" s="15">
        <f t="shared" si="149"/>
        <v>-183.14299390877764</v>
      </c>
      <c r="BH175" s="46">
        <f>(SUMPRODUCT(BE176:BE$605,$I175:$I$604)+SUMPRODUCT(BF176:BF$605,$I176:$I$605)) / $I175</f>
        <v>-144.27867374179024</v>
      </c>
      <c r="BJ175" s="46">
        <f t="shared" si="150"/>
        <v>-2.09719758681209</v>
      </c>
      <c r="BK175" s="46">
        <f t="shared" si="151"/>
        <v>-89.636345708294954</v>
      </c>
      <c r="BM175" s="49">
        <f t="shared" si="117"/>
        <v>3152.0316120049547</v>
      </c>
      <c r="BN175" s="50">
        <f t="shared" si="152"/>
        <v>2477.0674747527428</v>
      </c>
      <c r="BP175" s="68">
        <f>INDEX(Others!$H$11:$I$60, MATCH(C175, Others!$A$11:$A$60, 0), MATCH(BP$3, Others!$H$10:$I$10, 0))</f>
        <v>3.0518181818181833E-2</v>
      </c>
      <c r="BQ175" s="16">
        <f t="shared" si="153"/>
        <v>2.5082875760633616E-3</v>
      </c>
      <c r="BR175" s="69">
        <f t="shared" si="154"/>
        <v>0.65314704376085353</v>
      </c>
      <c r="BT175" s="46">
        <f t="shared" si="155"/>
        <v>2529.12017595117</v>
      </c>
      <c r="BU175" s="49">
        <f t="shared" si="118"/>
        <v>66.236290024383891</v>
      </c>
      <c r="BV175" s="46">
        <f t="shared" si="156"/>
        <v>52.052701198427258</v>
      </c>
      <c r="BX175" s="46">
        <f t="shared" si="157"/>
        <v>3218.2679020293385</v>
      </c>
    </row>
    <row r="176" spans="1:76" x14ac:dyDescent="0.25">
      <c r="A176" s="61">
        <f t="shared" si="107"/>
        <v>14.250000000000032</v>
      </c>
      <c r="B176" s="32">
        <f t="shared" si="119"/>
        <v>3</v>
      </c>
      <c r="C176" s="62">
        <f t="shared" si="120"/>
        <v>15</v>
      </c>
      <c r="D176" s="64">
        <f t="shared" si="121"/>
        <v>14.750000000000032</v>
      </c>
      <c r="E176" s="28">
        <f t="shared" si="122"/>
        <v>14</v>
      </c>
      <c r="G176" s="68">
        <f>INDEX(Others!$D$11:$E$60, MATCH(C176, Others!$A$11:$A$60, 0), MATCH(G$3, Others!$D$10:$E$10, 0))</f>
        <v>4.0690909090909111E-2</v>
      </c>
      <c r="H176" s="16">
        <f t="shared" si="123"/>
        <v>3.329265421250005E-3</v>
      </c>
      <c r="I176" s="69">
        <f t="shared" si="124"/>
        <v>0.5664543396922912</v>
      </c>
      <c r="K176" s="80">
        <f>INDEX(Mortality!$B$7:$F$32, MATCH( E176,Mortality!$A$7:$A$32, 0), MATCH( K$3,Mortality!$B$6:$F$6,0))</f>
        <v>0.377</v>
      </c>
      <c r="L176" s="11" cm="1">
        <f t="array" ref="L176">PAD_Res_Mort</f>
        <v>0.15</v>
      </c>
      <c r="M176" s="80">
        <f t="shared" si="125"/>
        <v>0.43354999999999999</v>
      </c>
      <c r="N176" s="76">
        <f>INDEX('Myopia_(Reserve)'!$H:$H, MATCH(E176, 'Myopia_(Reserve)'!$A:$A, 0)) * Trend_Factor_Reserve^(A176)</f>
        <v>22.266417038050125</v>
      </c>
      <c r="O176" s="11">
        <f t="shared" si="108"/>
        <v>0.3</v>
      </c>
      <c r="P176" s="80">
        <f t="shared" si="126"/>
        <v>28.946342149465163</v>
      </c>
      <c r="Q176" s="76">
        <f>VLOOKUP(C176,Others!$L$10:$M$61,2)</f>
        <v>0</v>
      </c>
      <c r="R176" s="11">
        <f t="shared" si="109"/>
        <v>0</v>
      </c>
      <c r="S176" s="80">
        <f t="shared" si="127"/>
        <v>0</v>
      </c>
      <c r="T176" s="78">
        <f t="shared" si="128"/>
        <v>3.6129166666666666E-5</v>
      </c>
      <c r="U176" s="81">
        <f t="shared" si="129"/>
        <v>2.4121951791220967E-3</v>
      </c>
      <c r="V176" s="81">
        <f t="shared" si="130"/>
        <v>0</v>
      </c>
      <c r="W176" s="77">
        <f t="shared" si="110"/>
        <v>0.78586377919513362</v>
      </c>
      <c r="X176" s="82">
        <f t="shared" si="131"/>
        <v>2.8358359205248068E-5</v>
      </c>
      <c r="Y176" s="82">
        <f t="shared" si="132"/>
        <v>1.8956225753705837E-3</v>
      </c>
      <c r="Z176" s="82">
        <f t="shared" si="133"/>
        <v>0</v>
      </c>
      <c r="AA176" s="82">
        <f t="shared" si="134"/>
        <v>0.78393979826055782</v>
      </c>
      <c r="AC176" s="46">
        <f t="shared" si="111"/>
        <v>0</v>
      </c>
      <c r="AD176" s="15">
        <f t="shared" si="135"/>
        <v>0</v>
      </c>
      <c r="AE176" s="46">
        <f t="shared" si="136"/>
        <v>0</v>
      </c>
      <c r="AF176" s="15">
        <f t="shared" si="137"/>
        <v>0</v>
      </c>
      <c r="AG176" s="46">
        <f>SUMPRODUCT(AE177:AE$605, $I176:$I$604) / $I176</f>
        <v>0</v>
      </c>
      <c r="AI176" s="46">
        <f t="shared" si="112"/>
        <v>-47000</v>
      </c>
      <c r="AJ176" s="46">
        <f>IF(E176&gt;Mat_Year,0,  -SUM($AD$5:AD176))</f>
        <v>-9306</v>
      </c>
      <c r="AK176" s="24">
        <f t="shared" si="138"/>
        <v>-0.2639028907640385</v>
      </c>
      <c r="AL176" s="79">
        <f t="shared" si="139"/>
        <v>-89.094261042417429</v>
      </c>
      <c r="AM176" s="24">
        <f t="shared" si="140"/>
        <v>-113.70693789285004</v>
      </c>
      <c r="AN176" s="79">
        <f t="shared" si="141"/>
        <v>-89.358163933181473</v>
      </c>
      <c r="AO176" s="15">
        <f t="shared" si="142"/>
        <v>-2864.6149240695217</v>
      </c>
      <c r="AP176" s="46">
        <f>SUMPRODUCT(AN177:AN$605, $I177:$I$605) / $I176</f>
        <v>-2251.1971101680551</v>
      </c>
      <c r="AR176" s="46">
        <v>0</v>
      </c>
      <c r="AS176" s="46">
        <v>0</v>
      </c>
      <c r="AT176" s="46">
        <v>0</v>
      </c>
      <c r="AU176" s="95">
        <f t="shared" si="113"/>
        <v>-2.4247975584978305</v>
      </c>
      <c r="AV176" s="47">
        <f t="shared" si="114"/>
        <v>0.1</v>
      </c>
      <c r="AW176" s="96">
        <f t="shared" si="143"/>
        <v>-2.6672773143476136</v>
      </c>
      <c r="AX176" s="95">
        <f t="shared" si="115"/>
        <v>-27.804345337441784</v>
      </c>
      <c r="AY176" s="11">
        <f t="shared" si="116"/>
        <v>0.1</v>
      </c>
      <c r="AZ176" s="96">
        <f t="shared" si="144"/>
        <v>-30.584779871185965</v>
      </c>
      <c r="BA176" s="95">
        <f t="shared" si="145"/>
        <v>-2.0961166304146621</v>
      </c>
      <c r="BB176" s="64">
        <f t="shared" si="146"/>
        <v>-5.8844533360360461E-2</v>
      </c>
      <c r="BC176" s="95">
        <f t="shared" si="158"/>
        <v>-2.6672773143476136</v>
      </c>
      <c r="BD176" s="96">
        <f t="shared" si="158"/>
        <v>-7.4878795687247326E-2</v>
      </c>
      <c r="BE176" s="96">
        <f t="shared" si="147"/>
        <v>-2.0961166304146621</v>
      </c>
      <c r="BF176" s="96">
        <f t="shared" si="148"/>
        <v>-5.8844533360360461E-2</v>
      </c>
      <c r="BG176" s="15">
        <f t="shared" si="149"/>
        <v>-181.45266371095019</v>
      </c>
      <c r="BH176" s="46">
        <f>(SUMPRODUCT(BE177:BE$605,$I176:$I$604)+SUMPRODUCT(BF177:BF$605,$I177:$I$605)) / $I176</f>
        <v>-142.59707604891099</v>
      </c>
      <c r="BJ176" s="46">
        <f t="shared" si="150"/>
        <v>-2.0961166304146621</v>
      </c>
      <c r="BK176" s="46">
        <f t="shared" si="151"/>
        <v>-89.41700846654183</v>
      </c>
      <c r="BM176" s="49">
        <f t="shared" si="117"/>
        <v>3053.5433862758709</v>
      </c>
      <c r="BN176" s="50">
        <f t="shared" si="152"/>
        <v>2393.7941862169669</v>
      </c>
      <c r="BP176" s="68">
        <f>INDEX(Others!$H$11:$I$60, MATCH(C176, Others!$A$11:$A$60, 0), MATCH(BP$3, Others!$H$10:$I$10, 0))</f>
        <v>3.0518181818181833E-2</v>
      </c>
      <c r="BQ176" s="16">
        <f t="shared" si="153"/>
        <v>2.5082875760633616E-3</v>
      </c>
      <c r="BR176" s="69">
        <f t="shared" si="154"/>
        <v>0.65151286214309456</v>
      </c>
      <c r="BT176" s="46">
        <f t="shared" si="155"/>
        <v>2443.9455539066212</v>
      </c>
      <c r="BU176" s="49">
        <f t="shared" si="118"/>
        <v>63.973493629144102</v>
      </c>
      <c r="BV176" s="46">
        <f t="shared" si="156"/>
        <v>50.151367689654307</v>
      </c>
      <c r="BX176" s="46">
        <f t="shared" si="157"/>
        <v>3117.5168799050152</v>
      </c>
    </row>
    <row r="177" spans="1:76" x14ac:dyDescent="0.25">
      <c r="A177" s="61">
        <f t="shared" si="107"/>
        <v>14.333333333333366</v>
      </c>
      <c r="B177" s="32">
        <f t="shared" si="119"/>
        <v>4</v>
      </c>
      <c r="C177" s="62">
        <f t="shared" si="120"/>
        <v>15</v>
      </c>
      <c r="D177" s="64">
        <f t="shared" si="121"/>
        <v>14.833333333333366</v>
      </c>
      <c r="E177" s="28">
        <f t="shared" si="122"/>
        <v>14</v>
      </c>
      <c r="G177" s="68">
        <f>INDEX(Others!$D$11:$E$60, MATCH(C177, Others!$A$11:$A$60, 0), MATCH(G$3, Others!$D$10:$E$10, 0))</f>
        <v>4.0690909090909111E-2</v>
      </c>
      <c r="H177" s="16">
        <f t="shared" si="123"/>
        <v>3.329265421250005E-3</v>
      </c>
      <c r="I177" s="69">
        <f t="shared" si="124"/>
        <v>0.56457472059729474</v>
      </c>
      <c r="K177" s="80">
        <f>INDEX(Mortality!$B$7:$F$32, MATCH( E177,Mortality!$A$7:$A$32, 0), MATCH( K$3,Mortality!$B$6:$F$6,0))</f>
        <v>0.377</v>
      </c>
      <c r="L177" s="11" cm="1">
        <f t="array" ref="L177">PAD_Res_Mort</f>
        <v>0.15</v>
      </c>
      <c r="M177" s="80">
        <f t="shared" si="125"/>
        <v>0.43354999999999999</v>
      </c>
      <c r="N177" s="76">
        <f>INDEX('Myopia_(Reserve)'!$H:$H, MATCH(E177, 'Myopia_(Reserve)'!$A:$A, 0)) * Trend_Factor_Reserve^(A177)</f>
        <v>22.266417038050125</v>
      </c>
      <c r="O177" s="11">
        <f t="shared" si="108"/>
        <v>0.3</v>
      </c>
      <c r="P177" s="80">
        <f t="shared" si="126"/>
        <v>28.946342149465163</v>
      </c>
      <c r="Q177" s="76">
        <f>VLOOKUP(C177,Others!$L$10:$M$61,2)</f>
        <v>0</v>
      </c>
      <c r="R177" s="11">
        <f t="shared" si="109"/>
        <v>0</v>
      </c>
      <c r="S177" s="80">
        <f t="shared" si="127"/>
        <v>0</v>
      </c>
      <c r="T177" s="78">
        <f t="shared" si="128"/>
        <v>3.6129166666666666E-5</v>
      </c>
      <c r="U177" s="81">
        <f t="shared" si="129"/>
        <v>2.4121951791220967E-3</v>
      </c>
      <c r="V177" s="81">
        <f t="shared" si="130"/>
        <v>0</v>
      </c>
      <c r="W177" s="77">
        <f t="shared" si="110"/>
        <v>0.78393979826055782</v>
      </c>
      <c r="X177" s="82">
        <f t="shared" si="131"/>
        <v>2.82889312154473E-5</v>
      </c>
      <c r="Y177" s="82">
        <f t="shared" si="132"/>
        <v>1.8909816416735252E-3</v>
      </c>
      <c r="Z177" s="82">
        <f t="shared" si="133"/>
        <v>0</v>
      </c>
      <c r="AA177" s="82">
        <f t="shared" si="134"/>
        <v>0.78202052768766883</v>
      </c>
      <c r="AC177" s="46">
        <f t="shared" si="111"/>
        <v>0</v>
      </c>
      <c r="AD177" s="15">
        <f t="shared" si="135"/>
        <v>0</v>
      </c>
      <c r="AE177" s="46">
        <f t="shared" si="136"/>
        <v>0</v>
      </c>
      <c r="AF177" s="15">
        <f t="shared" si="137"/>
        <v>0</v>
      </c>
      <c r="AG177" s="46">
        <f>SUMPRODUCT(AE178:AE$605, $I177:$I$604) / $I177</f>
        <v>0</v>
      </c>
      <c r="AI177" s="46">
        <f t="shared" si="112"/>
        <v>-47000</v>
      </c>
      <c r="AJ177" s="46">
        <f>IF(E177&gt;Mat_Year,0,  -SUM($AD$5:AD177))</f>
        <v>-9306</v>
      </c>
      <c r="AK177" s="24">
        <f t="shared" si="138"/>
        <v>-0.26325679389095258</v>
      </c>
      <c r="AL177" s="79">
        <f t="shared" si="139"/>
        <v>-88.876137158655681</v>
      </c>
      <c r="AM177" s="24">
        <f t="shared" si="140"/>
        <v>-113.70693789285002</v>
      </c>
      <c r="AN177" s="79">
        <f t="shared" si="141"/>
        <v>-89.139393952546627</v>
      </c>
      <c r="AO177" s="15">
        <f t="shared" si="142"/>
        <v>-2767.4989249489736</v>
      </c>
      <c r="AP177" s="46">
        <f>SUMPRODUCT(AN178:AN$605, $I178:$I$605) / $I177</f>
        <v>-2169.552548910809</v>
      </c>
      <c r="AR177" s="46">
        <v>0</v>
      </c>
      <c r="AS177" s="46">
        <v>0</v>
      </c>
      <c r="AT177" s="46">
        <v>0</v>
      </c>
      <c r="AU177" s="95">
        <f t="shared" si="113"/>
        <v>-2.4294957293938353</v>
      </c>
      <c r="AV177" s="47">
        <f t="shared" si="114"/>
        <v>0.1</v>
      </c>
      <c r="AW177" s="96">
        <f t="shared" si="143"/>
        <v>-2.6724453023332191</v>
      </c>
      <c r="AX177" s="95">
        <f t="shared" si="115"/>
        <v>-27.858217697049309</v>
      </c>
      <c r="AY177" s="11">
        <f t="shared" si="116"/>
        <v>0.1</v>
      </c>
      <c r="AZ177" s="96">
        <f t="shared" si="144"/>
        <v>-30.644039466754244</v>
      </c>
      <c r="BA177" s="95">
        <f t="shared" si="145"/>
        <v>-2.0950362311734794</v>
      </c>
      <c r="BB177" s="64">
        <f t="shared" si="146"/>
        <v>-5.8814203182989695E-2</v>
      </c>
      <c r="BC177" s="95">
        <f t="shared" si="158"/>
        <v>-2.6724453023332191</v>
      </c>
      <c r="BD177" s="96">
        <f t="shared" si="158"/>
        <v>-7.5023877233289335E-2</v>
      </c>
      <c r="BE177" s="96">
        <f t="shared" si="147"/>
        <v>-2.0950362311734794</v>
      </c>
      <c r="BF177" s="96">
        <f t="shared" si="148"/>
        <v>-5.8814203182989695E-2</v>
      </c>
      <c r="BG177" s="15">
        <f t="shared" si="149"/>
        <v>-179.74721338295964</v>
      </c>
      <c r="BH177" s="46">
        <f>(SUMPRODUCT(BE178:BE$605,$I177:$I$604)+SUMPRODUCT(BF178:BF$605,$I178:$I$605)) / $I177</f>
        <v>-140.91099419733482</v>
      </c>
      <c r="BJ177" s="46">
        <f t="shared" si="150"/>
        <v>-2.0950362311734794</v>
      </c>
      <c r="BK177" s="46">
        <f t="shared" si="151"/>
        <v>-89.198208155729617</v>
      </c>
      <c r="BM177" s="49">
        <f t="shared" si="117"/>
        <v>2954.4794047029418</v>
      </c>
      <c r="BN177" s="50">
        <f t="shared" si="152"/>
        <v>2310.4635431081442</v>
      </c>
      <c r="BP177" s="68">
        <f>INDEX(Others!$H$11:$I$60, MATCH(C177, Others!$A$11:$A$60, 0), MATCH(BP$3, Others!$H$10:$I$10, 0))</f>
        <v>3.0518181818181833E-2</v>
      </c>
      <c r="BQ177" s="16">
        <f t="shared" si="153"/>
        <v>2.5082875760633616E-3</v>
      </c>
      <c r="BR177" s="69">
        <f t="shared" si="154"/>
        <v>0.64988276926704436</v>
      </c>
      <c r="BT177" s="46">
        <f t="shared" si="155"/>
        <v>2358.7771728358071</v>
      </c>
      <c r="BU177" s="49">
        <f t="shared" si="118"/>
        <v>61.780513448310408</v>
      </c>
      <c r="BV177" s="46">
        <f t="shared" si="156"/>
        <v>48.313629727662828</v>
      </c>
      <c r="BX177" s="46">
        <f t="shared" si="157"/>
        <v>3016.2599181512524</v>
      </c>
    </row>
    <row r="178" spans="1:76" x14ac:dyDescent="0.25">
      <c r="A178" s="61">
        <f t="shared" si="107"/>
        <v>14.4166666666667</v>
      </c>
      <c r="B178" s="32">
        <f t="shared" si="119"/>
        <v>5</v>
      </c>
      <c r="C178" s="62">
        <f t="shared" si="120"/>
        <v>15</v>
      </c>
      <c r="D178" s="64">
        <f t="shared" si="121"/>
        <v>14.9166666666667</v>
      </c>
      <c r="E178" s="28">
        <f t="shared" si="122"/>
        <v>14</v>
      </c>
      <c r="G178" s="68">
        <f>INDEX(Others!$D$11:$E$60, MATCH(C178, Others!$A$11:$A$60, 0), MATCH(G$3, Others!$D$10:$E$10, 0))</f>
        <v>4.0690909090909111E-2</v>
      </c>
      <c r="H178" s="16">
        <f t="shared" si="123"/>
        <v>3.329265421250005E-3</v>
      </c>
      <c r="I178" s="69">
        <f t="shared" si="124"/>
        <v>0.56270133848857362</v>
      </c>
      <c r="K178" s="80">
        <f>INDEX(Mortality!$B$7:$F$32, MATCH( E178,Mortality!$A$7:$A$32, 0), MATCH( K$3,Mortality!$B$6:$F$6,0))</f>
        <v>0.377</v>
      </c>
      <c r="L178" s="11" cm="1">
        <f t="array" ref="L178">PAD_Res_Mort</f>
        <v>0.15</v>
      </c>
      <c r="M178" s="80">
        <f t="shared" si="125"/>
        <v>0.43354999999999999</v>
      </c>
      <c r="N178" s="76">
        <f>INDEX('Myopia_(Reserve)'!$H:$H, MATCH(E178, 'Myopia_(Reserve)'!$A:$A, 0)) * Trend_Factor_Reserve^(A178)</f>
        <v>22.266417038050125</v>
      </c>
      <c r="O178" s="11">
        <f t="shared" si="108"/>
        <v>0.3</v>
      </c>
      <c r="P178" s="80">
        <f t="shared" si="126"/>
        <v>28.946342149465163</v>
      </c>
      <c r="Q178" s="76">
        <f>VLOOKUP(C178,Others!$L$10:$M$61,2)</f>
        <v>0</v>
      </c>
      <c r="R178" s="11">
        <f t="shared" si="109"/>
        <v>0</v>
      </c>
      <c r="S178" s="80">
        <f t="shared" si="127"/>
        <v>0</v>
      </c>
      <c r="T178" s="78">
        <f t="shared" si="128"/>
        <v>3.6129166666666666E-5</v>
      </c>
      <c r="U178" s="81">
        <f t="shared" si="129"/>
        <v>2.4121951791220967E-3</v>
      </c>
      <c r="V178" s="81">
        <f t="shared" si="130"/>
        <v>0</v>
      </c>
      <c r="W178" s="77">
        <f t="shared" si="110"/>
        <v>0.78202052768766883</v>
      </c>
      <c r="X178" s="82">
        <f t="shared" si="131"/>
        <v>2.8219673201833555E-5</v>
      </c>
      <c r="Y178" s="82">
        <f t="shared" si="132"/>
        <v>1.8863520700829639E-3</v>
      </c>
      <c r="Z178" s="82">
        <f t="shared" si="133"/>
        <v>0</v>
      </c>
      <c r="AA178" s="82">
        <f t="shared" si="134"/>
        <v>0.78010595594438403</v>
      </c>
      <c r="AC178" s="46">
        <f t="shared" si="111"/>
        <v>0</v>
      </c>
      <c r="AD178" s="15">
        <f t="shared" si="135"/>
        <v>0</v>
      </c>
      <c r="AE178" s="46">
        <f t="shared" si="136"/>
        <v>0</v>
      </c>
      <c r="AF178" s="15">
        <f t="shared" si="137"/>
        <v>0</v>
      </c>
      <c r="AG178" s="46">
        <f>SUMPRODUCT(AE179:AE$605, $I178:$I$604) / $I178</f>
        <v>0</v>
      </c>
      <c r="AI178" s="46">
        <f t="shared" si="112"/>
        <v>-47000</v>
      </c>
      <c r="AJ178" s="46">
        <f>IF(E178&gt;Mat_Year,0,  -SUM($AD$5:AD178))</f>
        <v>-9306</v>
      </c>
      <c r="AK178" s="24">
        <f t="shared" si="138"/>
        <v>-0.26261227881626303</v>
      </c>
      <c r="AL178" s="79">
        <f t="shared" si="139"/>
        <v>-88.658547293899304</v>
      </c>
      <c r="AM178" s="24">
        <f t="shared" si="140"/>
        <v>-113.70693789285004</v>
      </c>
      <c r="AN178" s="79">
        <f t="shared" si="141"/>
        <v>-88.921159572715567</v>
      </c>
      <c r="AO178" s="15">
        <f t="shared" si="142"/>
        <v>-2669.8204608417068</v>
      </c>
      <c r="AP178" s="46">
        <f>SUMPRODUCT(AN179:AN$605, $I179:$I$605) / $I178</f>
        <v>-2087.8544056187666</v>
      </c>
      <c r="AR178" s="46">
        <v>0</v>
      </c>
      <c r="AS178" s="46">
        <v>0</v>
      </c>
      <c r="AT178" s="46">
        <v>0</v>
      </c>
      <c r="AU178" s="95">
        <f t="shared" si="113"/>
        <v>-2.4342030032393596</v>
      </c>
      <c r="AV178" s="47">
        <f t="shared" si="114"/>
        <v>0.1</v>
      </c>
      <c r="AW178" s="96">
        <f t="shared" si="143"/>
        <v>-2.6776233035632959</v>
      </c>
      <c r="AX178" s="95">
        <f t="shared" si="115"/>
        <v>-27.912194437144652</v>
      </c>
      <c r="AY178" s="11">
        <f t="shared" si="116"/>
        <v>0.1</v>
      </c>
      <c r="AZ178" s="96">
        <f t="shared" si="144"/>
        <v>-30.70341388085912</v>
      </c>
      <c r="BA178" s="95">
        <f t="shared" si="145"/>
        <v>-2.0939563888013679</v>
      </c>
      <c r="BB178" s="64">
        <f t="shared" si="146"/>
        <v>-5.8783888638671095E-2</v>
      </c>
      <c r="BC178" s="95">
        <f t="shared" si="158"/>
        <v>-2.6776233035632964</v>
      </c>
      <c r="BD178" s="96">
        <f t="shared" si="158"/>
        <v>-7.5169239882343336E-2</v>
      </c>
      <c r="BE178" s="96">
        <f t="shared" si="147"/>
        <v>-2.0939563888013679</v>
      </c>
      <c r="BF178" s="96">
        <f t="shared" si="148"/>
        <v>-5.8783888638671095E-2</v>
      </c>
      <c r="BG178" s="15">
        <f t="shared" si="149"/>
        <v>-178.02654502613558</v>
      </c>
      <c r="BH178" s="46">
        <f>(SUMPRODUCT(BE179:BE$605,$I178:$I$604)+SUMPRODUCT(BF179:BF$605,$I179:$I$605)) / $I178</f>
        <v>-139.22041268375108</v>
      </c>
      <c r="BJ178" s="46">
        <f t="shared" si="150"/>
        <v>-2.0939563888013679</v>
      </c>
      <c r="BK178" s="46">
        <f t="shared" si="151"/>
        <v>-88.979943461354239</v>
      </c>
      <c r="BM178" s="49">
        <f t="shared" si="117"/>
        <v>2854.8363223383631</v>
      </c>
      <c r="BN178" s="50">
        <f t="shared" si="152"/>
        <v>2227.0748183025185</v>
      </c>
      <c r="BP178" s="68">
        <f>INDEX(Others!$H$11:$I$60, MATCH(C178, Others!$A$11:$A$60, 0), MATCH(BP$3, Others!$H$10:$I$10, 0))</f>
        <v>3.0518181818181833E-2</v>
      </c>
      <c r="BQ178" s="16">
        <f t="shared" si="153"/>
        <v>2.5082875760633616E-3</v>
      </c>
      <c r="BR178" s="69">
        <f t="shared" si="154"/>
        <v>0.64825675490262291</v>
      </c>
      <c r="BT178" s="46">
        <f t="shared" si="155"/>
        <v>2273.6145122181824</v>
      </c>
      <c r="BU178" s="49">
        <f t="shared" si="118"/>
        <v>59.658170228073381</v>
      </c>
      <c r="BV178" s="46">
        <f t="shared" si="156"/>
        <v>46.539693915663975</v>
      </c>
      <c r="BX178" s="46">
        <f t="shared" si="157"/>
        <v>2914.4944925664363</v>
      </c>
    </row>
    <row r="179" spans="1:76" x14ac:dyDescent="0.25">
      <c r="A179" s="61">
        <f t="shared" si="107"/>
        <v>14.500000000000034</v>
      </c>
      <c r="B179" s="32">
        <f t="shared" si="119"/>
        <v>6</v>
      </c>
      <c r="C179" s="62">
        <f t="shared" si="120"/>
        <v>15</v>
      </c>
      <c r="D179" s="64">
        <f t="shared" si="121"/>
        <v>15.000000000000034</v>
      </c>
      <c r="E179" s="28">
        <f t="shared" si="122"/>
        <v>15</v>
      </c>
      <c r="G179" s="68">
        <f>INDEX(Others!$D$11:$E$60, MATCH(C179, Others!$A$11:$A$60, 0), MATCH(G$3, Others!$D$10:$E$10, 0))</f>
        <v>4.0690909090909111E-2</v>
      </c>
      <c r="H179" s="16">
        <f t="shared" si="123"/>
        <v>3.329265421250005E-3</v>
      </c>
      <c r="I179" s="69">
        <f t="shared" si="124"/>
        <v>0.56083417267044655</v>
      </c>
      <c r="K179" s="80">
        <f>INDEX(Mortality!$B$7:$F$32, MATCH( E179,Mortality!$A$7:$A$32, 0), MATCH( K$3,Mortality!$B$6:$F$6,0))</f>
        <v>0.38499999999999995</v>
      </c>
      <c r="L179" s="11" cm="1">
        <f t="array" ref="L179">PAD_Res_Mort</f>
        <v>0.15</v>
      </c>
      <c r="M179" s="80">
        <f t="shared" si="125"/>
        <v>0.44274999999999992</v>
      </c>
      <c r="N179" s="76">
        <f>INDEX('Myopia_(Reserve)'!$H:$H, MATCH(E179, 'Myopia_(Reserve)'!$A:$A, 0)) * Trend_Factor_Reserve^(A179)</f>
        <v>21.7814227944273</v>
      </c>
      <c r="O179" s="11">
        <f t="shared" si="108"/>
        <v>0.3</v>
      </c>
      <c r="P179" s="80">
        <f t="shared" si="126"/>
        <v>28.315849632755491</v>
      </c>
      <c r="Q179" s="76">
        <f>VLOOKUP(C179,Others!$L$10:$M$61,2)</f>
        <v>0</v>
      </c>
      <c r="R179" s="11">
        <f t="shared" si="109"/>
        <v>0</v>
      </c>
      <c r="S179" s="80">
        <f t="shared" si="127"/>
        <v>0</v>
      </c>
      <c r="T179" s="78">
        <f t="shared" si="128"/>
        <v>3.6895833333333327E-5</v>
      </c>
      <c r="U179" s="81">
        <f t="shared" si="129"/>
        <v>2.3596541360629574E-3</v>
      </c>
      <c r="V179" s="81">
        <f t="shared" si="130"/>
        <v>0</v>
      </c>
      <c r="W179" s="77">
        <f t="shared" si="110"/>
        <v>0.78010595594438403</v>
      </c>
      <c r="X179" s="82">
        <f t="shared" si="131"/>
        <v>2.8748700772293824E-5</v>
      </c>
      <c r="Y179" s="82">
        <f t="shared" si="132"/>
        <v>1.840746286950942E-3</v>
      </c>
      <c r="Z179" s="82">
        <f t="shared" si="133"/>
        <v>0</v>
      </c>
      <c r="AA179" s="82">
        <f t="shared" si="134"/>
        <v>0.77823646095666077</v>
      </c>
      <c r="AC179" s="46">
        <f t="shared" si="111"/>
        <v>0</v>
      </c>
      <c r="AD179" s="15">
        <f t="shared" si="135"/>
        <v>0</v>
      </c>
      <c r="AE179" s="46">
        <f t="shared" si="136"/>
        <v>0</v>
      </c>
      <c r="AF179" s="15">
        <f t="shared" si="137"/>
        <v>0</v>
      </c>
      <c r="AG179" s="46">
        <f>SUMPRODUCT(AE180:AE$605, $I179:$I$604) / $I179</f>
        <v>0</v>
      </c>
      <c r="AI179" s="46">
        <f t="shared" si="112"/>
        <v>-47000</v>
      </c>
      <c r="AJ179" s="46">
        <f>IF(E179&gt;Mat_Year,0,  -SUM($AD$5:AD179))</f>
        <v>-9306</v>
      </c>
      <c r="AK179" s="24">
        <f t="shared" si="138"/>
        <v>-0.26753540938696635</v>
      </c>
      <c r="AL179" s="79">
        <f t="shared" si="139"/>
        <v>-86.515075486694272</v>
      </c>
      <c r="AM179" s="24">
        <f t="shared" si="140"/>
        <v>-111.24464598020352</v>
      </c>
      <c r="AN179" s="79">
        <f t="shared" si="141"/>
        <v>-86.782610896081238</v>
      </c>
      <c r="AO179" s="15">
        <f t="shared" si="142"/>
        <v>-2574.0385660420138</v>
      </c>
      <c r="AP179" s="46">
        <f>SUMPRODUCT(AN180:AN$605, $I180:$I$605) / $I179</f>
        <v>-2008.0228161999166</v>
      </c>
      <c r="AR179" s="46">
        <v>0</v>
      </c>
      <c r="AS179" s="46">
        <v>0</v>
      </c>
      <c r="AT179" s="46">
        <v>0</v>
      </c>
      <c r="AU179" s="95">
        <f t="shared" si="113"/>
        <v>-2.4389193976718384</v>
      </c>
      <c r="AV179" s="47">
        <f t="shared" si="114"/>
        <v>0.1</v>
      </c>
      <c r="AW179" s="96">
        <f t="shared" si="143"/>
        <v>-2.6828113374390226</v>
      </c>
      <c r="AX179" s="95">
        <f t="shared" si="115"/>
        <v>-27.966275759970408</v>
      </c>
      <c r="AY179" s="11">
        <f t="shared" si="116"/>
        <v>0.1</v>
      </c>
      <c r="AZ179" s="96">
        <f t="shared" si="144"/>
        <v>-30.762903335967451</v>
      </c>
      <c r="BA179" s="95">
        <f t="shared" si="145"/>
        <v>-2.0928771030113</v>
      </c>
      <c r="BB179" s="64">
        <f t="shared" si="146"/>
        <v>-5.7511093594405559E-2</v>
      </c>
      <c r="BC179" s="95">
        <f t="shared" si="158"/>
        <v>-2.6828113374390226</v>
      </c>
      <c r="BD179" s="96">
        <f t="shared" si="158"/>
        <v>-7.3722156786745111E-2</v>
      </c>
      <c r="BE179" s="96">
        <f t="shared" si="147"/>
        <v>-2.0928771030113</v>
      </c>
      <c r="BF179" s="96">
        <f t="shared" si="148"/>
        <v>-5.7511093594405559E-2</v>
      </c>
      <c r="BG179" s="15">
        <f t="shared" si="149"/>
        <v>-176.29215288219166</v>
      </c>
      <c r="BH179" s="46">
        <f>(SUMPRODUCT(BE180:BE$605,$I179:$I$604)+SUMPRODUCT(BF180:BF$605,$I180:$I$605)) / $I179</f>
        <v>-137.52655844965562</v>
      </c>
      <c r="BJ179" s="46">
        <f t="shared" si="150"/>
        <v>-2.0928771030113</v>
      </c>
      <c r="BK179" s="46">
        <f t="shared" si="151"/>
        <v>-86.840121989675637</v>
      </c>
      <c r="BM179" s="49">
        <f t="shared" si="117"/>
        <v>2756.9376176645833</v>
      </c>
      <c r="BN179" s="50">
        <f t="shared" si="152"/>
        <v>2145.5493746495727</v>
      </c>
      <c r="BP179" s="68">
        <f>INDEX(Others!$H$11:$I$60, MATCH(C179, Others!$A$11:$A$60, 0), MATCH(BP$3, Others!$H$10:$I$10, 0))</f>
        <v>3.0518181818181833E-2</v>
      </c>
      <c r="BQ179" s="16">
        <f t="shared" si="153"/>
        <v>2.5082875760633616E-3</v>
      </c>
      <c r="BR179" s="69">
        <f t="shared" si="154"/>
        <v>0.64663480884534608</v>
      </c>
      <c r="BT179" s="46">
        <f t="shared" si="155"/>
        <v>2190.3791426216139</v>
      </c>
      <c r="BU179" s="49">
        <f t="shared" si="118"/>
        <v>57.604301804278748</v>
      </c>
      <c r="BV179" s="46">
        <f t="shared" si="156"/>
        <v>44.829767972041282</v>
      </c>
      <c r="BX179" s="46">
        <f t="shared" si="157"/>
        <v>2814.541919468862</v>
      </c>
    </row>
    <row r="180" spans="1:76" x14ac:dyDescent="0.25">
      <c r="A180" s="61">
        <f t="shared" si="107"/>
        <v>14.583333333333368</v>
      </c>
      <c r="B180" s="32">
        <f t="shared" si="119"/>
        <v>7</v>
      </c>
      <c r="C180" s="62">
        <f t="shared" si="120"/>
        <v>15</v>
      </c>
      <c r="D180" s="64">
        <f t="shared" si="121"/>
        <v>15.083333333333368</v>
      </c>
      <c r="E180" s="28">
        <f t="shared" si="122"/>
        <v>15</v>
      </c>
      <c r="G180" s="68">
        <f>INDEX(Others!$D$11:$E$60, MATCH(C180, Others!$A$11:$A$60, 0), MATCH(G$3, Others!$D$10:$E$10, 0))</f>
        <v>4.0690909090909111E-2</v>
      </c>
      <c r="H180" s="16">
        <f t="shared" si="123"/>
        <v>3.329265421250005E-3</v>
      </c>
      <c r="I180" s="69">
        <f t="shared" si="124"/>
        <v>0.55897320251590499</v>
      </c>
      <c r="K180" s="80">
        <f>INDEX(Mortality!$B$7:$F$32, MATCH( E180,Mortality!$A$7:$A$32, 0), MATCH( K$3,Mortality!$B$6:$F$6,0))</f>
        <v>0.38499999999999995</v>
      </c>
      <c r="L180" s="11" cm="1">
        <f t="array" ref="L180">PAD_Res_Mort</f>
        <v>0.15</v>
      </c>
      <c r="M180" s="80">
        <f t="shared" si="125"/>
        <v>0.44274999999999992</v>
      </c>
      <c r="N180" s="76">
        <f>INDEX('Myopia_(Reserve)'!$H:$H, MATCH(E180, 'Myopia_(Reserve)'!$A:$A, 0)) * Trend_Factor_Reserve^(A180)</f>
        <v>21.7814227944273</v>
      </c>
      <c r="O180" s="11">
        <f t="shared" si="108"/>
        <v>0.3</v>
      </c>
      <c r="P180" s="80">
        <f t="shared" si="126"/>
        <v>28.315849632755491</v>
      </c>
      <c r="Q180" s="76">
        <f>VLOOKUP(C180,Others!$L$10:$M$61,2)</f>
        <v>0</v>
      </c>
      <c r="R180" s="11">
        <f t="shared" si="109"/>
        <v>0</v>
      </c>
      <c r="S180" s="80">
        <f t="shared" si="127"/>
        <v>0</v>
      </c>
      <c r="T180" s="78">
        <f t="shared" si="128"/>
        <v>3.6895833333333327E-5</v>
      </c>
      <c r="U180" s="81">
        <f t="shared" si="129"/>
        <v>2.3596541360629574E-3</v>
      </c>
      <c r="V180" s="81">
        <f t="shared" si="130"/>
        <v>0</v>
      </c>
      <c r="W180" s="77">
        <f t="shared" si="110"/>
        <v>0.77823646095666077</v>
      </c>
      <c r="X180" s="82">
        <f t="shared" si="131"/>
        <v>2.8679805577240099E-5</v>
      </c>
      <c r="Y180" s="82">
        <f t="shared" si="132"/>
        <v>1.8363350067512427E-3</v>
      </c>
      <c r="Z180" s="82">
        <f t="shared" si="133"/>
        <v>0</v>
      </c>
      <c r="AA180" s="82">
        <f t="shared" si="134"/>
        <v>0.77637144614433229</v>
      </c>
      <c r="AC180" s="46">
        <f t="shared" si="111"/>
        <v>0</v>
      </c>
      <c r="AD180" s="15">
        <f t="shared" si="135"/>
        <v>0</v>
      </c>
      <c r="AE180" s="46">
        <f t="shared" si="136"/>
        <v>0</v>
      </c>
      <c r="AF180" s="15">
        <f t="shared" si="137"/>
        <v>0</v>
      </c>
      <c r="AG180" s="46">
        <f>SUMPRODUCT(AE181:AE$605, $I180:$I$604) / $I180</f>
        <v>0</v>
      </c>
      <c r="AI180" s="46">
        <f t="shared" si="112"/>
        <v>-47000</v>
      </c>
      <c r="AJ180" s="46">
        <f>IF(E180&gt;Mat_Year,0,  -SUM($AD$5:AD180))</f>
        <v>-9306</v>
      </c>
      <c r="AK180" s="24">
        <f t="shared" si="138"/>
        <v>-0.26689427070179633</v>
      </c>
      <c r="AL180" s="79">
        <f t="shared" si="139"/>
        <v>-86.307745317308402</v>
      </c>
      <c r="AM180" s="24">
        <f t="shared" si="140"/>
        <v>-111.24464598020352</v>
      </c>
      <c r="AN180" s="79">
        <f t="shared" si="141"/>
        <v>-86.5746395880102</v>
      </c>
      <c r="AO180" s="15">
        <f t="shared" si="142"/>
        <v>-2477.5675701042974</v>
      </c>
      <c r="AP180" s="46">
        <f>SUMPRODUCT(AN181:AN$605, $I181:$I$605) / $I180</f>
        <v>-1928.1334175389618</v>
      </c>
      <c r="AR180" s="46">
        <v>0</v>
      </c>
      <c r="AS180" s="46">
        <v>0</v>
      </c>
      <c r="AT180" s="46">
        <v>0</v>
      </c>
      <c r="AU180" s="95">
        <f t="shared" si="113"/>
        <v>-2.4436449303628818</v>
      </c>
      <c r="AV180" s="47">
        <f t="shared" si="114"/>
        <v>0.1</v>
      </c>
      <c r="AW180" s="96">
        <f t="shared" si="143"/>
        <v>-2.68800942339917</v>
      </c>
      <c r="AX180" s="95">
        <f t="shared" si="115"/>
        <v>-28.020461868161043</v>
      </c>
      <c r="AY180" s="11">
        <f t="shared" si="116"/>
        <v>0.1</v>
      </c>
      <c r="AZ180" s="96">
        <f t="shared" si="144"/>
        <v>-30.822508054977149</v>
      </c>
      <c r="BA180" s="95">
        <f t="shared" si="145"/>
        <v>-2.0919069406843245</v>
      </c>
      <c r="BB180" s="64">
        <f t="shared" si="146"/>
        <v>-5.7484434075646358E-2</v>
      </c>
      <c r="BC180" s="95">
        <f t="shared" si="158"/>
        <v>-2.68800942339917</v>
      </c>
      <c r="BD180" s="96">
        <f t="shared" si="158"/>
        <v>-7.3864997284993059E-2</v>
      </c>
      <c r="BE180" s="96">
        <f t="shared" si="147"/>
        <v>-2.0919069406843245</v>
      </c>
      <c r="BF180" s="96">
        <f t="shared" si="148"/>
        <v>-5.7484434075646358E-2</v>
      </c>
      <c r="BG180" s="15">
        <f t="shared" si="149"/>
        <v>-174.53315514160627</v>
      </c>
      <c r="BH180" s="46">
        <f>(SUMPRODUCT(BE181:BE$605,$I180:$I$604)+SUMPRODUCT(BF181:BF$605,$I181:$I$605)) / $I180</f>
        <v>-135.82806497700349</v>
      </c>
      <c r="BJ180" s="46">
        <f t="shared" si="150"/>
        <v>-2.0919069406843245</v>
      </c>
      <c r="BK180" s="46">
        <f t="shared" si="151"/>
        <v>-86.632124022085847</v>
      </c>
      <c r="BM180" s="49">
        <f t="shared" si="117"/>
        <v>2658.4716539565552</v>
      </c>
      <c r="BN180" s="50">
        <f t="shared" si="152"/>
        <v>2063.9614825159656</v>
      </c>
      <c r="BP180" s="68">
        <f>INDEX(Others!$H$11:$I$60, MATCH(C180, Others!$A$11:$A$60, 0), MATCH(BP$3, Others!$H$10:$I$10, 0))</f>
        <v>3.0518181818181833E-2</v>
      </c>
      <c r="BQ180" s="16">
        <f t="shared" si="153"/>
        <v>2.5082875760633616E-3</v>
      </c>
      <c r="BR180" s="69">
        <f t="shared" si="154"/>
        <v>0.64501692091626117</v>
      </c>
      <c r="BT180" s="46">
        <f t="shared" si="155"/>
        <v>2107.1439653449602</v>
      </c>
      <c r="BU180" s="49">
        <f t="shared" si="118"/>
        <v>55.620905487251378</v>
      </c>
      <c r="BV180" s="46">
        <f t="shared" si="156"/>
        <v>43.18248282899458</v>
      </c>
      <c r="BX180" s="46">
        <f t="shared" si="157"/>
        <v>2714.0925594438067</v>
      </c>
    </row>
    <row r="181" spans="1:76" x14ac:dyDescent="0.25">
      <c r="A181" s="61">
        <f t="shared" si="107"/>
        <v>14.666666666666702</v>
      </c>
      <c r="B181" s="32">
        <f t="shared" si="119"/>
        <v>8</v>
      </c>
      <c r="C181" s="62">
        <f t="shared" si="120"/>
        <v>15</v>
      </c>
      <c r="D181" s="64">
        <f t="shared" si="121"/>
        <v>15.166666666666702</v>
      </c>
      <c r="E181" s="28">
        <f t="shared" si="122"/>
        <v>15</v>
      </c>
      <c r="G181" s="68">
        <f>INDEX(Others!$D$11:$E$60, MATCH(C181, Others!$A$11:$A$60, 0), MATCH(G$3, Others!$D$10:$E$10, 0))</f>
        <v>4.0690909090909111E-2</v>
      </c>
      <c r="H181" s="16">
        <f t="shared" si="123"/>
        <v>3.329265421250005E-3</v>
      </c>
      <c r="I181" s="69">
        <f t="shared" si="124"/>
        <v>0.5571184074663853</v>
      </c>
      <c r="K181" s="80">
        <f>INDEX(Mortality!$B$7:$F$32, MATCH( E181,Mortality!$A$7:$A$32, 0), MATCH( K$3,Mortality!$B$6:$F$6,0))</f>
        <v>0.38499999999999995</v>
      </c>
      <c r="L181" s="11" cm="1">
        <f t="array" ref="L181">PAD_Res_Mort</f>
        <v>0.15</v>
      </c>
      <c r="M181" s="80">
        <f t="shared" si="125"/>
        <v>0.44274999999999992</v>
      </c>
      <c r="N181" s="76">
        <f>INDEX('Myopia_(Reserve)'!$H:$H, MATCH(E181, 'Myopia_(Reserve)'!$A:$A, 0)) * Trend_Factor_Reserve^(A181)</f>
        <v>21.7814227944273</v>
      </c>
      <c r="O181" s="11">
        <f t="shared" si="108"/>
        <v>0.3</v>
      </c>
      <c r="P181" s="80">
        <f t="shared" si="126"/>
        <v>28.315849632755491</v>
      </c>
      <c r="Q181" s="76">
        <f>VLOOKUP(C181,Others!$L$10:$M$61,2)</f>
        <v>0</v>
      </c>
      <c r="R181" s="11">
        <f t="shared" si="109"/>
        <v>0</v>
      </c>
      <c r="S181" s="80">
        <f t="shared" si="127"/>
        <v>0</v>
      </c>
      <c r="T181" s="78">
        <f t="shared" si="128"/>
        <v>3.6895833333333327E-5</v>
      </c>
      <c r="U181" s="81">
        <f t="shared" si="129"/>
        <v>2.3596541360629574E-3</v>
      </c>
      <c r="V181" s="81">
        <f t="shared" si="130"/>
        <v>0</v>
      </c>
      <c r="W181" s="77">
        <f t="shared" si="110"/>
        <v>0.77637144614433229</v>
      </c>
      <c r="X181" s="82">
        <f t="shared" si="131"/>
        <v>2.8611075486965865E-5</v>
      </c>
      <c r="Y181" s="82">
        <f t="shared" si="132"/>
        <v>1.8319342980209188E-3</v>
      </c>
      <c r="Z181" s="82">
        <f t="shared" si="133"/>
        <v>0</v>
      </c>
      <c r="AA181" s="82">
        <f t="shared" si="134"/>
        <v>0.77451090077082441</v>
      </c>
      <c r="AC181" s="46">
        <f t="shared" si="111"/>
        <v>0</v>
      </c>
      <c r="AD181" s="15">
        <f t="shared" si="135"/>
        <v>0</v>
      </c>
      <c r="AE181" s="46">
        <f t="shared" si="136"/>
        <v>0</v>
      </c>
      <c r="AF181" s="15">
        <f t="shared" si="137"/>
        <v>0</v>
      </c>
      <c r="AG181" s="46">
        <f>SUMPRODUCT(AE182:AE$605, $I181:$I$604) / $I181</f>
        <v>0</v>
      </c>
      <c r="AI181" s="46">
        <f t="shared" si="112"/>
        <v>-47000</v>
      </c>
      <c r="AJ181" s="46">
        <f>IF(E181&gt;Mat_Year,0,  -SUM($AD$5:AD181))</f>
        <v>-9306</v>
      </c>
      <c r="AK181" s="24">
        <f t="shared" si="138"/>
        <v>-0.26625466848170432</v>
      </c>
      <c r="AL181" s="79">
        <f t="shared" si="139"/>
        <v>-86.100912006983179</v>
      </c>
      <c r="AM181" s="24">
        <f t="shared" si="140"/>
        <v>-111.24464598020352</v>
      </c>
      <c r="AN181" s="79">
        <f t="shared" si="141"/>
        <v>-86.367166675464887</v>
      </c>
      <c r="AO181" s="15">
        <f t="shared" si="142"/>
        <v>-2380.5428805459651</v>
      </c>
      <c r="AP181" s="46">
        <f>SUMPRODUCT(AN182:AN$605, $I182:$I$605) / $I181</f>
        <v>-1848.1855187780652</v>
      </c>
      <c r="AR181" s="46">
        <v>0</v>
      </c>
      <c r="AS181" s="46">
        <v>0</v>
      </c>
      <c r="AT181" s="46">
        <v>0</v>
      </c>
      <c r="AU181" s="95">
        <f t="shared" si="113"/>
        <v>-2.4483796190183398</v>
      </c>
      <c r="AV181" s="47">
        <f t="shared" si="114"/>
        <v>0.1</v>
      </c>
      <c r="AW181" s="96">
        <f t="shared" si="143"/>
        <v>-2.6932175809201739</v>
      </c>
      <c r="AX181" s="95">
        <f t="shared" si="115"/>
        <v>-28.074752964743624</v>
      </c>
      <c r="AY181" s="11">
        <f t="shared" si="116"/>
        <v>0.1</v>
      </c>
      <c r="AZ181" s="96">
        <f t="shared" si="144"/>
        <v>-30.882228261217989</v>
      </c>
      <c r="BA181" s="95">
        <f t="shared" si="145"/>
        <v>-2.0909372280803358</v>
      </c>
      <c r="BB181" s="64">
        <f t="shared" si="146"/>
        <v>-5.7457786915023575E-2</v>
      </c>
      <c r="BC181" s="95">
        <f t="shared" si="158"/>
        <v>-2.6932175809201739</v>
      </c>
      <c r="BD181" s="96">
        <f t="shared" si="158"/>
        <v>-7.4008114544106787E-2</v>
      </c>
      <c r="BE181" s="96">
        <f t="shared" si="147"/>
        <v>-2.0909372280803358</v>
      </c>
      <c r="BF181" s="96">
        <f t="shared" si="148"/>
        <v>-5.7457786915023575E-2</v>
      </c>
      <c r="BG181" s="15">
        <f t="shared" si="149"/>
        <v>-172.75869304964789</v>
      </c>
      <c r="BH181" s="46">
        <f>(SUMPRODUCT(BE182:BE$605,$I181:$I$604)+SUMPRODUCT(BF182:BF$605,$I182:$I$605)) / $I181</f>
        <v>-134.12491635695994</v>
      </c>
      <c r="BJ181" s="46">
        <f t="shared" si="150"/>
        <v>-2.0909372280803358</v>
      </c>
      <c r="BK181" s="46">
        <f t="shared" si="151"/>
        <v>-86.42462446237991</v>
      </c>
      <c r="BM181" s="49">
        <f t="shared" si="117"/>
        <v>2559.4351650340245</v>
      </c>
      <c r="BN181" s="50">
        <f t="shared" si="152"/>
        <v>1982.310435135026</v>
      </c>
      <c r="BP181" s="68">
        <f>INDEX(Others!$H$11:$I$60, MATCH(C181, Others!$A$11:$A$60, 0), MATCH(BP$3, Others!$H$10:$I$10, 0))</f>
        <v>3.0518181818181833E-2</v>
      </c>
      <c r="BQ181" s="16">
        <f t="shared" si="153"/>
        <v>2.5082875760633616E-3</v>
      </c>
      <c r="BR181" s="69">
        <f t="shared" si="154"/>
        <v>0.64340308096188359</v>
      </c>
      <c r="BT181" s="46">
        <f t="shared" si="155"/>
        <v>2023.9084820118803</v>
      </c>
      <c r="BU181" s="49">
        <f t="shared" si="118"/>
        <v>53.708794589532978</v>
      </c>
      <c r="BV181" s="46">
        <f t="shared" si="156"/>
        <v>41.598046876854369</v>
      </c>
      <c r="BX181" s="46">
        <f t="shared" si="157"/>
        <v>2613.1439596235573</v>
      </c>
    </row>
    <row r="182" spans="1:76" x14ac:dyDescent="0.25">
      <c r="A182" s="61">
        <f t="shared" si="107"/>
        <v>14.750000000000036</v>
      </c>
      <c r="B182" s="32">
        <f t="shared" si="119"/>
        <v>9</v>
      </c>
      <c r="C182" s="62">
        <f t="shared" si="120"/>
        <v>15</v>
      </c>
      <c r="D182" s="64">
        <f t="shared" si="121"/>
        <v>15.250000000000036</v>
      </c>
      <c r="E182" s="28">
        <f t="shared" si="122"/>
        <v>15</v>
      </c>
      <c r="G182" s="68">
        <f>INDEX(Others!$D$11:$E$60, MATCH(C182, Others!$A$11:$A$60, 0), MATCH(G$3, Others!$D$10:$E$10, 0))</f>
        <v>4.0690909090909111E-2</v>
      </c>
      <c r="H182" s="16">
        <f t="shared" si="123"/>
        <v>3.329265421250005E-3</v>
      </c>
      <c r="I182" s="69">
        <f t="shared" si="124"/>
        <v>0.55526976703154163</v>
      </c>
      <c r="K182" s="80">
        <f>INDEX(Mortality!$B$7:$F$32, MATCH( E182,Mortality!$A$7:$A$32, 0), MATCH( K$3,Mortality!$B$6:$F$6,0))</f>
        <v>0.38499999999999995</v>
      </c>
      <c r="L182" s="11" cm="1">
        <f t="array" ref="L182">PAD_Res_Mort</f>
        <v>0.15</v>
      </c>
      <c r="M182" s="80">
        <f t="shared" si="125"/>
        <v>0.44274999999999992</v>
      </c>
      <c r="N182" s="76">
        <f>INDEX('Myopia_(Reserve)'!$H:$H, MATCH(E182, 'Myopia_(Reserve)'!$A:$A, 0)) * Trend_Factor_Reserve^(A182)</f>
        <v>21.7814227944273</v>
      </c>
      <c r="O182" s="11">
        <f t="shared" si="108"/>
        <v>0.3</v>
      </c>
      <c r="P182" s="80">
        <f t="shared" si="126"/>
        <v>28.315849632755491</v>
      </c>
      <c r="Q182" s="76">
        <f>VLOOKUP(C182,Others!$L$10:$M$61,2)</f>
        <v>0</v>
      </c>
      <c r="R182" s="11">
        <f t="shared" si="109"/>
        <v>0</v>
      </c>
      <c r="S182" s="80">
        <f t="shared" si="127"/>
        <v>0</v>
      </c>
      <c r="T182" s="78">
        <f t="shared" si="128"/>
        <v>3.6895833333333327E-5</v>
      </c>
      <c r="U182" s="81">
        <f t="shared" si="129"/>
        <v>2.3596541360629574E-3</v>
      </c>
      <c r="V182" s="81">
        <f t="shared" si="130"/>
        <v>0</v>
      </c>
      <c r="W182" s="77">
        <f t="shared" si="110"/>
        <v>0.77451090077082441</v>
      </c>
      <c r="X182" s="82">
        <f t="shared" si="131"/>
        <v>2.8542510105803635E-5</v>
      </c>
      <c r="Y182" s="82">
        <f t="shared" si="132"/>
        <v>1.8275441354258359E-3</v>
      </c>
      <c r="Z182" s="82">
        <f t="shared" si="133"/>
        <v>0</v>
      </c>
      <c r="AA182" s="82">
        <f t="shared" si="134"/>
        <v>0.7726548141252928</v>
      </c>
      <c r="AC182" s="46">
        <f t="shared" si="111"/>
        <v>0</v>
      </c>
      <c r="AD182" s="15">
        <f t="shared" si="135"/>
        <v>0</v>
      </c>
      <c r="AE182" s="46">
        <f t="shared" si="136"/>
        <v>0</v>
      </c>
      <c r="AF182" s="15">
        <f t="shared" si="137"/>
        <v>0</v>
      </c>
      <c r="AG182" s="46">
        <f>SUMPRODUCT(AE183:AE$605, $I182:$I$604) / $I182</f>
        <v>0</v>
      </c>
      <c r="AI182" s="46">
        <f t="shared" si="112"/>
        <v>-47000</v>
      </c>
      <c r="AJ182" s="46">
        <f>IF(E182&gt;Mat_Year,0,  -SUM($AD$5:AD182))</f>
        <v>-9306</v>
      </c>
      <c r="AK182" s="24">
        <f t="shared" si="138"/>
        <v>-0.2656165990446086</v>
      </c>
      <c r="AL182" s="79">
        <f t="shared" si="139"/>
        <v>-85.894574365014279</v>
      </c>
      <c r="AM182" s="24">
        <f t="shared" si="140"/>
        <v>-111.2446459802035</v>
      </c>
      <c r="AN182" s="79">
        <f t="shared" si="141"/>
        <v>-86.160190964058884</v>
      </c>
      <c r="AO182" s="15">
        <f t="shared" si="142"/>
        <v>-2282.9613194520143</v>
      </c>
      <c r="AP182" s="46">
        <f>SUMPRODUCT(AN183:AN$605, $I183:$I$605) / $I182</f>
        <v>-1768.1784279537294</v>
      </c>
      <c r="AR182" s="46">
        <v>0</v>
      </c>
      <c r="AS182" s="46">
        <v>0</v>
      </c>
      <c r="AT182" s="46">
        <v>0</v>
      </c>
      <c r="AU182" s="95">
        <f t="shared" si="113"/>
        <v>-2.4531234813783676</v>
      </c>
      <c r="AV182" s="47">
        <f t="shared" si="114"/>
        <v>0.1</v>
      </c>
      <c r="AW182" s="96">
        <f t="shared" si="143"/>
        <v>-2.6984358295162045</v>
      </c>
      <c r="AX182" s="95">
        <f t="shared" si="115"/>
        <v>-28.12914925313861</v>
      </c>
      <c r="AY182" s="11">
        <f t="shared" si="116"/>
        <v>0.1</v>
      </c>
      <c r="AZ182" s="96">
        <f t="shared" si="144"/>
        <v>-30.942064178452473</v>
      </c>
      <c r="BA182" s="95">
        <f t="shared" si="145"/>
        <v>-2.0899679649908625</v>
      </c>
      <c r="BB182" s="64">
        <f t="shared" si="146"/>
        <v>-5.7431152106808554E-2</v>
      </c>
      <c r="BC182" s="95">
        <f t="shared" si="158"/>
        <v>-2.6984358295162045</v>
      </c>
      <c r="BD182" s="96">
        <f t="shared" si="158"/>
        <v>-7.4151509100324808E-2</v>
      </c>
      <c r="BE182" s="96">
        <f t="shared" si="147"/>
        <v>-2.0899679649908625</v>
      </c>
      <c r="BF182" s="96">
        <f t="shared" si="148"/>
        <v>-5.7431152106808554E-2</v>
      </c>
      <c r="BG182" s="15">
        <f t="shared" si="149"/>
        <v>-170.96866744696993</v>
      </c>
      <c r="BH182" s="46">
        <f>(SUMPRODUCT(BE183:BE$605,$I182:$I$604)+SUMPRODUCT(BF183:BF$605,$I183:$I$605)) / $I182</f>
        <v>-132.4170966279402</v>
      </c>
      <c r="BJ182" s="46">
        <f t="shared" si="150"/>
        <v>-2.0899679649908625</v>
      </c>
      <c r="BK182" s="46">
        <f t="shared" si="151"/>
        <v>-86.2176221161657</v>
      </c>
      <c r="BM182" s="49">
        <f t="shared" si="117"/>
        <v>2459.8248659503879</v>
      </c>
      <c r="BN182" s="50">
        <f t="shared" si="152"/>
        <v>1900.5955245816701</v>
      </c>
      <c r="BP182" s="68">
        <f>INDEX(Others!$H$11:$I$60, MATCH(C182, Others!$A$11:$A$60, 0), MATCH(BP$3, Others!$H$10:$I$10, 0))</f>
        <v>3.0518181818181833E-2</v>
      </c>
      <c r="BQ182" s="16">
        <f t="shared" si="153"/>
        <v>2.5082875760633616E-3</v>
      </c>
      <c r="BR182" s="69">
        <f t="shared" si="154"/>
        <v>0.64179327885413284</v>
      </c>
      <c r="BT182" s="46">
        <f t="shared" si="155"/>
        <v>1940.6721941905625</v>
      </c>
      <c r="BU182" s="49">
        <f t="shared" si="118"/>
        <v>51.8687891102606</v>
      </c>
      <c r="BV182" s="46">
        <f t="shared" si="156"/>
        <v>40.076669608892416</v>
      </c>
      <c r="BX182" s="46">
        <f t="shared" si="157"/>
        <v>2511.6936550606483</v>
      </c>
    </row>
    <row r="183" spans="1:76" x14ac:dyDescent="0.25">
      <c r="A183" s="61">
        <f t="shared" si="107"/>
        <v>14.833333333333369</v>
      </c>
      <c r="B183" s="32">
        <f t="shared" si="119"/>
        <v>10</v>
      </c>
      <c r="C183" s="62">
        <f t="shared" si="120"/>
        <v>15</v>
      </c>
      <c r="D183" s="64">
        <f t="shared" si="121"/>
        <v>15.333333333333369</v>
      </c>
      <c r="E183" s="28">
        <f t="shared" si="122"/>
        <v>15</v>
      </c>
      <c r="G183" s="68">
        <f>INDEX(Others!$D$11:$E$60, MATCH(C183, Others!$A$11:$A$60, 0), MATCH(G$3, Others!$D$10:$E$10, 0))</f>
        <v>4.0690909090909111E-2</v>
      </c>
      <c r="H183" s="16">
        <f t="shared" si="123"/>
        <v>3.329265421250005E-3</v>
      </c>
      <c r="I183" s="69">
        <f t="shared" si="124"/>
        <v>0.5534272607890196</v>
      </c>
      <c r="K183" s="80">
        <f>INDEX(Mortality!$B$7:$F$32, MATCH( E183,Mortality!$A$7:$A$32, 0), MATCH( K$3,Mortality!$B$6:$F$6,0))</f>
        <v>0.38499999999999995</v>
      </c>
      <c r="L183" s="11" cm="1">
        <f t="array" ref="L183">PAD_Res_Mort</f>
        <v>0.15</v>
      </c>
      <c r="M183" s="80">
        <f t="shared" si="125"/>
        <v>0.44274999999999992</v>
      </c>
      <c r="N183" s="76">
        <f>INDEX('Myopia_(Reserve)'!$H:$H, MATCH(E183, 'Myopia_(Reserve)'!$A:$A, 0)) * Trend_Factor_Reserve^(A183)</f>
        <v>21.7814227944273</v>
      </c>
      <c r="O183" s="11">
        <f t="shared" si="108"/>
        <v>0.3</v>
      </c>
      <c r="P183" s="80">
        <f t="shared" si="126"/>
        <v>28.315849632755491</v>
      </c>
      <c r="Q183" s="76">
        <f>VLOOKUP(C183,Others!$L$10:$M$61,2)</f>
        <v>0</v>
      </c>
      <c r="R183" s="11">
        <f t="shared" si="109"/>
        <v>0</v>
      </c>
      <c r="S183" s="80">
        <f t="shared" si="127"/>
        <v>0</v>
      </c>
      <c r="T183" s="78">
        <f t="shared" si="128"/>
        <v>3.6895833333333327E-5</v>
      </c>
      <c r="U183" s="81">
        <f t="shared" si="129"/>
        <v>2.3596541360629574E-3</v>
      </c>
      <c r="V183" s="81">
        <f t="shared" si="130"/>
        <v>0</v>
      </c>
      <c r="W183" s="77">
        <f t="shared" si="110"/>
        <v>0.7726548141252928</v>
      </c>
      <c r="X183" s="82">
        <f t="shared" si="131"/>
        <v>2.8474109039034128E-5</v>
      </c>
      <c r="Y183" s="82">
        <f t="shared" si="132"/>
        <v>1.8231644936925722E-3</v>
      </c>
      <c r="Z183" s="82">
        <f t="shared" si="133"/>
        <v>0</v>
      </c>
      <c r="AA183" s="82">
        <f t="shared" si="134"/>
        <v>0.77080317552256117</v>
      </c>
      <c r="AC183" s="46">
        <f t="shared" si="111"/>
        <v>0</v>
      </c>
      <c r="AD183" s="15">
        <f t="shared" si="135"/>
        <v>0</v>
      </c>
      <c r="AE183" s="46">
        <f t="shared" si="136"/>
        <v>0</v>
      </c>
      <c r="AF183" s="15">
        <f t="shared" si="137"/>
        <v>0</v>
      </c>
      <c r="AG183" s="46">
        <f>SUMPRODUCT(AE184:AE$605, $I183:$I$604) / $I183</f>
        <v>0</v>
      </c>
      <c r="AI183" s="46">
        <f t="shared" si="112"/>
        <v>-47000</v>
      </c>
      <c r="AJ183" s="46">
        <f>IF(E183&gt;Mat_Year,0,  -SUM($AD$5:AD183))</f>
        <v>-9306</v>
      </c>
      <c r="AK183" s="24">
        <f t="shared" si="138"/>
        <v>-0.26498005871725161</v>
      </c>
      <c r="AL183" s="79">
        <f t="shared" si="139"/>
        <v>-85.688731203550901</v>
      </c>
      <c r="AM183" s="24">
        <f t="shared" si="140"/>
        <v>-111.24464598020353</v>
      </c>
      <c r="AN183" s="79">
        <f t="shared" si="141"/>
        <v>-85.953711262268158</v>
      </c>
      <c r="AO183" s="15">
        <f t="shared" si="142"/>
        <v>-2184.8196906678504</v>
      </c>
      <c r="AP183" s="46">
        <f>SUMPRODUCT(AN184:AN$605, $I184:$I$605) / $I183</f>
        <v>-1688.1114519902478</v>
      </c>
      <c r="AR183" s="46">
        <v>0</v>
      </c>
      <c r="AS183" s="46">
        <v>0</v>
      </c>
      <c r="AT183" s="46">
        <v>0</v>
      </c>
      <c r="AU183" s="95">
        <f t="shared" si="113"/>
        <v>-2.4578765352174923</v>
      </c>
      <c r="AV183" s="47">
        <f t="shared" si="114"/>
        <v>0.1</v>
      </c>
      <c r="AW183" s="96">
        <f t="shared" si="143"/>
        <v>-2.7036641887392419</v>
      </c>
      <c r="AX183" s="95">
        <f t="shared" si="115"/>
        <v>-28.183650937160571</v>
      </c>
      <c r="AY183" s="11">
        <f t="shared" si="116"/>
        <v>0.1</v>
      </c>
      <c r="AZ183" s="96">
        <f t="shared" si="144"/>
        <v>-31.002016030876632</v>
      </c>
      <c r="BA183" s="95">
        <f t="shared" si="145"/>
        <v>-2.0889991512075294</v>
      </c>
      <c r="BB183" s="64">
        <f t="shared" si="146"/>
        <v>-5.7404529645275273E-2</v>
      </c>
      <c r="BC183" s="95">
        <f t="shared" si="158"/>
        <v>-2.7036641887392419</v>
      </c>
      <c r="BD183" s="96">
        <f t="shared" si="158"/>
        <v>-7.4295181490924636E-2</v>
      </c>
      <c r="BE183" s="96">
        <f t="shared" si="147"/>
        <v>-2.0889991512075294</v>
      </c>
      <c r="BF183" s="96">
        <f t="shared" si="148"/>
        <v>-5.7404529645275273E-2</v>
      </c>
      <c r="BG183" s="15">
        <f t="shared" si="149"/>
        <v>-169.16297858494809</v>
      </c>
      <c r="BH183" s="46">
        <f>(SUMPRODUCT(BE184:BE$605,$I183:$I$604)+SUMPRODUCT(BF184:BF$605,$I184:$I$605)) / $I183</f>
        <v>-130.70458977543396</v>
      </c>
      <c r="BJ183" s="46">
        <f t="shared" si="150"/>
        <v>-2.0889991512075294</v>
      </c>
      <c r="BK183" s="46">
        <f t="shared" si="151"/>
        <v>-86.01111579191344</v>
      </c>
      <c r="BM183" s="49">
        <f t="shared" si="117"/>
        <v>2359.6374528849433</v>
      </c>
      <c r="BN183" s="50">
        <f t="shared" si="152"/>
        <v>1818.8160417656823</v>
      </c>
      <c r="BP183" s="68">
        <f>INDEX(Others!$H$11:$I$60, MATCH(C183, Others!$A$11:$A$60, 0), MATCH(BP$3, Others!$H$10:$I$10, 0))</f>
        <v>3.0518181818181833E-2</v>
      </c>
      <c r="BQ183" s="16">
        <f t="shared" si="153"/>
        <v>2.5082875760633616E-3</v>
      </c>
      <c r="BR183" s="69">
        <f t="shared" si="154"/>
        <v>0.64018750449026884</v>
      </c>
      <c r="BT183" s="46">
        <f t="shared" si="155"/>
        <v>1857.4346033907239</v>
      </c>
      <c r="BU183" s="49">
        <f t="shared" si="118"/>
        <v>50.101715783488281</v>
      </c>
      <c r="BV183" s="46">
        <f t="shared" si="156"/>
        <v>38.618561625041593</v>
      </c>
      <c r="BX183" s="46">
        <f t="shared" si="157"/>
        <v>2409.7391686684314</v>
      </c>
    </row>
    <row r="184" spans="1:76" x14ac:dyDescent="0.25">
      <c r="A184" s="61">
        <f t="shared" si="107"/>
        <v>14.916666666666703</v>
      </c>
      <c r="B184" s="32">
        <f t="shared" si="119"/>
        <v>11</v>
      </c>
      <c r="C184" s="62">
        <f t="shared" si="120"/>
        <v>15</v>
      </c>
      <c r="D184" s="64">
        <f t="shared" si="121"/>
        <v>15.416666666666703</v>
      </c>
      <c r="E184" s="28">
        <f t="shared" si="122"/>
        <v>15</v>
      </c>
      <c r="G184" s="68">
        <f>INDEX(Others!$D$11:$E$60, MATCH(C184, Others!$A$11:$A$60, 0), MATCH(G$3, Others!$D$10:$E$10, 0))</f>
        <v>4.0690909090909111E-2</v>
      </c>
      <c r="H184" s="16">
        <f t="shared" si="123"/>
        <v>3.329265421250005E-3</v>
      </c>
      <c r="I184" s="69">
        <f t="shared" si="124"/>
        <v>0.55159086838423077</v>
      </c>
      <c r="K184" s="80">
        <f>INDEX(Mortality!$B$7:$F$32, MATCH( E184,Mortality!$A$7:$A$32, 0), MATCH( K$3,Mortality!$B$6:$F$6,0))</f>
        <v>0.38499999999999995</v>
      </c>
      <c r="L184" s="11" cm="1">
        <f t="array" ref="L184">PAD_Res_Mort</f>
        <v>0.15</v>
      </c>
      <c r="M184" s="80">
        <f t="shared" si="125"/>
        <v>0.44274999999999992</v>
      </c>
      <c r="N184" s="76">
        <f>INDEX('Myopia_(Reserve)'!$H:$H, MATCH(E184, 'Myopia_(Reserve)'!$A:$A, 0)) * Trend_Factor_Reserve^(A184)</f>
        <v>21.7814227944273</v>
      </c>
      <c r="O184" s="11">
        <f t="shared" si="108"/>
        <v>0.3</v>
      </c>
      <c r="P184" s="80">
        <f t="shared" si="126"/>
        <v>28.315849632755491</v>
      </c>
      <c r="Q184" s="76">
        <f>VLOOKUP(C184,Others!$L$10:$M$61,2)</f>
        <v>0</v>
      </c>
      <c r="R184" s="11">
        <f t="shared" si="109"/>
        <v>0</v>
      </c>
      <c r="S184" s="80">
        <f t="shared" si="127"/>
        <v>0</v>
      </c>
      <c r="T184" s="78">
        <f t="shared" si="128"/>
        <v>3.6895833333333327E-5</v>
      </c>
      <c r="U184" s="81">
        <f t="shared" si="129"/>
        <v>2.3596541360629574E-3</v>
      </c>
      <c r="V184" s="81">
        <f t="shared" si="130"/>
        <v>0</v>
      </c>
      <c r="W184" s="77">
        <f t="shared" si="110"/>
        <v>0.77080317552256117</v>
      </c>
      <c r="X184" s="82">
        <f t="shared" si="131"/>
        <v>2.8405871892884005E-5</v>
      </c>
      <c r="Y184" s="82">
        <f t="shared" si="132"/>
        <v>1.8187953476082725E-3</v>
      </c>
      <c r="Z184" s="82">
        <f t="shared" si="133"/>
        <v>0</v>
      </c>
      <c r="AA184" s="82">
        <f t="shared" si="134"/>
        <v>0.76895597430306006</v>
      </c>
      <c r="AC184" s="46">
        <f t="shared" si="111"/>
        <v>0</v>
      </c>
      <c r="AD184" s="15">
        <f t="shared" si="135"/>
        <v>0</v>
      </c>
      <c r="AE184" s="46">
        <f t="shared" si="136"/>
        <v>0</v>
      </c>
      <c r="AF184" s="15">
        <f t="shared" si="137"/>
        <v>0</v>
      </c>
      <c r="AG184" s="46">
        <f>SUMPRODUCT(AE185:AE$605, $I184:$I$604) / $I184</f>
        <v>0</v>
      </c>
      <c r="AI184" s="46">
        <f t="shared" si="112"/>
        <v>-47000</v>
      </c>
      <c r="AJ184" s="46">
        <f>IF(E184&gt;Mat_Year,0,  -SUM($AD$5:AD184))</f>
        <v>-9306</v>
      </c>
      <c r="AK184" s="24">
        <f t="shared" si="138"/>
        <v>-0.26434504383517854</v>
      </c>
      <c r="AL184" s="79">
        <f t="shared" si="139"/>
        <v>-85.48338133758881</v>
      </c>
      <c r="AM184" s="24">
        <f t="shared" si="140"/>
        <v>-111.24464598020352</v>
      </c>
      <c r="AN184" s="79">
        <f t="shared" si="141"/>
        <v>-85.747726381423988</v>
      </c>
      <c r="AO184" s="15">
        <f t="shared" si="142"/>
        <v>-2086.1147796946066</v>
      </c>
      <c r="AP184" s="46">
        <f>SUMPRODUCT(AN185:AN$605, $I185:$I$605) / $I184</f>
        <v>-1607.9838966931509</v>
      </c>
      <c r="AR184" s="46">
        <v>0</v>
      </c>
      <c r="AS184" s="46">
        <v>0</v>
      </c>
      <c r="AT184" s="46">
        <v>0</v>
      </c>
      <c r="AU184" s="95">
        <f t="shared" si="113"/>
        <v>-2.4626387983446816</v>
      </c>
      <c r="AV184" s="47">
        <f t="shared" si="114"/>
        <v>0.1</v>
      </c>
      <c r="AW184" s="96">
        <f t="shared" si="143"/>
        <v>-2.7089026781791499</v>
      </c>
      <c r="AX184" s="95">
        <f t="shared" si="115"/>
        <v>-28.238258221019013</v>
      </c>
      <c r="AY184" s="11">
        <f t="shared" si="116"/>
        <v>0.1</v>
      </c>
      <c r="AZ184" s="96">
        <f t="shared" si="144"/>
        <v>-31.062084043120915</v>
      </c>
      <c r="BA184" s="95">
        <f t="shared" si="145"/>
        <v>-2.0880307865220593</v>
      </c>
      <c r="BB184" s="64">
        <f t="shared" si="146"/>
        <v>-5.7377919524700373E-2</v>
      </c>
      <c r="BC184" s="95">
        <f t="shared" si="158"/>
        <v>-2.7089026781791499</v>
      </c>
      <c r="BD184" s="96">
        <f t="shared" si="158"/>
        <v>-7.4439132254224785E-2</v>
      </c>
      <c r="BE184" s="96">
        <f t="shared" si="147"/>
        <v>-2.0880307865220593</v>
      </c>
      <c r="BF184" s="96">
        <f t="shared" si="148"/>
        <v>-5.7377919524700373E-2</v>
      </c>
      <c r="BG184" s="15">
        <f t="shared" si="149"/>
        <v>-167.34152612225938</v>
      </c>
      <c r="BH184" s="46">
        <f>(SUMPRODUCT(BE185:BE$605,$I184:$I$604)+SUMPRODUCT(BF185:BF$605,$I185:$I$605)) / $I184</f>
        <v>-128.98737973182915</v>
      </c>
      <c r="BJ184" s="46">
        <f t="shared" si="150"/>
        <v>-2.0880307865220593</v>
      </c>
      <c r="BK184" s="46">
        <f t="shared" si="151"/>
        <v>-85.805104300948685</v>
      </c>
      <c r="BM184" s="49">
        <f t="shared" si="117"/>
        <v>2258.8696030345263</v>
      </c>
      <c r="BN184" s="50">
        <f t="shared" si="152"/>
        <v>1736.9712764249807</v>
      </c>
      <c r="BP184" s="68">
        <f>INDEX(Others!$H$11:$I$60, MATCH(C184, Others!$A$11:$A$60, 0), MATCH(BP$3, Others!$H$10:$I$10, 0))</f>
        <v>3.0518181818181833E-2</v>
      </c>
      <c r="BQ184" s="16">
        <f t="shared" si="153"/>
        <v>2.5082875760633616E-3</v>
      </c>
      <c r="BR184" s="69">
        <f t="shared" si="154"/>
        <v>0.63858574779282895</v>
      </c>
      <c r="BT184" s="46">
        <f t="shared" si="155"/>
        <v>1774.1952110606078</v>
      </c>
      <c r="BU184" s="49">
        <f t="shared" si="118"/>
        <v>48.408408126830444</v>
      </c>
      <c r="BV184" s="46">
        <f t="shared" si="156"/>
        <v>37.223934635627074</v>
      </c>
      <c r="BX184" s="46">
        <f t="shared" si="157"/>
        <v>2307.278011161357</v>
      </c>
    </row>
    <row r="185" spans="1:76" x14ac:dyDescent="0.25">
      <c r="A185" s="61">
        <f t="shared" si="107"/>
        <v>15.000000000000037</v>
      </c>
      <c r="B185" s="32">
        <f t="shared" si="119"/>
        <v>12</v>
      </c>
      <c r="C185" s="62">
        <f t="shared" si="120"/>
        <v>15</v>
      </c>
      <c r="D185" s="64">
        <f t="shared" si="121"/>
        <v>15.500000000000037</v>
      </c>
      <c r="E185" s="28">
        <f t="shared" si="122"/>
        <v>15</v>
      </c>
      <c r="G185" s="68">
        <f>INDEX(Others!$D$11:$E$60, MATCH(C185, Others!$A$11:$A$60, 0), MATCH(G$3, Others!$D$10:$E$10, 0))</f>
        <v>4.0690909090909111E-2</v>
      </c>
      <c r="H185" s="16">
        <f t="shared" si="123"/>
        <v>3.329265421250005E-3</v>
      </c>
      <c r="I185" s="69">
        <f t="shared" si="124"/>
        <v>0.54976056953012742</v>
      </c>
      <c r="K185" s="80">
        <f>INDEX(Mortality!$B$7:$F$32, MATCH( E185,Mortality!$A$7:$A$32, 0), MATCH( K$3,Mortality!$B$6:$F$6,0))</f>
        <v>0.38499999999999995</v>
      </c>
      <c r="L185" s="11" cm="1">
        <f t="array" ref="L185">PAD_Res_Mort</f>
        <v>0.15</v>
      </c>
      <c r="M185" s="80">
        <f t="shared" si="125"/>
        <v>0.44274999999999992</v>
      </c>
      <c r="N185" s="76">
        <f>INDEX('Myopia_(Reserve)'!$H:$H, MATCH(E185, 'Myopia_(Reserve)'!$A:$A, 0)) * Trend_Factor_Reserve^(A185)</f>
        <v>21.7814227944273</v>
      </c>
      <c r="O185" s="11">
        <f t="shared" si="108"/>
        <v>0.3</v>
      </c>
      <c r="P185" s="80">
        <f t="shared" si="126"/>
        <v>28.315849632755491</v>
      </c>
      <c r="Q185" s="76">
        <f>VLOOKUP(C185,Others!$L$10:$M$61,2)</f>
        <v>0</v>
      </c>
      <c r="R185" s="11">
        <f t="shared" si="109"/>
        <v>0</v>
      </c>
      <c r="S185" s="80">
        <f t="shared" si="127"/>
        <v>0</v>
      </c>
      <c r="T185" s="78">
        <f t="shared" si="128"/>
        <v>3.6895833333333327E-5</v>
      </c>
      <c r="U185" s="81">
        <f t="shared" si="129"/>
        <v>2.3596541360629574E-3</v>
      </c>
      <c r="V185" s="81">
        <f t="shared" si="130"/>
        <v>0</v>
      </c>
      <c r="W185" s="77">
        <f t="shared" si="110"/>
        <v>0.76895597430306006</v>
      </c>
      <c r="X185" s="82">
        <f t="shared" si="131"/>
        <v>2.8337798274523578E-5</v>
      </c>
      <c r="Y185" s="82">
        <f t="shared" si="132"/>
        <v>1.8144366720205037E-3</v>
      </c>
      <c r="Z185" s="82">
        <f t="shared" si="133"/>
        <v>0</v>
      </c>
      <c r="AA185" s="82">
        <f t="shared" si="134"/>
        <v>0.76711319983276505</v>
      </c>
      <c r="AC185" s="46">
        <f t="shared" si="111"/>
        <v>0</v>
      </c>
      <c r="AD185" s="15">
        <f t="shared" si="135"/>
        <v>0</v>
      </c>
      <c r="AE185" s="46">
        <f t="shared" si="136"/>
        <v>0</v>
      </c>
      <c r="AF185" s="15">
        <f t="shared" si="137"/>
        <v>0</v>
      </c>
      <c r="AG185" s="46">
        <f>SUMPRODUCT(AE186:AE$605, $I185:$I$604) / $I185</f>
        <v>0</v>
      </c>
      <c r="AI185" s="46">
        <f t="shared" si="112"/>
        <v>-47000</v>
      </c>
      <c r="AJ185" s="46">
        <f>IF(E185&gt;Mat_Year,0,  -SUM($AD$5:AD185))</f>
        <v>-9306</v>
      </c>
      <c r="AK185" s="24">
        <f t="shared" si="138"/>
        <v>-0.26371155074271641</v>
      </c>
      <c r="AL185" s="79">
        <f t="shared" si="139"/>
        <v>-85.278523584963679</v>
      </c>
      <c r="AM185" s="24">
        <f t="shared" si="140"/>
        <v>-111.24464598020352</v>
      </c>
      <c r="AN185" s="79">
        <f t="shared" si="141"/>
        <v>-85.542235135706392</v>
      </c>
      <c r="AO185" s="15">
        <f t="shared" si="142"/>
        <v>-1986.8433535838542</v>
      </c>
      <c r="AP185" s="46">
        <f>SUMPRODUCT(AN186:AN$605, $I186:$I$605) / $I185</f>
        <v>-1527.7950667426319</v>
      </c>
      <c r="AR185" s="46">
        <v>0</v>
      </c>
      <c r="AS185" s="46">
        <v>0</v>
      </c>
      <c r="AT185" s="46">
        <v>0</v>
      </c>
      <c r="AU185" s="95">
        <f t="shared" si="113"/>
        <v>-2.4674102886034079</v>
      </c>
      <c r="AV185" s="47">
        <f t="shared" si="114"/>
        <v>0.1</v>
      </c>
      <c r="AW185" s="96">
        <f t="shared" si="143"/>
        <v>-2.7141513174637488</v>
      </c>
      <c r="AX185" s="95">
        <f t="shared" si="115"/>
        <v>-28.292971309319075</v>
      </c>
      <c r="AY185" s="11">
        <f t="shared" si="116"/>
        <v>0.1</v>
      </c>
      <c r="AZ185" s="96">
        <f t="shared" si="144"/>
        <v>-31.122268440250984</v>
      </c>
      <c r="BA185" s="95">
        <f t="shared" si="145"/>
        <v>-2.0870628707262711</v>
      </c>
      <c r="BB185" s="64">
        <f t="shared" si="146"/>
        <v>-5.7351321739363151E-2</v>
      </c>
      <c r="BC185" s="95">
        <f t="shared" si="158"/>
        <v>-2.7141513174637488</v>
      </c>
      <c r="BD185" s="96">
        <f t="shared" si="158"/>
        <v>-7.4583361929586769E-2</v>
      </c>
      <c r="BE185" s="96">
        <f t="shared" si="147"/>
        <v>-2.0870628707262711</v>
      </c>
      <c r="BF185" s="96">
        <f t="shared" si="148"/>
        <v>-5.7351321739363151E-2</v>
      </c>
      <c r="BG185" s="15">
        <f t="shared" si="149"/>
        <v>-165.50420912144071</v>
      </c>
      <c r="BH185" s="46">
        <f>(SUMPRODUCT(BE186:BE$605,$I185:$I$604)+SUMPRODUCT(BF186:BF$605,$I186:$I$605)) / $I185</f>
        <v>-127.26545037623484</v>
      </c>
      <c r="BJ185" s="46">
        <f t="shared" si="150"/>
        <v>-2.0870628707262711</v>
      </c>
      <c r="BK185" s="46">
        <f t="shared" si="151"/>
        <v>-85.599586457445753</v>
      </c>
      <c r="BM185" s="49">
        <f t="shared" si="117"/>
        <v>2157.5179745045189</v>
      </c>
      <c r="BN185" s="50">
        <f t="shared" si="152"/>
        <v>1655.0605171188674</v>
      </c>
      <c r="BP185" s="68">
        <f>INDEX(Others!$H$11:$I$60, MATCH(C185, Others!$A$11:$A$60, 0), MATCH(BP$3, Others!$H$10:$I$10, 0))</f>
        <v>3.0518181818181833E-2</v>
      </c>
      <c r="BQ185" s="16">
        <f t="shared" si="153"/>
        <v>2.5082875760633616E-3</v>
      </c>
      <c r="BR185" s="69">
        <f t="shared" si="154"/>
        <v>0.63698799870956424</v>
      </c>
      <c r="BT185" s="46">
        <f t="shared" si="155"/>
        <v>1690.9535185839811</v>
      </c>
      <c r="BU185" s="49">
        <f t="shared" si="118"/>
        <v>46.789706490435258</v>
      </c>
      <c r="BV185" s="46">
        <f t="shared" si="156"/>
        <v>35.893001465113684</v>
      </c>
      <c r="BX185" s="46">
        <f t="shared" si="157"/>
        <v>2204.3076809949539</v>
      </c>
    </row>
    <row r="186" spans="1:76" x14ac:dyDescent="0.25">
      <c r="A186" s="61">
        <f t="shared" si="107"/>
        <v>15.083333333333371</v>
      </c>
      <c r="B186" s="32">
        <f t="shared" si="119"/>
        <v>1</v>
      </c>
      <c r="C186" s="62">
        <f t="shared" si="120"/>
        <v>16</v>
      </c>
      <c r="D186" s="64">
        <f t="shared" si="121"/>
        <v>15.583333333333371</v>
      </c>
      <c r="E186" s="28">
        <f t="shared" si="122"/>
        <v>15</v>
      </c>
      <c r="G186" s="68">
        <f>INDEX(Others!$D$11:$E$60, MATCH(C186, Others!$A$11:$A$60, 0), MATCH(G$3, Others!$D$10:$E$10, 0))</f>
        <v>4.0690909090909111E-2</v>
      </c>
      <c r="H186" s="16">
        <f t="shared" si="123"/>
        <v>3.329265421250005E-3</v>
      </c>
      <c r="I186" s="69">
        <f t="shared" si="124"/>
        <v>0.54793634400697888</v>
      </c>
      <c r="K186" s="80">
        <f>INDEX(Mortality!$B$7:$F$32, MATCH( E186,Mortality!$A$7:$A$32, 0), MATCH( K$3,Mortality!$B$6:$F$6,0))</f>
        <v>0.38499999999999995</v>
      </c>
      <c r="L186" s="11" cm="1">
        <f t="array" ref="L186">PAD_Res_Mort</f>
        <v>0.15</v>
      </c>
      <c r="M186" s="80">
        <f t="shared" si="125"/>
        <v>0.44274999999999992</v>
      </c>
      <c r="N186" s="76">
        <f>INDEX('Myopia_(Reserve)'!$H:$H, MATCH(E186, 'Myopia_(Reserve)'!$A:$A, 0)) * Trend_Factor_Reserve^(A186)</f>
        <v>21.7814227944273</v>
      </c>
      <c r="O186" s="11">
        <f t="shared" si="108"/>
        <v>0.3</v>
      </c>
      <c r="P186" s="80">
        <f t="shared" si="126"/>
        <v>28.315849632755491</v>
      </c>
      <c r="Q186" s="76">
        <f>VLOOKUP(C186,Others!$L$10:$M$61,2)</f>
        <v>0</v>
      </c>
      <c r="R186" s="11">
        <f t="shared" si="109"/>
        <v>0</v>
      </c>
      <c r="S186" s="80">
        <f t="shared" si="127"/>
        <v>0</v>
      </c>
      <c r="T186" s="78">
        <f t="shared" si="128"/>
        <v>3.6895833333333327E-5</v>
      </c>
      <c r="U186" s="81">
        <f t="shared" si="129"/>
        <v>2.3596541360629574E-3</v>
      </c>
      <c r="V186" s="81">
        <f t="shared" si="130"/>
        <v>0</v>
      </c>
      <c r="W186" s="77">
        <f t="shared" si="110"/>
        <v>0.76711319983276505</v>
      </c>
      <c r="X186" s="82">
        <f t="shared" si="131"/>
        <v>2.8269887792064564E-5</v>
      </c>
      <c r="Y186" s="82">
        <f t="shared" si="132"/>
        <v>1.8100884418371088E-3</v>
      </c>
      <c r="Z186" s="82">
        <f t="shared" si="133"/>
        <v>0</v>
      </c>
      <c r="AA186" s="82">
        <f t="shared" si="134"/>
        <v>0.76527484150313585</v>
      </c>
      <c r="AC186" s="46">
        <f t="shared" si="111"/>
        <v>0</v>
      </c>
      <c r="AD186" s="15">
        <f t="shared" si="135"/>
        <v>0</v>
      </c>
      <c r="AE186" s="46">
        <f t="shared" si="136"/>
        <v>0</v>
      </c>
      <c r="AF186" s="15">
        <f t="shared" si="137"/>
        <v>0</v>
      </c>
      <c r="AG186" s="46">
        <f>SUMPRODUCT(AE187:AE$605, $I186:$I$604) / $I186</f>
        <v>0</v>
      </c>
      <c r="AI186" s="46">
        <f t="shared" si="112"/>
        <v>-47000</v>
      </c>
      <c r="AJ186" s="46">
        <f>IF(E186&gt;Mat_Year,0,  -SUM($AD$5:AD186))</f>
        <v>-9306</v>
      </c>
      <c r="AK186" s="24">
        <f t="shared" si="138"/>
        <v>-0.26307957579295282</v>
      </c>
      <c r="AL186" s="79">
        <f t="shared" si="139"/>
        <v>-85.074156766344117</v>
      </c>
      <c r="AM186" s="24">
        <f t="shared" si="140"/>
        <v>-111.24464598020353</v>
      </c>
      <c r="AN186" s="79">
        <f t="shared" si="141"/>
        <v>-85.337236342137075</v>
      </c>
      <c r="AO186" s="15">
        <f t="shared" si="142"/>
        <v>-1887.0021608317129</v>
      </c>
      <c r="AP186" s="46">
        <f>SUMPRODUCT(AN187:AN$605, $I187:$I$605) / $I186</f>
        <v>-1447.5442656869573</v>
      </c>
      <c r="AR186" s="46">
        <v>0</v>
      </c>
      <c r="AS186" s="46">
        <v>0</v>
      </c>
      <c r="AT186" s="46">
        <v>0</v>
      </c>
      <c r="AU186" s="95">
        <f t="shared" si="113"/>
        <v>-2.4721910238717171</v>
      </c>
      <c r="AV186" s="47">
        <f t="shared" si="114"/>
        <v>0.1</v>
      </c>
      <c r="AW186" s="96">
        <f t="shared" si="143"/>
        <v>-2.719410126258889</v>
      </c>
      <c r="AX186" s="95">
        <f t="shared" si="115"/>
        <v>-28.347790407062352</v>
      </c>
      <c r="AY186" s="11">
        <f t="shared" si="116"/>
        <v>0.1</v>
      </c>
      <c r="AZ186" s="96">
        <f t="shared" si="144"/>
        <v>-31.182569447768589</v>
      </c>
      <c r="BA186" s="95">
        <f t="shared" si="145"/>
        <v>-2.08609540361208</v>
      </c>
      <c r="BB186" s="64">
        <f t="shared" si="146"/>
        <v>-5.7324736283545556E-2</v>
      </c>
      <c r="BC186" s="95">
        <f t="shared" si="158"/>
        <v>-2.719410126258889</v>
      </c>
      <c r="BD186" s="96">
        <f t="shared" si="158"/>
        <v>-7.472787105741717E-2</v>
      </c>
      <c r="BE186" s="96">
        <f t="shared" si="147"/>
        <v>-2.08609540361208</v>
      </c>
      <c r="BF186" s="96">
        <f t="shared" si="148"/>
        <v>-5.7324736283545556E-2</v>
      </c>
      <c r="BG186" s="15">
        <f t="shared" si="149"/>
        <v>-163.65092604542863</v>
      </c>
      <c r="BH186" s="46">
        <f>(SUMPRODUCT(BE187:BE$605,$I186:$I$604)+SUMPRODUCT(BF187:BF$605,$I187:$I$605)) / $I186</f>
        <v>-125.53878553430395</v>
      </c>
      <c r="BJ186" s="46">
        <f t="shared" si="150"/>
        <v>-2.08609540361208</v>
      </c>
      <c r="BK186" s="46">
        <f t="shared" si="151"/>
        <v>-85.394561078420622</v>
      </c>
      <c r="BM186" s="49">
        <f t="shared" si="117"/>
        <v>2055.5792061992356</v>
      </c>
      <c r="BN186" s="50">
        <f t="shared" si="152"/>
        <v>1573.0830512212619</v>
      </c>
      <c r="BP186" s="68">
        <f>INDEX(Others!$H$11:$I$60, MATCH(C186, Others!$A$11:$A$60, 0), MATCH(BP$3, Others!$H$10:$I$10, 0))</f>
        <v>3.0518181818181833E-2</v>
      </c>
      <c r="BQ186" s="16">
        <f t="shared" si="153"/>
        <v>2.5082875760633616E-3</v>
      </c>
      <c r="BR186" s="69">
        <f t="shared" si="154"/>
        <v>0.63539424721337678</v>
      </c>
      <c r="BT186" s="46">
        <f t="shared" si="155"/>
        <v>1607.7090272771297</v>
      </c>
      <c r="BU186" s="49">
        <f t="shared" si="118"/>
        <v>45.24645810628796</v>
      </c>
      <c r="BV186" s="46">
        <f t="shared" si="156"/>
        <v>34.625976055867795</v>
      </c>
      <c r="BX186" s="46">
        <f t="shared" si="157"/>
        <v>2100.8256643055238</v>
      </c>
    </row>
    <row r="187" spans="1:76" x14ac:dyDescent="0.25">
      <c r="A187" s="61">
        <f t="shared" si="107"/>
        <v>15.166666666666705</v>
      </c>
      <c r="B187" s="32">
        <f t="shared" si="119"/>
        <v>2</v>
      </c>
      <c r="C187" s="62">
        <f t="shared" si="120"/>
        <v>16</v>
      </c>
      <c r="D187" s="64">
        <f t="shared" si="121"/>
        <v>15.666666666666705</v>
      </c>
      <c r="E187" s="28">
        <f t="shared" si="122"/>
        <v>15</v>
      </c>
      <c r="G187" s="68">
        <f>INDEX(Others!$D$11:$E$60, MATCH(C187, Others!$A$11:$A$60, 0), MATCH(G$3, Others!$D$10:$E$10, 0))</f>
        <v>4.0690909090909111E-2</v>
      </c>
      <c r="H187" s="16">
        <f t="shared" si="123"/>
        <v>3.329265421250005E-3</v>
      </c>
      <c r="I187" s="69">
        <f t="shared" si="124"/>
        <v>0.54611817166214782</v>
      </c>
      <c r="K187" s="80">
        <f>INDEX(Mortality!$B$7:$F$32, MATCH( E187,Mortality!$A$7:$A$32, 0), MATCH( K$3,Mortality!$B$6:$F$6,0))</f>
        <v>0.38499999999999995</v>
      </c>
      <c r="L187" s="11" cm="1">
        <f t="array" ref="L187">PAD_Res_Mort</f>
        <v>0.15</v>
      </c>
      <c r="M187" s="80">
        <f t="shared" si="125"/>
        <v>0.44274999999999992</v>
      </c>
      <c r="N187" s="76">
        <f>INDEX('Myopia_(Reserve)'!$H:$H, MATCH(E187, 'Myopia_(Reserve)'!$A:$A, 0)) * Trend_Factor_Reserve^(A187)</f>
        <v>21.7814227944273</v>
      </c>
      <c r="O187" s="11">
        <f t="shared" si="108"/>
        <v>0.3</v>
      </c>
      <c r="P187" s="80">
        <f t="shared" si="126"/>
        <v>28.315849632755491</v>
      </c>
      <c r="Q187" s="76">
        <f>VLOOKUP(C187,Others!$L$10:$M$61,2)</f>
        <v>0</v>
      </c>
      <c r="R187" s="11">
        <f t="shared" si="109"/>
        <v>0</v>
      </c>
      <c r="S187" s="80">
        <f t="shared" si="127"/>
        <v>0</v>
      </c>
      <c r="T187" s="78">
        <f t="shared" si="128"/>
        <v>3.6895833333333327E-5</v>
      </c>
      <c r="U187" s="81">
        <f t="shared" si="129"/>
        <v>2.3596541360629574E-3</v>
      </c>
      <c r="V187" s="81">
        <f t="shared" si="130"/>
        <v>0</v>
      </c>
      <c r="W187" s="77">
        <f t="shared" si="110"/>
        <v>0.76527484150313585</v>
      </c>
      <c r="X187" s="82">
        <f t="shared" si="131"/>
        <v>2.8202140054557824E-5</v>
      </c>
      <c r="Y187" s="82">
        <f t="shared" si="132"/>
        <v>1.8057506320260637E-3</v>
      </c>
      <c r="Z187" s="82">
        <f t="shared" si="133"/>
        <v>0</v>
      </c>
      <c r="AA187" s="82">
        <f t="shared" si="134"/>
        <v>0.7634408887310552</v>
      </c>
      <c r="AC187" s="46">
        <f t="shared" si="111"/>
        <v>0</v>
      </c>
      <c r="AD187" s="15">
        <f t="shared" si="135"/>
        <v>0</v>
      </c>
      <c r="AE187" s="46">
        <f t="shared" si="136"/>
        <v>0</v>
      </c>
      <c r="AF187" s="15">
        <f t="shared" si="137"/>
        <v>0</v>
      </c>
      <c r="AG187" s="46">
        <f>SUMPRODUCT(AE188:AE$605, $I187:$I$604) / $I187</f>
        <v>0</v>
      </c>
      <c r="AI187" s="46">
        <f t="shared" si="112"/>
        <v>-47000</v>
      </c>
      <c r="AJ187" s="46">
        <f>IF(E187&gt;Mat_Year,0,  -SUM($AD$5:AD187))</f>
        <v>-9306</v>
      </c>
      <c r="AK187" s="24">
        <f t="shared" si="138"/>
        <v>-0.26244911534771509</v>
      </c>
      <c r="AL187" s="79">
        <f t="shared" si="139"/>
        <v>-84.870279705224988</v>
      </c>
      <c r="AM187" s="24">
        <f t="shared" si="140"/>
        <v>-111.24464598020352</v>
      </c>
      <c r="AN187" s="79">
        <f t="shared" si="141"/>
        <v>-85.132728820572709</v>
      </c>
      <c r="AO187" s="15">
        <f t="shared" si="142"/>
        <v>-1786.587931272353</v>
      </c>
      <c r="AP187" s="46">
        <f>SUMPRODUCT(AN188:AN$605, $I188:$I$605) / $I187</f>
        <v>-1367.2307959358652</v>
      </c>
      <c r="AR187" s="46">
        <v>0</v>
      </c>
      <c r="AS187" s="46">
        <v>0</v>
      </c>
      <c r="AT187" s="46">
        <v>0</v>
      </c>
      <c r="AU187" s="95">
        <f t="shared" si="113"/>
        <v>-2.4769810220622936</v>
      </c>
      <c r="AV187" s="47">
        <f t="shared" si="114"/>
        <v>0.1</v>
      </c>
      <c r="AW187" s="96">
        <f t="shared" si="143"/>
        <v>-2.7246791242685231</v>
      </c>
      <c r="AX187" s="95">
        <f t="shared" si="115"/>
        <v>-28.402715719647631</v>
      </c>
      <c r="AY187" s="11">
        <f t="shared" si="116"/>
        <v>0.1</v>
      </c>
      <c r="AZ187" s="96">
        <f t="shared" si="144"/>
        <v>-31.242987291612398</v>
      </c>
      <c r="BA187" s="95">
        <f t="shared" si="145"/>
        <v>-2.085128384971497</v>
      </c>
      <c r="BB187" s="64">
        <f t="shared" si="146"/>
        <v>-5.7298163151532182E-2</v>
      </c>
      <c r="BC187" s="95">
        <f t="shared" si="158"/>
        <v>-2.7246791242685231</v>
      </c>
      <c r="BD187" s="96">
        <f t="shared" si="158"/>
        <v>-7.4872660179169617E-2</v>
      </c>
      <c r="BE187" s="96">
        <f t="shared" si="147"/>
        <v>-2.085128384971497</v>
      </c>
      <c r="BF187" s="96">
        <f t="shared" si="148"/>
        <v>-5.7298163151532182E-2</v>
      </c>
      <c r="BG187" s="15">
        <f t="shared" si="149"/>
        <v>-161.78157475407835</v>
      </c>
      <c r="BH187" s="46">
        <f>(SUMPRODUCT(BE188:BE$605,$I187:$I$604)+SUMPRODUCT(BF188:BF$605,$I188:$I$605)) / $I187</f>
        <v>-123.80736897805504</v>
      </c>
      <c r="BJ187" s="46">
        <f t="shared" si="150"/>
        <v>-2.085128384971497</v>
      </c>
      <c r="BK187" s="46">
        <f t="shared" si="151"/>
        <v>-85.190026983724238</v>
      </c>
      <c r="BM187" s="49">
        <f t="shared" si="117"/>
        <v>1953.0499177116822</v>
      </c>
      <c r="BN187" s="50">
        <f t="shared" si="152"/>
        <v>1491.0381649139208</v>
      </c>
      <c r="BP187" s="68">
        <f>INDEX(Others!$H$11:$I$60, MATCH(C187, Others!$A$11:$A$60, 0), MATCH(BP$3, Others!$H$10:$I$10, 0))</f>
        <v>3.0518181818181833E-2</v>
      </c>
      <c r="BQ187" s="16">
        <f t="shared" si="153"/>
        <v>2.5082875760633616E-3</v>
      </c>
      <c r="BR187" s="69">
        <f t="shared" si="154"/>
        <v>0.63380448330225647</v>
      </c>
      <c r="BT187" s="46">
        <f t="shared" si="155"/>
        <v>1524.4612383858557</v>
      </c>
      <c r="BU187" s="49">
        <f t="shared" si="118"/>
        <v>43.779517137847705</v>
      </c>
      <c r="BV187" s="46">
        <f t="shared" si="156"/>
        <v>33.423073471934913</v>
      </c>
      <c r="BX187" s="46">
        <f t="shared" si="157"/>
        <v>1996.8294348495299</v>
      </c>
    </row>
    <row r="188" spans="1:76" x14ac:dyDescent="0.25">
      <c r="A188" s="61">
        <f t="shared" si="107"/>
        <v>15.250000000000039</v>
      </c>
      <c r="B188" s="32">
        <f t="shared" si="119"/>
        <v>3</v>
      </c>
      <c r="C188" s="62">
        <f t="shared" si="120"/>
        <v>16</v>
      </c>
      <c r="D188" s="64">
        <f t="shared" si="121"/>
        <v>15.750000000000039</v>
      </c>
      <c r="E188" s="28">
        <f t="shared" si="122"/>
        <v>15</v>
      </c>
      <c r="G188" s="68">
        <f>INDEX(Others!$D$11:$E$60, MATCH(C188, Others!$A$11:$A$60, 0), MATCH(G$3, Others!$D$10:$E$10, 0))</f>
        <v>4.0690909090909111E-2</v>
      </c>
      <c r="H188" s="16">
        <f t="shared" si="123"/>
        <v>3.329265421250005E-3</v>
      </c>
      <c r="I188" s="69">
        <f t="shared" si="124"/>
        <v>0.54430603240986786</v>
      </c>
      <c r="K188" s="80">
        <f>INDEX(Mortality!$B$7:$F$32, MATCH( E188,Mortality!$A$7:$A$32, 0), MATCH( K$3,Mortality!$B$6:$F$6,0))</f>
        <v>0.38499999999999995</v>
      </c>
      <c r="L188" s="11" cm="1">
        <f t="array" ref="L188">PAD_Res_Mort</f>
        <v>0.15</v>
      </c>
      <c r="M188" s="80">
        <f t="shared" si="125"/>
        <v>0.44274999999999992</v>
      </c>
      <c r="N188" s="76">
        <f>INDEX('Myopia_(Reserve)'!$H:$H, MATCH(E188, 'Myopia_(Reserve)'!$A:$A, 0)) * Trend_Factor_Reserve^(A188)</f>
        <v>21.7814227944273</v>
      </c>
      <c r="O188" s="11">
        <f t="shared" si="108"/>
        <v>0.3</v>
      </c>
      <c r="P188" s="80">
        <f t="shared" si="126"/>
        <v>28.315849632755491</v>
      </c>
      <c r="Q188" s="76">
        <f>VLOOKUP(C188,Others!$L$10:$M$61,2)</f>
        <v>0</v>
      </c>
      <c r="R188" s="11">
        <f t="shared" si="109"/>
        <v>0</v>
      </c>
      <c r="S188" s="80">
        <f t="shared" si="127"/>
        <v>0</v>
      </c>
      <c r="T188" s="78">
        <f t="shared" si="128"/>
        <v>3.6895833333333327E-5</v>
      </c>
      <c r="U188" s="81">
        <f t="shared" si="129"/>
        <v>2.3596541360629574E-3</v>
      </c>
      <c r="V188" s="81">
        <f t="shared" si="130"/>
        <v>0</v>
      </c>
      <c r="W188" s="77">
        <f t="shared" si="110"/>
        <v>0.7634408887310552</v>
      </c>
      <c r="X188" s="82">
        <f t="shared" si="131"/>
        <v>2.8134554671991123E-5</v>
      </c>
      <c r="Y188" s="82">
        <f t="shared" si="132"/>
        <v>1.8014232176153328E-3</v>
      </c>
      <c r="Z188" s="82">
        <f t="shared" si="133"/>
        <v>0</v>
      </c>
      <c r="AA188" s="82">
        <f t="shared" si="134"/>
        <v>0.76161133095876787</v>
      </c>
      <c r="AC188" s="46">
        <f t="shared" si="111"/>
        <v>0</v>
      </c>
      <c r="AD188" s="15">
        <f t="shared" si="135"/>
        <v>0</v>
      </c>
      <c r="AE188" s="46">
        <f t="shared" si="136"/>
        <v>0</v>
      </c>
      <c r="AF188" s="15">
        <f t="shared" si="137"/>
        <v>0</v>
      </c>
      <c r="AG188" s="46">
        <f>SUMPRODUCT(AE189:AE$605, $I188:$I$604) / $I188</f>
        <v>0</v>
      </c>
      <c r="AI188" s="46">
        <f t="shared" si="112"/>
        <v>-47000</v>
      </c>
      <c r="AJ188" s="46">
        <f>IF(E188&gt;Mat_Year,0,  -SUM($AD$5:AD188))</f>
        <v>-9306</v>
      </c>
      <c r="AK188" s="24">
        <f t="shared" si="138"/>
        <v>-0.26182016577754941</v>
      </c>
      <c r="AL188" s="79">
        <f t="shared" si="139"/>
        <v>-84.666891227920644</v>
      </c>
      <c r="AM188" s="24">
        <f t="shared" si="140"/>
        <v>-111.24464598020353</v>
      </c>
      <c r="AN188" s="79">
        <f t="shared" si="141"/>
        <v>-84.928711393698194</v>
      </c>
      <c r="AO188" s="15">
        <f t="shared" si="142"/>
        <v>-1685.5973759708813</v>
      </c>
      <c r="AP188" s="46">
        <f>SUMPRODUCT(AN189:AN$605, $I189:$I$605) / $I188</f>
        <v>-1286.8539587539442</v>
      </c>
      <c r="AR188" s="46">
        <v>0</v>
      </c>
      <c r="AS188" s="46">
        <v>0</v>
      </c>
      <c r="AT188" s="46">
        <v>0</v>
      </c>
      <c r="AU188" s="95">
        <f t="shared" si="113"/>
        <v>-2.4817803011225297</v>
      </c>
      <c r="AV188" s="47">
        <f t="shared" si="114"/>
        <v>0.1</v>
      </c>
      <c r="AW188" s="96">
        <f t="shared" si="143"/>
        <v>-2.729958331234783</v>
      </c>
      <c r="AX188" s="95">
        <f t="shared" si="115"/>
        <v>-28.457747452871672</v>
      </c>
      <c r="AY188" s="11">
        <f t="shared" si="116"/>
        <v>0.1</v>
      </c>
      <c r="AZ188" s="96">
        <f t="shared" si="144"/>
        <v>-31.303522198158841</v>
      </c>
      <c r="BA188" s="95">
        <f t="shared" si="145"/>
        <v>-2.084161814596631</v>
      </c>
      <c r="BB188" s="64">
        <f t="shared" si="146"/>
        <v>-5.7271602337610278E-2</v>
      </c>
      <c r="BC188" s="95">
        <f t="shared" si="158"/>
        <v>-2.729958331234783</v>
      </c>
      <c r="BD188" s="96">
        <f t="shared" si="158"/>
        <v>-7.501772983734685E-2</v>
      </c>
      <c r="BE188" s="96">
        <f t="shared" si="147"/>
        <v>-2.084161814596631</v>
      </c>
      <c r="BF188" s="96">
        <f t="shared" si="148"/>
        <v>-5.7271602337610278E-2</v>
      </c>
      <c r="BG188" s="15">
        <f t="shared" si="149"/>
        <v>-159.89605250066319</v>
      </c>
      <c r="BH188" s="46">
        <f>(SUMPRODUCT(BE189:BE$605,$I188:$I$604)+SUMPRODUCT(BF189:BF$605,$I189:$I$605)) / $I188</f>
        <v>-122.07118442569376</v>
      </c>
      <c r="BJ188" s="46">
        <f t="shared" si="150"/>
        <v>-2.084161814596631</v>
      </c>
      <c r="BK188" s="46">
        <f t="shared" si="151"/>
        <v>-84.985982996035801</v>
      </c>
      <c r="BM188" s="49">
        <f t="shared" si="117"/>
        <v>1849.9267092126747</v>
      </c>
      <c r="BN188" s="50">
        <f t="shared" si="152"/>
        <v>1408.9251431796388</v>
      </c>
      <c r="BP188" s="68">
        <f>INDEX(Others!$H$11:$I$60, MATCH(C188, Others!$A$11:$A$60, 0), MATCH(BP$3, Others!$H$10:$I$10, 0))</f>
        <v>3.0518181818181833E-2</v>
      </c>
      <c r="BQ188" s="16">
        <f t="shared" si="153"/>
        <v>2.5082875760633616E-3</v>
      </c>
      <c r="BR188" s="69">
        <f t="shared" si="154"/>
        <v>0.6322186969992184</v>
      </c>
      <c r="BT188" s="46">
        <f t="shared" si="155"/>
        <v>1441.2096530824706</v>
      </c>
      <c r="BU188" s="49">
        <f t="shared" si="118"/>
        <v>42.389744730018514</v>
      </c>
      <c r="BV188" s="46">
        <f t="shared" si="156"/>
        <v>32.284509902831815</v>
      </c>
      <c r="BX188" s="46">
        <f t="shared" si="157"/>
        <v>1892.3164539426932</v>
      </c>
    </row>
    <row r="189" spans="1:76" x14ac:dyDescent="0.25">
      <c r="A189" s="61">
        <f t="shared" si="107"/>
        <v>15.333333333333373</v>
      </c>
      <c r="B189" s="32">
        <f t="shared" si="119"/>
        <v>4</v>
      </c>
      <c r="C189" s="62">
        <f t="shared" si="120"/>
        <v>16</v>
      </c>
      <c r="D189" s="64">
        <f t="shared" si="121"/>
        <v>15.833333333333373</v>
      </c>
      <c r="E189" s="28">
        <f t="shared" si="122"/>
        <v>15</v>
      </c>
      <c r="G189" s="68">
        <f>INDEX(Others!$D$11:$E$60, MATCH(C189, Others!$A$11:$A$60, 0), MATCH(G$3, Others!$D$10:$E$10, 0))</f>
        <v>4.0690909090909111E-2</v>
      </c>
      <c r="H189" s="16">
        <f t="shared" si="123"/>
        <v>3.329265421250005E-3</v>
      </c>
      <c r="I189" s="69">
        <f t="shared" si="124"/>
        <v>0.54249990623102151</v>
      </c>
      <c r="K189" s="80">
        <f>INDEX(Mortality!$B$7:$F$32, MATCH( E189,Mortality!$A$7:$A$32, 0), MATCH( K$3,Mortality!$B$6:$F$6,0))</f>
        <v>0.38499999999999995</v>
      </c>
      <c r="L189" s="11" cm="1">
        <f t="array" ref="L189">PAD_Res_Mort</f>
        <v>0.15</v>
      </c>
      <c r="M189" s="80">
        <f t="shared" si="125"/>
        <v>0.44274999999999992</v>
      </c>
      <c r="N189" s="76">
        <f>INDEX('Myopia_(Reserve)'!$H:$H, MATCH(E189, 'Myopia_(Reserve)'!$A:$A, 0)) * Trend_Factor_Reserve^(A189)</f>
        <v>21.7814227944273</v>
      </c>
      <c r="O189" s="11">
        <f t="shared" si="108"/>
        <v>0.3</v>
      </c>
      <c r="P189" s="80">
        <f t="shared" si="126"/>
        <v>28.315849632755491</v>
      </c>
      <c r="Q189" s="76">
        <f>VLOOKUP(C189,Others!$L$10:$M$61,2)</f>
        <v>0</v>
      </c>
      <c r="R189" s="11">
        <f t="shared" si="109"/>
        <v>0</v>
      </c>
      <c r="S189" s="80">
        <f t="shared" si="127"/>
        <v>0</v>
      </c>
      <c r="T189" s="78">
        <f t="shared" si="128"/>
        <v>3.6895833333333327E-5</v>
      </c>
      <c r="U189" s="81">
        <f t="shared" si="129"/>
        <v>2.3596541360629574E-3</v>
      </c>
      <c r="V189" s="81">
        <f t="shared" si="130"/>
        <v>0</v>
      </c>
      <c r="W189" s="77">
        <f t="shared" si="110"/>
        <v>0.76161133095876787</v>
      </c>
      <c r="X189" s="82">
        <f t="shared" si="131"/>
        <v>2.8067131255286859E-5</v>
      </c>
      <c r="Y189" s="82">
        <f t="shared" si="132"/>
        <v>1.7971061736927244E-3</v>
      </c>
      <c r="Z189" s="82">
        <f t="shared" si="133"/>
        <v>0</v>
      </c>
      <c r="AA189" s="82">
        <f t="shared" si="134"/>
        <v>0.75978615765381985</v>
      </c>
      <c r="AC189" s="46">
        <f t="shared" si="111"/>
        <v>0</v>
      </c>
      <c r="AD189" s="15">
        <f t="shared" si="135"/>
        <v>0</v>
      </c>
      <c r="AE189" s="46">
        <f t="shared" si="136"/>
        <v>0</v>
      </c>
      <c r="AF189" s="15">
        <f t="shared" si="137"/>
        <v>0</v>
      </c>
      <c r="AG189" s="46">
        <f>SUMPRODUCT(AE190:AE$605, $I189:$I$604) / $I189</f>
        <v>0</v>
      </c>
      <c r="AI189" s="46">
        <f t="shared" si="112"/>
        <v>-47000</v>
      </c>
      <c r="AJ189" s="46">
        <f>IF(E189&gt;Mat_Year,0,  -SUM($AD$5:AD189))</f>
        <v>-9306</v>
      </c>
      <c r="AK189" s="24">
        <f t="shared" si="138"/>
        <v>-0.26119272346169953</v>
      </c>
      <c r="AL189" s="79">
        <f t="shared" si="139"/>
        <v>-84.463990163558051</v>
      </c>
      <c r="AM189" s="24">
        <f t="shared" si="140"/>
        <v>-111.24464598020353</v>
      </c>
      <c r="AN189" s="79">
        <f t="shared" si="141"/>
        <v>-84.725182887019756</v>
      </c>
      <c r="AO189" s="15">
        <f t="shared" si="142"/>
        <v>-1584.0271871156231</v>
      </c>
      <c r="AP189" s="46">
        <f>SUMPRODUCT(AN190:AN$605, $I190:$I$605) / $I189</f>
        <v>-1206.4130542540029</v>
      </c>
      <c r="AR189" s="46">
        <v>0</v>
      </c>
      <c r="AS189" s="46">
        <v>0</v>
      </c>
      <c r="AT189" s="46">
        <v>0</v>
      </c>
      <c r="AU189" s="95">
        <f t="shared" si="113"/>
        <v>-2.4865888790345911</v>
      </c>
      <c r="AV189" s="47">
        <f t="shared" si="114"/>
        <v>0.1</v>
      </c>
      <c r="AW189" s="96">
        <f t="shared" si="143"/>
        <v>-2.7352477669380506</v>
      </c>
      <c r="AX189" s="95">
        <f t="shared" si="115"/>
        <v>-28.512885812929973</v>
      </c>
      <c r="AY189" s="11">
        <f t="shared" si="116"/>
        <v>0.1</v>
      </c>
      <c r="AZ189" s="96">
        <f t="shared" si="144"/>
        <v>-31.364174394222974</v>
      </c>
      <c r="BA189" s="95">
        <f t="shared" si="145"/>
        <v>-2.0831956922796864</v>
      </c>
      <c r="BB189" s="64">
        <f t="shared" si="146"/>
        <v>-5.7245053836069738E-2</v>
      </c>
      <c r="BC189" s="95">
        <f t="shared" si="158"/>
        <v>-2.7352477669380506</v>
      </c>
      <c r="BD189" s="96">
        <f t="shared" si="158"/>
        <v>-7.5163080575502722E-2</v>
      </c>
      <c r="BE189" s="96">
        <f t="shared" si="147"/>
        <v>-2.0831956922796864</v>
      </c>
      <c r="BF189" s="96">
        <f t="shared" si="148"/>
        <v>-5.7245053836069738E-2</v>
      </c>
      <c r="BG189" s="15">
        <f t="shared" si="149"/>
        <v>-157.99425592835348</v>
      </c>
      <c r="BH189" s="46">
        <f>(SUMPRODUCT(BE190:BE$605,$I189:$I$604)+SUMPRODUCT(BF190:BF$605,$I190:$I$605)) / $I189</f>
        <v>-120.33021554143349</v>
      </c>
      <c r="BJ189" s="46">
        <f t="shared" si="150"/>
        <v>-2.0831956922796864</v>
      </c>
      <c r="BK189" s="46">
        <f t="shared" si="151"/>
        <v>-84.782427940855825</v>
      </c>
      <c r="BM189" s="49">
        <f t="shared" si="117"/>
        <v>1746.2061613393314</v>
      </c>
      <c r="BN189" s="50">
        <f t="shared" si="152"/>
        <v>1326.7432697954368</v>
      </c>
      <c r="BP189" s="68">
        <f>INDEX(Others!$H$11:$I$60, MATCH(C189, Others!$A$11:$A$60, 0), MATCH(BP$3, Others!$H$10:$I$10, 0))</f>
        <v>3.0518181818181833E-2</v>
      </c>
      <c r="BQ189" s="16">
        <f t="shared" si="153"/>
        <v>2.5082875760633616E-3</v>
      </c>
      <c r="BR189" s="69">
        <f t="shared" si="154"/>
        <v>0.63063687835224014</v>
      </c>
      <c r="BT189" s="46">
        <f t="shared" si="155"/>
        <v>1357.953772462791</v>
      </c>
      <c r="BU189" s="49">
        <f t="shared" si="118"/>
        <v>41.078009059457678</v>
      </c>
      <c r="BV189" s="46">
        <f t="shared" si="156"/>
        <v>31.210502667354149</v>
      </c>
      <c r="BX189" s="46">
        <f t="shared" si="157"/>
        <v>1787.284170398789</v>
      </c>
    </row>
    <row r="190" spans="1:76" x14ac:dyDescent="0.25">
      <c r="A190" s="61">
        <f t="shared" si="107"/>
        <v>15.416666666666707</v>
      </c>
      <c r="B190" s="32">
        <f t="shared" si="119"/>
        <v>5</v>
      </c>
      <c r="C190" s="62">
        <f t="shared" si="120"/>
        <v>16</v>
      </c>
      <c r="D190" s="64">
        <f t="shared" si="121"/>
        <v>15.916666666666707</v>
      </c>
      <c r="E190" s="28">
        <f t="shared" si="122"/>
        <v>15</v>
      </c>
      <c r="G190" s="68">
        <f>INDEX(Others!$D$11:$E$60, MATCH(C190, Others!$A$11:$A$60, 0), MATCH(G$3, Others!$D$10:$E$10, 0))</f>
        <v>4.0690909090909111E-2</v>
      </c>
      <c r="H190" s="16">
        <f t="shared" si="123"/>
        <v>3.329265421250005E-3</v>
      </c>
      <c r="I190" s="69">
        <f t="shared" si="124"/>
        <v>0.54069977317291917</v>
      </c>
      <c r="K190" s="80">
        <f>INDEX(Mortality!$B$7:$F$32, MATCH( E190,Mortality!$A$7:$A$32, 0), MATCH( K$3,Mortality!$B$6:$F$6,0))</f>
        <v>0.38499999999999995</v>
      </c>
      <c r="L190" s="11" cm="1">
        <f t="array" ref="L190">PAD_Res_Mort</f>
        <v>0.15</v>
      </c>
      <c r="M190" s="80">
        <f t="shared" si="125"/>
        <v>0.44274999999999992</v>
      </c>
      <c r="N190" s="76">
        <f>INDEX('Myopia_(Reserve)'!$H:$H, MATCH(E190, 'Myopia_(Reserve)'!$A:$A, 0)) * Trend_Factor_Reserve^(A190)</f>
        <v>21.7814227944273</v>
      </c>
      <c r="O190" s="11">
        <f t="shared" si="108"/>
        <v>0.3</v>
      </c>
      <c r="P190" s="80">
        <f t="shared" si="126"/>
        <v>28.315849632755491</v>
      </c>
      <c r="Q190" s="76">
        <f>VLOOKUP(C190,Others!$L$10:$M$61,2)</f>
        <v>0</v>
      </c>
      <c r="R190" s="11">
        <f t="shared" si="109"/>
        <v>0</v>
      </c>
      <c r="S190" s="80">
        <f t="shared" si="127"/>
        <v>0</v>
      </c>
      <c r="T190" s="78">
        <f t="shared" si="128"/>
        <v>3.6895833333333327E-5</v>
      </c>
      <c r="U190" s="81">
        <f t="shared" si="129"/>
        <v>2.3596541360629574E-3</v>
      </c>
      <c r="V190" s="81">
        <f t="shared" si="130"/>
        <v>0</v>
      </c>
      <c r="W190" s="77">
        <f t="shared" si="110"/>
        <v>0.75978615765381985</v>
      </c>
      <c r="X190" s="82">
        <f t="shared" si="131"/>
        <v>2.7999869416299863E-5</v>
      </c>
      <c r="Y190" s="82">
        <f t="shared" si="132"/>
        <v>1.7927994754057489E-3</v>
      </c>
      <c r="Z190" s="82">
        <f t="shared" si="133"/>
        <v>0</v>
      </c>
      <c r="AA190" s="82">
        <f t="shared" si="134"/>
        <v>0.75796535830899781</v>
      </c>
      <c r="AC190" s="46">
        <f t="shared" si="111"/>
        <v>0</v>
      </c>
      <c r="AD190" s="15">
        <f t="shared" si="135"/>
        <v>0</v>
      </c>
      <c r="AE190" s="46">
        <f t="shared" si="136"/>
        <v>0</v>
      </c>
      <c r="AF190" s="15">
        <f t="shared" si="137"/>
        <v>0</v>
      </c>
      <c r="AG190" s="46">
        <f>SUMPRODUCT(AE191:AE$605, $I190:$I$604) / $I190</f>
        <v>0</v>
      </c>
      <c r="AI190" s="46">
        <f t="shared" si="112"/>
        <v>-47000</v>
      </c>
      <c r="AJ190" s="46">
        <f>IF(E190&gt;Mat_Year,0,  -SUM($AD$5:AD190))</f>
        <v>-9306</v>
      </c>
      <c r="AK190" s="24">
        <f t="shared" si="138"/>
        <v>-0.26056678478808654</v>
      </c>
      <c r="AL190" s="79">
        <f t="shared" si="139"/>
        <v>-84.261575344070195</v>
      </c>
      <c r="AM190" s="24">
        <f t="shared" si="140"/>
        <v>-111.2446459802035</v>
      </c>
      <c r="AN190" s="79">
        <f t="shared" si="141"/>
        <v>-84.522142128858277</v>
      </c>
      <c r="AO190" s="15">
        <f t="shared" si="142"/>
        <v>-1481.8740379097728</v>
      </c>
      <c r="AP190" s="46">
        <f>SUMPRODUCT(AN191:AN$605, $I191:$I$605) / $I190</f>
        <v>-1125.9073813904172</v>
      </c>
      <c r="AR190" s="46">
        <v>0</v>
      </c>
      <c r="AS190" s="46">
        <v>0</v>
      </c>
      <c r="AT190" s="46">
        <v>0</v>
      </c>
      <c r="AU190" s="95">
        <f t="shared" si="113"/>
        <v>-2.491406773815485</v>
      </c>
      <c r="AV190" s="47">
        <f t="shared" si="114"/>
        <v>0.1</v>
      </c>
      <c r="AW190" s="96">
        <f t="shared" si="143"/>
        <v>-2.7405474511970338</v>
      </c>
      <c r="AX190" s="95">
        <f t="shared" si="115"/>
        <v>-28.568131006417559</v>
      </c>
      <c r="AY190" s="11">
        <f t="shared" si="116"/>
        <v>0.1</v>
      </c>
      <c r="AZ190" s="96">
        <f t="shared" si="144"/>
        <v>-31.424944107059318</v>
      </c>
      <c r="BA190" s="95">
        <f t="shared" si="145"/>
        <v>-2.0822300178129636</v>
      </c>
      <c r="BB190" s="64">
        <f t="shared" si="146"/>
        <v>-5.7218517641203108E-2</v>
      </c>
      <c r="BC190" s="95">
        <f t="shared" si="158"/>
        <v>-2.7405474511970338</v>
      </c>
      <c r="BD190" s="96">
        <f t="shared" si="158"/>
        <v>-7.5308712938244246E-2</v>
      </c>
      <c r="BE190" s="96">
        <f t="shared" si="147"/>
        <v>-2.0822300178129636</v>
      </c>
      <c r="BF190" s="96">
        <f t="shared" si="148"/>
        <v>-5.7218517641203108E-2</v>
      </c>
      <c r="BG190" s="15">
        <f t="shared" si="149"/>
        <v>-156.07608106667564</v>
      </c>
      <c r="BH190" s="46">
        <f>(SUMPRODUCT(BE191:BE$605,$I190:$I$604)+SUMPRODUCT(BF191:BF$605,$I191:$I$605)) / $I190</f>
        <v>-118.58444593531559</v>
      </c>
      <c r="BJ190" s="46">
        <f t="shared" si="150"/>
        <v>-2.0822300178129636</v>
      </c>
      <c r="BK190" s="46">
        <f t="shared" si="151"/>
        <v>-84.579360646499481</v>
      </c>
      <c r="BM190" s="49">
        <f t="shared" si="117"/>
        <v>1641.8848350829171</v>
      </c>
      <c r="BN190" s="50">
        <f t="shared" si="152"/>
        <v>1244.4918273257331</v>
      </c>
      <c r="BP190" s="68">
        <f>INDEX(Others!$H$11:$I$60, MATCH(C190, Others!$A$11:$A$60, 0), MATCH(BP$3, Others!$H$10:$I$10, 0))</f>
        <v>3.0518181818181833E-2</v>
      </c>
      <c r="BQ190" s="16">
        <f t="shared" si="153"/>
        <v>2.5082875760633616E-3</v>
      </c>
      <c r="BR190" s="69">
        <f t="shared" si="154"/>
        <v>0.62905901743419934</v>
      </c>
      <c r="BT190" s="46">
        <f t="shared" si="155"/>
        <v>1274.693097543131</v>
      </c>
      <c r="BU190" s="49">
        <f t="shared" si="118"/>
        <v>39.845185385221562</v>
      </c>
      <c r="BV190" s="46">
        <f t="shared" si="156"/>
        <v>30.201270217397905</v>
      </c>
      <c r="BX190" s="46">
        <f t="shared" si="157"/>
        <v>1681.7300204681387</v>
      </c>
    </row>
    <row r="191" spans="1:76" x14ac:dyDescent="0.25">
      <c r="A191" s="61">
        <f t="shared" si="107"/>
        <v>15.500000000000041</v>
      </c>
      <c r="B191" s="32">
        <f t="shared" si="119"/>
        <v>6</v>
      </c>
      <c r="C191" s="62">
        <f t="shared" si="120"/>
        <v>16</v>
      </c>
      <c r="D191" s="64">
        <f t="shared" si="121"/>
        <v>16.000000000000043</v>
      </c>
      <c r="E191" s="28">
        <f t="shared" si="122"/>
        <v>16</v>
      </c>
      <c r="G191" s="68">
        <f>INDEX(Others!$D$11:$E$60, MATCH(C191, Others!$A$11:$A$60, 0), MATCH(G$3, Others!$D$10:$E$10, 0))</f>
        <v>4.0690909090909111E-2</v>
      </c>
      <c r="H191" s="16">
        <f t="shared" si="123"/>
        <v>3.329265421250005E-3</v>
      </c>
      <c r="I191" s="69">
        <f t="shared" si="124"/>
        <v>0.5389056133490786</v>
      </c>
      <c r="K191" s="80">
        <f>INDEX(Mortality!$B$7:$F$32, MATCH( E191,Mortality!$A$7:$A$32, 0), MATCH( K$3,Mortality!$B$6:$F$6,0))</f>
        <v>0.39200000000000002</v>
      </c>
      <c r="L191" s="11" cm="1">
        <f t="array" ref="L191">PAD_Res_Mort</f>
        <v>0.15</v>
      </c>
      <c r="M191" s="80">
        <f t="shared" si="125"/>
        <v>0.45079999999999998</v>
      </c>
      <c r="N191" s="76">
        <f>INDEX('Myopia_(Reserve)'!$H:$H, MATCH(E191, 'Myopia_(Reserve)'!$A:$A, 0)) * Trend_Factor_Reserve^(A191)</f>
        <v>5.4524147493872981</v>
      </c>
      <c r="O191" s="11">
        <f t="shared" si="108"/>
        <v>0.3</v>
      </c>
      <c r="P191" s="80">
        <f t="shared" si="126"/>
        <v>7.088139174203488</v>
      </c>
      <c r="Q191" s="76">
        <f>VLOOKUP(C191,Others!$L$10:$M$61,2)</f>
        <v>0</v>
      </c>
      <c r="R191" s="11">
        <f t="shared" si="109"/>
        <v>0</v>
      </c>
      <c r="S191" s="80">
        <f t="shared" si="127"/>
        <v>0</v>
      </c>
      <c r="T191" s="78">
        <f t="shared" si="128"/>
        <v>3.756666666666666E-5</v>
      </c>
      <c r="U191" s="81">
        <f t="shared" si="129"/>
        <v>5.9067826451695735E-4</v>
      </c>
      <c r="V191" s="81">
        <f t="shared" si="130"/>
        <v>0</v>
      </c>
      <c r="W191" s="77">
        <f t="shared" si="110"/>
        <v>0.75796535830899781</v>
      </c>
      <c r="X191" s="82">
        <f t="shared" si="131"/>
        <v>2.8465822405515747E-5</v>
      </c>
      <c r="Y191" s="82">
        <f t="shared" si="132"/>
        <v>4.4770525285497362E-4</v>
      </c>
      <c r="Z191" s="82">
        <f t="shared" si="133"/>
        <v>0</v>
      </c>
      <c r="AA191" s="82">
        <f t="shared" si="134"/>
        <v>0.75748918723373737</v>
      </c>
      <c r="AC191" s="46">
        <f t="shared" si="111"/>
        <v>0</v>
      </c>
      <c r="AD191" s="15">
        <f t="shared" si="135"/>
        <v>0</v>
      </c>
      <c r="AE191" s="46">
        <f t="shared" si="136"/>
        <v>0</v>
      </c>
      <c r="AF191" s="15">
        <f t="shared" si="137"/>
        <v>0</v>
      </c>
      <c r="AG191" s="46">
        <f>SUMPRODUCT(AE192:AE$605, $I191:$I$604) / $I191</f>
        <v>0</v>
      </c>
      <c r="AI191" s="46">
        <f t="shared" si="112"/>
        <v>-47000</v>
      </c>
      <c r="AJ191" s="46">
        <f>IF(E191&gt;Mat_Year,0,  -SUM($AD$5:AD191))</f>
        <v>-9306</v>
      </c>
      <c r="AK191" s="24">
        <f t="shared" si="138"/>
        <v>-0.26490294330572955</v>
      </c>
      <c r="AL191" s="79">
        <f t="shared" si="139"/>
        <v>-21.042146884183762</v>
      </c>
      <c r="AM191" s="24">
        <f t="shared" si="140"/>
        <v>-28.110849122478363</v>
      </c>
      <c r="AN191" s="79">
        <f t="shared" si="141"/>
        <v>-21.30704982748949</v>
      </c>
      <c r="AO191" s="15">
        <f t="shared" si="142"/>
        <v>-1462.2683793201577</v>
      </c>
      <c r="AP191" s="46">
        <f>SUMPRODUCT(AN192:AN$605, $I192:$I$605) / $I191</f>
        <v>-1108.3487760753208</v>
      </c>
      <c r="AR191" s="46">
        <v>0</v>
      </c>
      <c r="AS191" s="46">
        <v>0</v>
      </c>
      <c r="AT191" s="46">
        <v>0</v>
      </c>
      <c r="AU191" s="95">
        <f t="shared" si="113"/>
        <v>-2.4962340035171269</v>
      </c>
      <c r="AV191" s="47">
        <f t="shared" si="114"/>
        <v>0.1</v>
      </c>
      <c r="AW191" s="96">
        <f t="shared" si="143"/>
        <v>-2.7458574038688397</v>
      </c>
      <c r="AX191" s="95">
        <f t="shared" si="115"/>
        <v>-28.623483240329715</v>
      </c>
      <c r="AY191" s="11">
        <f t="shared" si="116"/>
        <v>0.1</v>
      </c>
      <c r="AZ191" s="96">
        <f t="shared" si="144"/>
        <v>-31.485831564362691</v>
      </c>
      <c r="BA191" s="95">
        <f t="shared" si="145"/>
        <v>-2.0812647909888597</v>
      </c>
      <c r="BB191" s="64">
        <f t="shared" si="146"/>
        <v>-1.4992642271473238E-2</v>
      </c>
      <c r="BC191" s="95">
        <f t="shared" si="158"/>
        <v>-2.7458574038688401</v>
      </c>
      <c r="BD191" s="96">
        <f t="shared" si="158"/>
        <v>-1.9780115419682841E-2</v>
      </c>
      <c r="BE191" s="96">
        <f t="shared" si="147"/>
        <v>-2.0812647909888597</v>
      </c>
      <c r="BF191" s="96">
        <f t="shared" si="148"/>
        <v>-1.4992642271473238E-2</v>
      </c>
      <c r="BG191" s="15">
        <f t="shared" si="149"/>
        <v>-154.19709784000196</v>
      </c>
      <c r="BH191" s="46">
        <f>(SUMPRODUCT(BE192:BE$605,$I191:$I$604)+SUMPRODUCT(BF192:BF$605,$I192:$I$605)) / $I191</f>
        <v>-116.87605851450468</v>
      </c>
      <c r="BJ191" s="46">
        <f t="shared" si="150"/>
        <v>-2.0812647909888597</v>
      </c>
      <c r="BK191" s="46">
        <f t="shared" si="151"/>
        <v>-21.322042469760962</v>
      </c>
      <c r="BM191" s="49">
        <f t="shared" si="117"/>
        <v>1617.4816158950136</v>
      </c>
      <c r="BN191" s="50">
        <f t="shared" si="152"/>
        <v>1225.2248345898261</v>
      </c>
      <c r="BP191" s="68">
        <f>INDEX(Others!$H$11:$I$60, MATCH(C191, Others!$A$11:$A$60, 0), MATCH(BP$3, Others!$H$10:$I$10, 0))</f>
        <v>3.0518181818181833E-2</v>
      </c>
      <c r="BQ191" s="16">
        <f t="shared" si="153"/>
        <v>2.5082875760633616E-3</v>
      </c>
      <c r="BR191" s="69">
        <f t="shared" si="154"/>
        <v>0.62748510434281146</v>
      </c>
      <c r="BT191" s="46">
        <f t="shared" si="155"/>
        <v>1254.4818667316247</v>
      </c>
      <c r="BU191" s="49">
        <f t="shared" si="118"/>
        <v>38.623696067057942</v>
      </c>
      <c r="BV191" s="46">
        <f t="shared" si="156"/>
        <v>29.257032141798618</v>
      </c>
      <c r="BX191" s="46">
        <f t="shared" si="157"/>
        <v>1656.1053119620715</v>
      </c>
    </row>
    <row r="192" spans="1:76" x14ac:dyDescent="0.25">
      <c r="A192" s="61">
        <f t="shared" si="107"/>
        <v>15.583333333333375</v>
      </c>
      <c r="B192" s="32">
        <f t="shared" si="119"/>
        <v>7</v>
      </c>
      <c r="C192" s="62">
        <f t="shared" si="120"/>
        <v>16</v>
      </c>
      <c r="D192" s="64">
        <f t="shared" si="121"/>
        <v>16.083333333333375</v>
      </c>
      <c r="E192" s="28">
        <f t="shared" si="122"/>
        <v>16</v>
      </c>
      <c r="G192" s="68">
        <f>INDEX(Others!$D$11:$E$60, MATCH(C192, Others!$A$11:$A$60, 0), MATCH(G$3, Others!$D$10:$E$10, 0))</f>
        <v>4.0690909090909111E-2</v>
      </c>
      <c r="H192" s="16">
        <f t="shared" si="123"/>
        <v>3.329265421250005E-3</v>
      </c>
      <c r="I192" s="69">
        <f t="shared" si="124"/>
        <v>0.53711740693900512</v>
      </c>
      <c r="K192" s="80">
        <f>INDEX(Mortality!$B$7:$F$32, MATCH( E192,Mortality!$A$7:$A$32, 0), MATCH( K$3,Mortality!$B$6:$F$6,0))</f>
        <v>0.39200000000000002</v>
      </c>
      <c r="L192" s="11" cm="1">
        <f t="array" ref="L192">PAD_Res_Mort</f>
        <v>0.15</v>
      </c>
      <c r="M192" s="80">
        <f t="shared" si="125"/>
        <v>0.45079999999999998</v>
      </c>
      <c r="N192" s="76">
        <f>INDEX('Myopia_(Reserve)'!$H:$H, MATCH(E192, 'Myopia_(Reserve)'!$A:$A, 0)) * Trend_Factor_Reserve^(A192)</f>
        <v>5.4524147493872981</v>
      </c>
      <c r="O192" s="11">
        <f t="shared" si="108"/>
        <v>0.3</v>
      </c>
      <c r="P192" s="80">
        <f t="shared" si="126"/>
        <v>7.088139174203488</v>
      </c>
      <c r="Q192" s="76">
        <f>VLOOKUP(C192,Others!$L$10:$M$61,2)</f>
        <v>0</v>
      </c>
      <c r="R192" s="11">
        <f t="shared" si="109"/>
        <v>0</v>
      </c>
      <c r="S192" s="80">
        <f t="shared" si="127"/>
        <v>0</v>
      </c>
      <c r="T192" s="78">
        <f t="shared" si="128"/>
        <v>3.756666666666666E-5</v>
      </c>
      <c r="U192" s="81">
        <f t="shared" si="129"/>
        <v>5.9067826451695735E-4</v>
      </c>
      <c r="V192" s="81">
        <f t="shared" si="130"/>
        <v>0</v>
      </c>
      <c r="W192" s="77">
        <f t="shared" si="110"/>
        <v>0.75748918723373737</v>
      </c>
      <c r="X192" s="82">
        <f t="shared" si="131"/>
        <v>2.8447939528528799E-5</v>
      </c>
      <c r="Y192" s="82">
        <f t="shared" si="132"/>
        <v>4.4742399423369929E-4</v>
      </c>
      <c r="Z192" s="82">
        <f t="shared" si="133"/>
        <v>0</v>
      </c>
      <c r="AA192" s="82">
        <f t="shared" si="134"/>
        <v>0.75701331529997518</v>
      </c>
      <c r="AC192" s="46">
        <f t="shared" si="111"/>
        <v>0</v>
      </c>
      <c r="AD192" s="15">
        <f t="shared" si="135"/>
        <v>0</v>
      </c>
      <c r="AE192" s="46">
        <f t="shared" si="136"/>
        <v>0</v>
      </c>
      <c r="AF192" s="15">
        <f t="shared" si="137"/>
        <v>0</v>
      </c>
      <c r="AG192" s="46">
        <f>SUMPRODUCT(AE193:AE$605, $I192:$I$604) / $I192</f>
        <v>0</v>
      </c>
      <c r="AI192" s="46">
        <f t="shared" si="112"/>
        <v>-47000</v>
      </c>
      <c r="AJ192" s="46">
        <f>IF(E192&gt;Mat_Year,0,  -SUM($AD$5:AD192))</f>
        <v>-9306</v>
      </c>
      <c r="AK192" s="24">
        <f t="shared" si="138"/>
        <v>-0.26473652525248897</v>
      </c>
      <c r="AL192" s="79">
        <f t="shared" si="139"/>
        <v>-21.028927728983867</v>
      </c>
      <c r="AM192" s="24">
        <f t="shared" si="140"/>
        <v>-28.110849122478363</v>
      </c>
      <c r="AN192" s="79">
        <f t="shared" si="141"/>
        <v>-21.293664254236354</v>
      </c>
      <c r="AO192" s="15">
        <f t="shared" si="142"/>
        <v>-1439.9480777530719</v>
      </c>
      <c r="AP192" s="46">
        <f>SUMPRODUCT(AN193:AN$605, $I193:$I$605) / $I192</f>
        <v>-1090.7450990759569</v>
      </c>
      <c r="AR192" s="46">
        <v>0</v>
      </c>
      <c r="AS192" s="46">
        <v>0</v>
      </c>
      <c r="AT192" s="46">
        <v>0</v>
      </c>
      <c r="AU192" s="95">
        <f t="shared" si="113"/>
        <v>-2.5010705862264104</v>
      </c>
      <c r="AV192" s="47">
        <f t="shared" si="114"/>
        <v>0.1</v>
      </c>
      <c r="AW192" s="96">
        <f t="shared" si="143"/>
        <v>-2.7511776448490517</v>
      </c>
      <c r="AX192" s="95">
        <f t="shared" si="115"/>
        <v>-28.678942722062835</v>
      </c>
      <c r="AY192" s="11">
        <f t="shared" si="116"/>
        <v>0.1</v>
      </c>
      <c r="AZ192" s="96">
        <f t="shared" si="144"/>
        <v>-31.546836994269121</v>
      </c>
      <c r="BA192" s="95">
        <f t="shared" si="145"/>
        <v>-2.0839873181323361</v>
      </c>
      <c r="BB192" s="64">
        <f t="shared" si="146"/>
        <v>-1.5012254324544642E-2</v>
      </c>
      <c r="BC192" s="95">
        <f t="shared" si="158"/>
        <v>-2.7511776448490517</v>
      </c>
      <c r="BD192" s="96">
        <f t="shared" si="158"/>
        <v>-1.9818440418097126E-2</v>
      </c>
      <c r="BE192" s="96">
        <f t="shared" si="147"/>
        <v>-2.0839873181323361</v>
      </c>
      <c r="BF192" s="96">
        <f t="shared" si="148"/>
        <v>-1.5012254324544642E-2</v>
      </c>
      <c r="BG192" s="15">
        <f t="shared" si="149"/>
        <v>-152.02755914690172</v>
      </c>
      <c r="BH192" s="46">
        <f>(SUMPRODUCT(BE193:BE$605,$I192:$I$604)+SUMPRODUCT(BF193:BF$605,$I193:$I$605)) / $I192</f>
        <v>-115.15923221531553</v>
      </c>
      <c r="BJ192" s="46">
        <f t="shared" si="150"/>
        <v>-2.0839873181323361</v>
      </c>
      <c r="BK192" s="46">
        <f t="shared" si="151"/>
        <v>-21.3086765085609</v>
      </c>
      <c r="BM192" s="49">
        <f t="shared" si="117"/>
        <v>1592.976380888914</v>
      </c>
      <c r="BN192" s="50">
        <f t="shared" si="152"/>
        <v>1205.9043312912729</v>
      </c>
      <c r="BP192" s="68">
        <f>INDEX(Others!$H$11:$I$60, MATCH(C192, Others!$A$11:$A$60, 0), MATCH(BP$3, Others!$H$10:$I$10, 0))</f>
        <v>3.0518181818181833E-2</v>
      </c>
      <c r="BQ192" s="16">
        <f t="shared" si="153"/>
        <v>2.5082875760633616E-3</v>
      </c>
      <c r="BR192" s="69">
        <f t="shared" si="154"/>
        <v>0.62591512920056758</v>
      </c>
      <c r="BT192" s="46">
        <f t="shared" si="155"/>
        <v>1234.2305769461525</v>
      </c>
      <c r="BU192" s="49">
        <f t="shared" si="118"/>
        <v>37.418424593568723</v>
      </c>
      <c r="BV192" s="46">
        <f t="shared" si="156"/>
        <v>28.326245654879585</v>
      </c>
      <c r="BX192" s="46">
        <f t="shared" si="157"/>
        <v>1630.3948054824828</v>
      </c>
    </row>
    <row r="193" spans="1:76" x14ac:dyDescent="0.25">
      <c r="A193" s="61">
        <f t="shared" si="107"/>
        <v>15.666666666666709</v>
      </c>
      <c r="B193" s="32">
        <f t="shared" si="119"/>
        <v>8</v>
      </c>
      <c r="C193" s="62">
        <f t="shared" si="120"/>
        <v>16</v>
      </c>
      <c r="D193" s="64">
        <f t="shared" si="121"/>
        <v>16.166666666666707</v>
      </c>
      <c r="E193" s="28">
        <f t="shared" si="122"/>
        <v>16</v>
      </c>
      <c r="G193" s="68">
        <f>INDEX(Others!$D$11:$E$60, MATCH(C193, Others!$A$11:$A$60, 0), MATCH(G$3, Others!$D$10:$E$10, 0))</f>
        <v>4.0690909090909111E-2</v>
      </c>
      <c r="H193" s="16">
        <f t="shared" si="123"/>
        <v>3.329265421250005E-3</v>
      </c>
      <c r="I193" s="69">
        <f t="shared" si="124"/>
        <v>0.53533513418797285</v>
      </c>
      <c r="K193" s="80">
        <f>INDEX(Mortality!$B$7:$F$32, MATCH( E193,Mortality!$A$7:$A$32, 0), MATCH( K$3,Mortality!$B$6:$F$6,0))</f>
        <v>0.39200000000000002</v>
      </c>
      <c r="L193" s="11" cm="1">
        <f t="array" ref="L193">PAD_Res_Mort</f>
        <v>0.15</v>
      </c>
      <c r="M193" s="80">
        <f t="shared" si="125"/>
        <v>0.45079999999999998</v>
      </c>
      <c r="N193" s="76">
        <f>INDEX('Myopia_(Reserve)'!$H:$H, MATCH(E193, 'Myopia_(Reserve)'!$A:$A, 0)) * Trend_Factor_Reserve^(A193)</f>
        <v>5.4524147493872981</v>
      </c>
      <c r="O193" s="11">
        <f t="shared" si="108"/>
        <v>0.3</v>
      </c>
      <c r="P193" s="80">
        <f t="shared" si="126"/>
        <v>7.088139174203488</v>
      </c>
      <c r="Q193" s="76">
        <f>VLOOKUP(C193,Others!$L$10:$M$61,2)</f>
        <v>0</v>
      </c>
      <c r="R193" s="11">
        <f t="shared" si="109"/>
        <v>0</v>
      </c>
      <c r="S193" s="80">
        <f t="shared" si="127"/>
        <v>0</v>
      </c>
      <c r="T193" s="78">
        <f t="shared" si="128"/>
        <v>3.756666666666666E-5</v>
      </c>
      <c r="U193" s="81">
        <f t="shared" si="129"/>
        <v>5.9067826451695735E-4</v>
      </c>
      <c r="V193" s="81">
        <f t="shared" si="130"/>
        <v>0</v>
      </c>
      <c r="W193" s="77">
        <f t="shared" si="110"/>
        <v>0.75701331529997518</v>
      </c>
      <c r="X193" s="82">
        <f t="shared" si="131"/>
        <v>2.8430067885971859E-5</v>
      </c>
      <c r="Y193" s="82">
        <f t="shared" si="132"/>
        <v>4.47142912305487E-4</v>
      </c>
      <c r="Z193" s="82">
        <f t="shared" si="133"/>
        <v>0</v>
      </c>
      <c r="AA193" s="82">
        <f t="shared" si="134"/>
        <v>0.75653774231978377</v>
      </c>
      <c r="AC193" s="46">
        <f t="shared" si="111"/>
        <v>0</v>
      </c>
      <c r="AD193" s="15">
        <f t="shared" si="135"/>
        <v>0</v>
      </c>
      <c r="AE193" s="46">
        <f t="shared" si="136"/>
        <v>0</v>
      </c>
      <c r="AF193" s="15">
        <f t="shared" si="137"/>
        <v>0</v>
      </c>
      <c r="AG193" s="46">
        <f>SUMPRODUCT(AE194:AE$605, $I193:$I$604) / $I193</f>
        <v>0</v>
      </c>
      <c r="AI193" s="46">
        <f t="shared" si="112"/>
        <v>-47000</v>
      </c>
      <c r="AJ193" s="46">
        <f>IF(E193&gt;Mat_Year,0,  -SUM($AD$5:AD193))</f>
        <v>-9306</v>
      </c>
      <c r="AK193" s="24">
        <f t="shared" si="138"/>
        <v>-0.26457021174685413</v>
      </c>
      <c r="AL193" s="79">
        <f t="shared" si="139"/>
        <v>-21.015716878357889</v>
      </c>
      <c r="AM193" s="24">
        <f t="shared" si="140"/>
        <v>-28.110849122478363</v>
      </c>
      <c r="AN193" s="79">
        <f t="shared" si="141"/>
        <v>-21.280287090104743</v>
      </c>
      <c r="AO193" s="15">
        <f t="shared" si="142"/>
        <v>-1417.5393883294864</v>
      </c>
      <c r="AP193" s="46">
        <f>SUMPRODUCT(AN194:AN$605, $I194:$I$605) / $I193</f>
        <v>-1073.0961919276035</v>
      </c>
      <c r="AR193" s="46">
        <v>0</v>
      </c>
      <c r="AS193" s="46">
        <v>0</v>
      </c>
      <c r="AT193" s="46">
        <v>0</v>
      </c>
      <c r="AU193" s="95">
        <f t="shared" si="113"/>
        <v>-2.5059165400652712</v>
      </c>
      <c r="AV193" s="47">
        <f t="shared" si="114"/>
        <v>0.1</v>
      </c>
      <c r="AW193" s="96">
        <f t="shared" si="143"/>
        <v>-2.7565081940717984</v>
      </c>
      <c r="AX193" s="95">
        <f t="shared" si="115"/>
        <v>-28.734509659415107</v>
      </c>
      <c r="AY193" s="11">
        <f t="shared" si="116"/>
        <v>0.1</v>
      </c>
      <c r="AZ193" s="96">
        <f t="shared" si="144"/>
        <v>-31.607960625356618</v>
      </c>
      <c r="BA193" s="95">
        <f t="shared" si="145"/>
        <v>-2.0867134066458393</v>
      </c>
      <c r="BB193" s="64">
        <f t="shared" si="146"/>
        <v>-1.5031892032375135E-2</v>
      </c>
      <c r="BC193" s="95">
        <f t="shared" si="158"/>
        <v>-2.7565081940717979</v>
      </c>
      <c r="BD193" s="96">
        <f t="shared" si="158"/>
        <v>-1.9856839673181411E-2</v>
      </c>
      <c r="BE193" s="96">
        <f t="shared" si="147"/>
        <v>-2.0867134066458393</v>
      </c>
      <c r="BF193" s="96">
        <f t="shared" si="148"/>
        <v>-1.5031892032375135E-2</v>
      </c>
      <c r="BG193" s="15">
        <f t="shared" si="149"/>
        <v>-149.84404243755097</v>
      </c>
      <c r="BH193" s="46">
        <f>(SUMPRODUCT(BE194:BE$605,$I193:$I$604)+SUMPRODUCT(BF194:BF$605,$I194:$I$605)) / $I193</f>
        <v>-113.43393534360064</v>
      </c>
      <c r="BJ193" s="46">
        <f t="shared" si="150"/>
        <v>-2.0867134066458393</v>
      </c>
      <c r="BK193" s="46">
        <f t="shared" si="151"/>
        <v>-21.295318982137118</v>
      </c>
      <c r="BM193" s="49">
        <f t="shared" si="117"/>
        <v>1568.3687156610702</v>
      </c>
      <c r="BN193" s="50">
        <f t="shared" si="152"/>
        <v>1186.5301272712049</v>
      </c>
      <c r="BP193" s="68">
        <f>INDEX(Others!$H$11:$I$60, MATCH(C193, Others!$A$11:$A$60, 0), MATCH(BP$3, Others!$H$10:$I$10, 0))</f>
        <v>3.0518181818181833E-2</v>
      </c>
      <c r="BQ193" s="16">
        <f t="shared" si="153"/>
        <v>2.5082875760633616E-3</v>
      </c>
      <c r="BR193" s="69">
        <f t="shared" si="154"/>
        <v>0.62434908215467244</v>
      </c>
      <c r="BT193" s="46">
        <f t="shared" si="155"/>
        <v>1213.9391157022085</v>
      </c>
      <c r="BU193" s="49">
        <f t="shared" si="118"/>
        <v>36.229505678010085</v>
      </c>
      <c r="BV193" s="46">
        <f t="shared" si="156"/>
        <v>27.408988431003536</v>
      </c>
      <c r="BX193" s="46">
        <f t="shared" si="157"/>
        <v>1604.5982213390803</v>
      </c>
    </row>
    <row r="194" spans="1:76" x14ac:dyDescent="0.25">
      <c r="A194" s="61">
        <f t="shared" si="107"/>
        <v>15.750000000000043</v>
      </c>
      <c r="B194" s="32">
        <f t="shared" si="119"/>
        <v>9</v>
      </c>
      <c r="C194" s="62">
        <f t="shared" si="120"/>
        <v>16</v>
      </c>
      <c r="D194" s="64">
        <f t="shared" si="121"/>
        <v>16.250000000000043</v>
      </c>
      <c r="E194" s="28">
        <f t="shared" si="122"/>
        <v>16</v>
      </c>
      <c r="G194" s="68">
        <f>INDEX(Others!$D$11:$E$60, MATCH(C194, Others!$A$11:$A$60, 0), MATCH(G$3, Others!$D$10:$E$10, 0))</f>
        <v>4.0690909090909111E-2</v>
      </c>
      <c r="H194" s="16">
        <f t="shared" si="123"/>
        <v>3.329265421250005E-3</v>
      </c>
      <c r="I194" s="69">
        <f t="shared" si="124"/>
        <v>0.53355877540680652</v>
      </c>
      <c r="K194" s="80">
        <f>INDEX(Mortality!$B$7:$F$32, MATCH( E194,Mortality!$A$7:$A$32, 0), MATCH( K$3,Mortality!$B$6:$F$6,0))</f>
        <v>0.39200000000000002</v>
      </c>
      <c r="L194" s="11" cm="1">
        <f t="array" ref="L194">PAD_Res_Mort</f>
        <v>0.15</v>
      </c>
      <c r="M194" s="80">
        <f t="shared" si="125"/>
        <v>0.45079999999999998</v>
      </c>
      <c r="N194" s="76">
        <f>INDEX('Myopia_(Reserve)'!$H:$H, MATCH(E194, 'Myopia_(Reserve)'!$A:$A, 0)) * Trend_Factor_Reserve^(A194)</f>
        <v>5.4524147493872981</v>
      </c>
      <c r="O194" s="11">
        <f t="shared" si="108"/>
        <v>0.3</v>
      </c>
      <c r="P194" s="80">
        <f t="shared" si="126"/>
        <v>7.088139174203488</v>
      </c>
      <c r="Q194" s="76">
        <f>VLOOKUP(C194,Others!$L$10:$M$61,2)</f>
        <v>0</v>
      </c>
      <c r="R194" s="11">
        <f t="shared" si="109"/>
        <v>0</v>
      </c>
      <c r="S194" s="80">
        <f t="shared" si="127"/>
        <v>0</v>
      </c>
      <c r="T194" s="78">
        <f t="shared" si="128"/>
        <v>3.756666666666666E-5</v>
      </c>
      <c r="U194" s="81">
        <f t="shared" si="129"/>
        <v>5.9067826451695735E-4</v>
      </c>
      <c r="V194" s="81">
        <f t="shared" si="130"/>
        <v>0</v>
      </c>
      <c r="W194" s="77">
        <f t="shared" si="110"/>
        <v>0.75653774231978377</v>
      </c>
      <c r="X194" s="82">
        <f t="shared" si="131"/>
        <v>2.8412207470787195E-5</v>
      </c>
      <c r="Y194" s="82">
        <f t="shared" si="132"/>
        <v>4.4686200695933428E-4</v>
      </c>
      <c r="Z194" s="82">
        <f t="shared" si="133"/>
        <v>0</v>
      </c>
      <c r="AA194" s="82">
        <f t="shared" si="134"/>
        <v>0.7560624681053536</v>
      </c>
      <c r="AC194" s="46">
        <f t="shared" si="111"/>
        <v>0</v>
      </c>
      <c r="AD194" s="15">
        <f t="shared" si="135"/>
        <v>0</v>
      </c>
      <c r="AE194" s="46">
        <f t="shared" si="136"/>
        <v>0</v>
      </c>
      <c r="AF194" s="15">
        <f t="shared" si="137"/>
        <v>0</v>
      </c>
      <c r="AG194" s="46">
        <f>SUMPRODUCT(AE195:AE$605, $I194:$I$604) / $I194</f>
        <v>0</v>
      </c>
      <c r="AI194" s="46">
        <f t="shared" si="112"/>
        <v>-47000</v>
      </c>
      <c r="AJ194" s="46">
        <f>IF(E194&gt;Mat_Year,0,  -SUM($AD$5:AD194))</f>
        <v>-9306</v>
      </c>
      <c r="AK194" s="24">
        <f t="shared" si="138"/>
        <v>-0.26440400272314563</v>
      </c>
      <c r="AL194" s="79">
        <f t="shared" si="139"/>
        <v>-21.002514327088711</v>
      </c>
      <c r="AM194" s="24">
        <f t="shared" si="140"/>
        <v>-28.110849122478367</v>
      </c>
      <c r="AN194" s="79">
        <f t="shared" si="141"/>
        <v>-21.266918329811858</v>
      </c>
      <c r="AO194" s="15">
        <f t="shared" si="142"/>
        <v>-1395.0419610356191</v>
      </c>
      <c r="AP194" s="46">
        <f>SUMPRODUCT(AN195:AN$605, $I195:$I$605) / $I194</f>
        <v>-1055.401895643251</v>
      </c>
      <c r="AR194" s="46">
        <v>0</v>
      </c>
      <c r="AS194" s="46">
        <v>0</v>
      </c>
      <c r="AT194" s="46">
        <v>0</v>
      </c>
      <c r="AU194" s="95">
        <f t="shared" si="113"/>
        <v>-2.5107718831907597</v>
      </c>
      <c r="AV194" s="47">
        <f t="shared" si="114"/>
        <v>0.1</v>
      </c>
      <c r="AW194" s="96">
        <f t="shared" si="143"/>
        <v>-2.7618490715098361</v>
      </c>
      <c r="AX194" s="95">
        <f t="shared" si="115"/>
        <v>-28.790184260587374</v>
      </c>
      <c r="AY194" s="11">
        <f t="shared" si="116"/>
        <v>0.1</v>
      </c>
      <c r="AZ194" s="96">
        <f t="shared" si="144"/>
        <v>-31.669202686646113</v>
      </c>
      <c r="BA194" s="95">
        <f t="shared" si="145"/>
        <v>-2.0894430611880423</v>
      </c>
      <c r="BB194" s="64">
        <f t="shared" si="146"/>
        <v>-1.5051555428524023E-2</v>
      </c>
      <c r="BC194" s="95">
        <f t="shared" si="158"/>
        <v>-2.7618490715098361</v>
      </c>
      <c r="BD194" s="96">
        <f t="shared" si="158"/>
        <v>-1.9895313328811854E-2</v>
      </c>
      <c r="BE194" s="96">
        <f t="shared" si="147"/>
        <v>-2.0894430611880423</v>
      </c>
      <c r="BF194" s="96">
        <f t="shared" si="148"/>
        <v>-1.5051555428524023E-2</v>
      </c>
      <c r="BG194" s="15">
        <f t="shared" si="149"/>
        <v>-147.64648192234091</v>
      </c>
      <c r="BH194" s="46">
        <f>(SUMPRODUCT(BE195:BE$605,$I194:$I$604)+SUMPRODUCT(BF195:BF$605,$I195:$I$605)) / $I194</f>
        <v>-111.70013609498656</v>
      </c>
      <c r="BJ194" s="46">
        <f t="shared" si="150"/>
        <v>-2.0894430611880423</v>
      </c>
      <c r="BK194" s="46">
        <f t="shared" si="151"/>
        <v>-21.281969885240382</v>
      </c>
      <c r="BM194" s="49">
        <f t="shared" si="117"/>
        <v>1543.6582041467091</v>
      </c>
      <c r="BN194" s="50">
        <f t="shared" si="152"/>
        <v>1167.1020317382386</v>
      </c>
      <c r="BP194" s="68">
        <f>INDEX(Others!$H$11:$I$60, MATCH(C194, Others!$A$11:$A$60, 0), MATCH(BP$3, Others!$H$10:$I$10, 0))</f>
        <v>3.0518181818181833E-2</v>
      </c>
      <c r="BQ194" s="16">
        <f t="shared" si="153"/>
        <v>2.5082875760633616E-3</v>
      </c>
      <c r="BR194" s="69">
        <f t="shared" si="154"/>
        <v>0.62278695337698264</v>
      </c>
      <c r="BT194" s="46">
        <f t="shared" si="155"/>
        <v>1193.6073702337219</v>
      </c>
      <c r="BU194" s="49">
        <f t="shared" si="118"/>
        <v>35.057074796880329</v>
      </c>
      <c r="BV194" s="46">
        <f t="shared" si="156"/>
        <v>26.505338495483329</v>
      </c>
      <c r="BX194" s="46">
        <f t="shared" si="157"/>
        <v>1578.7152789435895</v>
      </c>
    </row>
    <row r="195" spans="1:76" x14ac:dyDescent="0.25">
      <c r="A195" s="61">
        <f t="shared" si="107"/>
        <v>15.833333333333377</v>
      </c>
      <c r="B195" s="32">
        <f t="shared" si="119"/>
        <v>10</v>
      </c>
      <c r="C195" s="62">
        <f t="shared" si="120"/>
        <v>16</v>
      </c>
      <c r="D195" s="64">
        <f t="shared" si="121"/>
        <v>16.333333333333378</v>
      </c>
      <c r="E195" s="28">
        <f t="shared" si="122"/>
        <v>16</v>
      </c>
      <c r="G195" s="68">
        <f>INDEX(Others!$D$11:$E$60, MATCH(C195, Others!$A$11:$A$60, 0), MATCH(G$3, Others!$D$10:$E$10, 0))</f>
        <v>4.0690909090909111E-2</v>
      </c>
      <c r="H195" s="16">
        <f t="shared" si="123"/>
        <v>3.329265421250005E-3</v>
      </c>
      <c r="I195" s="69">
        <f t="shared" si="124"/>
        <v>0.53178831097166357</v>
      </c>
      <c r="K195" s="80">
        <f>INDEX(Mortality!$B$7:$F$32, MATCH( E195,Mortality!$A$7:$A$32, 0), MATCH( K$3,Mortality!$B$6:$F$6,0))</f>
        <v>0.39200000000000002</v>
      </c>
      <c r="L195" s="11" cm="1">
        <f t="array" ref="L195">PAD_Res_Mort</f>
        <v>0.15</v>
      </c>
      <c r="M195" s="80">
        <f t="shared" si="125"/>
        <v>0.45079999999999998</v>
      </c>
      <c r="N195" s="76">
        <f>INDEX('Myopia_(Reserve)'!$H:$H, MATCH(E195, 'Myopia_(Reserve)'!$A:$A, 0)) * Trend_Factor_Reserve^(A195)</f>
        <v>5.4524147493872981</v>
      </c>
      <c r="O195" s="11">
        <f t="shared" si="108"/>
        <v>0.3</v>
      </c>
      <c r="P195" s="80">
        <f t="shared" si="126"/>
        <v>7.088139174203488</v>
      </c>
      <c r="Q195" s="76">
        <f>VLOOKUP(C195,Others!$L$10:$M$61,2)</f>
        <v>0</v>
      </c>
      <c r="R195" s="11">
        <f t="shared" si="109"/>
        <v>0</v>
      </c>
      <c r="S195" s="80">
        <f t="shared" si="127"/>
        <v>0</v>
      </c>
      <c r="T195" s="78">
        <f t="shared" si="128"/>
        <v>3.756666666666666E-5</v>
      </c>
      <c r="U195" s="81">
        <f t="shared" si="129"/>
        <v>5.9067826451695735E-4</v>
      </c>
      <c r="V195" s="81">
        <f t="shared" si="130"/>
        <v>0</v>
      </c>
      <c r="W195" s="77">
        <f t="shared" si="110"/>
        <v>0.7560624681053536</v>
      </c>
      <c r="X195" s="82">
        <f t="shared" si="131"/>
        <v>2.8394358275921517E-5</v>
      </c>
      <c r="Y195" s="82">
        <f t="shared" si="132"/>
        <v>4.4658127808430806E-4</v>
      </c>
      <c r="Z195" s="82">
        <f t="shared" si="133"/>
        <v>0</v>
      </c>
      <c r="AA195" s="82">
        <f t="shared" si="134"/>
        <v>0.75558749246899337</v>
      </c>
      <c r="AC195" s="46">
        <f t="shared" si="111"/>
        <v>0</v>
      </c>
      <c r="AD195" s="15">
        <f t="shared" si="135"/>
        <v>0</v>
      </c>
      <c r="AE195" s="46">
        <f t="shared" si="136"/>
        <v>0</v>
      </c>
      <c r="AF195" s="15">
        <f t="shared" si="137"/>
        <v>0</v>
      </c>
      <c r="AG195" s="46">
        <f>SUMPRODUCT(AE196:AE$605, $I195:$I$604) / $I195</f>
        <v>0</v>
      </c>
      <c r="AI195" s="46">
        <f t="shared" si="112"/>
        <v>-47000</v>
      </c>
      <c r="AJ195" s="46">
        <f>IF(E195&gt;Mat_Year,0,  -SUM($AD$5:AD195))</f>
        <v>-9306</v>
      </c>
      <c r="AK195" s="24">
        <f t="shared" si="138"/>
        <v>-0.26423789811572562</v>
      </c>
      <c r="AL195" s="79">
        <f t="shared" si="139"/>
        <v>-20.989320069962478</v>
      </c>
      <c r="AM195" s="24">
        <f t="shared" si="140"/>
        <v>-28.110849122478363</v>
      </c>
      <c r="AN195" s="79">
        <f t="shared" si="141"/>
        <v>-21.253557968078205</v>
      </c>
      <c r="AO195" s="15">
        <f t="shared" si="142"/>
        <v>-1372.4554444716425</v>
      </c>
      <c r="AP195" s="46">
        <f>SUMPRODUCT(AN196:AN$605, $I196:$I$605) / $I195</f>
        <v>-1037.66205071186</v>
      </c>
      <c r="AR195" s="46">
        <v>0</v>
      </c>
      <c r="AS195" s="46">
        <v>0</v>
      </c>
      <c r="AT195" s="46">
        <v>0</v>
      </c>
      <c r="AU195" s="95">
        <f t="shared" si="113"/>
        <v>-2.5156366337951037</v>
      </c>
      <c r="AV195" s="47">
        <f t="shared" si="114"/>
        <v>0.1</v>
      </c>
      <c r="AW195" s="96">
        <f t="shared" si="143"/>
        <v>-2.7672002971746141</v>
      </c>
      <c r="AX195" s="95">
        <f t="shared" si="115"/>
        <v>-28.845966734183854</v>
      </c>
      <c r="AY195" s="11">
        <f t="shared" si="116"/>
        <v>0.1</v>
      </c>
      <c r="AZ195" s="96">
        <f t="shared" si="144"/>
        <v>-31.730563407602244</v>
      </c>
      <c r="BA195" s="95">
        <f t="shared" si="145"/>
        <v>-2.0921762864237068</v>
      </c>
      <c r="BB195" s="64">
        <f t="shared" si="146"/>
        <v>-1.5071244546594491E-2</v>
      </c>
      <c r="BC195" s="95">
        <f t="shared" si="158"/>
        <v>-2.7672002971746141</v>
      </c>
      <c r="BD195" s="96">
        <f t="shared" si="158"/>
        <v>-1.9933861529143365E-2</v>
      </c>
      <c r="BE195" s="96">
        <f t="shared" si="147"/>
        <v>-2.0921762864237068</v>
      </c>
      <c r="BF195" s="96">
        <f t="shared" si="148"/>
        <v>-1.5071244546594491E-2</v>
      </c>
      <c r="BG195" s="15">
        <f t="shared" si="149"/>
        <v>-145.4348115309152</v>
      </c>
      <c r="BH195" s="46">
        <f>(SUMPRODUCT(BE196:BE$605,$I195:$I$604)+SUMPRODUCT(BF196:BF$605,$I196:$I$605)) / $I195</f>
        <v>-109.95780255450069</v>
      </c>
      <c r="BJ195" s="46">
        <f t="shared" si="150"/>
        <v>-2.0921762864237068</v>
      </c>
      <c r="BK195" s="46">
        <f t="shared" si="151"/>
        <v>-21.268629212624798</v>
      </c>
      <c r="BM195" s="49">
        <f t="shared" si="117"/>
        <v>1518.8444286132162</v>
      </c>
      <c r="BN195" s="50">
        <f t="shared" si="152"/>
        <v>1147.6198532663611</v>
      </c>
      <c r="BP195" s="68">
        <f>INDEX(Others!$H$11:$I$60, MATCH(C195, Others!$A$11:$A$60, 0), MATCH(BP$3, Others!$H$10:$I$10, 0))</f>
        <v>3.0518181818181833E-2</v>
      </c>
      <c r="BQ195" s="16">
        <f t="shared" si="153"/>
        <v>2.5082875760633616E-3</v>
      </c>
      <c r="BR195" s="69">
        <f t="shared" si="154"/>
        <v>0.62122873306394477</v>
      </c>
      <c r="BT195" s="46">
        <f t="shared" si="155"/>
        <v>1173.2352274923421</v>
      </c>
      <c r="BU195" s="49">
        <f t="shared" si="118"/>
        <v>33.901268193679307</v>
      </c>
      <c r="BV195" s="46">
        <f t="shared" si="156"/>
        <v>25.615374225980986</v>
      </c>
      <c r="BX195" s="46">
        <f t="shared" si="157"/>
        <v>1552.7456968068955</v>
      </c>
    </row>
    <row r="196" spans="1:76" x14ac:dyDescent="0.25">
      <c r="A196" s="61">
        <f t="shared" si="107"/>
        <v>15.91666666666671</v>
      </c>
      <c r="B196" s="32">
        <f t="shared" si="119"/>
        <v>11</v>
      </c>
      <c r="C196" s="62">
        <f t="shared" si="120"/>
        <v>16</v>
      </c>
      <c r="D196" s="64">
        <f t="shared" si="121"/>
        <v>16.41666666666671</v>
      </c>
      <c r="E196" s="28">
        <f t="shared" si="122"/>
        <v>16</v>
      </c>
      <c r="G196" s="68">
        <f>INDEX(Others!$D$11:$E$60, MATCH(C196, Others!$A$11:$A$60, 0), MATCH(G$3, Others!$D$10:$E$10, 0))</f>
        <v>4.0690909090909111E-2</v>
      </c>
      <c r="H196" s="16">
        <f t="shared" si="123"/>
        <v>3.329265421250005E-3</v>
      </c>
      <c r="I196" s="69">
        <f t="shared" si="124"/>
        <v>0.53002372132381792</v>
      </c>
      <c r="K196" s="80">
        <f>INDEX(Mortality!$B$7:$F$32, MATCH( E196,Mortality!$A$7:$A$32, 0), MATCH( K$3,Mortality!$B$6:$F$6,0))</f>
        <v>0.39200000000000002</v>
      </c>
      <c r="L196" s="11" cm="1">
        <f t="array" ref="L196">PAD_Res_Mort</f>
        <v>0.15</v>
      </c>
      <c r="M196" s="80">
        <f t="shared" si="125"/>
        <v>0.45079999999999998</v>
      </c>
      <c r="N196" s="76">
        <f>INDEX('Myopia_(Reserve)'!$H:$H, MATCH(E196, 'Myopia_(Reserve)'!$A:$A, 0)) * Trend_Factor_Reserve^(A196)</f>
        <v>5.4524147493872981</v>
      </c>
      <c r="O196" s="11">
        <f t="shared" si="108"/>
        <v>0.3</v>
      </c>
      <c r="P196" s="80">
        <f t="shared" si="126"/>
        <v>7.088139174203488</v>
      </c>
      <c r="Q196" s="76">
        <f>VLOOKUP(C196,Others!$L$10:$M$61,2)</f>
        <v>0</v>
      </c>
      <c r="R196" s="11">
        <f t="shared" si="109"/>
        <v>0</v>
      </c>
      <c r="S196" s="80">
        <f t="shared" si="127"/>
        <v>0</v>
      </c>
      <c r="T196" s="78">
        <f t="shared" si="128"/>
        <v>3.756666666666666E-5</v>
      </c>
      <c r="U196" s="81">
        <f t="shared" si="129"/>
        <v>5.9067826451695735E-4</v>
      </c>
      <c r="V196" s="81">
        <f t="shared" si="130"/>
        <v>0</v>
      </c>
      <c r="W196" s="77">
        <f t="shared" si="110"/>
        <v>0.75558749246899337</v>
      </c>
      <c r="X196" s="82">
        <f t="shared" si="131"/>
        <v>2.8376520294325972E-5</v>
      </c>
      <c r="Y196" s="82">
        <f t="shared" si="132"/>
        <v>4.4630072556954532E-4</v>
      </c>
      <c r="Z196" s="82">
        <f t="shared" si="133"/>
        <v>0</v>
      </c>
      <c r="AA196" s="82">
        <f t="shared" si="134"/>
        <v>0.75511281522312945</v>
      </c>
      <c r="AC196" s="46">
        <f t="shared" si="111"/>
        <v>0</v>
      </c>
      <c r="AD196" s="15">
        <f t="shared" si="135"/>
        <v>0</v>
      </c>
      <c r="AE196" s="46">
        <f t="shared" si="136"/>
        <v>0</v>
      </c>
      <c r="AF196" s="15">
        <f t="shared" si="137"/>
        <v>0</v>
      </c>
      <c r="AG196" s="46">
        <f>SUMPRODUCT(AE197:AE$605, $I196:$I$604) / $I196</f>
        <v>0</v>
      </c>
      <c r="AI196" s="46">
        <f t="shared" si="112"/>
        <v>-47000</v>
      </c>
      <c r="AJ196" s="46">
        <f>IF(E196&gt;Mat_Year,0,  -SUM($AD$5:AD196))</f>
        <v>-9306</v>
      </c>
      <c r="AK196" s="24">
        <f t="shared" si="138"/>
        <v>-0.26407189785899748</v>
      </c>
      <c r="AL196" s="79">
        <f t="shared" si="139"/>
        <v>-20.976134101768629</v>
      </c>
      <c r="AM196" s="24">
        <f t="shared" si="140"/>
        <v>-28.11084912247836</v>
      </c>
      <c r="AN196" s="79">
        <f t="shared" si="141"/>
        <v>-21.240205999627626</v>
      </c>
      <c r="AO196" s="15">
        <f t="shared" si="142"/>
        <v>-1349.7794858461909</v>
      </c>
      <c r="AP196" s="46">
        <f>SUMPRODUCT(AN197:AN$605, $I197:$I$605) / $I196</f>
        <v>-1019.8764970966106</v>
      </c>
      <c r="AR196" s="46">
        <v>0</v>
      </c>
      <c r="AS196" s="46">
        <v>0</v>
      </c>
      <c r="AT196" s="46">
        <v>0</v>
      </c>
      <c r="AU196" s="95">
        <f t="shared" si="113"/>
        <v>-2.5205108101057823</v>
      </c>
      <c r="AV196" s="47">
        <f t="shared" si="114"/>
        <v>0.1</v>
      </c>
      <c r="AW196" s="96">
        <f t="shared" si="143"/>
        <v>-2.7725618911163608</v>
      </c>
      <c r="AX196" s="95">
        <f t="shared" si="115"/>
        <v>-28.901857289212963</v>
      </c>
      <c r="AY196" s="11">
        <f t="shared" si="116"/>
        <v>0.1</v>
      </c>
      <c r="AZ196" s="96">
        <f t="shared" si="144"/>
        <v>-31.792043018134262</v>
      </c>
      <c r="BA196" s="95">
        <f t="shared" si="145"/>
        <v>-2.0949130870237012</v>
      </c>
      <c r="BB196" s="64">
        <f t="shared" si="146"/>
        <v>-1.5090959420233689E-2</v>
      </c>
      <c r="BC196" s="95">
        <f t="shared" si="158"/>
        <v>-2.7725618911163608</v>
      </c>
      <c r="BD196" s="96">
        <f t="shared" si="158"/>
        <v>-1.9972484418610156E-2</v>
      </c>
      <c r="BE196" s="96">
        <f t="shared" si="147"/>
        <v>-2.0949130870237012</v>
      </c>
      <c r="BF196" s="96">
        <f t="shared" si="148"/>
        <v>-1.5090959420233689E-2</v>
      </c>
      <c r="BG196" s="15">
        <f t="shared" si="149"/>
        <v>-143.208964911019</v>
      </c>
      <c r="BH196" s="46">
        <f>(SUMPRODUCT(BE197:BE$605,$I196:$I$604)+SUMPRODUCT(BF197:BF$605,$I197:$I$605)) / $I196</f>
        <v>-108.20690269619691</v>
      </c>
      <c r="BJ196" s="46">
        <f t="shared" si="150"/>
        <v>-2.0949130870237012</v>
      </c>
      <c r="BK196" s="46">
        <f t="shared" si="151"/>
        <v>-21.255296959047861</v>
      </c>
      <c r="BM196" s="49">
        <f t="shared" si="117"/>
        <v>1493.9269696534932</v>
      </c>
      <c r="BN196" s="50">
        <f t="shared" si="152"/>
        <v>1128.083399792808</v>
      </c>
      <c r="BP196" s="68">
        <f>INDEX(Others!$H$11:$I$60, MATCH(C196, Others!$A$11:$A$60, 0), MATCH(BP$3, Others!$H$10:$I$10, 0))</f>
        <v>3.0518181818181833E-2</v>
      </c>
      <c r="BQ196" s="16">
        <f t="shared" si="153"/>
        <v>2.5082875760633616E-3</v>
      </c>
      <c r="BR196" s="69">
        <f t="shared" si="154"/>
        <v>0.61967441143653412</v>
      </c>
      <c r="BT196" s="46">
        <f t="shared" si="155"/>
        <v>1152.8225741467204</v>
      </c>
      <c r="BU196" s="49">
        <f t="shared" si="118"/>
        <v>32.762222882685663</v>
      </c>
      <c r="BV196" s="46">
        <f t="shared" si="156"/>
        <v>24.739174353912404</v>
      </c>
      <c r="BX196" s="46">
        <f t="shared" si="157"/>
        <v>1526.6891925361788</v>
      </c>
    </row>
    <row r="197" spans="1:76" x14ac:dyDescent="0.25">
      <c r="A197" s="61">
        <f t="shared" si="107"/>
        <v>16.000000000000043</v>
      </c>
      <c r="B197" s="32">
        <f t="shared" si="119"/>
        <v>12</v>
      </c>
      <c r="C197" s="62">
        <f t="shared" si="120"/>
        <v>16</v>
      </c>
      <c r="D197" s="64">
        <f t="shared" si="121"/>
        <v>16.500000000000043</v>
      </c>
      <c r="E197" s="28">
        <f t="shared" si="122"/>
        <v>16</v>
      </c>
      <c r="G197" s="68">
        <f>INDEX(Others!$D$11:$E$60, MATCH(C197, Others!$A$11:$A$60, 0), MATCH(G$3, Others!$D$10:$E$10, 0))</f>
        <v>4.0690909090909111E-2</v>
      </c>
      <c r="H197" s="16">
        <f t="shared" si="123"/>
        <v>3.329265421250005E-3</v>
      </c>
      <c r="I197" s="69">
        <f t="shared" si="124"/>
        <v>0.52826498696944346</v>
      </c>
      <c r="K197" s="80">
        <f>INDEX(Mortality!$B$7:$F$32, MATCH( E197,Mortality!$A$7:$A$32, 0), MATCH( K$3,Mortality!$B$6:$F$6,0))</f>
        <v>0.39200000000000002</v>
      </c>
      <c r="L197" s="11" cm="1">
        <f t="array" ref="L197">PAD_Res_Mort</f>
        <v>0.15</v>
      </c>
      <c r="M197" s="80">
        <f t="shared" si="125"/>
        <v>0.45079999999999998</v>
      </c>
      <c r="N197" s="76">
        <f>INDEX('Myopia_(Reserve)'!$H:$H, MATCH(E197, 'Myopia_(Reserve)'!$A:$A, 0)) * Trend_Factor_Reserve^(A197)</f>
        <v>5.4524147493872981</v>
      </c>
      <c r="O197" s="11">
        <f t="shared" si="108"/>
        <v>0.3</v>
      </c>
      <c r="P197" s="80">
        <f t="shared" si="126"/>
        <v>7.088139174203488</v>
      </c>
      <c r="Q197" s="76">
        <f>VLOOKUP(C197,Others!$L$10:$M$61,2)</f>
        <v>0</v>
      </c>
      <c r="R197" s="11">
        <f t="shared" si="109"/>
        <v>0</v>
      </c>
      <c r="S197" s="80">
        <f t="shared" si="127"/>
        <v>0</v>
      </c>
      <c r="T197" s="78">
        <f t="shared" si="128"/>
        <v>3.756666666666666E-5</v>
      </c>
      <c r="U197" s="81">
        <f t="shared" si="129"/>
        <v>5.9067826451695735E-4</v>
      </c>
      <c r="V197" s="81">
        <f t="shared" si="130"/>
        <v>0</v>
      </c>
      <c r="W197" s="77">
        <f t="shared" si="110"/>
        <v>0.75511281522312945</v>
      </c>
      <c r="X197" s="82">
        <f t="shared" si="131"/>
        <v>2.8358693518956122E-5</v>
      </c>
      <c r="Y197" s="82">
        <f t="shared" si="132"/>
        <v>4.460203493042525E-4</v>
      </c>
      <c r="Z197" s="82">
        <f t="shared" si="133"/>
        <v>0</v>
      </c>
      <c r="AA197" s="82">
        <f t="shared" si="134"/>
        <v>0.75463843618030624</v>
      </c>
      <c r="AC197" s="46">
        <f t="shared" si="111"/>
        <v>0</v>
      </c>
      <c r="AD197" s="15">
        <f t="shared" si="135"/>
        <v>0</v>
      </c>
      <c r="AE197" s="46">
        <f t="shared" si="136"/>
        <v>0</v>
      </c>
      <c r="AF197" s="15">
        <f t="shared" si="137"/>
        <v>0</v>
      </c>
      <c r="AG197" s="46">
        <f>SUMPRODUCT(AE198:AE$605, $I197:$I$604) / $I197</f>
        <v>0</v>
      </c>
      <c r="AI197" s="46">
        <f t="shared" si="112"/>
        <v>-47000</v>
      </c>
      <c r="AJ197" s="46">
        <f>IF(E197&gt;Mat_Year,0,  -SUM($AD$5:AD197))</f>
        <v>-9306</v>
      </c>
      <c r="AK197" s="24">
        <f t="shared" si="138"/>
        <v>-0.26390600188740565</v>
      </c>
      <c r="AL197" s="79">
        <f t="shared" si="139"/>
        <v>-20.962956417299868</v>
      </c>
      <c r="AM197" s="24">
        <f t="shared" si="140"/>
        <v>-28.110849122478363</v>
      </c>
      <c r="AN197" s="79">
        <f t="shared" si="141"/>
        <v>-21.226862419187274</v>
      </c>
      <c r="AO197" s="15">
        <f t="shared" si="142"/>
        <v>-1327.0137309708575</v>
      </c>
      <c r="AP197" s="46">
        <f>SUMPRODUCT(AN198:AN$605, $I198:$I$605) / $I197</f>
        <v>-1002.0450742331527</v>
      </c>
      <c r="AR197" s="46">
        <v>0</v>
      </c>
      <c r="AS197" s="46">
        <v>0</v>
      </c>
      <c r="AT197" s="46">
        <v>0</v>
      </c>
      <c r="AU197" s="95">
        <f t="shared" si="113"/>
        <v>-2.5253944303855889</v>
      </c>
      <c r="AV197" s="47">
        <f t="shared" si="114"/>
        <v>0.1</v>
      </c>
      <c r="AW197" s="96">
        <f t="shared" si="143"/>
        <v>-2.7779338734241481</v>
      </c>
      <c r="AX197" s="95">
        <f t="shared" si="115"/>
        <v>-28.957856135088083</v>
      </c>
      <c r="AY197" s="11">
        <f t="shared" si="116"/>
        <v>0.1</v>
      </c>
      <c r="AZ197" s="96">
        <f t="shared" si="144"/>
        <v>-31.853641748596893</v>
      </c>
      <c r="BA197" s="95">
        <f t="shared" si="145"/>
        <v>-2.0976534676650012</v>
      </c>
      <c r="BB197" s="64">
        <f t="shared" si="146"/>
        <v>-1.511070008313279E-2</v>
      </c>
      <c r="BC197" s="95">
        <f t="shared" si="158"/>
        <v>-2.7779338734241481</v>
      </c>
      <c r="BD197" s="96">
        <f t="shared" si="158"/>
        <v>-2.001118214192631E-2</v>
      </c>
      <c r="BE197" s="96">
        <f t="shared" si="147"/>
        <v>-2.0976534676650012</v>
      </c>
      <c r="BF197" s="96">
        <f t="shared" si="148"/>
        <v>-1.511070008313279E-2</v>
      </c>
      <c r="BG197" s="15">
        <f t="shared" si="149"/>
        <v>-140.96887542734368</v>
      </c>
      <c r="BH197" s="46">
        <f>(SUMPRODUCT(BE198:BE$605,$I197:$I$604)+SUMPRODUCT(BF198:BF$605,$I198:$I$605)) / $I197</f>
        <v>-106.44740438278012</v>
      </c>
      <c r="BJ197" s="46">
        <f t="shared" si="150"/>
        <v>-2.0976534676650012</v>
      </c>
      <c r="BK197" s="46">
        <f t="shared" si="151"/>
        <v>-21.241973119270408</v>
      </c>
      <c r="BM197" s="49">
        <f t="shared" si="117"/>
        <v>1468.9054061792851</v>
      </c>
      <c r="BN197" s="50">
        <f t="shared" si="152"/>
        <v>1108.4924786159334</v>
      </c>
      <c r="BP197" s="68">
        <f>INDEX(Others!$H$11:$I$60, MATCH(C197, Others!$A$11:$A$60, 0), MATCH(BP$3, Others!$H$10:$I$10, 0))</f>
        <v>3.0518181818181833E-2</v>
      </c>
      <c r="BQ197" s="16">
        <f t="shared" si="153"/>
        <v>2.5082875760633616E-3</v>
      </c>
      <c r="BR197" s="69">
        <f t="shared" si="154"/>
        <v>0.6181239787401932</v>
      </c>
      <c r="BT197" s="46">
        <f t="shared" si="155"/>
        <v>1132.3692965817909</v>
      </c>
      <c r="BU197" s="49">
        <f t="shared" si="118"/>
        <v>31.640076652751652</v>
      </c>
      <c r="BV197" s="46">
        <f t="shared" si="156"/>
        <v>23.876817965857526</v>
      </c>
      <c r="BX197" s="46">
        <f t="shared" si="157"/>
        <v>1500.5454828320369</v>
      </c>
    </row>
    <row r="198" spans="1:76" x14ac:dyDescent="0.25">
      <c r="A198" s="61">
        <f t="shared" ref="A198:A261" si="159">A197+1/12</f>
        <v>16.083333333333375</v>
      </c>
      <c r="B198" s="32">
        <f t="shared" si="119"/>
        <v>1</v>
      </c>
      <c r="C198" s="62">
        <f t="shared" si="120"/>
        <v>17</v>
      </c>
      <c r="D198" s="64">
        <f t="shared" si="121"/>
        <v>16.583333333333375</v>
      </c>
      <c r="E198" s="28">
        <f t="shared" si="122"/>
        <v>16</v>
      </c>
      <c r="G198" s="68">
        <f>INDEX(Others!$D$11:$E$60, MATCH(C198, Others!$A$11:$A$60, 0), MATCH(G$3, Others!$D$10:$E$10, 0))</f>
        <v>4.0690909090909111E-2</v>
      </c>
      <c r="H198" s="16">
        <f t="shared" si="123"/>
        <v>3.329265421250005E-3</v>
      </c>
      <c r="I198" s="69">
        <f t="shared" si="124"/>
        <v>0.5265120884793989</v>
      </c>
      <c r="K198" s="80">
        <f>INDEX(Mortality!$B$7:$F$32, MATCH( E198,Mortality!$A$7:$A$32, 0), MATCH( K$3,Mortality!$B$6:$F$6,0))</f>
        <v>0.39200000000000002</v>
      </c>
      <c r="L198" s="11" cm="1">
        <f t="array" ref="L198">PAD_Res_Mort</f>
        <v>0.15</v>
      </c>
      <c r="M198" s="80">
        <f t="shared" si="125"/>
        <v>0.45079999999999998</v>
      </c>
      <c r="N198" s="76">
        <f>INDEX('Myopia_(Reserve)'!$H:$H, MATCH(E198, 'Myopia_(Reserve)'!$A:$A, 0)) * Trend_Factor_Reserve^(A198)</f>
        <v>5.4524147493872981</v>
      </c>
      <c r="O198" s="11">
        <f t="shared" ref="O198:O261" si="160">PAD_Res_Incid</f>
        <v>0.3</v>
      </c>
      <c r="P198" s="80">
        <f t="shared" si="126"/>
        <v>7.088139174203488</v>
      </c>
      <c r="Q198" s="76">
        <f>VLOOKUP(C198,Others!$L$10:$M$61,2)</f>
        <v>0</v>
      </c>
      <c r="R198" s="11">
        <f t="shared" ref="R198:R261" si="161">PAD_Res_Laspe</f>
        <v>0</v>
      </c>
      <c r="S198" s="80">
        <f t="shared" si="127"/>
        <v>0</v>
      </c>
      <c r="T198" s="78">
        <f t="shared" si="128"/>
        <v>3.756666666666666E-5</v>
      </c>
      <c r="U198" s="81">
        <f t="shared" si="129"/>
        <v>5.9067826451695735E-4</v>
      </c>
      <c r="V198" s="81">
        <f t="shared" si="130"/>
        <v>0</v>
      </c>
      <c r="W198" s="77">
        <f t="shared" ref="W198:W261" si="162">IF(E198&gt;Mat_Year, 0, AA197)</f>
        <v>0.75463843618030624</v>
      </c>
      <c r="X198" s="82">
        <f t="shared" si="131"/>
        <v>2.8340877942771969E-5</v>
      </c>
      <c r="Y198" s="82">
        <f t="shared" si="132"/>
        <v>4.4574014917770575E-4</v>
      </c>
      <c r="Z198" s="82">
        <f t="shared" si="133"/>
        <v>0</v>
      </c>
      <c r="AA198" s="82">
        <f t="shared" si="134"/>
        <v>0.75416435515318581</v>
      </c>
      <c r="AC198" s="46">
        <f t="shared" ref="AC198:AC261" si="163">IF(C198&gt;Prem_Term,0,Ann_Prem)</f>
        <v>0</v>
      </c>
      <c r="AD198" s="15">
        <f t="shared" si="135"/>
        <v>0</v>
      </c>
      <c r="AE198" s="46">
        <f t="shared" si="136"/>
        <v>0</v>
      </c>
      <c r="AF198" s="15">
        <f t="shared" si="137"/>
        <v>0</v>
      </c>
      <c r="AG198" s="46">
        <f>SUMPRODUCT(AE199:AE$605, $I198:$I$604) / $I198</f>
        <v>0</v>
      </c>
      <c r="AI198" s="46">
        <f t="shared" ref="AI198:AI261" si="164">IF(E198&gt;Mat_Year,0, -Sum_Assured)</f>
        <v>-47000</v>
      </c>
      <c r="AJ198" s="46">
        <f>IF(E198&gt;Mat_Year,0,  -SUM($AD$5:AD198))</f>
        <v>-9306</v>
      </c>
      <c r="AK198" s="24">
        <f t="shared" si="138"/>
        <v>-0.26374021013543592</v>
      </c>
      <c r="AL198" s="79">
        <f t="shared" si="139"/>
        <v>-20.949787011352171</v>
      </c>
      <c r="AM198" s="24">
        <f t="shared" si="140"/>
        <v>-28.110849122478363</v>
      </c>
      <c r="AN198" s="79">
        <f t="shared" si="141"/>
        <v>-21.213527221487606</v>
      </c>
      <c r="AO198" s="15">
        <f t="shared" si="142"/>
        <v>-1304.1578242546552</v>
      </c>
      <c r="AP198" s="46">
        <f>SUMPRODUCT(AN199:AN$605, $I199:$I$605) / $I198</f>
        <v>-984.16762102784367</v>
      </c>
      <c r="AR198" s="46">
        <v>0</v>
      </c>
      <c r="AS198" s="46">
        <v>0</v>
      </c>
      <c r="AT198" s="46">
        <v>0</v>
      </c>
      <c r="AU198" s="95">
        <f t="shared" ref="AU198:AU261" si="165">IF(E198&gt;Mat_Year,0,
-Exp_Main/12 * (1+Exp_Main_Infl_Reserve)^(A197))</f>
        <v>-2.5302875129327029</v>
      </c>
      <c r="AV198" s="47">
        <f t="shared" ref="AV198:AV261" si="166">PAD_Res_Exp_Main</f>
        <v>0.1</v>
      </c>
      <c r="AW198" s="96">
        <f t="shared" si="143"/>
        <v>-2.7833162642259737</v>
      </c>
      <c r="AX198" s="95">
        <f t="shared" ref="AX198:AX261" si="167">IF(E198&gt;Mat_Year,0,
-Exp_Claim* (1+Exp_Main_Infl_Reserve)^(A197))</f>
        <v>-29.013963481628323</v>
      </c>
      <c r="AY198" s="11">
        <f t="shared" ref="AY198:AY261" si="168">PAD_Res_Exp_Claim</f>
        <v>0.1</v>
      </c>
      <c r="AZ198" s="96">
        <f t="shared" si="144"/>
        <v>-31.915359829791157</v>
      </c>
      <c r="BA198" s="95">
        <f t="shared" si="145"/>
        <v>-2.1003974330307007</v>
      </c>
      <c r="BB198" s="64">
        <f t="shared" si="146"/>
        <v>-1.5130466569027027E-2</v>
      </c>
      <c r="BC198" s="95">
        <f t="shared" si="158"/>
        <v>-2.7833162642259737</v>
      </c>
      <c r="BD198" s="96">
        <f t="shared" si="158"/>
        <v>-2.0049954844086282E-2</v>
      </c>
      <c r="BE198" s="96">
        <f t="shared" si="147"/>
        <v>-2.1003974330307007</v>
      </c>
      <c r="BF198" s="96">
        <f t="shared" si="148"/>
        <v>-1.5130466569027027E-2</v>
      </c>
      <c r="BG198" s="15">
        <f t="shared" si="149"/>
        <v>-138.71447616036622</v>
      </c>
      <c r="BH198" s="46">
        <f>(SUMPRODUCT(BE199:BE$605,$I198:$I$604)+SUMPRODUCT(BF199:BF$605,$I199:$I$605)) / $I198</f>
        <v>-104.67927536522913</v>
      </c>
      <c r="BJ198" s="46">
        <f t="shared" si="150"/>
        <v>-2.1003974330307007</v>
      </c>
      <c r="BK198" s="46">
        <f t="shared" si="151"/>
        <v>-21.228657688056632</v>
      </c>
      <c r="BM198" s="49">
        <f t="shared" ref="BM198:BM261" si="169">IF($AA198 = 0, 0, BN198/$AA198)</f>
        <v>1443.7793154144847</v>
      </c>
      <c r="BN198" s="50">
        <f t="shared" si="152"/>
        <v>1088.8468963930729</v>
      </c>
      <c r="BP198" s="68">
        <f>INDEX(Others!$H$11:$I$60, MATCH(C198, Others!$A$11:$A$60, 0), MATCH(BP$3, Others!$H$10:$I$10, 0))</f>
        <v>3.0518181818181833E-2</v>
      </c>
      <c r="BQ198" s="16">
        <f t="shared" si="153"/>
        <v>2.5082875760633616E-3</v>
      </c>
      <c r="BR198" s="69">
        <f t="shared" si="154"/>
        <v>0.61657742524477066</v>
      </c>
      <c r="BT198" s="46">
        <f t="shared" si="155"/>
        <v>1111.8752808980491</v>
      </c>
      <c r="BU198" s="49">
        <f t="shared" ref="BU198:BU261" si="170">IF($AA198 = 0, 0, BV198/$AA198)</f>
        <v>30.534968071115848</v>
      </c>
      <c r="BV198" s="46">
        <f t="shared" si="156"/>
        <v>23.028384504976202</v>
      </c>
      <c r="BX198" s="46">
        <f t="shared" si="157"/>
        <v>1474.3142834856005</v>
      </c>
    </row>
    <row r="199" spans="1:76" x14ac:dyDescent="0.25">
      <c r="A199" s="61">
        <f t="shared" si="159"/>
        <v>16.166666666666707</v>
      </c>
      <c r="B199" s="32">
        <f t="shared" ref="B199:B262" si="171">IF(B198=12,1,B198+1)</f>
        <v>2</v>
      </c>
      <c r="C199" s="62">
        <f t="shared" ref="C199:C262" si="172">IF(B198=12,C198+1,C198)</f>
        <v>17</v>
      </c>
      <c r="D199" s="64">
        <f t="shared" ref="D199:D262" si="173">$D$5+A199</f>
        <v>16.666666666666707</v>
      </c>
      <c r="E199" s="28">
        <f t="shared" ref="E199:E262" si="174">INT(D199+0.001)</f>
        <v>16</v>
      </c>
      <c r="G199" s="68">
        <f>INDEX(Others!$D$11:$E$60, MATCH(C199, Others!$A$11:$A$60, 0), MATCH(G$3, Others!$D$10:$E$10, 0))</f>
        <v>4.0690909090909111E-2</v>
      </c>
      <c r="H199" s="16">
        <f t="shared" ref="H199:H262" si="175">(1+G199)^(1/12) - 1</f>
        <v>3.329265421250005E-3</v>
      </c>
      <c r="I199" s="69">
        <f t="shared" ref="I199:I262" si="176">I198/(1+H199)</f>
        <v>0.52476500648901303</v>
      </c>
      <c r="K199" s="80">
        <f>INDEX(Mortality!$B$7:$F$32, MATCH( E199,Mortality!$A$7:$A$32, 0), MATCH( K$3,Mortality!$B$6:$F$6,0))</f>
        <v>0.39200000000000002</v>
      </c>
      <c r="L199" s="11" cm="1">
        <f t="array" ref="L199">PAD_Res_Mort</f>
        <v>0.15</v>
      </c>
      <c r="M199" s="80">
        <f t="shared" ref="M199:M262" si="177">IFERROR( K199*(1+L199), 0)</f>
        <v>0.45079999999999998</v>
      </c>
      <c r="N199" s="76">
        <f>INDEX('Myopia_(Reserve)'!$H:$H, MATCH(E199, 'Myopia_(Reserve)'!$A:$A, 0)) * Trend_Factor_Reserve^(A199)</f>
        <v>5.4524147493872981</v>
      </c>
      <c r="O199" s="11">
        <f t="shared" si="160"/>
        <v>0.3</v>
      </c>
      <c r="P199" s="80">
        <f t="shared" ref="P199:P262" si="178">IFERROR( N199*(1+O199), 0)</f>
        <v>7.088139174203488</v>
      </c>
      <c r="Q199" s="76">
        <f>VLOOKUP(C199,Others!$L$10:$M$61,2)</f>
        <v>0</v>
      </c>
      <c r="R199" s="11">
        <f t="shared" si="161"/>
        <v>0</v>
      </c>
      <c r="S199" s="80">
        <f t="shared" ref="S199:S262" si="179">IFERROR( Q199*(1+R199), 0)</f>
        <v>0</v>
      </c>
      <c r="T199" s="78">
        <f t="shared" ref="T199:T262" si="180">(M199/1000)/12</f>
        <v>3.756666666666666E-5</v>
      </c>
      <c r="U199" s="81">
        <f t="shared" ref="U199:U262" si="181">(P199/1000)/12</f>
        <v>5.9067826451695735E-4</v>
      </c>
      <c r="V199" s="81">
        <f t="shared" ref="V199:V262" si="182">(S199/1000)/12</f>
        <v>0</v>
      </c>
      <c r="W199" s="77">
        <f t="shared" si="162"/>
        <v>0.75416435515318581</v>
      </c>
      <c r="X199" s="82">
        <f t="shared" ref="X199:X262" si="183">W199 * (T199)*(1-U199/2)</f>
        <v>2.8323073558737924E-5</v>
      </c>
      <c r="Y199" s="82">
        <f t="shared" ref="Y199:Y262" si="184">W199 * (1-T199/2)*(U199)</f>
        <v>4.4546012507925062E-4</v>
      </c>
      <c r="Z199" s="82">
        <f t="shared" ref="Z199:Z262" si="185">W199 * (1-T199)*(1-U199)*(V199)</f>
        <v>0</v>
      </c>
      <c r="AA199" s="82">
        <f t="shared" ref="AA199:AA262" si="186">W199-SUM(X199:Z199)</f>
        <v>0.75369057195454781</v>
      </c>
      <c r="AC199" s="46">
        <f t="shared" si="163"/>
        <v>0</v>
      </c>
      <c r="AD199" s="15">
        <f t="shared" ref="AD199:AD262" si="187">IF(Prem_Mode="Mth",AC199/12,
IF(B199=1, AC199, 0))</f>
        <v>0</v>
      </c>
      <c r="AE199" s="46">
        <f t="shared" ref="AE199:AE262" si="188">AD199*$W199</f>
        <v>0</v>
      </c>
      <c r="AF199" s="15">
        <f t="shared" ref="AF199:AF262" si="189">IF($W199 = 0, 0, AG199/$W199)</f>
        <v>0</v>
      </c>
      <c r="AG199" s="46">
        <f>SUMPRODUCT(AE200:AE$605, $I199:$I$604) / $I199</f>
        <v>0</v>
      </c>
      <c r="AI199" s="46">
        <f t="shared" si="164"/>
        <v>-47000</v>
      </c>
      <c r="AJ199" s="46">
        <f>IF(E199&gt;Mat_Year,0,  -SUM($AD$5:AD199))</f>
        <v>-9306</v>
      </c>
      <c r="AK199" s="24">
        <f t="shared" ref="AK199:AK262" si="190">AJ199*X199</f>
        <v>-0.2635745225376151</v>
      </c>
      <c r="AL199" s="79">
        <f t="shared" ref="AL199:AL262" si="191">AI199*Y199</f>
        <v>-20.936625878724779</v>
      </c>
      <c r="AM199" s="24">
        <f t="shared" ref="AM199:AM262" si="192">IF($W199 = 0, 0, AN199/$W199)</f>
        <v>-28.110849122478363</v>
      </c>
      <c r="AN199" s="79">
        <f t="shared" ref="AN199:AN262" si="193">SUM(AK199:AL199)</f>
        <v>-21.200200401262393</v>
      </c>
      <c r="AO199" s="15">
        <f t="shared" ref="AO199:AO262" si="194">IF($W199 = 0, 0, AP199/$W199)</f>
        <v>-1281.2114086984657</v>
      </c>
      <c r="AP199" s="46">
        <f>SUMPRODUCT(AN200:AN$605, $I200:$I$605) / $I199</f>
        <v>-966.24397585598308</v>
      </c>
      <c r="AR199" s="46">
        <v>0</v>
      </c>
      <c r="AS199" s="46">
        <v>0</v>
      </c>
      <c r="AT199" s="46">
        <v>0</v>
      </c>
      <c r="AU199" s="95">
        <f t="shared" si="165"/>
        <v>-2.5351900760807582</v>
      </c>
      <c r="AV199" s="47">
        <f t="shared" si="166"/>
        <v>0.1</v>
      </c>
      <c r="AW199" s="96">
        <f t="shared" ref="AW199:AW262" si="195">AU199*(1+AV199)</f>
        <v>-2.7887090836888344</v>
      </c>
      <c r="AX199" s="95">
        <f t="shared" si="167"/>
        <v>-29.070179539059357</v>
      </c>
      <c r="AY199" s="11">
        <f t="shared" si="168"/>
        <v>0.1</v>
      </c>
      <c r="AZ199" s="96">
        <f t="shared" ref="AZ199:AZ262" si="196">AX199*(1+AY199)</f>
        <v>-31.977197492965296</v>
      </c>
      <c r="BA199" s="95">
        <f t="shared" ref="BA199:BA262" si="197">AW199*$W199</f>
        <v>-2.1031449878100217</v>
      </c>
      <c r="BB199" s="64">
        <f t="shared" ref="BB199:BB262" si="198">AZ199*SUM(X199:Y199)</f>
        <v>-1.5150258911695766E-2</v>
      </c>
      <c r="BC199" s="95">
        <f t="shared" si="158"/>
        <v>-2.7887090836888349</v>
      </c>
      <c r="BD199" s="96">
        <f t="shared" si="158"/>
        <v>-2.008880267036546E-2</v>
      </c>
      <c r="BE199" s="96">
        <f t="shared" ref="BE199:BE262" si="199">SUM(AT199,BA199)</f>
        <v>-2.1031449878100217</v>
      </c>
      <c r="BF199" s="96">
        <f t="shared" ref="BF199:BF262" si="200">SUM(BB199)</f>
        <v>-1.5150258911695766E-2</v>
      </c>
      <c r="BG199" s="15">
        <f t="shared" ref="BG199:BG262" si="201">IF($W199 = 0, 0, BH199/$W199)</f>
        <v>-136.44569990518454</v>
      </c>
      <c r="BH199" s="46">
        <f>(SUMPRODUCT(BE200:BE$605,$I199:$I$604)+SUMPRODUCT(BF200:BF$605,$I200:$I$605)) / $I199</f>
        <v>-102.9024832824186</v>
      </c>
      <c r="BJ199" s="46">
        <f t="shared" ref="BJ199:BJ262" si="202">SUM(AE199,BE199)</f>
        <v>-2.1031449878100217</v>
      </c>
      <c r="BK199" s="46">
        <f t="shared" ref="BK199:BK262" si="203">SUM(AN199,BF199)</f>
        <v>-21.215350660174089</v>
      </c>
      <c r="BM199" s="49">
        <f t="shared" si="169"/>
        <v>1418.5482728884103</v>
      </c>
      <c r="BN199" s="50">
        <f t="shared" ref="BN199:BN262" si="204">MAX(BN200/(1+H200) - (BJ200 + BK200/(1+H200)),0)</f>
        <v>1069.146459138402</v>
      </c>
      <c r="BP199" s="68">
        <f>INDEX(Others!$H$11:$I$60, MATCH(C199, Others!$A$11:$A$60, 0), MATCH(BP$3, Others!$H$10:$I$10, 0))</f>
        <v>3.0518181818181833E-2</v>
      </c>
      <c r="BQ199" s="16">
        <f t="shared" ref="BQ199:BQ262" si="205">(1+BP199)^(1/12) - 1</f>
        <v>2.5082875760633616E-3</v>
      </c>
      <c r="BR199" s="69">
        <f t="shared" ref="BR199:BR262" si="206">BR198/(1+BQ199)</f>
        <v>0.61503474124445989</v>
      </c>
      <c r="BT199" s="46">
        <f t="shared" ref="BT199:BT262" si="207">MAX(BT200/(1+BQ200) - (BJ200 + BK200/(1+BQ200)),0)</f>
        <v>1091.3404129108301</v>
      </c>
      <c r="BU199" s="49">
        <f t="shared" si="170"/>
        <v>29.447036487231742</v>
      </c>
      <c r="BV199" s="46">
        <f t="shared" si="156"/>
        <v>22.193953772428131</v>
      </c>
      <c r="BX199" s="46">
        <f t="shared" si="157"/>
        <v>1447.9953093756421</v>
      </c>
    </row>
    <row r="200" spans="1:76" x14ac:dyDescent="0.25">
      <c r="A200" s="61">
        <f t="shared" si="159"/>
        <v>16.250000000000039</v>
      </c>
      <c r="B200" s="32">
        <f t="shared" si="171"/>
        <v>3</v>
      </c>
      <c r="C200" s="62">
        <f t="shared" si="172"/>
        <v>17</v>
      </c>
      <c r="D200" s="64">
        <f t="shared" si="173"/>
        <v>16.750000000000039</v>
      </c>
      <c r="E200" s="28">
        <f t="shared" si="174"/>
        <v>16</v>
      </c>
      <c r="G200" s="68">
        <f>INDEX(Others!$D$11:$E$60, MATCH(C200, Others!$A$11:$A$60, 0), MATCH(G$3, Others!$D$10:$E$10, 0))</f>
        <v>4.0690909090909111E-2</v>
      </c>
      <c r="H200" s="16">
        <f t="shared" si="175"/>
        <v>3.329265421250005E-3</v>
      </c>
      <c r="I200" s="69">
        <f t="shared" si="176"/>
        <v>0.52302372169787081</v>
      </c>
      <c r="K200" s="80">
        <f>INDEX(Mortality!$B$7:$F$32, MATCH( E200,Mortality!$A$7:$A$32, 0), MATCH( K$3,Mortality!$B$6:$F$6,0))</f>
        <v>0.39200000000000002</v>
      </c>
      <c r="L200" s="11" cm="1">
        <f t="array" ref="L200">PAD_Res_Mort</f>
        <v>0.15</v>
      </c>
      <c r="M200" s="80">
        <f t="shared" si="177"/>
        <v>0.45079999999999998</v>
      </c>
      <c r="N200" s="76">
        <f>INDEX('Myopia_(Reserve)'!$H:$H, MATCH(E200, 'Myopia_(Reserve)'!$A:$A, 0)) * Trend_Factor_Reserve^(A200)</f>
        <v>5.4524147493872981</v>
      </c>
      <c r="O200" s="11">
        <f t="shared" si="160"/>
        <v>0.3</v>
      </c>
      <c r="P200" s="80">
        <f t="shared" si="178"/>
        <v>7.088139174203488</v>
      </c>
      <c r="Q200" s="76">
        <f>VLOOKUP(C200,Others!$L$10:$M$61,2)</f>
        <v>0</v>
      </c>
      <c r="R200" s="11">
        <f t="shared" si="161"/>
        <v>0</v>
      </c>
      <c r="S200" s="80">
        <f t="shared" si="179"/>
        <v>0</v>
      </c>
      <c r="T200" s="78">
        <f t="shared" si="180"/>
        <v>3.756666666666666E-5</v>
      </c>
      <c r="U200" s="81">
        <f t="shared" si="181"/>
        <v>5.9067826451695735E-4</v>
      </c>
      <c r="V200" s="81">
        <f t="shared" si="182"/>
        <v>0</v>
      </c>
      <c r="W200" s="77">
        <f t="shared" si="162"/>
        <v>0.75369057195454781</v>
      </c>
      <c r="X200" s="82">
        <f t="shared" si="183"/>
        <v>2.8305280359822825E-5</v>
      </c>
      <c r="Y200" s="82">
        <f t="shared" si="184"/>
        <v>4.4518027689830218E-4</v>
      </c>
      <c r="Z200" s="82">
        <f t="shared" si="185"/>
        <v>0</v>
      </c>
      <c r="AA200" s="82">
        <f t="shared" si="186"/>
        <v>0.75321708639728968</v>
      </c>
      <c r="AC200" s="46">
        <f t="shared" si="163"/>
        <v>0</v>
      </c>
      <c r="AD200" s="15">
        <f t="shared" si="187"/>
        <v>0</v>
      </c>
      <c r="AE200" s="46">
        <f t="shared" si="188"/>
        <v>0</v>
      </c>
      <c r="AF200" s="15">
        <f t="shared" si="189"/>
        <v>0</v>
      </c>
      <c r="AG200" s="46">
        <f>SUMPRODUCT(AE201:AE$605, $I200:$I$604) / $I200</f>
        <v>0</v>
      </c>
      <c r="AI200" s="46">
        <f t="shared" si="164"/>
        <v>-47000</v>
      </c>
      <c r="AJ200" s="46">
        <f>IF(E200&gt;Mat_Year,0,  -SUM($AD$5:AD200))</f>
        <v>-9306</v>
      </c>
      <c r="AK200" s="24">
        <f t="shared" si="190"/>
        <v>-0.2634089390285112</v>
      </c>
      <c r="AL200" s="79">
        <f t="shared" si="191"/>
        <v>-20.923473014220203</v>
      </c>
      <c r="AM200" s="24">
        <f t="shared" si="192"/>
        <v>-28.110849122478363</v>
      </c>
      <c r="AN200" s="79">
        <f t="shared" si="193"/>
        <v>-21.186881953248715</v>
      </c>
      <c r="AO200" s="15">
        <f t="shared" si="194"/>
        <v>-1258.1741258894633</v>
      </c>
      <c r="AP200" s="46">
        <f>SUMPRODUCT(AN201:AN$605, $I201:$I$605) / $I200</f>
        <v>-948.2739765600428</v>
      </c>
      <c r="AR200" s="46">
        <v>0</v>
      </c>
      <c r="AS200" s="46">
        <v>0</v>
      </c>
      <c r="AT200" s="46">
        <v>0</v>
      </c>
      <c r="AU200" s="95">
        <f t="shared" si="165"/>
        <v>-2.5401021381989097</v>
      </c>
      <c r="AV200" s="47">
        <f t="shared" si="166"/>
        <v>0.1</v>
      </c>
      <c r="AW200" s="96">
        <f t="shared" si="195"/>
        <v>-2.7941123520188009</v>
      </c>
      <c r="AX200" s="95">
        <f t="shared" si="167"/>
        <v>-29.126504518014158</v>
      </c>
      <c r="AY200" s="11">
        <f t="shared" si="168"/>
        <v>0.1</v>
      </c>
      <c r="AZ200" s="96">
        <f t="shared" si="196"/>
        <v>-32.039154969815577</v>
      </c>
      <c r="BA200" s="95">
        <f t="shared" si="197"/>
        <v>-2.1058961366983171</v>
      </c>
      <c r="BB200" s="64">
        <f t="shared" si="198"/>
        <v>-1.5170077144962553E-2</v>
      </c>
      <c r="BC200" s="95">
        <f t="shared" si="158"/>
        <v>-2.7941123520188014</v>
      </c>
      <c r="BD200" s="96">
        <f t="shared" si="158"/>
        <v>-2.0127725766320721E-2</v>
      </c>
      <c r="BE200" s="96">
        <f t="shared" si="199"/>
        <v>-2.1058961366983171</v>
      </c>
      <c r="BF200" s="96">
        <f t="shared" si="200"/>
        <v>-1.5170077144962553E-2</v>
      </c>
      <c r="BG200" s="15">
        <f t="shared" si="201"/>
        <v>-134.16247917034784</v>
      </c>
      <c r="BH200" s="46">
        <f>(SUMPRODUCT(BE201:BE$605,$I200:$I$604)+SUMPRODUCT(BF201:BF$605,$I201:$I$605)) / $I200</f>
        <v>-101.11699566073958</v>
      </c>
      <c r="BJ200" s="46">
        <f t="shared" si="202"/>
        <v>-2.1058961366983171</v>
      </c>
      <c r="BK200" s="46">
        <f t="shared" si="203"/>
        <v>-21.202052030393677</v>
      </c>
      <c r="BM200" s="49">
        <f t="shared" si="169"/>
        <v>1393.211852429054</v>
      </c>
      <c r="BN200" s="50">
        <f t="shared" si="204"/>
        <v>1049.3909722207827</v>
      </c>
      <c r="BP200" s="68">
        <f>INDEX(Others!$H$11:$I$60, MATCH(C200, Others!$A$11:$A$60, 0), MATCH(BP$3, Others!$H$10:$I$10, 0))</f>
        <v>3.0518181818181833E-2</v>
      </c>
      <c r="BQ200" s="16">
        <f t="shared" si="205"/>
        <v>2.5082875760633616E-3</v>
      </c>
      <c r="BR200" s="69">
        <f t="shared" si="206"/>
        <v>0.61349591705773832</v>
      </c>
      <c r="BT200" s="46">
        <f t="shared" si="207"/>
        <v>1070.7645781495821</v>
      </c>
      <c r="BU200" s="49">
        <f t="shared" si="170"/>
        <v>28.376422036615548</v>
      </c>
      <c r="BV200" s="46">
        <f t="shared" ref="BV200:BV263" si="208">BT200-BN200</f>
        <v>21.373605928799407</v>
      </c>
      <c r="BX200" s="46">
        <f t="shared" ref="BX200:BX263" si="209">BM200+BU200</f>
        <v>1421.5882744656697</v>
      </c>
    </row>
    <row r="201" spans="1:76" x14ac:dyDescent="0.25">
      <c r="A201" s="61">
        <f t="shared" si="159"/>
        <v>16.333333333333371</v>
      </c>
      <c r="B201" s="32">
        <f t="shared" si="171"/>
        <v>4</v>
      </c>
      <c r="C201" s="62">
        <f t="shared" si="172"/>
        <v>17</v>
      </c>
      <c r="D201" s="64">
        <f t="shared" si="173"/>
        <v>16.833333333333371</v>
      </c>
      <c r="E201" s="28">
        <f t="shared" si="174"/>
        <v>16</v>
      </c>
      <c r="G201" s="68">
        <f>INDEX(Others!$D$11:$E$60, MATCH(C201, Others!$A$11:$A$60, 0), MATCH(G$3, Others!$D$10:$E$10, 0))</f>
        <v>4.0690909090909111E-2</v>
      </c>
      <c r="H201" s="16">
        <f t="shared" si="175"/>
        <v>3.329265421250005E-3</v>
      </c>
      <c r="I201" s="69">
        <f t="shared" si="176"/>
        <v>0.52128821486960031</v>
      </c>
      <c r="K201" s="80">
        <f>INDEX(Mortality!$B$7:$F$32, MATCH( E201,Mortality!$A$7:$A$32, 0), MATCH( K$3,Mortality!$B$6:$F$6,0))</f>
        <v>0.39200000000000002</v>
      </c>
      <c r="L201" s="11" cm="1">
        <f t="array" ref="L201">PAD_Res_Mort</f>
        <v>0.15</v>
      </c>
      <c r="M201" s="80">
        <f t="shared" si="177"/>
        <v>0.45079999999999998</v>
      </c>
      <c r="N201" s="76">
        <f>INDEX('Myopia_(Reserve)'!$H:$H, MATCH(E201, 'Myopia_(Reserve)'!$A:$A, 0)) * Trend_Factor_Reserve^(A201)</f>
        <v>5.4524147493872981</v>
      </c>
      <c r="O201" s="11">
        <f t="shared" si="160"/>
        <v>0.3</v>
      </c>
      <c r="P201" s="80">
        <f t="shared" si="178"/>
        <v>7.088139174203488</v>
      </c>
      <c r="Q201" s="76">
        <f>VLOOKUP(C201,Others!$L$10:$M$61,2)</f>
        <v>0</v>
      </c>
      <c r="R201" s="11">
        <f t="shared" si="161"/>
        <v>0</v>
      </c>
      <c r="S201" s="80">
        <f t="shared" si="179"/>
        <v>0</v>
      </c>
      <c r="T201" s="78">
        <f t="shared" si="180"/>
        <v>3.756666666666666E-5</v>
      </c>
      <c r="U201" s="81">
        <f t="shared" si="181"/>
        <v>5.9067826451695735E-4</v>
      </c>
      <c r="V201" s="81">
        <f t="shared" si="182"/>
        <v>0</v>
      </c>
      <c r="W201" s="77">
        <f t="shared" si="162"/>
        <v>0.75321708639728968</v>
      </c>
      <c r="X201" s="82">
        <f t="shared" si="183"/>
        <v>2.8287498338999927E-5</v>
      </c>
      <c r="Y201" s="82">
        <f t="shared" si="184"/>
        <v>4.4490060452434521E-4</v>
      </c>
      <c r="Z201" s="82">
        <f t="shared" si="185"/>
        <v>0</v>
      </c>
      <c r="AA201" s="82">
        <f t="shared" si="186"/>
        <v>0.75274389829442634</v>
      </c>
      <c r="AC201" s="46">
        <f t="shared" si="163"/>
        <v>0</v>
      </c>
      <c r="AD201" s="15">
        <f t="shared" si="187"/>
        <v>0</v>
      </c>
      <c r="AE201" s="46">
        <f t="shared" si="188"/>
        <v>0</v>
      </c>
      <c r="AF201" s="15">
        <f t="shared" si="189"/>
        <v>0</v>
      </c>
      <c r="AG201" s="46">
        <f>SUMPRODUCT(AE202:AE$605, $I201:$I$604) / $I201</f>
        <v>0</v>
      </c>
      <c r="AI201" s="46">
        <f t="shared" si="164"/>
        <v>-47000</v>
      </c>
      <c r="AJ201" s="46">
        <f>IF(E201&gt;Mat_Year,0,  -SUM($AD$5:AD201))</f>
        <v>-9306</v>
      </c>
      <c r="AK201" s="24">
        <f t="shared" si="190"/>
        <v>-0.26324345954273332</v>
      </c>
      <c r="AL201" s="79">
        <f t="shared" si="191"/>
        <v>-20.910328412644226</v>
      </c>
      <c r="AM201" s="24">
        <f t="shared" si="192"/>
        <v>-28.11084912247836</v>
      </c>
      <c r="AN201" s="79">
        <f t="shared" si="193"/>
        <v>-21.173571872186958</v>
      </c>
      <c r="AO201" s="15">
        <f t="shared" si="194"/>
        <v>-1235.0456159955161</v>
      </c>
      <c r="AP201" s="46">
        <f>SUMPRODUCT(AN202:AN$605, $I202:$I$605) / $I201</f>
        <v>-930.25746044788843</v>
      </c>
      <c r="AR201" s="46">
        <v>0</v>
      </c>
      <c r="AS201" s="46">
        <v>0</v>
      </c>
      <c r="AT201" s="46">
        <v>0</v>
      </c>
      <c r="AU201" s="95">
        <f t="shared" si="165"/>
        <v>-2.5450237176919042</v>
      </c>
      <c r="AV201" s="47">
        <f t="shared" si="166"/>
        <v>0.1</v>
      </c>
      <c r="AW201" s="96">
        <f t="shared" si="195"/>
        <v>-2.7995260894610947</v>
      </c>
      <c r="AX201" s="95">
        <f t="shared" si="167"/>
        <v>-29.18293862953383</v>
      </c>
      <c r="AY201" s="11">
        <f t="shared" si="168"/>
        <v>0.1</v>
      </c>
      <c r="AZ201" s="96">
        <f t="shared" si="196"/>
        <v>-32.101232492487213</v>
      </c>
      <c r="BA201" s="95">
        <f t="shared" si="197"/>
        <v>-2.1086508843970839</v>
      </c>
      <c r="BB201" s="64">
        <f t="shared" si="198"/>
        <v>-1.5189921302695197E-2</v>
      </c>
      <c r="BC201" s="95">
        <f t="shared" si="158"/>
        <v>-2.7995260894610947</v>
      </c>
      <c r="BD201" s="96">
        <f t="shared" si="158"/>
        <v>-2.0166724277790964E-2</v>
      </c>
      <c r="BE201" s="96">
        <f t="shared" si="199"/>
        <v>-2.1086508843970839</v>
      </c>
      <c r="BF201" s="96">
        <f t="shared" si="200"/>
        <v>-1.5189921302695197E-2</v>
      </c>
      <c r="BG201" s="15">
        <f t="shared" si="201"/>
        <v>-131.86474617668239</v>
      </c>
      <c r="BH201" s="46">
        <f>(SUMPRODUCT(BE202:BE$605,$I201:$I$604)+SUMPRODUCT(BF202:BF$605,$I202:$I$605)) / $I201</f>
        <v>-99.322779913718861</v>
      </c>
      <c r="BJ201" s="46">
        <f t="shared" si="202"/>
        <v>-2.1086508843970839</v>
      </c>
      <c r="BK201" s="46">
        <f t="shared" si="203"/>
        <v>-21.188761793489654</v>
      </c>
      <c r="BM201" s="49">
        <f t="shared" si="169"/>
        <v>1367.7696261563055</v>
      </c>
      <c r="BN201" s="50">
        <f t="shared" si="204"/>
        <v>1029.5802403616076</v>
      </c>
      <c r="BP201" s="68">
        <f>INDEX(Others!$H$11:$I$60, MATCH(C201, Others!$A$11:$A$60, 0), MATCH(BP$3, Others!$H$10:$I$10, 0))</f>
        <v>3.0518181818181833E-2</v>
      </c>
      <c r="BQ201" s="16">
        <f t="shared" si="205"/>
        <v>2.5082875760633616E-3</v>
      </c>
      <c r="BR201" s="69">
        <f t="shared" si="206"/>
        <v>0.61196094302730686</v>
      </c>
      <c r="BT201" s="46">
        <f t="shared" si="207"/>
        <v>1050.1476618571412</v>
      </c>
      <c r="BU201" s="49">
        <f t="shared" si="170"/>
        <v>27.323265644710574</v>
      </c>
      <c r="BV201" s="46">
        <f t="shared" si="208"/>
        <v>20.567421495533608</v>
      </c>
      <c r="BX201" s="46">
        <f t="shared" si="209"/>
        <v>1395.0928918010161</v>
      </c>
    </row>
    <row r="202" spans="1:76" x14ac:dyDescent="0.25">
      <c r="A202" s="61">
        <f t="shared" si="159"/>
        <v>16.416666666666703</v>
      </c>
      <c r="B202" s="32">
        <f t="shared" si="171"/>
        <v>5</v>
      </c>
      <c r="C202" s="62">
        <f t="shared" si="172"/>
        <v>17</v>
      </c>
      <c r="D202" s="64">
        <f t="shared" si="173"/>
        <v>16.916666666666703</v>
      </c>
      <c r="E202" s="28">
        <f t="shared" si="174"/>
        <v>16</v>
      </c>
      <c r="G202" s="68">
        <f>INDEX(Others!$D$11:$E$60, MATCH(C202, Others!$A$11:$A$60, 0), MATCH(G$3, Others!$D$10:$E$10, 0))</f>
        <v>4.0690909090909111E-2</v>
      </c>
      <c r="H202" s="16">
        <f t="shared" si="175"/>
        <v>3.329265421250005E-3</v>
      </c>
      <c r="I202" s="69">
        <f t="shared" si="176"/>
        <v>0.51955846683165996</v>
      </c>
      <c r="K202" s="80">
        <f>INDEX(Mortality!$B$7:$F$32, MATCH( E202,Mortality!$A$7:$A$32, 0), MATCH( K$3,Mortality!$B$6:$F$6,0))</f>
        <v>0.39200000000000002</v>
      </c>
      <c r="L202" s="11" cm="1">
        <f t="array" ref="L202">PAD_Res_Mort</f>
        <v>0.15</v>
      </c>
      <c r="M202" s="80">
        <f t="shared" si="177"/>
        <v>0.45079999999999998</v>
      </c>
      <c r="N202" s="76">
        <f>INDEX('Myopia_(Reserve)'!$H:$H, MATCH(E202, 'Myopia_(Reserve)'!$A:$A, 0)) * Trend_Factor_Reserve^(A202)</f>
        <v>5.4524147493872981</v>
      </c>
      <c r="O202" s="11">
        <f t="shared" si="160"/>
        <v>0.3</v>
      </c>
      <c r="P202" s="80">
        <f t="shared" si="178"/>
        <v>7.088139174203488</v>
      </c>
      <c r="Q202" s="76">
        <f>VLOOKUP(C202,Others!$L$10:$M$61,2)</f>
        <v>0</v>
      </c>
      <c r="R202" s="11">
        <f t="shared" si="161"/>
        <v>0</v>
      </c>
      <c r="S202" s="80">
        <f t="shared" si="179"/>
        <v>0</v>
      </c>
      <c r="T202" s="78">
        <f t="shared" si="180"/>
        <v>3.756666666666666E-5</v>
      </c>
      <c r="U202" s="81">
        <f t="shared" si="181"/>
        <v>5.9067826451695735E-4</v>
      </c>
      <c r="V202" s="81">
        <f t="shared" si="182"/>
        <v>0</v>
      </c>
      <c r="W202" s="77">
        <f t="shared" si="162"/>
        <v>0.75274389829442634</v>
      </c>
      <c r="X202" s="82">
        <f t="shared" si="183"/>
        <v>2.8269727489246896E-5</v>
      </c>
      <c r="Y202" s="82">
        <f t="shared" si="184"/>
        <v>4.4462110784693372E-4</v>
      </c>
      <c r="Z202" s="82">
        <f t="shared" si="185"/>
        <v>0</v>
      </c>
      <c r="AA202" s="82">
        <f t="shared" si="186"/>
        <v>0.75227100745909015</v>
      </c>
      <c r="AC202" s="46">
        <f t="shared" si="163"/>
        <v>0</v>
      </c>
      <c r="AD202" s="15">
        <f t="shared" si="187"/>
        <v>0</v>
      </c>
      <c r="AE202" s="46">
        <f t="shared" si="188"/>
        <v>0</v>
      </c>
      <c r="AF202" s="15">
        <f t="shared" si="189"/>
        <v>0</v>
      </c>
      <c r="AG202" s="46">
        <f>SUMPRODUCT(AE203:AE$605, $I202:$I$604) / $I202</f>
        <v>0</v>
      </c>
      <c r="AI202" s="46">
        <f t="shared" si="164"/>
        <v>-47000</v>
      </c>
      <c r="AJ202" s="46">
        <f>IF(E202&gt;Mat_Year,0,  -SUM($AD$5:AD202))</f>
        <v>-9306</v>
      </c>
      <c r="AK202" s="24">
        <f t="shared" si="190"/>
        <v>-0.2630780840149316</v>
      </c>
      <c r="AL202" s="79">
        <f t="shared" si="191"/>
        <v>-20.897192068805886</v>
      </c>
      <c r="AM202" s="24">
        <f t="shared" si="192"/>
        <v>-28.110849122478363</v>
      </c>
      <c r="AN202" s="79">
        <f t="shared" si="193"/>
        <v>-21.160270152820818</v>
      </c>
      <c r="AO202" s="15">
        <f t="shared" si="194"/>
        <v>-1211.8255177595652</v>
      </c>
      <c r="AP202" s="46">
        <f>SUMPRODUCT(AN203:AN$605, $I203:$I$605) / $I202</f>
        <v>-912.19426429099667</v>
      </c>
      <c r="AR202" s="46">
        <v>0</v>
      </c>
      <c r="AS202" s="46">
        <v>0</v>
      </c>
      <c r="AT202" s="46">
        <v>0</v>
      </c>
      <c r="AU202" s="95">
        <f t="shared" si="165"/>
        <v>-2.5499548330001489</v>
      </c>
      <c r="AV202" s="47">
        <f t="shared" si="166"/>
        <v>0.1</v>
      </c>
      <c r="AW202" s="96">
        <f t="shared" si="195"/>
        <v>-2.8049503163001641</v>
      </c>
      <c r="AX202" s="95">
        <f t="shared" si="167"/>
        <v>-29.239482085068367</v>
      </c>
      <c r="AY202" s="11">
        <f t="shared" si="168"/>
        <v>0.1</v>
      </c>
      <c r="AZ202" s="96">
        <f t="shared" si="196"/>
        <v>-32.163430293575203</v>
      </c>
      <c r="BA202" s="95">
        <f t="shared" si="197"/>
        <v>-2.1114092356139698</v>
      </c>
      <c r="BB202" s="64">
        <f t="shared" si="198"/>
        <v>-1.5209791418805794E-2</v>
      </c>
      <c r="BC202" s="95">
        <f t="shared" si="158"/>
        <v>-2.8049503163001641</v>
      </c>
      <c r="BD202" s="96">
        <f t="shared" si="158"/>
        <v>-2.0205798350897659E-2</v>
      </c>
      <c r="BE202" s="96">
        <f t="shared" si="199"/>
        <v>-2.1114092356139698</v>
      </c>
      <c r="BF202" s="96">
        <f t="shared" si="200"/>
        <v>-1.5209791418805794E-2</v>
      </c>
      <c r="BG202" s="15">
        <f t="shared" si="201"/>
        <v>-129.55243285611246</v>
      </c>
      <c r="BH202" s="46">
        <f>(SUMPRODUCT(BE203:BE$605,$I202:$I$604)+SUMPRODUCT(BF203:BF$605,$I203:$I$605)) / $I202</f>
        <v>-97.519803341637015</v>
      </c>
      <c r="BJ202" s="46">
        <f t="shared" si="202"/>
        <v>-2.1114092356139698</v>
      </c>
      <c r="BK202" s="46">
        <f t="shared" si="203"/>
        <v>-21.175479944239623</v>
      </c>
      <c r="BM202" s="49">
        <f t="shared" si="169"/>
        <v>1342.2211644751494</v>
      </c>
      <c r="BN202" s="50">
        <f t="shared" si="204"/>
        <v>1009.7140676326338</v>
      </c>
      <c r="BP202" s="68">
        <f>INDEX(Others!$H$11:$I$60, MATCH(C202, Others!$A$11:$A$60, 0), MATCH(BP$3, Others!$H$10:$I$10, 0))</f>
        <v>3.0518181818181833E-2</v>
      </c>
      <c r="BQ202" s="16">
        <f t="shared" si="205"/>
        <v>2.5082875760633616E-3</v>
      </c>
      <c r="BR202" s="69">
        <f t="shared" si="206"/>
        <v>0.61042980952002901</v>
      </c>
      <c r="BT202" s="46">
        <f t="shared" si="207"/>
        <v>1029.4895489890021</v>
      </c>
      <c r="BU202" s="49">
        <f t="shared" si="170"/>
        <v>26.287709030769285</v>
      </c>
      <c r="BV202" s="46">
        <f t="shared" si="208"/>
        <v>19.775481356368232</v>
      </c>
      <c r="BX202" s="46">
        <f t="shared" si="209"/>
        <v>1368.5088735059187</v>
      </c>
    </row>
    <row r="203" spans="1:76" x14ac:dyDescent="0.25">
      <c r="A203" s="61">
        <f t="shared" si="159"/>
        <v>16.500000000000036</v>
      </c>
      <c r="B203" s="32">
        <f t="shared" si="171"/>
        <v>6</v>
      </c>
      <c r="C203" s="62">
        <f t="shared" si="172"/>
        <v>17</v>
      </c>
      <c r="D203" s="64">
        <f t="shared" si="173"/>
        <v>17.000000000000036</v>
      </c>
      <c r="E203" s="28">
        <f t="shared" si="174"/>
        <v>17</v>
      </c>
      <c r="G203" s="68">
        <f>INDEX(Others!$D$11:$E$60, MATCH(C203, Others!$A$11:$A$60, 0), MATCH(G$3, Others!$D$10:$E$10, 0))</f>
        <v>4.0690909090909111E-2</v>
      </c>
      <c r="H203" s="16">
        <f t="shared" si="175"/>
        <v>3.329265421250005E-3</v>
      </c>
      <c r="I203" s="69">
        <f t="shared" si="176"/>
        <v>0.51783445847512699</v>
      </c>
      <c r="K203" s="80">
        <f>INDEX(Mortality!$B$7:$F$32, MATCH( E203,Mortality!$A$7:$A$32, 0), MATCH( K$3,Mortality!$B$6:$F$6,0))</f>
        <v>0.40099999999999997</v>
      </c>
      <c r="L203" s="11" cm="1">
        <f t="array" ref="L203">PAD_Res_Mort</f>
        <v>0.15</v>
      </c>
      <c r="M203" s="80">
        <f t="shared" si="177"/>
        <v>0.46114999999999995</v>
      </c>
      <c r="N203" s="76">
        <f>INDEX('Myopia_(Reserve)'!$H:$H, MATCH(E203, 'Myopia_(Reserve)'!$A:$A, 0)) * Trend_Factor_Reserve^(A203)</f>
        <v>5.4228471376701828</v>
      </c>
      <c r="O203" s="11">
        <f t="shared" si="160"/>
        <v>0.3</v>
      </c>
      <c r="P203" s="80">
        <f t="shared" si="178"/>
        <v>7.0497012789712379</v>
      </c>
      <c r="Q203" s="76">
        <f>VLOOKUP(C203,Others!$L$10:$M$61,2)</f>
        <v>0</v>
      </c>
      <c r="R203" s="11">
        <f t="shared" si="161"/>
        <v>0</v>
      </c>
      <c r="S203" s="80">
        <f t="shared" si="179"/>
        <v>0</v>
      </c>
      <c r="T203" s="78">
        <f t="shared" si="180"/>
        <v>3.8429166666666661E-5</v>
      </c>
      <c r="U203" s="81">
        <f t="shared" si="181"/>
        <v>5.8747510658093652E-4</v>
      </c>
      <c r="V203" s="81">
        <f t="shared" si="182"/>
        <v>0</v>
      </c>
      <c r="W203" s="77">
        <f t="shared" si="162"/>
        <v>0.75227100745909015</v>
      </c>
      <c r="X203" s="82">
        <f t="shared" si="183"/>
        <v>2.8900656221767661E-5</v>
      </c>
      <c r="Y203" s="82">
        <f t="shared" si="184"/>
        <v>4.4193199858239853E-4</v>
      </c>
      <c r="Z203" s="82">
        <f t="shared" si="185"/>
        <v>0</v>
      </c>
      <c r="AA203" s="82">
        <f t="shared" si="186"/>
        <v>0.75180017480428596</v>
      </c>
      <c r="AC203" s="46">
        <f t="shared" si="163"/>
        <v>0</v>
      </c>
      <c r="AD203" s="15">
        <f t="shared" si="187"/>
        <v>0</v>
      </c>
      <c r="AE203" s="46">
        <f t="shared" si="188"/>
        <v>0</v>
      </c>
      <c r="AF203" s="15">
        <f t="shared" si="189"/>
        <v>0</v>
      </c>
      <c r="AG203" s="46">
        <f>SUMPRODUCT(AE204:AE$605, $I203:$I$604) / $I203</f>
        <v>0</v>
      </c>
      <c r="AI203" s="46">
        <f t="shared" si="164"/>
        <v>-47000</v>
      </c>
      <c r="AJ203" s="46">
        <f>IF(E203&gt;Mat_Year,0,  -SUM($AD$5:AD203))</f>
        <v>-9306</v>
      </c>
      <c r="AK203" s="24">
        <f t="shared" si="190"/>
        <v>-0.26894950679976987</v>
      </c>
      <c r="AL203" s="79">
        <f t="shared" si="191"/>
        <v>-20.770803933372729</v>
      </c>
      <c r="AM203" s="24">
        <f t="shared" si="192"/>
        <v>-27.968316247142731</v>
      </c>
      <c r="AN203" s="79">
        <f t="shared" si="193"/>
        <v>-21.0397534401725</v>
      </c>
      <c r="AO203" s="15">
        <f t="shared" si="194"/>
        <v>-1188.6560013693186</v>
      </c>
      <c r="AP203" s="46">
        <f>SUMPRODUCT(AN204:AN$605, $I204:$I$605) / $I203</f>
        <v>-894.19144767239084</v>
      </c>
      <c r="AR203" s="46">
        <v>0</v>
      </c>
      <c r="AS203" s="46">
        <v>0</v>
      </c>
      <c r="AT203" s="46">
        <v>0</v>
      </c>
      <c r="AU203" s="95">
        <f t="shared" si="165"/>
        <v>-2.5548955025997797</v>
      </c>
      <c r="AV203" s="47">
        <f t="shared" si="166"/>
        <v>0.1</v>
      </c>
      <c r="AW203" s="96">
        <f t="shared" si="195"/>
        <v>-2.810385052859758</v>
      </c>
      <c r="AX203" s="95">
        <f t="shared" si="167"/>
        <v>-29.296135096477467</v>
      </c>
      <c r="AY203" s="11">
        <f t="shared" si="168"/>
        <v>0.1</v>
      </c>
      <c r="AZ203" s="96">
        <f t="shared" si="196"/>
        <v>-32.225748606125215</v>
      </c>
      <c r="BA203" s="95">
        <f t="shared" si="197"/>
        <v>-2.1141711950627786</v>
      </c>
      <c r="BB203" s="64">
        <f t="shared" si="198"/>
        <v>-1.5172934769273594E-2</v>
      </c>
      <c r="BC203" s="95">
        <f t="shared" si="158"/>
        <v>-2.810385052859758</v>
      </c>
      <c r="BD203" s="96">
        <f t="shared" si="158"/>
        <v>-2.0169506226914807E-2</v>
      </c>
      <c r="BE203" s="96">
        <f t="shared" si="199"/>
        <v>-2.1141711950627786</v>
      </c>
      <c r="BF203" s="96">
        <f t="shared" si="200"/>
        <v>-1.5172934769273594E-2</v>
      </c>
      <c r="BG203" s="15">
        <f t="shared" si="201"/>
        <v>-127.22554629238165</v>
      </c>
      <c r="BH203" s="46">
        <f>(SUMPRODUCT(BE204:BE$605,$I203:$I$604)+SUMPRODUCT(BF204:BF$605,$I204:$I$605)) / $I203</f>
        <v>-95.708089883903057</v>
      </c>
      <c r="BJ203" s="46">
        <f t="shared" si="202"/>
        <v>-2.1141711950627786</v>
      </c>
      <c r="BK203" s="46">
        <f t="shared" si="203"/>
        <v>-21.054926374941775</v>
      </c>
      <c r="BM203" s="49">
        <f t="shared" si="169"/>
        <v>1316.7056496282298</v>
      </c>
      <c r="BN203" s="50">
        <f t="shared" si="204"/>
        <v>989.89953755629404</v>
      </c>
      <c r="BP203" s="68">
        <f>INDEX(Others!$H$11:$I$60, MATCH(C203, Others!$A$11:$A$60, 0), MATCH(BP$3, Others!$H$10:$I$10, 0))</f>
        <v>3.0518181818181833E-2</v>
      </c>
      <c r="BQ203" s="16">
        <f t="shared" si="205"/>
        <v>2.5082875760633616E-3</v>
      </c>
      <c r="BR203" s="69">
        <f t="shared" si="206"/>
        <v>0.60890250692687053</v>
      </c>
      <c r="BT203" s="46">
        <f t="shared" si="207"/>
        <v>1008.8974043150715</v>
      </c>
      <c r="BU203" s="49">
        <f t="shared" si="170"/>
        <v>25.269835516762353</v>
      </c>
      <c r="BV203" s="46">
        <f t="shared" si="208"/>
        <v>18.997866758777491</v>
      </c>
      <c r="BX203" s="46">
        <f t="shared" si="209"/>
        <v>1341.9754851449923</v>
      </c>
    </row>
    <row r="204" spans="1:76" x14ac:dyDescent="0.25">
      <c r="A204" s="61">
        <f t="shared" si="159"/>
        <v>16.583333333333368</v>
      </c>
      <c r="B204" s="32">
        <f t="shared" si="171"/>
        <v>7</v>
      </c>
      <c r="C204" s="62">
        <f t="shared" si="172"/>
        <v>17</v>
      </c>
      <c r="D204" s="64">
        <f t="shared" si="173"/>
        <v>17.083333333333368</v>
      </c>
      <c r="E204" s="28">
        <f t="shared" si="174"/>
        <v>17</v>
      </c>
      <c r="G204" s="68">
        <f>INDEX(Others!$D$11:$E$60, MATCH(C204, Others!$A$11:$A$60, 0), MATCH(G$3, Others!$D$10:$E$10, 0))</f>
        <v>4.0690909090909111E-2</v>
      </c>
      <c r="H204" s="16">
        <f t="shared" si="175"/>
        <v>3.329265421250005E-3</v>
      </c>
      <c r="I204" s="69">
        <f t="shared" si="176"/>
        <v>0.51611617075448613</v>
      </c>
      <c r="K204" s="80">
        <f>INDEX(Mortality!$B$7:$F$32, MATCH( E204,Mortality!$A$7:$A$32, 0), MATCH( K$3,Mortality!$B$6:$F$6,0))</f>
        <v>0.40099999999999997</v>
      </c>
      <c r="L204" s="11" cm="1">
        <f t="array" ref="L204">PAD_Res_Mort</f>
        <v>0.15</v>
      </c>
      <c r="M204" s="80">
        <f t="shared" si="177"/>
        <v>0.46114999999999995</v>
      </c>
      <c r="N204" s="76">
        <f>INDEX('Myopia_(Reserve)'!$H:$H, MATCH(E204, 'Myopia_(Reserve)'!$A:$A, 0)) * Trend_Factor_Reserve^(A204)</f>
        <v>5.4228471376701828</v>
      </c>
      <c r="O204" s="11">
        <f t="shared" si="160"/>
        <v>0.3</v>
      </c>
      <c r="P204" s="80">
        <f t="shared" si="178"/>
        <v>7.0497012789712379</v>
      </c>
      <c r="Q204" s="76">
        <f>VLOOKUP(C204,Others!$L$10:$M$61,2)</f>
        <v>0</v>
      </c>
      <c r="R204" s="11">
        <f t="shared" si="161"/>
        <v>0</v>
      </c>
      <c r="S204" s="80">
        <f t="shared" si="179"/>
        <v>0</v>
      </c>
      <c r="T204" s="78">
        <f t="shared" si="180"/>
        <v>3.8429166666666661E-5</v>
      </c>
      <c r="U204" s="81">
        <f t="shared" si="181"/>
        <v>5.8747510658093652E-4</v>
      </c>
      <c r="V204" s="81">
        <f t="shared" si="182"/>
        <v>0</v>
      </c>
      <c r="W204" s="77">
        <f t="shared" si="162"/>
        <v>0.75180017480428596</v>
      </c>
      <c r="X204" s="82">
        <f t="shared" si="183"/>
        <v>2.8882567830005179E-5</v>
      </c>
      <c r="Y204" s="82">
        <f t="shared" si="184"/>
        <v>4.4165540143313673E-4</v>
      </c>
      <c r="Z204" s="82">
        <f t="shared" si="185"/>
        <v>0</v>
      </c>
      <c r="AA204" s="82">
        <f t="shared" si="186"/>
        <v>0.75132963683502285</v>
      </c>
      <c r="AC204" s="46">
        <f t="shared" si="163"/>
        <v>0</v>
      </c>
      <c r="AD204" s="15">
        <f t="shared" si="187"/>
        <v>0</v>
      </c>
      <c r="AE204" s="46">
        <f t="shared" si="188"/>
        <v>0</v>
      </c>
      <c r="AF204" s="15">
        <f t="shared" si="189"/>
        <v>0</v>
      </c>
      <c r="AG204" s="46">
        <f>SUMPRODUCT(AE205:AE$605, $I204:$I$604) / $I204</f>
        <v>0</v>
      </c>
      <c r="AI204" s="46">
        <f t="shared" si="164"/>
        <v>-47000</v>
      </c>
      <c r="AJ204" s="46">
        <f>IF(E204&gt;Mat_Year,0,  -SUM($AD$5:AD204))</f>
        <v>-9306</v>
      </c>
      <c r="AK204" s="24">
        <f t="shared" si="190"/>
        <v>-0.26878117622602821</v>
      </c>
      <c r="AL204" s="79">
        <f t="shared" si="191"/>
        <v>-20.757803867357428</v>
      </c>
      <c r="AM204" s="24">
        <f t="shared" si="192"/>
        <v>-27.968316247142731</v>
      </c>
      <c r="AN204" s="79">
        <f t="shared" si="193"/>
        <v>-21.026585043583456</v>
      </c>
      <c r="AO204" s="15">
        <f t="shared" si="194"/>
        <v>-1165.3919387869312</v>
      </c>
      <c r="AP204" s="46">
        <f>SUMPRODUCT(AN205:AN$605, $I205:$I$605) / $I204</f>
        <v>-876.14186329552058</v>
      </c>
      <c r="AR204" s="46">
        <v>0</v>
      </c>
      <c r="AS204" s="46">
        <v>0</v>
      </c>
      <c r="AT204" s="46">
        <v>0</v>
      </c>
      <c r="AU204" s="95">
        <f t="shared" si="165"/>
        <v>-2.5598457450027308</v>
      </c>
      <c r="AV204" s="47">
        <f t="shared" si="166"/>
        <v>0.1</v>
      </c>
      <c r="AW204" s="96">
        <f t="shared" si="195"/>
        <v>-2.8158303195030041</v>
      </c>
      <c r="AX204" s="95">
        <f t="shared" si="167"/>
        <v>-29.352897876031307</v>
      </c>
      <c r="AY204" s="11">
        <f t="shared" si="168"/>
        <v>0.1</v>
      </c>
      <c r="AZ204" s="96">
        <f t="shared" si="196"/>
        <v>-32.288187663634439</v>
      </c>
      <c r="BA204" s="95">
        <f t="shared" si="197"/>
        <v>-2.1169417264215671</v>
      </c>
      <c r="BB204" s="64">
        <f t="shared" si="198"/>
        <v>-1.5192818254433778E-2</v>
      </c>
      <c r="BC204" s="95">
        <f t="shared" si="158"/>
        <v>-2.8158303195030046</v>
      </c>
      <c r="BD204" s="96">
        <f t="shared" si="158"/>
        <v>-2.0208585690192054E-2</v>
      </c>
      <c r="BE204" s="96">
        <f t="shared" si="199"/>
        <v>-2.1169417264215671</v>
      </c>
      <c r="BF204" s="96">
        <f t="shared" si="200"/>
        <v>-1.5192818254433778E-2</v>
      </c>
      <c r="BG204" s="15">
        <f t="shared" si="201"/>
        <v>-124.88364363171948</v>
      </c>
      <c r="BH204" s="46">
        <f>(SUMPRODUCT(BE205:BE$605,$I204:$I$604)+SUMPRODUCT(BF205:BF$605,$I205:$I$605)) / $I204</f>
        <v>-93.887545112522858</v>
      </c>
      <c r="BJ204" s="46">
        <f t="shared" si="202"/>
        <v>-2.1169417264215671</v>
      </c>
      <c r="BK204" s="46">
        <f t="shared" si="203"/>
        <v>-21.04177786183789</v>
      </c>
      <c r="BM204" s="49">
        <f t="shared" si="169"/>
        <v>1291.0836480433459</v>
      </c>
      <c r="BN204" s="50">
        <f t="shared" si="204"/>
        <v>970.02940840804354</v>
      </c>
      <c r="BP204" s="68">
        <f>INDEX(Others!$H$11:$I$60, MATCH(C204, Others!$A$11:$A$60, 0), MATCH(BP$3, Others!$H$10:$I$10, 0))</f>
        <v>3.0518181818181833E-2</v>
      </c>
      <c r="BQ204" s="16">
        <f t="shared" si="205"/>
        <v>2.5082875760633616E-3</v>
      </c>
      <c r="BR204" s="69">
        <f t="shared" si="206"/>
        <v>0.60737902566283897</v>
      </c>
      <c r="BT204" s="46">
        <f t="shared" si="207"/>
        <v>988.26397965294643</v>
      </c>
      <c r="BU204" s="49">
        <f t="shared" si="170"/>
        <v>24.269735081549626</v>
      </c>
      <c r="BV204" s="46">
        <f t="shared" si="208"/>
        <v>18.234571244902895</v>
      </c>
      <c r="BX204" s="46">
        <f t="shared" si="209"/>
        <v>1315.3533831248956</v>
      </c>
    </row>
    <row r="205" spans="1:76" x14ac:dyDescent="0.25">
      <c r="A205" s="61">
        <f t="shared" si="159"/>
        <v>16.6666666666667</v>
      </c>
      <c r="B205" s="32">
        <f t="shared" si="171"/>
        <v>8</v>
      </c>
      <c r="C205" s="62">
        <f t="shared" si="172"/>
        <v>17</v>
      </c>
      <c r="D205" s="64">
        <f t="shared" si="173"/>
        <v>17.1666666666667</v>
      </c>
      <c r="E205" s="28">
        <f t="shared" si="174"/>
        <v>17</v>
      </c>
      <c r="G205" s="68">
        <f>INDEX(Others!$D$11:$E$60, MATCH(C205, Others!$A$11:$A$60, 0), MATCH(G$3, Others!$D$10:$E$10, 0))</f>
        <v>4.0690909090909111E-2</v>
      </c>
      <c r="H205" s="16">
        <f t="shared" si="175"/>
        <v>3.329265421250005E-3</v>
      </c>
      <c r="I205" s="69">
        <f t="shared" si="176"/>
        <v>0.5144035846874192</v>
      </c>
      <c r="K205" s="80">
        <f>INDEX(Mortality!$B$7:$F$32, MATCH( E205,Mortality!$A$7:$A$32, 0), MATCH( K$3,Mortality!$B$6:$F$6,0))</f>
        <v>0.40099999999999997</v>
      </c>
      <c r="L205" s="11" cm="1">
        <f t="array" ref="L205">PAD_Res_Mort</f>
        <v>0.15</v>
      </c>
      <c r="M205" s="80">
        <f t="shared" si="177"/>
        <v>0.46114999999999995</v>
      </c>
      <c r="N205" s="76">
        <f>INDEX('Myopia_(Reserve)'!$H:$H, MATCH(E205, 'Myopia_(Reserve)'!$A:$A, 0)) * Trend_Factor_Reserve^(A205)</f>
        <v>5.4228471376701828</v>
      </c>
      <c r="O205" s="11">
        <f t="shared" si="160"/>
        <v>0.3</v>
      </c>
      <c r="P205" s="80">
        <f t="shared" si="178"/>
        <v>7.0497012789712379</v>
      </c>
      <c r="Q205" s="76">
        <f>VLOOKUP(C205,Others!$L$10:$M$61,2)</f>
        <v>0</v>
      </c>
      <c r="R205" s="11">
        <f t="shared" si="161"/>
        <v>0</v>
      </c>
      <c r="S205" s="80">
        <f t="shared" si="179"/>
        <v>0</v>
      </c>
      <c r="T205" s="78">
        <f t="shared" si="180"/>
        <v>3.8429166666666661E-5</v>
      </c>
      <c r="U205" s="81">
        <f t="shared" si="181"/>
        <v>5.8747510658093652E-4</v>
      </c>
      <c r="V205" s="81">
        <f t="shared" si="182"/>
        <v>0</v>
      </c>
      <c r="W205" s="77">
        <f t="shared" si="162"/>
        <v>0.75132963683502285</v>
      </c>
      <c r="X205" s="82">
        <f t="shared" si="183"/>
        <v>2.8864490759436033E-5</v>
      </c>
      <c r="Y205" s="82">
        <f t="shared" si="184"/>
        <v>4.4137897740096824E-4</v>
      </c>
      <c r="Z205" s="82">
        <f t="shared" si="185"/>
        <v>0</v>
      </c>
      <c r="AA205" s="82">
        <f t="shared" si="186"/>
        <v>0.75085939336686247</v>
      </c>
      <c r="AC205" s="46">
        <f t="shared" si="163"/>
        <v>0</v>
      </c>
      <c r="AD205" s="15">
        <f t="shared" si="187"/>
        <v>0</v>
      </c>
      <c r="AE205" s="46">
        <f t="shared" si="188"/>
        <v>0</v>
      </c>
      <c r="AF205" s="15">
        <f t="shared" si="189"/>
        <v>0</v>
      </c>
      <c r="AG205" s="46">
        <f>SUMPRODUCT(AE206:AE$605, $I205:$I$604) / $I205</f>
        <v>0</v>
      </c>
      <c r="AI205" s="46">
        <f t="shared" si="164"/>
        <v>-47000</v>
      </c>
      <c r="AJ205" s="46">
        <f>IF(E205&gt;Mat_Year,0,  -SUM($AD$5:AD205))</f>
        <v>-9306</v>
      </c>
      <c r="AK205" s="24">
        <f t="shared" si="190"/>
        <v>-0.2686129510073117</v>
      </c>
      <c r="AL205" s="79">
        <f t="shared" si="191"/>
        <v>-20.744811937845508</v>
      </c>
      <c r="AM205" s="24">
        <f t="shared" si="192"/>
        <v>-27.968316247142734</v>
      </c>
      <c r="AN205" s="79">
        <f t="shared" si="193"/>
        <v>-21.013424888852821</v>
      </c>
      <c r="AO205" s="15">
        <f t="shared" si="194"/>
        <v>-1142.0358057892731</v>
      </c>
      <c r="AP205" s="46">
        <f>SUMPRODUCT(AN206:AN$605, $I206:$I$605) / $I205</f>
        <v>-858.04534721624725</v>
      </c>
      <c r="AR205" s="46">
        <v>0</v>
      </c>
      <c r="AS205" s="46">
        <v>0</v>
      </c>
      <c r="AT205" s="46">
        <v>0</v>
      </c>
      <c r="AU205" s="95">
        <f t="shared" si="165"/>
        <v>-2.5648055787568049</v>
      </c>
      <c r="AV205" s="47">
        <f t="shared" si="166"/>
        <v>0.1</v>
      </c>
      <c r="AW205" s="96">
        <f t="shared" si="195"/>
        <v>-2.8212861366324855</v>
      </c>
      <c r="AX205" s="95">
        <f t="shared" si="167"/>
        <v>-29.409770636411359</v>
      </c>
      <c r="AY205" s="11">
        <f t="shared" si="168"/>
        <v>0.1</v>
      </c>
      <c r="AZ205" s="96">
        <f t="shared" si="196"/>
        <v>-32.350747700052494</v>
      </c>
      <c r="BA205" s="95">
        <f t="shared" si="197"/>
        <v>-2.1197158884437699</v>
      </c>
      <c r="BB205" s="64">
        <f t="shared" si="198"/>
        <v>-1.5212727796054907E-2</v>
      </c>
      <c r="BC205" s="95">
        <f t="shared" si="158"/>
        <v>-2.8212861366324855</v>
      </c>
      <c r="BD205" s="96">
        <f t="shared" si="158"/>
        <v>-2.0247740871954079E-2</v>
      </c>
      <c r="BE205" s="96">
        <f t="shared" si="199"/>
        <v>-2.1197158884437699</v>
      </c>
      <c r="BF205" s="96">
        <f t="shared" si="200"/>
        <v>-1.5212727796054907E-2</v>
      </c>
      <c r="BG205" s="15">
        <f t="shared" si="201"/>
        <v>-122.52695946441959</v>
      </c>
      <c r="BH205" s="46">
        <f>(SUMPRODUCT(BE206:BE$605,$I205:$I$604)+SUMPRODUCT(BF206:BF$605,$I206:$I$605)) / $I205</f>
        <v>-92.058135956901936</v>
      </c>
      <c r="BJ205" s="46">
        <f t="shared" si="202"/>
        <v>-2.1197158884437699</v>
      </c>
      <c r="BK205" s="46">
        <f t="shared" si="203"/>
        <v>-21.028637616648876</v>
      </c>
      <c r="BM205" s="49">
        <f t="shared" si="169"/>
        <v>1265.3547276180082</v>
      </c>
      <c r="BN205" s="50">
        <f t="shared" si="204"/>
        <v>950.10348317314913</v>
      </c>
      <c r="BP205" s="68">
        <f>INDEX(Others!$H$11:$I$60, MATCH(C205, Others!$A$11:$A$60, 0), MATCH(BP$3, Others!$H$10:$I$10, 0))</f>
        <v>3.0518181818181833E-2</v>
      </c>
      <c r="BQ205" s="16">
        <f t="shared" si="205"/>
        <v>2.5082875760633616E-3</v>
      </c>
      <c r="BR205" s="69">
        <f t="shared" si="206"/>
        <v>0.60585935616692377</v>
      </c>
      <c r="BT205" s="46">
        <f t="shared" si="207"/>
        <v>967.58915955286045</v>
      </c>
      <c r="BU205" s="49">
        <f t="shared" si="170"/>
        <v>23.28755095052529</v>
      </c>
      <c r="BV205" s="46">
        <f t="shared" si="208"/>
        <v>17.485676379711322</v>
      </c>
      <c r="BX205" s="46">
        <f t="shared" si="209"/>
        <v>1288.6422785685334</v>
      </c>
    </row>
    <row r="206" spans="1:76" x14ac:dyDescent="0.25">
      <c r="A206" s="61">
        <f t="shared" si="159"/>
        <v>16.750000000000032</v>
      </c>
      <c r="B206" s="32">
        <f t="shared" si="171"/>
        <v>9</v>
      </c>
      <c r="C206" s="62">
        <f t="shared" si="172"/>
        <v>17</v>
      </c>
      <c r="D206" s="64">
        <f t="shared" si="173"/>
        <v>17.250000000000032</v>
      </c>
      <c r="E206" s="28">
        <f t="shared" si="174"/>
        <v>17</v>
      </c>
      <c r="G206" s="68">
        <f>INDEX(Others!$D$11:$E$60, MATCH(C206, Others!$A$11:$A$60, 0), MATCH(G$3, Others!$D$10:$E$10, 0))</f>
        <v>4.0690909090909111E-2</v>
      </c>
      <c r="H206" s="16">
        <f t="shared" si="175"/>
        <v>3.329265421250005E-3</v>
      </c>
      <c r="I206" s="69">
        <f t="shared" si="176"/>
        <v>0.51269668135459567</v>
      </c>
      <c r="K206" s="80">
        <f>INDEX(Mortality!$B$7:$F$32, MATCH( E206,Mortality!$A$7:$A$32, 0), MATCH( K$3,Mortality!$B$6:$F$6,0))</f>
        <v>0.40099999999999997</v>
      </c>
      <c r="L206" s="11" cm="1">
        <f t="array" ref="L206">PAD_Res_Mort</f>
        <v>0.15</v>
      </c>
      <c r="M206" s="80">
        <f t="shared" si="177"/>
        <v>0.46114999999999995</v>
      </c>
      <c r="N206" s="76">
        <f>INDEX('Myopia_(Reserve)'!$H:$H, MATCH(E206, 'Myopia_(Reserve)'!$A:$A, 0)) * Trend_Factor_Reserve^(A206)</f>
        <v>5.4228471376701828</v>
      </c>
      <c r="O206" s="11">
        <f t="shared" si="160"/>
        <v>0.3</v>
      </c>
      <c r="P206" s="80">
        <f t="shared" si="178"/>
        <v>7.0497012789712379</v>
      </c>
      <c r="Q206" s="76">
        <f>VLOOKUP(C206,Others!$L$10:$M$61,2)</f>
        <v>0</v>
      </c>
      <c r="R206" s="11">
        <f t="shared" si="161"/>
        <v>0</v>
      </c>
      <c r="S206" s="80">
        <f t="shared" si="179"/>
        <v>0</v>
      </c>
      <c r="T206" s="78">
        <f t="shared" si="180"/>
        <v>3.8429166666666661E-5</v>
      </c>
      <c r="U206" s="81">
        <f t="shared" si="181"/>
        <v>5.8747510658093652E-4</v>
      </c>
      <c r="V206" s="81">
        <f t="shared" si="182"/>
        <v>0</v>
      </c>
      <c r="W206" s="77">
        <f t="shared" si="162"/>
        <v>0.75085939336686247</v>
      </c>
      <c r="X206" s="82">
        <f t="shared" si="183"/>
        <v>2.8846425002974492E-5</v>
      </c>
      <c r="Y206" s="82">
        <f t="shared" si="184"/>
        <v>4.4110272637754196E-4</v>
      </c>
      <c r="Z206" s="82">
        <f t="shared" si="185"/>
        <v>0</v>
      </c>
      <c r="AA206" s="82">
        <f t="shared" si="186"/>
        <v>0.75038944421548193</v>
      </c>
      <c r="AC206" s="46">
        <f t="shared" si="163"/>
        <v>0</v>
      </c>
      <c r="AD206" s="15">
        <f t="shared" si="187"/>
        <v>0</v>
      </c>
      <c r="AE206" s="46">
        <f t="shared" si="188"/>
        <v>0</v>
      </c>
      <c r="AF206" s="15">
        <f t="shared" si="189"/>
        <v>0</v>
      </c>
      <c r="AG206" s="46">
        <f>SUMPRODUCT(AE207:AE$605, $I206:$I$604) / $I206</f>
        <v>0</v>
      </c>
      <c r="AI206" s="46">
        <f t="shared" si="164"/>
        <v>-47000</v>
      </c>
      <c r="AJ206" s="46">
        <f>IF(E206&gt;Mat_Year,0,  -SUM($AD$5:AD206))</f>
        <v>-9306</v>
      </c>
      <c r="AK206" s="24">
        <f t="shared" si="190"/>
        <v>-0.26844483107768063</v>
      </c>
      <c r="AL206" s="79">
        <f t="shared" si="191"/>
        <v>-20.731828139744472</v>
      </c>
      <c r="AM206" s="24">
        <f t="shared" si="192"/>
        <v>-27.968316247142727</v>
      </c>
      <c r="AN206" s="79">
        <f t="shared" si="193"/>
        <v>-21.000272970822152</v>
      </c>
      <c r="AO206" s="15">
        <f t="shared" si="194"/>
        <v>-1118.5872379962475</v>
      </c>
      <c r="AP206" s="46">
        <f>SUMPRODUCT(AN207:AN$605, $I207:$I$605) / $I206</f>
        <v>-839.9017349497766</v>
      </c>
      <c r="AR206" s="46">
        <v>0</v>
      </c>
      <c r="AS206" s="46">
        <v>0</v>
      </c>
      <c r="AT206" s="46">
        <v>0</v>
      </c>
      <c r="AU206" s="95">
        <f t="shared" si="165"/>
        <v>-2.5697750224457421</v>
      </c>
      <c r="AV206" s="47">
        <f t="shared" si="166"/>
        <v>0.1</v>
      </c>
      <c r="AW206" s="96">
        <f t="shared" si="195"/>
        <v>-2.8267525246903165</v>
      </c>
      <c r="AX206" s="95">
        <f t="shared" si="167"/>
        <v>-29.466753590711171</v>
      </c>
      <c r="AY206" s="11">
        <f t="shared" si="168"/>
        <v>0.1</v>
      </c>
      <c r="AZ206" s="96">
        <f t="shared" si="196"/>
        <v>-32.413428949782293</v>
      </c>
      <c r="BA206" s="95">
        <f t="shared" si="197"/>
        <v>-2.1224936858872181</v>
      </c>
      <c r="BB206" s="64">
        <f t="shared" si="198"/>
        <v>-1.5232663428282854E-2</v>
      </c>
      <c r="BC206" s="95">
        <f t="shared" si="158"/>
        <v>-2.8267525246903165</v>
      </c>
      <c r="BD206" s="96">
        <f t="shared" si="158"/>
        <v>-2.0286971918909359E-2</v>
      </c>
      <c r="BE206" s="96">
        <f t="shared" si="199"/>
        <v>-2.1224936858872181</v>
      </c>
      <c r="BF206" s="96">
        <f t="shared" si="200"/>
        <v>-1.5232663428282854E-2</v>
      </c>
      <c r="BG206" s="15">
        <f t="shared" si="201"/>
        <v>-120.15542460884781</v>
      </c>
      <c r="BH206" s="46">
        <f>(SUMPRODUCT(BE207:BE$605,$I206:$I$604)+SUMPRODUCT(BF207:BF$605,$I207:$I$605)) / $I206</f>
        <v>-90.219829231537247</v>
      </c>
      <c r="BJ206" s="46">
        <f t="shared" si="202"/>
        <v>-2.1224936858872181</v>
      </c>
      <c r="BK206" s="46">
        <f t="shared" si="203"/>
        <v>-21.015505634250434</v>
      </c>
      <c r="BM206" s="49">
        <f t="shared" si="169"/>
        <v>1239.5184545189577</v>
      </c>
      <c r="BN206" s="50">
        <f t="shared" si="204"/>
        <v>930.12156418131383</v>
      </c>
      <c r="BP206" s="68">
        <f>INDEX(Others!$H$11:$I$60, MATCH(C206, Others!$A$11:$A$60, 0), MATCH(BP$3, Others!$H$10:$I$10, 0))</f>
        <v>3.0518181818181833E-2</v>
      </c>
      <c r="BQ206" s="16">
        <f t="shared" si="205"/>
        <v>2.5082875760633616E-3</v>
      </c>
      <c r="BR206" s="69">
        <f t="shared" si="206"/>
        <v>0.60434348890203604</v>
      </c>
      <c r="BT206" s="46">
        <f t="shared" si="207"/>
        <v>946.87282827582021</v>
      </c>
      <c r="BU206" s="49">
        <f t="shared" si="170"/>
        <v>22.323427153242427</v>
      </c>
      <c r="BV206" s="46">
        <f t="shared" si="208"/>
        <v>16.751264094506382</v>
      </c>
      <c r="BX206" s="46">
        <f t="shared" si="209"/>
        <v>1261.8418816722001</v>
      </c>
    </row>
    <row r="207" spans="1:76" x14ac:dyDescent="0.25">
      <c r="A207" s="61">
        <f t="shared" si="159"/>
        <v>16.833333333333364</v>
      </c>
      <c r="B207" s="32">
        <f t="shared" si="171"/>
        <v>10</v>
      </c>
      <c r="C207" s="62">
        <f t="shared" si="172"/>
        <v>17</v>
      </c>
      <c r="D207" s="64">
        <f t="shared" si="173"/>
        <v>17.333333333333364</v>
      </c>
      <c r="E207" s="28">
        <f t="shared" si="174"/>
        <v>17</v>
      </c>
      <c r="G207" s="68">
        <f>INDEX(Others!$D$11:$E$60, MATCH(C207, Others!$A$11:$A$60, 0), MATCH(G$3, Others!$D$10:$E$10, 0))</f>
        <v>4.0690909090909111E-2</v>
      </c>
      <c r="H207" s="16">
        <f t="shared" si="175"/>
        <v>3.329265421250005E-3</v>
      </c>
      <c r="I207" s="69">
        <f t="shared" si="176"/>
        <v>0.51099544189946344</v>
      </c>
      <c r="K207" s="80">
        <f>INDEX(Mortality!$B$7:$F$32, MATCH( E207,Mortality!$A$7:$A$32, 0), MATCH( K$3,Mortality!$B$6:$F$6,0))</f>
        <v>0.40099999999999997</v>
      </c>
      <c r="L207" s="11" cm="1">
        <f t="array" ref="L207">PAD_Res_Mort</f>
        <v>0.15</v>
      </c>
      <c r="M207" s="80">
        <f t="shared" si="177"/>
        <v>0.46114999999999995</v>
      </c>
      <c r="N207" s="76">
        <f>INDEX('Myopia_(Reserve)'!$H:$H, MATCH(E207, 'Myopia_(Reserve)'!$A:$A, 0)) * Trend_Factor_Reserve^(A207)</f>
        <v>5.4228471376701828</v>
      </c>
      <c r="O207" s="11">
        <f t="shared" si="160"/>
        <v>0.3</v>
      </c>
      <c r="P207" s="80">
        <f t="shared" si="178"/>
        <v>7.0497012789712379</v>
      </c>
      <c r="Q207" s="76">
        <f>VLOOKUP(C207,Others!$L$10:$M$61,2)</f>
        <v>0</v>
      </c>
      <c r="R207" s="11">
        <f t="shared" si="161"/>
        <v>0</v>
      </c>
      <c r="S207" s="80">
        <f t="shared" si="179"/>
        <v>0</v>
      </c>
      <c r="T207" s="78">
        <f t="shared" si="180"/>
        <v>3.8429166666666661E-5</v>
      </c>
      <c r="U207" s="81">
        <f t="shared" si="181"/>
        <v>5.8747510658093652E-4</v>
      </c>
      <c r="V207" s="81">
        <f t="shared" si="182"/>
        <v>0</v>
      </c>
      <c r="W207" s="77">
        <f t="shared" si="162"/>
        <v>0.75038944421548193</v>
      </c>
      <c r="X207" s="82">
        <f t="shared" si="183"/>
        <v>2.8828370553539261E-5</v>
      </c>
      <c r="Y207" s="82">
        <f t="shared" si="184"/>
        <v>4.4082664825457514E-4</v>
      </c>
      <c r="Z207" s="82">
        <f t="shared" si="185"/>
        <v>0</v>
      </c>
      <c r="AA207" s="82">
        <f t="shared" si="186"/>
        <v>0.74991978919667379</v>
      </c>
      <c r="AC207" s="46">
        <f t="shared" si="163"/>
        <v>0</v>
      </c>
      <c r="AD207" s="15">
        <f t="shared" si="187"/>
        <v>0</v>
      </c>
      <c r="AE207" s="46">
        <f t="shared" si="188"/>
        <v>0</v>
      </c>
      <c r="AF207" s="15">
        <f t="shared" si="189"/>
        <v>0</v>
      </c>
      <c r="AG207" s="46">
        <f>SUMPRODUCT(AE208:AE$605, $I207:$I$604) / $I207</f>
        <v>0</v>
      </c>
      <c r="AI207" s="46">
        <f t="shared" si="164"/>
        <v>-47000</v>
      </c>
      <c r="AJ207" s="46">
        <f>IF(E207&gt;Mat_Year,0,  -SUM($AD$5:AD207))</f>
        <v>-9306</v>
      </c>
      <c r="AK207" s="24">
        <f t="shared" si="190"/>
        <v>-0.26827681637123635</v>
      </c>
      <c r="AL207" s="79">
        <f t="shared" si="191"/>
        <v>-20.718852467965032</v>
      </c>
      <c r="AM207" s="24">
        <f t="shared" si="192"/>
        <v>-27.968316247142734</v>
      </c>
      <c r="AN207" s="79">
        <f t="shared" si="193"/>
        <v>-20.98712928433627</v>
      </c>
      <c r="AO207" s="15">
        <f t="shared" si="194"/>
        <v>-1095.0458695856787</v>
      </c>
      <c r="AP207" s="46">
        <f>SUMPRODUCT(AN208:AN$605, $I208:$I$605) / $I207</f>
        <v>-821.71086146885648</v>
      </c>
      <c r="AR207" s="46">
        <v>0</v>
      </c>
      <c r="AS207" s="46">
        <v>0</v>
      </c>
      <c r="AT207" s="46">
        <v>0</v>
      </c>
      <c r="AU207" s="95">
        <f t="shared" si="165"/>
        <v>-2.5747540946892884</v>
      </c>
      <c r="AV207" s="47">
        <f t="shared" si="166"/>
        <v>0.1</v>
      </c>
      <c r="AW207" s="96">
        <f t="shared" si="195"/>
        <v>-2.8322295041582173</v>
      </c>
      <c r="AX207" s="95">
        <f t="shared" si="167"/>
        <v>-29.523846952437168</v>
      </c>
      <c r="AY207" s="11">
        <f t="shared" si="168"/>
        <v>0.1</v>
      </c>
      <c r="AZ207" s="96">
        <f t="shared" si="196"/>
        <v>-32.476231647680891</v>
      </c>
      <c r="BA207" s="95">
        <f t="shared" si="197"/>
        <v>-2.1252751235159746</v>
      </c>
      <c r="BB207" s="64">
        <f t="shared" si="198"/>
        <v>-1.5252625185308248E-2</v>
      </c>
      <c r="BC207" s="95">
        <f t="shared" si="158"/>
        <v>-2.8322295041582173</v>
      </c>
      <c r="BD207" s="96">
        <f t="shared" si="158"/>
        <v>-2.0326278978050633E-2</v>
      </c>
      <c r="BE207" s="96">
        <f t="shared" si="199"/>
        <v>-2.1252751235159746</v>
      </c>
      <c r="BF207" s="96">
        <f t="shared" si="200"/>
        <v>-1.5252625185308248E-2</v>
      </c>
      <c r="BG207" s="15">
        <f t="shared" si="201"/>
        <v>-117.76896958887811</v>
      </c>
      <c r="BH207" s="46">
        <f>(SUMPRODUCT(BE208:BE$605,$I207:$I$604)+SUMPRODUCT(BF208:BF$605,$I208:$I$605)) / $I207</f>
        <v>-88.37259163562824</v>
      </c>
      <c r="BJ207" s="46">
        <f t="shared" si="202"/>
        <v>-2.1252751235159746</v>
      </c>
      <c r="BK207" s="46">
        <f t="shared" si="203"/>
        <v>-21.002381909521578</v>
      </c>
      <c r="BM207" s="49">
        <f t="shared" si="169"/>
        <v>1213.5743931752766</v>
      </c>
      <c r="BN207" s="50">
        <f t="shared" si="204"/>
        <v>910.08345310448476</v>
      </c>
      <c r="BP207" s="68">
        <f>INDEX(Others!$H$11:$I$60, MATCH(C207, Others!$A$11:$A$60, 0), MATCH(BP$3, Others!$H$10:$I$10, 0))</f>
        <v>3.0518181818181833E-2</v>
      </c>
      <c r="BQ207" s="16">
        <f t="shared" si="205"/>
        <v>2.5082875760633616E-3</v>
      </c>
      <c r="BR207" s="69">
        <f t="shared" si="206"/>
        <v>0.6028314143549488</v>
      </c>
      <c r="BT207" s="46">
        <f t="shared" si="207"/>
        <v>926.11486979287088</v>
      </c>
      <c r="BU207" s="49">
        <f t="shared" si="170"/>
        <v>21.377508527357612</v>
      </c>
      <c r="BV207" s="46">
        <f t="shared" si="208"/>
        <v>16.031416688386116</v>
      </c>
      <c r="BX207" s="46">
        <f t="shared" si="209"/>
        <v>1234.9519017026341</v>
      </c>
    </row>
    <row r="208" spans="1:76" x14ac:dyDescent="0.25">
      <c r="A208" s="61">
        <f t="shared" si="159"/>
        <v>16.916666666666696</v>
      </c>
      <c r="B208" s="32">
        <f t="shared" si="171"/>
        <v>11</v>
      </c>
      <c r="C208" s="62">
        <f t="shared" si="172"/>
        <v>17</v>
      </c>
      <c r="D208" s="64">
        <f t="shared" si="173"/>
        <v>17.416666666666696</v>
      </c>
      <c r="E208" s="28">
        <f t="shared" si="174"/>
        <v>17</v>
      </c>
      <c r="G208" s="68">
        <f>INDEX(Others!$D$11:$E$60, MATCH(C208, Others!$A$11:$A$60, 0), MATCH(G$3, Others!$D$10:$E$10, 0))</f>
        <v>4.0690909090909111E-2</v>
      </c>
      <c r="H208" s="16">
        <f t="shared" si="175"/>
        <v>3.329265421250005E-3</v>
      </c>
      <c r="I208" s="69">
        <f t="shared" si="176"/>
        <v>0.50929984752804047</v>
      </c>
      <c r="K208" s="80">
        <f>INDEX(Mortality!$B$7:$F$32, MATCH( E208,Mortality!$A$7:$A$32, 0), MATCH( K$3,Mortality!$B$6:$F$6,0))</f>
        <v>0.40099999999999997</v>
      </c>
      <c r="L208" s="11" cm="1">
        <f t="array" ref="L208">PAD_Res_Mort</f>
        <v>0.15</v>
      </c>
      <c r="M208" s="80">
        <f t="shared" si="177"/>
        <v>0.46114999999999995</v>
      </c>
      <c r="N208" s="76">
        <f>INDEX('Myopia_(Reserve)'!$H:$H, MATCH(E208, 'Myopia_(Reserve)'!$A:$A, 0)) * Trend_Factor_Reserve^(A208)</f>
        <v>5.4228471376701828</v>
      </c>
      <c r="O208" s="11">
        <f t="shared" si="160"/>
        <v>0.3</v>
      </c>
      <c r="P208" s="80">
        <f t="shared" si="178"/>
        <v>7.0497012789712379</v>
      </c>
      <c r="Q208" s="76">
        <f>VLOOKUP(C208,Others!$L$10:$M$61,2)</f>
        <v>0</v>
      </c>
      <c r="R208" s="11">
        <f t="shared" si="161"/>
        <v>0</v>
      </c>
      <c r="S208" s="80">
        <f t="shared" si="179"/>
        <v>0</v>
      </c>
      <c r="T208" s="78">
        <f t="shared" si="180"/>
        <v>3.8429166666666661E-5</v>
      </c>
      <c r="U208" s="81">
        <f t="shared" si="181"/>
        <v>5.8747510658093652E-4</v>
      </c>
      <c r="V208" s="81">
        <f t="shared" si="182"/>
        <v>0</v>
      </c>
      <c r="W208" s="77">
        <f t="shared" si="162"/>
        <v>0.74991978919667379</v>
      </c>
      <c r="X208" s="82">
        <f t="shared" si="183"/>
        <v>2.8810327404053484E-5</v>
      </c>
      <c r="Y208" s="82">
        <f t="shared" si="184"/>
        <v>4.4055074292385238E-4</v>
      </c>
      <c r="Z208" s="82">
        <f t="shared" si="185"/>
        <v>0</v>
      </c>
      <c r="AA208" s="82">
        <f t="shared" si="186"/>
        <v>0.74945042812634588</v>
      </c>
      <c r="AC208" s="46">
        <f t="shared" si="163"/>
        <v>0</v>
      </c>
      <c r="AD208" s="15">
        <f t="shared" si="187"/>
        <v>0</v>
      </c>
      <c r="AE208" s="46">
        <f t="shared" si="188"/>
        <v>0</v>
      </c>
      <c r="AF208" s="15">
        <f t="shared" si="189"/>
        <v>0</v>
      </c>
      <c r="AG208" s="46">
        <f>SUMPRODUCT(AE209:AE$605, $I208:$I$604) / $I208</f>
        <v>0</v>
      </c>
      <c r="AI208" s="46">
        <f t="shared" si="164"/>
        <v>-47000</v>
      </c>
      <c r="AJ208" s="46">
        <f>IF(E208&gt;Mat_Year,0,  -SUM($AD$5:AD208))</f>
        <v>-9306</v>
      </c>
      <c r="AK208" s="24">
        <f t="shared" si="190"/>
        <v>-0.26810890682212174</v>
      </c>
      <c r="AL208" s="79">
        <f t="shared" si="191"/>
        <v>-20.705884917421063</v>
      </c>
      <c r="AM208" s="24">
        <f t="shared" si="192"/>
        <v>-27.968316247142731</v>
      </c>
      <c r="AN208" s="79">
        <f t="shared" si="193"/>
        <v>-20.973993824243184</v>
      </c>
      <c r="AO208" s="15">
        <f t="shared" si="194"/>
        <v>-1071.4113332876038</v>
      </c>
      <c r="AP208" s="46">
        <f>SUMPRODUCT(AN209:AN$605, $I209:$I$605) / $I208</f>
        <v>-803.4725612019671</v>
      </c>
      <c r="AR208" s="46">
        <v>0</v>
      </c>
      <c r="AS208" s="46">
        <v>0</v>
      </c>
      <c r="AT208" s="46">
        <v>0</v>
      </c>
      <c r="AU208" s="95">
        <f t="shared" si="165"/>
        <v>-2.5797428141432674</v>
      </c>
      <c r="AV208" s="47">
        <f t="shared" si="166"/>
        <v>0.1</v>
      </c>
      <c r="AW208" s="96">
        <f t="shared" si="195"/>
        <v>-2.8377170955575943</v>
      </c>
      <c r="AX208" s="95">
        <f t="shared" si="167"/>
        <v>-29.581050935509463</v>
      </c>
      <c r="AY208" s="11">
        <f t="shared" si="168"/>
        <v>0.1</v>
      </c>
      <c r="AZ208" s="96">
        <f t="shared" si="196"/>
        <v>-32.539156029060415</v>
      </c>
      <c r="BA208" s="95">
        <f t="shared" si="197"/>
        <v>-2.1280602061003484</v>
      </c>
      <c r="BB208" s="64">
        <f t="shared" si="198"/>
        <v>-1.5272613101366529E-2</v>
      </c>
      <c r="BC208" s="95">
        <f t="shared" si="158"/>
        <v>-2.8377170955575943</v>
      </c>
      <c r="BD208" s="96">
        <f t="shared" si="158"/>
        <v>-2.0365662196655455E-2</v>
      </c>
      <c r="BE208" s="96">
        <f t="shared" si="199"/>
        <v>-2.1280602061003484</v>
      </c>
      <c r="BF208" s="96">
        <f t="shared" si="200"/>
        <v>-1.5272613101366529E-2</v>
      </c>
      <c r="BG208" s="15">
        <f t="shared" si="201"/>
        <v>-115.36752463268704</v>
      </c>
      <c r="BH208" s="46">
        <f>(SUMPRODUCT(BE209:BE$605,$I208:$I$604)+SUMPRODUCT(BF209:BF$605,$I209:$I$605)) / $I208</f>
        <v>-86.516389752686734</v>
      </c>
      <c r="BJ208" s="46">
        <f t="shared" si="202"/>
        <v>-2.1280602061003484</v>
      </c>
      <c r="BK208" s="46">
        <f t="shared" si="203"/>
        <v>-20.989266437344551</v>
      </c>
      <c r="BM208" s="49">
        <f t="shared" si="169"/>
        <v>1187.5221062714709</v>
      </c>
      <c r="BN208" s="50">
        <f t="shared" si="204"/>
        <v>889.98895095465389</v>
      </c>
      <c r="BP208" s="68">
        <f>INDEX(Others!$H$11:$I$60, MATCH(C208, Others!$A$11:$A$60, 0), MATCH(BP$3, Others!$H$10:$I$10, 0))</f>
        <v>3.0518181818181833E-2</v>
      </c>
      <c r="BQ208" s="16">
        <f t="shared" si="205"/>
        <v>2.5082875760633616E-3</v>
      </c>
      <c r="BR208" s="69">
        <f t="shared" si="206"/>
        <v>0.60132312303623736</v>
      </c>
      <c r="BT208" s="46">
        <f t="shared" si="207"/>
        <v>905.31516778435889</v>
      </c>
      <c r="BU208" s="49">
        <f t="shared" si="170"/>
        <v>20.449940722592046</v>
      </c>
      <c r="BV208" s="46">
        <f t="shared" si="208"/>
        <v>15.326216829705004</v>
      </c>
      <c r="BX208" s="46">
        <f t="shared" si="209"/>
        <v>1207.972046994063</v>
      </c>
    </row>
    <row r="209" spans="1:76" x14ac:dyDescent="0.25">
      <c r="A209" s="61">
        <f t="shared" si="159"/>
        <v>17.000000000000028</v>
      </c>
      <c r="B209" s="32">
        <f t="shared" si="171"/>
        <v>12</v>
      </c>
      <c r="C209" s="62">
        <f t="shared" si="172"/>
        <v>17</v>
      </c>
      <c r="D209" s="64">
        <f t="shared" si="173"/>
        <v>17.500000000000028</v>
      </c>
      <c r="E209" s="28">
        <f t="shared" si="174"/>
        <v>17</v>
      </c>
      <c r="G209" s="68">
        <f>INDEX(Others!$D$11:$E$60, MATCH(C209, Others!$A$11:$A$60, 0), MATCH(G$3, Others!$D$10:$E$10, 0))</f>
        <v>4.0690909090909111E-2</v>
      </c>
      <c r="H209" s="16">
        <f t="shared" si="175"/>
        <v>3.329265421250005E-3</v>
      </c>
      <c r="I209" s="69">
        <f t="shared" si="176"/>
        <v>0.50760987950870728</v>
      </c>
      <c r="K209" s="80">
        <f>INDEX(Mortality!$B$7:$F$32, MATCH( E209,Mortality!$A$7:$A$32, 0), MATCH( K$3,Mortality!$B$6:$F$6,0))</f>
        <v>0.40099999999999997</v>
      </c>
      <c r="L209" s="11" cm="1">
        <f t="array" ref="L209">PAD_Res_Mort</f>
        <v>0.15</v>
      </c>
      <c r="M209" s="80">
        <f t="shared" si="177"/>
        <v>0.46114999999999995</v>
      </c>
      <c r="N209" s="76">
        <f>INDEX('Myopia_(Reserve)'!$H:$H, MATCH(E209, 'Myopia_(Reserve)'!$A:$A, 0)) * Trend_Factor_Reserve^(A209)</f>
        <v>5.4228471376701828</v>
      </c>
      <c r="O209" s="11">
        <f t="shared" si="160"/>
        <v>0.3</v>
      </c>
      <c r="P209" s="80">
        <f t="shared" si="178"/>
        <v>7.0497012789712379</v>
      </c>
      <c r="Q209" s="76">
        <f>VLOOKUP(C209,Others!$L$10:$M$61,2)</f>
        <v>0</v>
      </c>
      <c r="R209" s="11">
        <f t="shared" si="161"/>
        <v>0</v>
      </c>
      <c r="S209" s="80">
        <f t="shared" si="179"/>
        <v>0</v>
      </c>
      <c r="T209" s="78">
        <f t="shared" si="180"/>
        <v>3.8429166666666661E-5</v>
      </c>
      <c r="U209" s="81">
        <f t="shared" si="181"/>
        <v>5.8747510658093652E-4</v>
      </c>
      <c r="V209" s="81">
        <f t="shared" si="182"/>
        <v>0</v>
      </c>
      <c r="W209" s="77">
        <f t="shared" si="162"/>
        <v>0.74945042812634588</v>
      </c>
      <c r="X209" s="82">
        <f t="shared" si="183"/>
        <v>2.8792295547444724E-5</v>
      </c>
      <c r="Y209" s="82">
        <f t="shared" si="184"/>
        <v>4.4027501027722629E-4</v>
      </c>
      <c r="Z209" s="82">
        <f t="shared" si="185"/>
        <v>0</v>
      </c>
      <c r="AA209" s="82">
        <f t="shared" si="186"/>
        <v>0.74898136082052125</v>
      </c>
      <c r="AC209" s="46">
        <f t="shared" si="163"/>
        <v>0</v>
      </c>
      <c r="AD209" s="15">
        <f t="shared" si="187"/>
        <v>0</v>
      </c>
      <c r="AE209" s="46">
        <f t="shared" si="188"/>
        <v>0</v>
      </c>
      <c r="AF209" s="15">
        <f t="shared" si="189"/>
        <v>0</v>
      </c>
      <c r="AG209" s="46">
        <f>SUMPRODUCT(AE210:AE$605, $I209:$I$604) / $I209</f>
        <v>0</v>
      </c>
      <c r="AI209" s="46">
        <f t="shared" si="164"/>
        <v>-47000</v>
      </c>
      <c r="AJ209" s="46">
        <f>IF(E209&gt;Mat_Year,0,  -SUM($AD$5:AD209))</f>
        <v>-9306</v>
      </c>
      <c r="AK209" s="24">
        <f t="shared" si="190"/>
        <v>-0.26794110236452062</v>
      </c>
      <c r="AL209" s="79">
        <f t="shared" si="191"/>
        <v>-20.692925483029637</v>
      </c>
      <c r="AM209" s="24">
        <f t="shared" si="192"/>
        <v>-27.968316247142734</v>
      </c>
      <c r="AN209" s="79">
        <f t="shared" si="193"/>
        <v>-20.960866585394157</v>
      </c>
      <c r="AO209" s="15">
        <f t="shared" si="194"/>
        <v>-1047.683260378544</v>
      </c>
      <c r="AP209" s="46">
        <f>SUMPRODUCT(AN210:AN$605, $I210:$I$605) / $I209</f>
        <v>-785.18666803150563</v>
      </c>
      <c r="AR209" s="46">
        <v>0</v>
      </c>
      <c r="AS209" s="46">
        <v>0</v>
      </c>
      <c r="AT209" s="46">
        <v>0</v>
      </c>
      <c r="AU209" s="95">
        <f t="shared" si="165"/>
        <v>-2.5847411994996494</v>
      </c>
      <c r="AV209" s="47">
        <f t="shared" si="166"/>
        <v>0.1</v>
      </c>
      <c r="AW209" s="96">
        <f t="shared" si="195"/>
        <v>-2.8432153194496146</v>
      </c>
      <c r="AX209" s="95">
        <f t="shared" si="167"/>
        <v>-29.638365754262644</v>
      </c>
      <c r="AY209" s="11">
        <f t="shared" si="168"/>
        <v>0.1</v>
      </c>
      <c r="AZ209" s="96">
        <f t="shared" si="196"/>
        <v>-32.602202329688907</v>
      </c>
      <c r="BA209" s="95">
        <f t="shared" si="197"/>
        <v>-2.1308489384168987</v>
      </c>
      <c r="BB209" s="64">
        <f t="shared" si="198"/>
        <v>-1.5292627210737989E-2</v>
      </c>
      <c r="BC209" s="95">
        <f t="shared" si="158"/>
        <v>-2.8432153194496141</v>
      </c>
      <c r="BD209" s="96">
        <f t="shared" si="158"/>
        <v>-2.0405121722286729E-2</v>
      </c>
      <c r="BE209" s="96">
        <f t="shared" si="199"/>
        <v>-2.1308489384168987</v>
      </c>
      <c r="BF209" s="96">
        <f t="shared" si="200"/>
        <v>-1.5292627210737989E-2</v>
      </c>
      <c r="BG209" s="15">
        <f t="shared" si="201"/>
        <v>-112.95101967154339</v>
      </c>
      <c r="BH209" s="46">
        <f>(SUMPRODUCT(BE210:BE$605,$I209:$I$604)+SUMPRODUCT(BF210:BF$605,$I210:$I$605)) / $I209</f>
        <v>-84.651190050145516</v>
      </c>
      <c r="BJ209" s="46">
        <f t="shared" si="202"/>
        <v>-2.1308489384168987</v>
      </c>
      <c r="BK209" s="46">
        <f t="shared" si="203"/>
        <v>-20.976159212604895</v>
      </c>
      <c r="BM209" s="49">
        <f t="shared" si="169"/>
        <v>1161.3611547405264</v>
      </c>
      <c r="BN209" s="50">
        <f t="shared" si="204"/>
        <v>869.83785808165146</v>
      </c>
      <c r="BP209" s="68">
        <f>INDEX(Others!$H$11:$I$60, MATCH(C209, Others!$A$11:$A$60, 0), MATCH(BP$3, Others!$H$10:$I$10, 0))</f>
        <v>3.0518181818181833E-2</v>
      </c>
      <c r="BQ209" s="16">
        <f t="shared" si="205"/>
        <v>2.5082875760633616E-3</v>
      </c>
      <c r="BR209" s="69">
        <f t="shared" si="206"/>
        <v>0.5998186054802197</v>
      </c>
      <c r="BT209" s="46">
        <f t="shared" si="207"/>
        <v>884.47360563919369</v>
      </c>
      <c r="BU209" s="49">
        <f t="shared" si="170"/>
        <v>19.540870204711812</v>
      </c>
      <c r="BV209" s="46">
        <f t="shared" si="208"/>
        <v>14.635747557542231</v>
      </c>
      <c r="BX209" s="46">
        <f t="shared" si="209"/>
        <v>1180.9020249452383</v>
      </c>
    </row>
    <row r="210" spans="1:76" x14ac:dyDescent="0.25">
      <c r="A210" s="61">
        <f t="shared" si="159"/>
        <v>17.083333333333361</v>
      </c>
      <c r="B210" s="32">
        <f t="shared" si="171"/>
        <v>1</v>
      </c>
      <c r="C210" s="62">
        <f t="shared" si="172"/>
        <v>18</v>
      </c>
      <c r="D210" s="64">
        <f t="shared" si="173"/>
        <v>17.583333333333361</v>
      </c>
      <c r="E210" s="28">
        <f t="shared" si="174"/>
        <v>17</v>
      </c>
      <c r="G210" s="68">
        <f>INDEX(Others!$D$11:$E$60, MATCH(C210, Others!$A$11:$A$60, 0), MATCH(G$3, Others!$D$10:$E$10, 0))</f>
        <v>4.0690909090909111E-2</v>
      </c>
      <c r="H210" s="16">
        <f t="shared" si="175"/>
        <v>3.329265421250005E-3</v>
      </c>
      <c r="I210" s="69">
        <f t="shared" si="176"/>
        <v>0.50592551917200002</v>
      </c>
      <c r="K210" s="80">
        <f>INDEX(Mortality!$B$7:$F$32, MATCH( E210,Mortality!$A$7:$A$32, 0), MATCH( K$3,Mortality!$B$6:$F$6,0))</f>
        <v>0.40099999999999997</v>
      </c>
      <c r="L210" s="11" cm="1">
        <f t="array" ref="L210">PAD_Res_Mort</f>
        <v>0.15</v>
      </c>
      <c r="M210" s="80">
        <f t="shared" si="177"/>
        <v>0.46114999999999995</v>
      </c>
      <c r="N210" s="76">
        <f>INDEX('Myopia_(Reserve)'!$H:$H, MATCH(E210, 'Myopia_(Reserve)'!$A:$A, 0)) * Trend_Factor_Reserve^(A210)</f>
        <v>5.4228471376701828</v>
      </c>
      <c r="O210" s="11">
        <f t="shared" si="160"/>
        <v>0.3</v>
      </c>
      <c r="P210" s="80">
        <f t="shared" si="178"/>
        <v>7.0497012789712379</v>
      </c>
      <c r="Q210" s="76">
        <f>VLOOKUP(C210,Others!$L$10:$M$61,2)</f>
        <v>0</v>
      </c>
      <c r="R210" s="11">
        <f t="shared" si="161"/>
        <v>0</v>
      </c>
      <c r="S210" s="80">
        <f t="shared" si="179"/>
        <v>0</v>
      </c>
      <c r="T210" s="78">
        <f t="shared" si="180"/>
        <v>3.8429166666666661E-5</v>
      </c>
      <c r="U210" s="81">
        <f t="shared" si="181"/>
        <v>5.8747510658093652E-4</v>
      </c>
      <c r="V210" s="81">
        <f t="shared" si="182"/>
        <v>0</v>
      </c>
      <c r="W210" s="77">
        <f t="shared" si="162"/>
        <v>0.74898136082052125</v>
      </c>
      <c r="X210" s="82">
        <f t="shared" si="183"/>
        <v>2.8774274976644986E-5</v>
      </c>
      <c r="Y210" s="82">
        <f t="shared" si="184"/>
        <v>4.39999450206617E-4</v>
      </c>
      <c r="Z210" s="82">
        <f t="shared" si="185"/>
        <v>0</v>
      </c>
      <c r="AA210" s="82">
        <f t="shared" si="186"/>
        <v>0.74851258709533797</v>
      </c>
      <c r="AC210" s="46">
        <f t="shared" si="163"/>
        <v>0</v>
      </c>
      <c r="AD210" s="15">
        <f t="shared" si="187"/>
        <v>0</v>
      </c>
      <c r="AE210" s="46">
        <f t="shared" si="188"/>
        <v>0</v>
      </c>
      <c r="AF210" s="15">
        <f t="shared" si="189"/>
        <v>0</v>
      </c>
      <c r="AG210" s="46">
        <f>SUMPRODUCT(AE211:AE$605, $I210:$I$604) / $I210</f>
        <v>0</v>
      </c>
      <c r="AI210" s="46">
        <f t="shared" si="164"/>
        <v>-47000</v>
      </c>
      <c r="AJ210" s="46">
        <f>IF(E210&gt;Mat_Year,0,  -SUM($AD$5:AD210))</f>
        <v>-9306</v>
      </c>
      <c r="AK210" s="24">
        <f t="shared" si="190"/>
        <v>-0.26777340293265822</v>
      </c>
      <c r="AL210" s="79">
        <f t="shared" si="191"/>
        <v>-20.679974159710998</v>
      </c>
      <c r="AM210" s="24">
        <f t="shared" si="192"/>
        <v>-27.968316247142731</v>
      </c>
      <c r="AN210" s="79">
        <f t="shared" si="193"/>
        <v>-20.947747562643656</v>
      </c>
      <c r="AO210" s="15">
        <f t="shared" si="194"/>
        <v>-1023.8612806757512</v>
      </c>
      <c r="AP210" s="46">
        <f>SUMPRODUCT(AN211:AN$605, $I211:$I$605) / $I210</f>
        <v>-766.85301529196579</v>
      </c>
      <c r="AR210" s="46">
        <v>0</v>
      </c>
      <c r="AS210" s="46">
        <v>0</v>
      </c>
      <c r="AT210" s="46">
        <v>0</v>
      </c>
      <c r="AU210" s="95">
        <f t="shared" si="165"/>
        <v>-2.5897492694866209</v>
      </c>
      <c r="AV210" s="47">
        <f t="shared" si="166"/>
        <v>0.1</v>
      </c>
      <c r="AW210" s="96">
        <f t="shared" si="195"/>
        <v>-2.8487241964352834</v>
      </c>
      <c r="AX210" s="95">
        <f t="shared" si="167"/>
        <v>-29.695791623446581</v>
      </c>
      <c r="AY210" s="11">
        <f t="shared" si="168"/>
        <v>0.1</v>
      </c>
      <c r="AZ210" s="96">
        <f t="shared" si="196"/>
        <v>-32.665370785791239</v>
      </c>
      <c r="BA210" s="95">
        <f t="shared" si="197"/>
        <v>-2.1336413252484445</v>
      </c>
      <c r="BB210" s="64">
        <f t="shared" si="198"/>
        <v>-1.5312667547747858E-2</v>
      </c>
      <c r="BC210" s="95">
        <f t="shared" si="158"/>
        <v>-2.8487241964352834</v>
      </c>
      <c r="BD210" s="96">
        <f t="shared" si="158"/>
        <v>-2.0444657702793273E-2</v>
      </c>
      <c r="BE210" s="96">
        <f t="shared" si="199"/>
        <v>-2.1336413252484445</v>
      </c>
      <c r="BF210" s="96">
        <f t="shared" si="200"/>
        <v>-1.5312667547747858E-2</v>
      </c>
      <c r="BG210" s="15">
        <f t="shared" si="201"/>
        <v>-110.51938433859283</v>
      </c>
      <c r="BH210" s="46">
        <f>(SUMPRODUCT(BE211:BE$605,$I210:$I$604)+SUMPRODUCT(BF211:BF$605,$I211:$I$605)) / $I210</f>
        <v>-82.776958878965459</v>
      </c>
      <c r="BJ210" s="46">
        <f t="shared" si="202"/>
        <v>-2.1336413252484445</v>
      </c>
      <c r="BK210" s="46">
        <f t="shared" si="203"/>
        <v>-20.963060230191402</v>
      </c>
      <c r="BM210" s="49">
        <f t="shared" si="169"/>
        <v>1135.0910977569363</v>
      </c>
      <c r="BN210" s="50">
        <f t="shared" si="204"/>
        <v>849.62997417093152</v>
      </c>
      <c r="BP210" s="68">
        <f>INDEX(Others!$H$11:$I$60, MATCH(C210, Others!$A$11:$A$60, 0), MATCH(BP$3, Others!$H$10:$I$10, 0))</f>
        <v>3.0518181818181833E-2</v>
      </c>
      <c r="BQ210" s="16">
        <f t="shared" si="205"/>
        <v>2.5082875760633616E-3</v>
      </c>
      <c r="BR210" s="69">
        <f t="shared" si="206"/>
        <v>0.59831785224489686</v>
      </c>
      <c r="BT210" s="46">
        <f t="shared" si="207"/>
        <v>863.5900664541067</v>
      </c>
      <c r="BU210" s="49">
        <f t="shared" si="170"/>
        <v>18.65044425952598</v>
      </c>
      <c r="BV210" s="46">
        <f t="shared" si="208"/>
        <v>13.960092283175186</v>
      </c>
      <c r="BX210" s="46">
        <f t="shared" si="209"/>
        <v>1153.7415420164623</v>
      </c>
    </row>
    <row r="211" spans="1:76" x14ac:dyDescent="0.25">
      <c r="A211" s="61">
        <f t="shared" si="159"/>
        <v>17.166666666666693</v>
      </c>
      <c r="B211" s="32">
        <f t="shared" si="171"/>
        <v>2</v>
      </c>
      <c r="C211" s="62">
        <f t="shared" si="172"/>
        <v>18</v>
      </c>
      <c r="D211" s="64">
        <f t="shared" si="173"/>
        <v>17.666666666666693</v>
      </c>
      <c r="E211" s="28">
        <f t="shared" si="174"/>
        <v>17</v>
      </c>
      <c r="G211" s="68">
        <f>INDEX(Others!$D$11:$E$60, MATCH(C211, Others!$A$11:$A$60, 0), MATCH(G$3, Others!$D$10:$E$10, 0))</f>
        <v>4.0690909090909111E-2</v>
      </c>
      <c r="H211" s="16">
        <f t="shared" si="175"/>
        <v>3.329265421250005E-3</v>
      </c>
      <c r="I211" s="69">
        <f t="shared" si="176"/>
        <v>0.50424674791040414</v>
      </c>
      <c r="K211" s="80">
        <f>INDEX(Mortality!$B$7:$F$32, MATCH( E211,Mortality!$A$7:$A$32, 0), MATCH( K$3,Mortality!$B$6:$F$6,0))</f>
        <v>0.40099999999999997</v>
      </c>
      <c r="L211" s="11" cm="1">
        <f t="array" ref="L211">PAD_Res_Mort</f>
        <v>0.15</v>
      </c>
      <c r="M211" s="80">
        <f t="shared" si="177"/>
        <v>0.46114999999999995</v>
      </c>
      <c r="N211" s="76">
        <f>INDEX('Myopia_(Reserve)'!$H:$H, MATCH(E211, 'Myopia_(Reserve)'!$A:$A, 0)) * Trend_Factor_Reserve^(A211)</f>
        <v>5.4228471376701828</v>
      </c>
      <c r="O211" s="11">
        <f t="shared" si="160"/>
        <v>0.3</v>
      </c>
      <c r="P211" s="80">
        <f t="shared" si="178"/>
        <v>7.0497012789712379</v>
      </c>
      <c r="Q211" s="76">
        <f>VLOOKUP(C211,Others!$L$10:$M$61,2)</f>
        <v>0</v>
      </c>
      <c r="R211" s="11">
        <f t="shared" si="161"/>
        <v>0</v>
      </c>
      <c r="S211" s="80">
        <f t="shared" si="179"/>
        <v>0</v>
      </c>
      <c r="T211" s="78">
        <f t="shared" si="180"/>
        <v>3.8429166666666661E-5</v>
      </c>
      <c r="U211" s="81">
        <f t="shared" si="181"/>
        <v>5.8747510658093652E-4</v>
      </c>
      <c r="V211" s="81">
        <f t="shared" si="182"/>
        <v>0</v>
      </c>
      <c r="W211" s="77">
        <f t="shared" si="162"/>
        <v>0.74851258709533797</v>
      </c>
      <c r="X211" s="82">
        <f t="shared" si="183"/>
        <v>2.8756265684590675E-5</v>
      </c>
      <c r="Y211" s="82">
        <f t="shared" si="184"/>
        <v>4.3972406260401231E-4</v>
      </c>
      <c r="Z211" s="82">
        <f t="shared" si="185"/>
        <v>0</v>
      </c>
      <c r="AA211" s="82">
        <f t="shared" si="186"/>
        <v>0.74804410676704935</v>
      </c>
      <c r="AC211" s="46">
        <f t="shared" si="163"/>
        <v>0</v>
      </c>
      <c r="AD211" s="15">
        <f t="shared" si="187"/>
        <v>0</v>
      </c>
      <c r="AE211" s="46">
        <f t="shared" si="188"/>
        <v>0</v>
      </c>
      <c r="AF211" s="15">
        <f t="shared" si="189"/>
        <v>0</v>
      </c>
      <c r="AG211" s="46">
        <f>SUMPRODUCT(AE212:AE$605, $I211:$I$604) / $I211</f>
        <v>0</v>
      </c>
      <c r="AI211" s="46">
        <f t="shared" si="164"/>
        <v>-47000</v>
      </c>
      <c r="AJ211" s="46">
        <f>IF(E211&gt;Mat_Year,0,  -SUM($AD$5:AD211))</f>
        <v>-9306</v>
      </c>
      <c r="AK211" s="24">
        <f t="shared" si="190"/>
        <v>-0.26760580846080084</v>
      </c>
      <c r="AL211" s="79">
        <f t="shared" si="191"/>
        <v>-20.667030942388578</v>
      </c>
      <c r="AM211" s="24">
        <f t="shared" si="192"/>
        <v>-27.968316247142731</v>
      </c>
      <c r="AN211" s="79">
        <f t="shared" si="193"/>
        <v>-20.934636750849378</v>
      </c>
      <c r="AO211" s="15">
        <f t="shared" si="194"/>
        <v>-999.94502253143344</v>
      </c>
      <c r="AP211" s="46">
        <f>SUMPRODUCT(AN212:AN$605, $I212:$I$605) / $I211</f>
        <v>-748.47143576810925</v>
      </c>
      <c r="AR211" s="46">
        <v>0</v>
      </c>
      <c r="AS211" s="46">
        <v>0</v>
      </c>
      <c r="AT211" s="46">
        <v>0</v>
      </c>
      <c r="AU211" s="95">
        <f t="shared" si="165"/>
        <v>-2.5947670428686553</v>
      </c>
      <c r="AV211" s="47">
        <f t="shared" si="166"/>
        <v>0.1</v>
      </c>
      <c r="AW211" s="96">
        <f t="shared" si="195"/>
        <v>-2.8542437471555213</v>
      </c>
      <c r="AX211" s="95">
        <f t="shared" si="167"/>
        <v>-29.753328758227244</v>
      </c>
      <c r="AY211" s="11">
        <f t="shared" si="168"/>
        <v>0.1</v>
      </c>
      <c r="AZ211" s="96">
        <f t="shared" si="196"/>
        <v>-32.728661634049971</v>
      </c>
      <c r="BA211" s="95">
        <f t="shared" si="197"/>
        <v>-2.136437371384071</v>
      </c>
      <c r="BB211" s="64">
        <f t="shared" si="198"/>
        <v>-1.5332734146766336E-2</v>
      </c>
      <c r="BC211" s="95">
        <f t="shared" si="158"/>
        <v>-2.8542437471555213</v>
      </c>
      <c r="BD211" s="96">
        <f t="shared" si="158"/>
        <v>-2.0484270286310374E-2</v>
      </c>
      <c r="BE211" s="96">
        <f t="shared" si="199"/>
        <v>-2.136437371384071</v>
      </c>
      <c r="BF211" s="96">
        <f t="shared" si="200"/>
        <v>-1.5332734146766336E-2</v>
      </c>
      <c r="BG211" s="15">
        <f t="shared" si="201"/>
        <v>-108.07254796763753</v>
      </c>
      <c r="BH211" s="46">
        <f>(SUMPRODUCT(BE212:BE$605,$I211:$I$604)+SUMPRODUCT(BF212:BF$605,$I212:$I$605)) / $I211</f>
        <v>-80.893662473241378</v>
      </c>
      <c r="BJ211" s="46">
        <f t="shared" si="202"/>
        <v>-2.136437371384071</v>
      </c>
      <c r="BK211" s="46">
        <f t="shared" si="203"/>
        <v>-20.949969484996146</v>
      </c>
      <c r="BM211" s="49">
        <f t="shared" si="169"/>
        <v>1108.7114927297007</v>
      </c>
      <c r="BN211" s="50">
        <f t="shared" si="204"/>
        <v>829.36509824135089</v>
      </c>
      <c r="BP211" s="68">
        <f>INDEX(Others!$H$11:$I$60, MATCH(C211, Others!$A$11:$A$60, 0), MATCH(BP$3, Others!$H$10:$I$10, 0))</f>
        <v>3.0518181818181833E-2</v>
      </c>
      <c r="BQ211" s="16">
        <f t="shared" si="205"/>
        <v>2.5082875760633616E-3</v>
      </c>
      <c r="BR211" s="69">
        <f t="shared" si="206"/>
        <v>0.5968208539118941</v>
      </c>
      <c r="BT211" s="46">
        <f t="shared" si="207"/>
        <v>842.66443303290941</v>
      </c>
      <c r="BU211" s="49">
        <f t="shared" si="170"/>
        <v>17.778810996903029</v>
      </c>
      <c r="BV211" s="46">
        <f t="shared" si="208"/>
        <v>13.299334791558522</v>
      </c>
      <c r="BX211" s="46">
        <f t="shared" si="209"/>
        <v>1126.4903037266038</v>
      </c>
    </row>
    <row r="212" spans="1:76" x14ac:dyDescent="0.25">
      <c r="A212" s="61">
        <f t="shared" si="159"/>
        <v>17.250000000000025</v>
      </c>
      <c r="B212" s="32">
        <f t="shared" si="171"/>
        <v>3</v>
      </c>
      <c r="C212" s="62">
        <f t="shared" si="172"/>
        <v>18</v>
      </c>
      <c r="D212" s="64">
        <f t="shared" si="173"/>
        <v>17.750000000000025</v>
      </c>
      <c r="E212" s="28">
        <f t="shared" si="174"/>
        <v>17</v>
      </c>
      <c r="G212" s="68">
        <f>INDEX(Others!$D$11:$E$60, MATCH(C212, Others!$A$11:$A$60, 0), MATCH(G$3, Others!$D$10:$E$10, 0))</f>
        <v>4.0690909090909111E-2</v>
      </c>
      <c r="H212" s="16">
        <f t="shared" si="175"/>
        <v>3.329265421250005E-3</v>
      </c>
      <c r="I212" s="69">
        <f t="shared" si="176"/>
        <v>0.50257354717814895</v>
      </c>
      <c r="K212" s="80">
        <f>INDEX(Mortality!$B$7:$F$32, MATCH( E212,Mortality!$A$7:$A$32, 0), MATCH( K$3,Mortality!$B$6:$F$6,0))</f>
        <v>0.40099999999999997</v>
      </c>
      <c r="L212" s="11" cm="1">
        <f t="array" ref="L212">PAD_Res_Mort</f>
        <v>0.15</v>
      </c>
      <c r="M212" s="80">
        <f t="shared" si="177"/>
        <v>0.46114999999999995</v>
      </c>
      <c r="N212" s="76">
        <f>INDEX('Myopia_(Reserve)'!$H:$H, MATCH(E212, 'Myopia_(Reserve)'!$A:$A, 0)) * Trend_Factor_Reserve^(A212)</f>
        <v>5.4228471376701828</v>
      </c>
      <c r="O212" s="11">
        <f t="shared" si="160"/>
        <v>0.3</v>
      </c>
      <c r="P212" s="80">
        <f t="shared" si="178"/>
        <v>7.0497012789712379</v>
      </c>
      <c r="Q212" s="76">
        <f>VLOOKUP(C212,Others!$L$10:$M$61,2)</f>
        <v>0</v>
      </c>
      <c r="R212" s="11">
        <f t="shared" si="161"/>
        <v>0</v>
      </c>
      <c r="S212" s="80">
        <f t="shared" si="179"/>
        <v>0</v>
      </c>
      <c r="T212" s="78">
        <f t="shared" si="180"/>
        <v>3.8429166666666661E-5</v>
      </c>
      <c r="U212" s="81">
        <f t="shared" si="181"/>
        <v>5.8747510658093652E-4</v>
      </c>
      <c r="V212" s="81">
        <f t="shared" si="182"/>
        <v>0</v>
      </c>
      <c r="W212" s="77">
        <f t="shared" si="162"/>
        <v>0.74804410676704935</v>
      </c>
      <c r="X212" s="82">
        <f t="shared" si="183"/>
        <v>2.8738267664222643E-5</v>
      </c>
      <c r="Y212" s="82">
        <f t="shared" si="184"/>
        <v>4.3944884736146772E-4</v>
      </c>
      <c r="Z212" s="82">
        <f t="shared" si="185"/>
        <v>0</v>
      </c>
      <c r="AA212" s="82">
        <f t="shared" si="186"/>
        <v>0.74757591965202363</v>
      </c>
      <c r="AC212" s="46">
        <f t="shared" si="163"/>
        <v>0</v>
      </c>
      <c r="AD212" s="15">
        <f t="shared" si="187"/>
        <v>0</v>
      </c>
      <c r="AE212" s="46">
        <f t="shared" si="188"/>
        <v>0</v>
      </c>
      <c r="AF212" s="15">
        <f t="shared" si="189"/>
        <v>0</v>
      </c>
      <c r="AG212" s="46">
        <f>SUMPRODUCT(AE213:AE$605, $I212:$I$604) / $I212</f>
        <v>0</v>
      </c>
      <c r="AI212" s="46">
        <f t="shared" si="164"/>
        <v>-47000</v>
      </c>
      <c r="AJ212" s="46">
        <f>IF(E212&gt;Mat_Year,0,  -SUM($AD$5:AD212))</f>
        <v>-9306</v>
      </c>
      <c r="AK212" s="24">
        <f t="shared" si="190"/>
        <v>-0.26743831888325592</v>
      </c>
      <c r="AL212" s="79">
        <f t="shared" si="191"/>
        <v>-20.654095825988982</v>
      </c>
      <c r="AM212" s="24">
        <f t="shared" si="192"/>
        <v>-27.968316247142727</v>
      </c>
      <c r="AN212" s="79">
        <f t="shared" si="193"/>
        <v>-20.921534144872236</v>
      </c>
      <c r="AO212" s="15">
        <f t="shared" si="194"/>
        <v>-975.93411282695615</v>
      </c>
      <c r="AP212" s="46">
        <f>SUMPRODUCT(AN213:AN$605, $I213:$I$605) / $I212</f>
        <v>-730.04176169313314</v>
      </c>
      <c r="AR212" s="46">
        <v>0</v>
      </c>
      <c r="AS212" s="46">
        <v>0</v>
      </c>
      <c r="AT212" s="46">
        <v>0</v>
      </c>
      <c r="AU212" s="95">
        <f t="shared" si="165"/>
        <v>-2.5997945384465835</v>
      </c>
      <c r="AV212" s="47">
        <f t="shared" si="166"/>
        <v>0.1</v>
      </c>
      <c r="AW212" s="96">
        <f t="shared" si="195"/>
        <v>-2.8597739922912422</v>
      </c>
      <c r="AX212" s="95">
        <f t="shared" si="167"/>
        <v>-29.810977374187487</v>
      </c>
      <c r="AY212" s="11">
        <f t="shared" si="168"/>
        <v>0.1</v>
      </c>
      <c r="AZ212" s="96">
        <f t="shared" si="196"/>
        <v>-32.792075111606238</v>
      </c>
      <c r="BA212" s="95">
        <f t="shared" si="197"/>
        <v>-2.1392370816191408</v>
      </c>
      <c r="BB212" s="64">
        <f t="shared" si="198"/>
        <v>-1.5352827042208668E-2</v>
      </c>
      <c r="BC212" s="95">
        <f t="shared" si="158"/>
        <v>-2.8597739922912422</v>
      </c>
      <c r="BD212" s="96">
        <f t="shared" si="158"/>
        <v>-2.0523959621260326E-2</v>
      </c>
      <c r="BE212" s="96">
        <f t="shared" si="199"/>
        <v>-2.1392370816191408</v>
      </c>
      <c r="BF212" s="96">
        <f t="shared" si="200"/>
        <v>-1.5352827042208668E-2</v>
      </c>
      <c r="BG212" s="15">
        <f t="shared" si="201"/>
        <v>-105.61043959191134</v>
      </c>
      <c r="BH212" s="46">
        <f>(SUMPRODUCT(BE213:BE$605,$I212:$I$604)+SUMPRODUCT(BF213:BF$605,$I213:$I$605)) / $I212</f>
        <v>-79.001266949806748</v>
      </c>
      <c r="BJ212" s="46">
        <f t="shared" si="202"/>
        <v>-2.1392370816191408</v>
      </c>
      <c r="BK212" s="46">
        <f t="shared" si="203"/>
        <v>-20.936886971914443</v>
      </c>
      <c r="BM212" s="49">
        <f t="shared" si="169"/>
        <v>1082.2218952953003</v>
      </c>
      <c r="BN212" s="50">
        <f t="shared" si="204"/>
        <v>809.04302864294016</v>
      </c>
      <c r="BP212" s="68">
        <f>INDEX(Others!$H$11:$I$60, MATCH(C212, Others!$A$11:$A$60, 0), MATCH(BP$3, Others!$H$10:$I$10, 0))</f>
        <v>3.0518181818181833E-2</v>
      </c>
      <c r="BQ212" s="16">
        <f t="shared" si="205"/>
        <v>2.5082875760633616E-3</v>
      </c>
      <c r="BR212" s="69">
        <f t="shared" si="206"/>
        <v>0.59532760108640148</v>
      </c>
      <c r="BT212" s="46">
        <f t="shared" si="207"/>
        <v>821.69658788574873</v>
      </c>
      <c r="BU212" s="49">
        <f t="shared" si="170"/>
        <v>16.926119354805408</v>
      </c>
      <c r="BV212" s="46">
        <f t="shared" si="208"/>
        <v>12.653559242808569</v>
      </c>
      <c r="BX212" s="46">
        <f t="shared" si="209"/>
        <v>1099.1480146501058</v>
      </c>
    </row>
    <row r="213" spans="1:76" x14ac:dyDescent="0.25">
      <c r="A213" s="61">
        <f t="shared" si="159"/>
        <v>17.333333333333357</v>
      </c>
      <c r="B213" s="32">
        <f t="shared" si="171"/>
        <v>4</v>
      </c>
      <c r="C213" s="62">
        <f t="shared" si="172"/>
        <v>18</v>
      </c>
      <c r="D213" s="64">
        <f t="shared" si="173"/>
        <v>17.833333333333357</v>
      </c>
      <c r="E213" s="28">
        <f t="shared" si="174"/>
        <v>17</v>
      </c>
      <c r="G213" s="68">
        <f>INDEX(Others!$D$11:$E$60, MATCH(C213, Others!$A$11:$A$60, 0), MATCH(G$3, Others!$D$10:$E$10, 0))</f>
        <v>4.0690909090909111E-2</v>
      </c>
      <c r="H213" s="16">
        <f t="shared" si="175"/>
        <v>3.329265421250005E-3</v>
      </c>
      <c r="I213" s="69">
        <f t="shared" si="176"/>
        <v>0.50090589849100264</v>
      </c>
      <c r="K213" s="80">
        <f>INDEX(Mortality!$B$7:$F$32, MATCH( E213,Mortality!$A$7:$A$32, 0), MATCH( K$3,Mortality!$B$6:$F$6,0))</f>
        <v>0.40099999999999997</v>
      </c>
      <c r="L213" s="11" cm="1">
        <f t="array" ref="L213">PAD_Res_Mort</f>
        <v>0.15</v>
      </c>
      <c r="M213" s="80">
        <f t="shared" si="177"/>
        <v>0.46114999999999995</v>
      </c>
      <c r="N213" s="76">
        <f>INDEX('Myopia_(Reserve)'!$H:$H, MATCH(E213, 'Myopia_(Reserve)'!$A:$A, 0)) * Trend_Factor_Reserve^(A213)</f>
        <v>5.4228471376701828</v>
      </c>
      <c r="O213" s="11">
        <f t="shared" si="160"/>
        <v>0.3</v>
      </c>
      <c r="P213" s="80">
        <f t="shared" si="178"/>
        <v>7.0497012789712379</v>
      </c>
      <c r="Q213" s="76">
        <f>VLOOKUP(C213,Others!$L$10:$M$61,2)</f>
        <v>0</v>
      </c>
      <c r="R213" s="11">
        <f t="shared" si="161"/>
        <v>0</v>
      </c>
      <c r="S213" s="80">
        <f t="shared" si="179"/>
        <v>0</v>
      </c>
      <c r="T213" s="78">
        <f t="shared" si="180"/>
        <v>3.8429166666666661E-5</v>
      </c>
      <c r="U213" s="81">
        <f t="shared" si="181"/>
        <v>5.8747510658093652E-4</v>
      </c>
      <c r="V213" s="81">
        <f t="shared" si="182"/>
        <v>0</v>
      </c>
      <c r="W213" s="77">
        <f t="shared" si="162"/>
        <v>0.74757591965202363</v>
      </c>
      <c r="X213" s="82">
        <f t="shared" si="183"/>
        <v>2.8720280908486142E-5</v>
      </c>
      <c r="Y213" s="82">
        <f t="shared" si="184"/>
        <v>4.3917380437110613E-4</v>
      </c>
      <c r="Z213" s="82">
        <f t="shared" si="185"/>
        <v>0</v>
      </c>
      <c r="AA213" s="82">
        <f t="shared" si="186"/>
        <v>0.74710802556674405</v>
      </c>
      <c r="AC213" s="46">
        <f t="shared" si="163"/>
        <v>0</v>
      </c>
      <c r="AD213" s="15">
        <f t="shared" si="187"/>
        <v>0</v>
      </c>
      <c r="AE213" s="46">
        <f t="shared" si="188"/>
        <v>0</v>
      </c>
      <c r="AF213" s="15">
        <f t="shared" si="189"/>
        <v>0</v>
      </c>
      <c r="AG213" s="46">
        <f>SUMPRODUCT(AE214:AE$605, $I213:$I$604) / $I213</f>
        <v>0</v>
      </c>
      <c r="AI213" s="46">
        <f t="shared" si="164"/>
        <v>-47000</v>
      </c>
      <c r="AJ213" s="46">
        <f>IF(E213&gt;Mat_Year,0,  -SUM($AD$5:AD213))</f>
        <v>-9306</v>
      </c>
      <c r="AK213" s="24">
        <f t="shared" si="190"/>
        <v>-0.26727093413437203</v>
      </c>
      <c r="AL213" s="79">
        <f t="shared" si="191"/>
        <v>-20.641168805441989</v>
      </c>
      <c r="AM213" s="24">
        <f t="shared" si="192"/>
        <v>-27.968316247142731</v>
      </c>
      <c r="AN213" s="79">
        <f t="shared" si="193"/>
        <v>-20.908439739576362</v>
      </c>
      <c r="AO213" s="15">
        <f t="shared" si="194"/>
        <v>-951.82817696702148</v>
      </c>
      <c r="AP213" s="46">
        <f>SUMPRODUCT(AN214:AN$605, $I214:$I$605) / $I213</f>
        <v>-711.56382474683016</v>
      </c>
      <c r="AR213" s="46">
        <v>0</v>
      </c>
      <c r="AS213" s="46">
        <v>0</v>
      </c>
      <c r="AT213" s="46">
        <v>0</v>
      </c>
      <c r="AU213" s="95">
        <f t="shared" si="165"/>
        <v>-2.6048317750576637</v>
      </c>
      <c r="AV213" s="47">
        <f t="shared" si="166"/>
        <v>0.1</v>
      </c>
      <c r="AW213" s="96">
        <f t="shared" si="195"/>
        <v>-2.8653149525634305</v>
      </c>
      <c r="AX213" s="95">
        <f t="shared" si="167"/>
        <v>-29.868737687327872</v>
      </c>
      <c r="AY213" s="11">
        <f t="shared" si="168"/>
        <v>0.1</v>
      </c>
      <c r="AZ213" s="96">
        <f t="shared" si="196"/>
        <v>-32.855611456060664</v>
      </c>
      <c r="BA213" s="95">
        <f t="shared" si="197"/>
        <v>-2.1420404607553012</v>
      </c>
      <c r="BB213" s="64">
        <f t="shared" si="198"/>
        <v>-1.5372946268535196E-2</v>
      </c>
      <c r="BC213" s="95">
        <f t="shared" si="158"/>
        <v>-2.8653149525634305</v>
      </c>
      <c r="BD213" s="96">
        <f t="shared" si="158"/>
        <v>-2.0563725856353007E-2</v>
      </c>
      <c r="BE213" s="96">
        <f t="shared" si="199"/>
        <v>-2.1420404607553012</v>
      </c>
      <c r="BF213" s="96">
        <f t="shared" si="200"/>
        <v>-1.5372946268535196E-2</v>
      </c>
      <c r="BG213" s="15">
        <f t="shared" si="201"/>
        <v>-103.13298794284974</v>
      </c>
      <c r="BH213" s="46">
        <f>(SUMPRODUCT(BE214:BE$605,$I213:$I$604)+SUMPRODUCT(BF214:BF$605,$I214:$I$605)) / $I213</f>
        <v>-77.099738307836958</v>
      </c>
      <c r="BJ213" s="46">
        <f t="shared" si="202"/>
        <v>-2.1420404607553012</v>
      </c>
      <c r="BK213" s="46">
        <f t="shared" si="203"/>
        <v>-20.923812685844897</v>
      </c>
      <c r="BM213" s="49">
        <f t="shared" si="169"/>
        <v>1055.6218593106396</v>
      </c>
      <c r="BN213" s="50">
        <f t="shared" si="204"/>
        <v>788.66356305466729</v>
      </c>
      <c r="BP213" s="68">
        <f>INDEX(Others!$H$11:$I$60, MATCH(C213, Others!$A$11:$A$60, 0), MATCH(BP$3, Others!$H$10:$I$10, 0))</f>
        <v>3.0518181818181833E-2</v>
      </c>
      <c r="BQ213" s="16">
        <f t="shared" si="205"/>
        <v>2.5082875760633616E-3</v>
      </c>
      <c r="BR213" s="69">
        <f t="shared" si="206"/>
        <v>0.59383808439711494</v>
      </c>
      <c r="BT213" s="46">
        <f t="shared" si="207"/>
        <v>800.68641322836083</v>
      </c>
      <c r="BU213" s="49">
        <f t="shared" si="170"/>
        <v>16.092519103342788</v>
      </c>
      <c r="BV213" s="46">
        <f t="shared" si="208"/>
        <v>12.022850173693541</v>
      </c>
      <c r="BX213" s="46">
        <f t="shared" si="209"/>
        <v>1071.7143784139823</v>
      </c>
    </row>
    <row r="214" spans="1:76" x14ac:dyDescent="0.25">
      <c r="A214" s="61">
        <f t="shared" si="159"/>
        <v>17.416666666666689</v>
      </c>
      <c r="B214" s="32">
        <f t="shared" si="171"/>
        <v>5</v>
      </c>
      <c r="C214" s="62">
        <f t="shared" si="172"/>
        <v>18</v>
      </c>
      <c r="D214" s="64">
        <f t="shared" si="173"/>
        <v>17.916666666666689</v>
      </c>
      <c r="E214" s="28">
        <f t="shared" si="174"/>
        <v>17</v>
      </c>
      <c r="G214" s="68">
        <f>INDEX(Others!$D$11:$E$60, MATCH(C214, Others!$A$11:$A$60, 0), MATCH(G$3, Others!$D$10:$E$10, 0))</f>
        <v>4.0690909090909111E-2</v>
      </c>
      <c r="H214" s="16">
        <f t="shared" si="175"/>
        <v>3.329265421250005E-3</v>
      </c>
      <c r="I214" s="69">
        <f t="shared" si="176"/>
        <v>0.49924378342606823</v>
      </c>
      <c r="K214" s="80">
        <f>INDEX(Mortality!$B$7:$F$32, MATCH( E214,Mortality!$A$7:$A$32, 0), MATCH( K$3,Mortality!$B$6:$F$6,0))</f>
        <v>0.40099999999999997</v>
      </c>
      <c r="L214" s="11" cm="1">
        <f t="array" ref="L214">PAD_Res_Mort</f>
        <v>0.15</v>
      </c>
      <c r="M214" s="80">
        <f t="shared" si="177"/>
        <v>0.46114999999999995</v>
      </c>
      <c r="N214" s="76">
        <f>INDEX('Myopia_(Reserve)'!$H:$H, MATCH(E214, 'Myopia_(Reserve)'!$A:$A, 0)) * Trend_Factor_Reserve^(A214)</f>
        <v>5.4228471376701828</v>
      </c>
      <c r="O214" s="11">
        <f t="shared" si="160"/>
        <v>0.3</v>
      </c>
      <c r="P214" s="80">
        <f t="shared" si="178"/>
        <v>7.0497012789712379</v>
      </c>
      <c r="Q214" s="76">
        <f>VLOOKUP(C214,Others!$L$10:$M$61,2)</f>
        <v>0</v>
      </c>
      <c r="R214" s="11">
        <f t="shared" si="161"/>
        <v>0</v>
      </c>
      <c r="S214" s="80">
        <f t="shared" si="179"/>
        <v>0</v>
      </c>
      <c r="T214" s="78">
        <f t="shared" si="180"/>
        <v>3.8429166666666661E-5</v>
      </c>
      <c r="U214" s="81">
        <f t="shared" si="181"/>
        <v>5.8747510658093652E-4</v>
      </c>
      <c r="V214" s="81">
        <f t="shared" si="182"/>
        <v>0</v>
      </c>
      <c r="W214" s="77">
        <f t="shared" si="162"/>
        <v>0.74710802556674405</v>
      </c>
      <c r="X214" s="82">
        <f t="shared" si="183"/>
        <v>2.8702305410330842E-5</v>
      </c>
      <c r="Y214" s="82">
        <f t="shared" si="184"/>
        <v>4.3889893352511822E-4</v>
      </c>
      <c r="Z214" s="82">
        <f t="shared" si="185"/>
        <v>0</v>
      </c>
      <c r="AA214" s="82">
        <f t="shared" si="186"/>
        <v>0.74664042432780864</v>
      </c>
      <c r="AC214" s="46">
        <f t="shared" si="163"/>
        <v>0</v>
      </c>
      <c r="AD214" s="15">
        <f t="shared" si="187"/>
        <v>0</v>
      </c>
      <c r="AE214" s="46">
        <f t="shared" si="188"/>
        <v>0</v>
      </c>
      <c r="AF214" s="15">
        <f t="shared" si="189"/>
        <v>0</v>
      </c>
      <c r="AG214" s="46">
        <f>SUMPRODUCT(AE215:AE$605, $I214:$I$604) / $I214</f>
        <v>0</v>
      </c>
      <c r="AI214" s="46">
        <f t="shared" si="164"/>
        <v>-47000</v>
      </c>
      <c r="AJ214" s="46">
        <f>IF(E214&gt;Mat_Year,0,  -SUM($AD$5:AD214))</f>
        <v>-9306</v>
      </c>
      <c r="AK214" s="24">
        <f t="shared" si="190"/>
        <v>-0.26710365414853882</v>
      </c>
      <c r="AL214" s="79">
        <f t="shared" si="191"/>
        <v>-20.628249875680556</v>
      </c>
      <c r="AM214" s="24">
        <f t="shared" si="192"/>
        <v>-27.968316247142731</v>
      </c>
      <c r="AN214" s="79">
        <f t="shared" si="193"/>
        <v>-20.895353529829094</v>
      </c>
      <c r="AO214" s="15">
        <f t="shared" si="194"/>
        <v>-927.62683887382445</v>
      </c>
      <c r="AP214" s="46">
        <f>SUMPRODUCT(AN215:AN$605, $I215:$I$605) / $I214</f>
        <v>-693.0374560537432</v>
      </c>
      <c r="AR214" s="46">
        <v>0</v>
      </c>
      <c r="AS214" s="46">
        <v>0</v>
      </c>
      <c r="AT214" s="46">
        <v>0</v>
      </c>
      <c r="AU214" s="95">
        <f t="shared" si="165"/>
        <v>-2.609878771575652</v>
      </c>
      <c r="AV214" s="47">
        <f t="shared" si="166"/>
        <v>0.1</v>
      </c>
      <c r="AW214" s="96">
        <f t="shared" si="195"/>
        <v>-2.8708666487332173</v>
      </c>
      <c r="AX214" s="95">
        <f t="shared" si="167"/>
        <v>-29.92660991406747</v>
      </c>
      <c r="AY214" s="11">
        <f t="shared" si="168"/>
        <v>0.1</v>
      </c>
      <c r="AZ214" s="96">
        <f t="shared" si="196"/>
        <v>-32.919270905474221</v>
      </c>
      <c r="BA214" s="95">
        <f t="shared" si="197"/>
        <v>-2.1448475136004892</v>
      </c>
      <c r="BB214" s="64">
        <f t="shared" si="198"/>
        <v>-1.5393091860251428E-2</v>
      </c>
      <c r="BC214" s="95">
        <f t="shared" si="158"/>
        <v>-2.8708666487332173</v>
      </c>
      <c r="BD214" s="96">
        <f t="shared" si="158"/>
        <v>-2.0603569140586434E-2</v>
      </c>
      <c r="BE214" s="96">
        <f t="shared" si="199"/>
        <v>-2.1448475136004892</v>
      </c>
      <c r="BF214" s="96">
        <f t="shared" si="200"/>
        <v>-1.5393091860251428E-2</v>
      </c>
      <c r="BG214" s="15">
        <f t="shared" si="201"/>
        <v>-100.64012144885453</v>
      </c>
      <c r="BH214" s="46">
        <f>(SUMPRODUCT(BE215:BE$605,$I214:$I$604)+SUMPRODUCT(BF215:BF$605,$I215:$I$605)) / $I214</f>
        <v>-75.189042428451032</v>
      </c>
      <c r="BJ214" s="46">
        <f t="shared" si="202"/>
        <v>-2.1448475136004892</v>
      </c>
      <c r="BK214" s="46">
        <f t="shared" si="203"/>
        <v>-20.910746621689345</v>
      </c>
      <c r="BM214" s="49">
        <f t="shared" si="169"/>
        <v>1028.9109368459649</v>
      </c>
      <c r="BN214" s="50">
        <f t="shared" si="204"/>
        <v>768.2264984821943</v>
      </c>
      <c r="BP214" s="68">
        <f>INDEX(Others!$H$11:$I$60, MATCH(C214, Others!$A$11:$A$60, 0), MATCH(BP$3, Others!$H$10:$I$10, 0))</f>
        <v>3.0518181818181833E-2</v>
      </c>
      <c r="BQ214" s="16">
        <f t="shared" si="205"/>
        <v>2.5082875760633616E-3</v>
      </c>
      <c r="BR214" s="69">
        <f t="shared" si="206"/>
        <v>0.59235229449617754</v>
      </c>
      <c r="BT214" s="46">
        <f t="shared" si="207"/>
        <v>779.6337909813235</v>
      </c>
      <c r="BU214" s="49">
        <f t="shared" si="170"/>
        <v>15.278160848843735</v>
      </c>
      <c r="BV214" s="46">
        <f t="shared" si="208"/>
        <v>11.407292499129198</v>
      </c>
      <c r="BX214" s="46">
        <f t="shared" si="209"/>
        <v>1044.1890976948087</v>
      </c>
    </row>
    <row r="215" spans="1:76" x14ac:dyDescent="0.25">
      <c r="A215" s="61">
        <f t="shared" si="159"/>
        <v>17.500000000000021</v>
      </c>
      <c r="B215" s="32">
        <f t="shared" si="171"/>
        <v>6</v>
      </c>
      <c r="C215" s="62">
        <f t="shared" si="172"/>
        <v>18</v>
      </c>
      <c r="D215" s="64">
        <f t="shared" si="173"/>
        <v>18.000000000000021</v>
      </c>
      <c r="E215" s="28">
        <f t="shared" si="174"/>
        <v>18</v>
      </c>
      <c r="G215" s="68">
        <f>INDEX(Others!$D$11:$E$60, MATCH(C215, Others!$A$11:$A$60, 0), MATCH(G$3, Others!$D$10:$E$10, 0))</f>
        <v>4.0690909090909111E-2</v>
      </c>
      <c r="H215" s="16">
        <f t="shared" si="175"/>
        <v>3.329265421250005E-3</v>
      </c>
      <c r="I215" s="69">
        <f t="shared" si="176"/>
        <v>0.49758718362157972</v>
      </c>
      <c r="K215" s="80">
        <f>INDEX(Mortality!$B$7:$F$32, MATCH( E215,Mortality!$A$7:$A$32, 0), MATCH( K$3,Mortality!$B$6:$F$6,0))</f>
        <v>0.41100000000000003</v>
      </c>
      <c r="L215" s="11" cm="1">
        <f t="array" ref="L215">PAD_Res_Mort</f>
        <v>0.15</v>
      </c>
      <c r="M215" s="80">
        <f t="shared" si="177"/>
        <v>0.47265000000000001</v>
      </c>
      <c r="N215" s="76">
        <f>INDEX('Myopia_(Reserve)'!$H:$H, MATCH(E215, 'Myopia_(Reserve)'!$A:$A, 0)) * Trend_Factor_Reserve^(A215)</f>
        <v>5.393598477604141</v>
      </c>
      <c r="O215" s="11">
        <f t="shared" si="160"/>
        <v>0.3</v>
      </c>
      <c r="P215" s="80">
        <f t="shared" si="178"/>
        <v>7.0116780208853839</v>
      </c>
      <c r="Q215" s="76">
        <f>VLOOKUP(C215,Others!$L$10:$M$61,2)</f>
        <v>0</v>
      </c>
      <c r="R215" s="11">
        <f t="shared" si="161"/>
        <v>0</v>
      </c>
      <c r="S215" s="80">
        <f t="shared" si="179"/>
        <v>0</v>
      </c>
      <c r="T215" s="78">
        <f t="shared" si="180"/>
        <v>3.9387500000000002E-5</v>
      </c>
      <c r="U215" s="81">
        <f t="shared" si="181"/>
        <v>5.8430650174044871E-4</v>
      </c>
      <c r="V215" s="81">
        <f t="shared" si="182"/>
        <v>0</v>
      </c>
      <c r="W215" s="77">
        <f t="shared" si="162"/>
        <v>0.74664042432780864</v>
      </c>
      <c r="X215" s="82">
        <f t="shared" si="183"/>
        <v>2.9399707982847787E-5</v>
      </c>
      <c r="Y215" s="82">
        <f t="shared" si="184"/>
        <v>4.3625826266662231E-4</v>
      </c>
      <c r="Z215" s="82">
        <f t="shared" si="185"/>
        <v>0</v>
      </c>
      <c r="AA215" s="82">
        <f t="shared" si="186"/>
        <v>0.74617476635715918</v>
      </c>
      <c r="AC215" s="46">
        <f t="shared" si="163"/>
        <v>0</v>
      </c>
      <c r="AD215" s="15">
        <f t="shared" si="187"/>
        <v>0</v>
      </c>
      <c r="AE215" s="46">
        <f t="shared" si="188"/>
        <v>0</v>
      </c>
      <c r="AF215" s="15">
        <f t="shared" si="189"/>
        <v>0</v>
      </c>
      <c r="AG215" s="46">
        <f>SUMPRODUCT(AE216:AE$605, $I215:$I$604) / $I215</f>
        <v>0</v>
      </c>
      <c r="AI215" s="46">
        <f t="shared" si="164"/>
        <v>-47000</v>
      </c>
      <c r="AJ215" s="46">
        <f>IF(E215&gt;Mat_Year,0,  -SUM($AD$5:AD215))</f>
        <v>-9306</v>
      </c>
      <c r="AK215" s="24">
        <f t="shared" si="190"/>
        <v>-0.27359368248838151</v>
      </c>
      <c r="AL215" s="79">
        <f t="shared" si="191"/>
        <v>-20.504138345331249</v>
      </c>
      <c r="AM215" s="24">
        <f t="shared" si="192"/>
        <v>-27.828297733176679</v>
      </c>
      <c r="AN215" s="79">
        <f t="shared" si="193"/>
        <v>-20.777732027819631</v>
      </c>
      <c r="AO215" s="15">
        <f t="shared" si="194"/>
        <v>-903.46973949515098</v>
      </c>
      <c r="AP215" s="46">
        <f>SUMPRODUCT(AN216:AN$605, $I216:$I$605) / $I215</f>
        <v>-674.56702966399428</v>
      </c>
      <c r="AR215" s="46">
        <v>0</v>
      </c>
      <c r="AS215" s="46">
        <v>0</v>
      </c>
      <c r="AT215" s="46">
        <v>0</v>
      </c>
      <c r="AU215" s="95">
        <f t="shared" si="165"/>
        <v>-2.6149355469108735</v>
      </c>
      <c r="AV215" s="47">
        <f t="shared" si="166"/>
        <v>0.1</v>
      </c>
      <c r="AW215" s="96">
        <f t="shared" si="195"/>
        <v>-2.876429101601961</v>
      </c>
      <c r="AX215" s="95">
        <f t="shared" si="167"/>
        <v>-29.984594271244681</v>
      </c>
      <c r="AY215" s="11">
        <f t="shared" si="168"/>
        <v>0.1</v>
      </c>
      <c r="AZ215" s="96">
        <f t="shared" si="196"/>
        <v>-32.983053698369154</v>
      </c>
      <c r="BA215" s="95">
        <f t="shared" si="197"/>
        <v>-2.1476582449689454</v>
      </c>
      <c r="BB215" s="64">
        <f t="shared" si="198"/>
        <v>-1.5358821851005081E-2</v>
      </c>
      <c r="BC215" s="95">
        <f t="shared" ref="BC215:BD278" si="210">IF($W215 = 0, 0, BE215/$W215)</f>
        <v>-2.876429101601961</v>
      </c>
      <c r="BD215" s="96">
        <f t="shared" si="210"/>
        <v>-2.057057366647733E-2</v>
      </c>
      <c r="BE215" s="96">
        <f t="shared" si="199"/>
        <v>-2.1476582449689454</v>
      </c>
      <c r="BF215" s="96">
        <f t="shared" si="200"/>
        <v>-1.5358821851005081E-2</v>
      </c>
      <c r="BG215" s="15">
        <f t="shared" si="201"/>
        <v>-98.13184115001107</v>
      </c>
      <c r="BH215" s="46">
        <f>(SUMPRODUCT(BE216:BE$605,$I215:$I$604)+SUMPRODUCT(BF216:BF$605,$I216:$I$605)) / $I215</f>
        <v>-73.269199516313378</v>
      </c>
      <c r="BJ215" s="46">
        <f t="shared" si="202"/>
        <v>-2.1476582449689454</v>
      </c>
      <c r="BK215" s="46">
        <f t="shared" si="203"/>
        <v>-20.793090849670637</v>
      </c>
      <c r="BM215" s="49">
        <f t="shared" si="169"/>
        <v>1002.2266403234995</v>
      </c>
      <c r="BN215" s="50">
        <f t="shared" si="204"/>
        <v>747.8362291803079</v>
      </c>
      <c r="BP215" s="68">
        <f>INDEX(Others!$H$11:$I$60, MATCH(C215, Others!$A$11:$A$60, 0), MATCH(BP$3, Others!$H$10:$I$10, 0))</f>
        <v>3.0518181818181833E-2</v>
      </c>
      <c r="BQ215" s="16">
        <f t="shared" si="205"/>
        <v>2.5082875760633616E-3</v>
      </c>
      <c r="BR215" s="69">
        <f t="shared" si="206"/>
        <v>0.59087022205912088</v>
      </c>
      <c r="BT215" s="46">
        <f t="shared" si="207"/>
        <v>758.64320069398809</v>
      </c>
      <c r="BU215" s="49">
        <f t="shared" si="170"/>
        <v>14.483163999822798</v>
      </c>
      <c r="BV215" s="46">
        <f t="shared" si="208"/>
        <v>10.806971513680196</v>
      </c>
      <c r="BX215" s="46">
        <f t="shared" si="209"/>
        <v>1016.7098043233223</v>
      </c>
    </row>
    <row r="216" spans="1:76" x14ac:dyDescent="0.25">
      <c r="A216" s="61">
        <f t="shared" si="159"/>
        <v>17.583333333333353</v>
      </c>
      <c r="B216" s="32">
        <f t="shared" si="171"/>
        <v>7</v>
      </c>
      <c r="C216" s="62">
        <f t="shared" si="172"/>
        <v>18</v>
      </c>
      <c r="D216" s="64">
        <f t="shared" si="173"/>
        <v>18.083333333333353</v>
      </c>
      <c r="E216" s="28">
        <f t="shared" si="174"/>
        <v>18</v>
      </c>
      <c r="G216" s="68">
        <f>INDEX(Others!$D$11:$E$60, MATCH(C216, Others!$A$11:$A$60, 0), MATCH(G$3, Others!$D$10:$E$10, 0))</f>
        <v>4.0690909090909111E-2</v>
      </c>
      <c r="H216" s="16">
        <f t="shared" si="175"/>
        <v>3.329265421250005E-3</v>
      </c>
      <c r="I216" s="69">
        <f t="shared" si="176"/>
        <v>0.49593608077669959</v>
      </c>
      <c r="K216" s="80">
        <f>INDEX(Mortality!$B$7:$F$32, MATCH( E216,Mortality!$A$7:$A$32, 0), MATCH( K$3,Mortality!$B$6:$F$6,0))</f>
        <v>0.41100000000000003</v>
      </c>
      <c r="L216" s="11" cm="1">
        <f t="array" ref="L216">PAD_Res_Mort</f>
        <v>0.15</v>
      </c>
      <c r="M216" s="80">
        <f t="shared" si="177"/>
        <v>0.47265000000000001</v>
      </c>
      <c r="N216" s="76">
        <f>INDEX('Myopia_(Reserve)'!$H:$H, MATCH(E216, 'Myopia_(Reserve)'!$A:$A, 0)) * Trend_Factor_Reserve^(A216)</f>
        <v>5.393598477604141</v>
      </c>
      <c r="O216" s="11">
        <f t="shared" si="160"/>
        <v>0.3</v>
      </c>
      <c r="P216" s="80">
        <f t="shared" si="178"/>
        <v>7.0116780208853839</v>
      </c>
      <c r="Q216" s="76">
        <f>VLOOKUP(C216,Others!$L$10:$M$61,2)</f>
        <v>0</v>
      </c>
      <c r="R216" s="11">
        <f t="shared" si="161"/>
        <v>0</v>
      </c>
      <c r="S216" s="80">
        <f t="shared" si="179"/>
        <v>0</v>
      </c>
      <c r="T216" s="78">
        <f t="shared" si="180"/>
        <v>3.9387500000000002E-5</v>
      </c>
      <c r="U216" s="81">
        <f t="shared" si="181"/>
        <v>5.8430650174044871E-4</v>
      </c>
      <c r="V216" s="81">
        <f t="shared" si="182"/>
        <v>0</v>
      </c>
      <c r="W216" s="77">
        <f t="shared" si="162"/>
        <v>0.74617476635715918</v>
      </c>
      <c r="X216" s="82">
        <f t="shared" si="183"/>
        <v>2.938137223794179E-5</v>
      </c>
      <c r="Y216" s="82">
        <f t="shared" si="184"/>
        <v>4.3598618104519752E-4</v>
      </c>
      <c r="Z216" s="82">
        <f t="shared" si="185"/>
        <v>0</v>
      </c>
      <c r="AA216" s="82">
        <f t="shared" si="186"/>
        <v>0.74570939880387599</v>
      </c>
      <c r="AC216" s="46">
        <f t="shared" si="163"/>
        <v>0</v>
      </c>
      <c r="AD216" s="15">
        <f t="shared" si="187"/>
        <v>0</v>
      </c>
      <c r="AE216" s="46">
        <f t="shared" si="188"/>
        <v>0</v>
      </c>
      <c r="AF216" s="15">
        <f t="shared" si="189"/>
        <v>0</v>
      </c>
      <c r="AG216" s="46">
        <f>SUMPRODUCT(AE217:AE$605, $I216:$I$604) / $I216</f>
        <v>0</v>
      </c>
      <c r="AI216" s="46">
        <f t="shared" si="164"/>
        <v>-47000</v>
      </c>
      <c r="AJ216" s="46">
        <f>IF(E216&gt;Mat_Year,0,  -SUM($AD$5:AD216))</f>
        <v>-9306</v>
      </c>
      <c r="AK216" s="24">
        <f t="shared" si="190"/>
        <v>-0.27342305004628631</v>
      </c>
      <c r="AL216" s="79">
        <f t="shared" si="191"/>
        <v>-20.491350509124285</v>
      </c>
      <c r="AM216" s="24">
        <f t="shared" si="192"/>
        <v>-27.828297733176679</v>
      </c>
      <c r="AN216" s="79">
        <f t="shared" si="193"/>
        <v>-20.764773559170571</v>
      </c>
      <c r="AO216" s="15">
        <f t="shared" si="194"/>
        <v>-879.21502893194838</v>
      </c>
      <c r="AP216" s="46">
        <f>SUMPRODUCT(AN217:AN$605, $I217:$I$605) / $I216</f>
        <v>-656.04806879099954</v>
      </c>
      <c r="AR216" s="46">
        <v>0</v>
      </c>
      <c r="AS216" s="46">
        <v>0</v>
      </c>
      <c r="AT216" s="46">
        <v>0</v>
      </c>
      <c r="AU216" s="95">
        <f t="shared" si="165"/>
        <v>-2.6200021200102941</v>
      </c>
      <c r="AV216" s="47">
        <f t="shared" si="166"/>
        <v>0.1</v>
      </c>
      <c r="AW216" s="96">
        <f t="shared" si="195"/>
        <v>-2.8820023320113237</v>
      </c>
      <c r="AX216" s="95">
        <f t="shared" si="167"/>
        <v>-30.042690976118038</v>
      </c>
      <c r="AY216" s="11">
        <f t="shared" si="168"/>
        <v>0.1</v>
      </c>
      <c r="AZ216" s="96">
        <f t="shared" si="196"/>
        <v>-33.046960073729842</v>
      </c>
      <c r="BA216" s="95">
        <f t="shared" si="197"/>
        <v>-2.1504774167293372</v>
      </c>
      <c r="BB216" s="64">
        <f t="shared" si="198"/>
        <v>-1.5378982952957249E-2</v>
      </c>
      <c r="BC216" s="95">
        <f t="shared" si="210"/>
        <v>-2.8820023320113237</v>
      </c>
      <c r="BD216" s="96">
        <f t="shared" si="210"/>
        <v>-2.0610430218697646E-2</v>
      </c>
      <c r="BE216" s="96">
        <f t="shared" si="199"/>
        <v>-2.1504774167293372</v>
      </c>
      <c r="BF216" s="96">
        <f t="shared" si="200"/>
        <v>-1.5378982952957249E-2</v>
      </c>
      <c r="BG216" s="15">
        <f t="shared" si="201"/>
        <v>-95.607784443321052</v>
      </c>
      <c r="BH216" s="46">
        <f>(SUMPRODUCT(BE217:BE$605,$I216:$I$604)+SUMPRODUCT(BF217:BF$605,$I217:$I$605)) / $I216</f>
        <v>-71.340116218920727</v>
      </c>
      <c r="BJ216" s="46">
        <f t="shared" si="202"/>
        <v>-2.1504774167293372</v>
      </c>
      <c r="BK216" s="46">
        <f t="shared" si="203"/>
        <v>-20.780152542123528</v>
      </c>
      <c r="BM216" s="49">
        <f t="shared" si="169"/>
        <v>975.4311614908662</v>
      </c>
      <c r="BN216" s="50">
        <f t="shared" si="204"/>
        <v>727.38818500992033</v>
      </c>
      <c r="BP216" s="68">
        <f>INDEX(Others!$H$11:$I$60, MATCH(C216, Others!$A$11:$A$60, 0), MATCH(BP$3, Others!$H$10:$I$10, 0))</f>
        <v>3.0518181818181833E-2</v>
      </c>
      <c r="BQ216" s="16">
        <f t="shared" si="205"/>
        <v>2.5082875760633616E-3</v>
      </c>
      <c r="BR216" s="69">
        <f t="shared" si="206"/>
        <v>0.58939185778480629</v>
      </c>
      <c r="BT216" s="46">
        <f t="shared" si="207"/>
        <v>737.61007203431393</v>
      </c>
      <c r="BU216" s="49">
        <f t="shared" si="170"/>
        <v>13.707601165802103</v>
      </c>
      <c r="BV216" s="46">
        <f t="shared" si="208"/>
        <v>10.221887024393595</v>
      </c>
      <c r="BX216" s="46">
        <f t="shared" si="209"/>
        <v>989.13876265666829</v>
      </c>
    </row>
    <row r="217" spans="1:76" x14ac:dyDescent="0.25">
      <c r="A217" s="61">
        <f t="shared" si="159"/>
        <v>17.666666666666686</v>
      </c>
      <c r="B217" s="32">
        <f t="shared" si="171"/>
        <v>8</v>
      </c>
      <c r="C217" s="62">
        <f t="shared" si="172"/>
        <v>18</v>
      </c>
      <c r="D217" s="64">
        <f t="shared" si="173"/>
        <v>18.166666666666686</v>
      </c>
      <c r="E217" s="28">
        <f t="shared" si="174"/>
        <v>18</v>
      </c>
      <c r="G217" s="68">
        <f>INDEX(Others!$D$11:$E$60, MATCH(C217, Others!$A$11:$A$60, 0), MATCH(G$3, Others!$D$10:$E$10, 0))</f>
        <v>4.0690909090909111E-2</v>
      </c>
      <c r="H217" s="16">
        <f t="shared" si="175"/>
        <v>3.329265421250005E-3</v>
      </c>
      <c r="I217" s="69">
        <f t="shared" si="176"/>
        <v>0.49429045665131649</v>
      </c>
      <c r="K217" s="80">
        <f>INDEX(Mortality!$B$7:$F$32, MATCH( E217,Mortality!$A$7:$A$32, 0), MATCH( K$3,Mortality!$B$6:$F$6,0))</f>
        <v>0.41100000000000003</v>
      </c>
      <c r="L217" s="11" cm="1">
        <f t="array" ref="L217">PAD_Res_Mort</f>
        <v>0.15</v>
      </c>
      <c r="M217" s="80">
        <f t="shared" si="177"/>
        <v>0.47265000000000001</v>
      </c>
      <c r="N217" s="76">
        <f>INDEX('Myopia_(Reserve)'!$H:$H, MATCH(E217, 'Myopia_(Reserve)'!$A:$A, 0)) * Trend_Factor_Reserve^(A217)</f>
        <v>5.393598477604141</v>
      </c>
      <c r="O217" s="11">
        <f t="shared" si="160"/>
        <v>0.3</v>
      </c>
      <c r="P217" s="80">
        <f t="shared" si="178"/>
        <v>7.0116780208853839</v>
      </c>
      <c r="Q217" s="76">
        <f>VLOOKUP(C217,Others!$L$10:$M$61,2)</f>
        <v>0</v>
      </c>
      <c r="R217" s="11">
        <f t="shared" si="161"/>
        <v>0</v>
      </c>
      <c r="S217" s="80">
        <f t="shared" si="179"/>
        <v>0</v>
      </c>
      <c r="T217" s="78">
        <f t="shared" si="180"/>
        <v>3.9387500000000002E-5</v>
      </c>
      <c r="U217" s="81">
        <f t="shared" si="181"/>
        <v>5.8430650174044871E-4</v>
      </c>
      <c r="V217" s="81">
        <f t="shared" si="182"/>
        <v>0</v>
      </c>
      <c r="W217" s="77">
        <f t="shared" si="162"/>
        <v>0.74570939880387599</v>
      </c>
      <c r="X217" s="82">
        <f t="shared" si="183"/>
        <v>2.936304792850792E-5</v>
      </c>
      <c r="Y217" s="82">
        <f t="shared" si="184"/>
        <v>4.3571426911318613E-4</v>
      </c>
      <c r="Z217" s="82">
        <f t="shared" si="185"/>
        <v>0</v>
      </c>
      <c r="AA217" s="82">
        <f t="shared" si="186"/>
        <v>0.74524432148683428</v>
      </c>
      <c r="AC217" s="46">
        <f t="shared" si="163"/>
        <v>0</v>
      </c>
      <c r="AD217" s="15">
        <f t="shared" si="187"/>
        <v>0</v>
      </c>
      <c r="AE217" s="46">
        <f t="shared" si="188"/>
        <v>0</v>
      </c>
      <c r="AF217" s="15">
        <f t="shared" si="189"/>
        <v>0</v>
      </c>
      <c r="AG217" s="46">
        <f>SUMPRODUCT(AE218:AE$605, $I217:$I$604) / $I217</f>
        <v>0</v>
      </c>
      <c r="AI217" s="46">
        <f t="shared" si="164"/>
        <v>-47000</v>
      </c>
      <c r="AJ217" s="46">
        <f>IF(E217&gt;Mat_Year,0,  -SUM($AD$5:AD217))</f>
        <v>-9306</v>
      </c>
      <c r="AK217" s="24">
        <f t="shared" si="190"/>
        <v>-0.27325252402269473</v>
      </c>
      <c r="AL217" s="79">
        <f t="shared" si="191"/>
        <v>-20.478570648319749</v>
      </c>
      <c r="AM217" s="24">
        <f t="shared" si="192"/>
        <v>-27.828297733176676</v>
      </c>
      <c r="AN217" s="79">
        <f t="shared" si="193"/>
        <v>-20.751823172342444</v>
      </c>
      <c r="AO217" s="15">
        <f t="shared" si="194"/>
        <v>-854.86438120705543</v>
      </c>
      <c r="AP217" s="46">
        <f>SUMPRODUCT(AN218:AN$605, $I218:$I$605) / $I217</f>
        <v>-637.48040376876077</v>
      </c>
      <c r="AR217" s="46">
        <v>0</v>
      </c>
      <c r="AS217" s="46">
        <v>0</v>
      </c>
      <c r="AT217" s="46">
        <v>0</v>
      </c>
      <c r="AU217" s="95">
        <f t="shared" si="165"/>
        <v>-2.6250785098575893</v>
      </c>
      <c r="AV217" s="47">
        <f t="shared" si="166"/>
        <v>0.1</v>
      </c>
      <c r="AW217" s="96">
        <f t="shared" si="195"/>
        <v>-2.8875863608433483</v>
      </c>
      <c r="AX217" s="95">
        <f t="shared" si="167"/>
        <v>-30.100900246367019</v>
      </c>
      <c r="AY217" s="11">
        <f t="shared" si="168"/>
        <v>0.1</v>
      </c>
      <c r="AZ217" s="96">
        <f t="shared" si="196"/>
        <v>-33.110990271003722</v>
      </c>
      <c r="BA217" s="95">
        <f t="shared" si="197"/>
        <v>-2.1533002891387656</v>
      </c>
      <c r="BB217" s="64">
        <f t="shared" si="198"/>
        <v>-1.5399170519832046E-2</v>
      </c>
      <c r="BC217" s="95">
        <f t="shared" si="210"/>
        <v>-2.8875863608433487</v>
      </c>
      <c r="BD217" s="96">
        <f t="shared" si="210"/>
        <v>-2.0650363995052819E-2</v>
      </c>
      <c r="BE217" s="96">
        <f t="shared" si="199"/>
        <v>-2.1533002891387656</v>
      </c>
      <c r="BF217" s="96">
        <f t="shared" si="200"/>
        <v>-1.5399170519832046E-2</v>
      </c>
      <c r="BG217" s="15">
        <f t="shared" si="201"/>
        <v>-93.068101521134793</v>
      </c>
      <c r="BH217" s="46">
        <f>(SUMPRODUCT(BE218:BE$605,$I217:$I$604)+SUMPRODUCT(BF218:BF$605,$I218:$I$605)) / $I217</f>
        <v>-69.401758033143523</v>
      </c>
      <c r="BJ217" s="46">
        <f t="shared" si="202"/>
        <v>-2.1533002891387656</v>
      </c>
      <c r="BK217" s="46">
        <f t="shared" si="203"/>
        <v>-20.767222342862276</v>
      </c>
      <c r="BM217" s="49">
        <f t="shared" si="169"/>
        <v>948.5240496587835</v>
      </c>
      <c r="BN217" s="50">
        <f t="shared" si="204"/>
        <v>706.88216180190443</v>
      </c>
      <c r="BP217" s="68">
        <f>INDEX(Others!$H$11:$I$60, MATCH(C217, Others!$A$11:$A$60, 0), MATCH(BP$3, Others!$H$10:$I$10, 0))</f>
        <v>3.0518181818181833E-2</v>
      </c>
      <c r="BQ217" s="16">
        <f t="shared" si="205"/>
        <v>2.5082875760633616E-3</v>
      </c>
      <c r="BR217" s="69">
        <f t="shared" si="206"/>
        <v>0.58791719239536699</v>
      </c>
      <c r="BT217" s="46">
        <f t="shared" si="207"/>
        <v>716.53428648561294</v>
      </c>
      <c r="BU217" s="49">
        <f t="shared" si="170"/>
        <v>12.95162459534289</v>
      </c>
      <c r="BV217" s="46">
        <f t="shared" si="208"/>
        <v>9.6521246837085073</v>
      </c>
      <c r="BX217" s="46">
        <f t="shared" si="209"/>
        <v>961.47567425412637</v>
      </c>
    </row>
    <row r="218" spans="1:76" x14ac:dyDescent="0.25">
      <c r="A218" s="61">
        <f t="shared" si="159"/>
        <v>17.750000000000018</v>
      </c>
      <c r="B218" s="32">
        <f t="shared" si="171"/>
        <v>9</v>
      </c>
      <c r="C218" s="62">
        <f t="shared" si="172"/>
        <v>18</v>
      </c>
      <c r="D218" s="64">
        <f t="shared" si="173"/>
        <v>18.250000000000018</v>
      </c>
      <c r="E218" s="28">
        <f t="shared" si="174"/>
        <v>18</v>
      </c>
      <c r="G218" s="68">
        <f>INDEX(Others!$D$11:$E$60, MATCH(C218, Others!$A$11:$A$60, 0), MATCH(G$3, Others!$D$10:$E$10, 0))</f>
        <v>4.0690909090909111E-2</v>
      </c>
      <c r="H218" s="16">
        <f t="shared" si="175"/>
        <v>3.329265421250005E-3</v>
      </c>
      <c r="I218" s="69">
        <f t="shared" si="176"/>
        <v>0.49265029306584368</v>
      </c>
      <c r="K218" s="80">
        <f>INDEX(Mortality!$B$7:$F$32, MATCH( E218,Mortality!$A$7:$A$32, 0), MATCH( K$3,Mortality!$B$6:$F$6,0))</f>
        <v>0.41100000000000003</v>
      </c>
      <c r="L218" s="11" cm="1">
        <f t="array" ref="L218">PAD_Res_Mort</f>
        <v>0.15</v>
      </c>
      <c r="M218" s="80">
        <f t="shared" si="177"/>
        <v>0.47265000000000001</v>
      </c>
      <c r="N218" s="76">
        <f>INDEX('Myopia_(Reserve)'!$H:$H, MATCH(E218, 'Myopia_(Reserve)'!$A:$A, 0)) * Trend_Factor_Reserve^(A218)</f>
        <v>5.393598477604141</v>
      </c>
      <c r="O218" s="11">
        <f t="shared" si="160"/>
        <v>0.3</v>
      </c>
      <c r="P218" s="80">
        <f t="shared" si="178"/>
        <v>7.0116780208853839</v>
      </c>
      <c r="Q218" s="76">
        <f>VLOOKUP(C218,Others!$L$10:$M$61,2)</f>
        <v>0</v>
      </c>
      <c r="R218" s="11">
        <f t="shared" si="161"/>
        <v>0</v>
      </c>
      <c r="S218" s="80">
        <f t="shared" si="179"/>
        <v>0</v>
      </c>
      <c r="T218" s="78">
        <f t="shared" si="180"/>
        <v>3.9387500000000002E-5</v>
      </c>
      <c r="U218" s="81">
        <f t="shared" si="181"/>
        <v>5.8430650174044871E-4</v>
      </c>
      <c r="V218" s="81">
        <f t="shared" si="182"/>
        <v>0</v>
      </c>
      <c r="W218" s="77">
        <f t="shared" si="162"/>
        <v>0.74524432148683428</v>
      </c>
      <c r="X218" s="82">
        <f t="shared" si="183"/>
        <v>2.9344735047414207E-5</v>
      </c>
      <c r="Y218" s="82">
        <f t="shared" si="184"/>
        <v>4.3544252676475798E-4</v>
      </c>
      <c r="Z218" s="82">
        <f t="shared" si="185"/>
        <v>0</v>
      </c>
      <c r="AA218" s="82">
        <f t="shared" si="186"/>
        <v>0.74477953422502208</v>
      </c>
      <c r="AC218" s="46">
        <f t="shared" si="163"/>
        <v>0</v>
      </c>
      <c r="AD218" s="15">
        <f t="shared" si="187"/>
        <v>0</v>
      </c>
      <c r="AE218" s="46">
        <f t="shared" si="188"/>
        <v>0</v>
      </c>
      <c r="AF218" s="15">
        <f t="shared" si="189"/>
        <v>0</v>
      </c>
      <c r="AG218" s="46">
        <f>SUMPRODUCT(AE219:AE$605, $I218:$I$604) / $I218</f>
        <v>0</v>
      </c>
      <c r="AI218" s="46">
        <f t="shared" si="164"/>
        <v>-47000</v>
      </c>
      <c r="AJ218" s="46">
        <f>IF(E218&gt;Mat_Year,0,  -SUM($AD$5:AD218))</f>
        <v>-9306</v>
      </c>
      <c r="AK218" s="24">
        <f t="shared" si="190"/>
        <v>-0.27308210435123659</v>
      </c>
      <c r="AL218" s="79">
        <f t="shared" si="191"/>
        <v>-20.465798757943624</v>
      </c>
      <c r="AM218" s="24">
        <f t="shared" si="192"/>
        <v>-27.828297733176676</v>
      </c>
      <c r="AN218" s="79">
        <f t="shared" si="193"/>
        <v>-20.738880862294859</v>
      </c>
      <c r="AO218" s="15">
        <f t="shared" si="194"/>
        <v>-830.41741685030854</v>
      </c>
      <c r="AP218" s="46">
        <f>SUMPRODUCT(AN219:AN$605, $I219:$I$605) / $I218</f>
        <v>-618.86386437145779</v>
      </c>
      <c r="AR218" s="46">
        <v>0</v>
      </c>
      <c r="AS218" s="46">
        <v>0</v>
      </c>
      <c r="AT218" s="46">
        <v>0</v>
      </c>
      <c r="AU218" s="95">
        <f t="shared" si="165"/>
        <v>-2.6301647354732163</v>
      </c>
      <c r="AV218" s="47">
        <f t="shared" si="166"/>
        <v>0.1</v>
      </c>
      <c r="AW218" s="96">
        <f t="shared" si="195"/>
        <v>-2.893181209020538</v>
      </c>
      <c r="AX218" s="95">
        <f t="shared" si="167"/>
        <v>-30.159222300092878</v>
      </c>
      <c r="AY218" s="11">
        <f t="shared" si="168"/>
        <v>0.1</v>
      </c>
      <c r="AZ218" s="96">
        <f t="shared" si="196"/>
        <v>-33.175144530102166</v>
      </c>
      <c r="BA218" s="95">
        <f t="shared" si="197"/>
        <v>-2.1561268670549696</v>
      </c>
      <c r="BB218" s="64">
        <f t="shared" si="198"/>
        <v>-1.5419384586369248E-2</v>
      </c>
      <c r="BC218" s="95">
        <f t="shared" si="210"/>
        <v>-2.893181209020538</v>
      </c>
      <c r="BD218" s="96">
        <f t="shared" si="210"/>
        <v>-2.0690375145168621E-2</v>
      </c>
      <c r="BE218" s="96">
        <f t="shared" si="199"/>
        <v>-2.1561268670549696</v>
      </c>
      <c r="BF218" s="96">
        <f t="shared" si="200"/>
        <v>-1.5419384586369248E-2</v>
      </c>
      <c r="BG218" s="15">
        <f t="shared" si="201"/>
        <v>-90.512719642728925</v>
      </c>
      <c r="BH218" s="46">
        <f>(SUMPRODUCT(BE219:BE$605,$I218:$I$604)+SUMPRODUCT(BF219:BF$605,$I219:$I$605)) / $I218</f>
        <v>-67.454090336073577</v>
      </c>
      <c r="BJ218" s="46">
        <f t="shared" si="202"/>
        <v>-2.1561268670549696</v>
      </c>
      <c r="BK218" s="46">
        <f t="shared" si="203"/>
        <v>-20.754300246881229</v>
      </c>
      <c r="BM218" s="49">
        <f t="shared" si="169"/>
        <v>921.50485233415736</v>
      </c>
      <c r="BN218" s="50">
        <f t="shared" si="204"/>
        <v>686.3179547075315</v>
      </c>
      <c r="BP218" s="68">
        <f>INDEX(Others!$H$11:$I$60, MATCH(C218, Others!$A$11:$A$60, 0), MATCH(BP$3, Others!$H$10:$I$10, 0))</f>
        <v>3.0518181818181833E-2</v>
      </c>
      <c r="BQ218" s="16">
        <f t="shared" si="205"/>
        <v>2.5082875760633616E-3</v>
      </c>
      <c r="BR218" s="69">
        <f t="shared" si="206"/>
        <v>0.58644621663614915</v>
      </c>
      <c r="BT218" s="46">
        <f t="shared" si="207"/>
        <v>695.41572523405898</v>
      </c>
      <c r="BU218" s="49">
        <f t="shared" si="170"/>
        <v>12.215387384394415</v>
      </c>
      <c r="BV218" s="46">
        <f t="shared" si="208"/>
        <v>9.0977705265274835</v>
      </c>
      <c r="BX218" s="46">
        <f t="shared" si="209"/>
        <v>933.72023971855174</v>
      </c>
    </row>
    <row r="219" spans="1:76" x14ac:dyDescent="0.25">
      <c r="A219" s="61">
        <f t="shared" si="159"/>
        <v>17.83333333333335</v>
      </c>
      <c r="B219" s="32">
        <f t="shared" si="171"/>
        <v>10</v>
      </c>
      <c r="C219" s="62">
        <f t="shared" si="172"/>
        <v>18</v>
      </c>
      <c r="D219" s="64">
        <f t="shared" si="173"/>
        <v>18.33333333333335</v>
      </c>
      <c r="E219" s="28">
        <f t="shared" si="174"/>
        <v>18</v>
      </c>
      <c r="G219" s="68">
        <f>INDEX(Others!$D$11:$E$60, MATCH(C219, Others!$A$11:$A$60, 0), MATCH(G$3, Others!$D$10:$E$10, 0))</f>
        <v>4.0690909090909111E-2</v>
      </c>
      <c r="H219" s="16">
        <f t="shared" si="175"/>
        <v>3.329265421250005E-3</v>
      </c>
      <c r="I219" s="69">
        <f t="shared" si="176"/>
        <v>0.4910155719010183</v>
      </c>
      <c r="K219" s="80">
        <f>INDEX(Mortality!$B$7:$F$32, MATCH( E219,Mortality!$A$7:$A$32, 0), MATCH( K$3,Mortality!$B$6:$F$6,0))</f>
        <v>0.41100000000000003</v>
      </c>
      <c r="L219" s="11" cm="1">
        <f t="array" ref="L219">PAD_Res_Mort</f>
        <v>0.15</v>
      </c>
      <c r="M219" s="80">
        <f t="shared" si="177"/>
        <v>0.47265000000000001</v>
      </c>
      <c r="N219" s="76">
        <f>INDEX('Myopia_(Reserve)'!$H:$H, MATCH(E219, 'Myopia_(Reserve)'!$A:$A, 0)) * Trend_Factor_Reserve^(A219)</f>
        <v>5.393598477604141</v>
      </c>
      <c r="O219" s="11">
        <f t="shared" si="160"/>
        <v>0.3</v>
      </c>
      <c r="P219" s="80">
        <f t="shared" si="178"/>
        <v>7.0116780208853839</v>
      </c>
      <c r="Q219" s="76">
        <f>VLOOKUP(C219,Others!$L$10:$M$61,2)</f>
        <v>0</v>
      </c>
      <c r="R219" s="11">
        <f t="shared" si="161"/>
        <v>0</v>
      </c>
      <c r="S219" s="80">
        <f t="shared" si="179"/>
        <v>0</v>
      </c>
      <c r="T219" s="78">
        <f t="shared" si="180"/>
        <v>3.9387500000000002E-5</v>
      </c>
      <c r="U219" s="81">
        <f t="shared" si="181"/>
        <v>5.8430650174044871E-4</v>
      </c>
      <c r="V219" s="81">
        <f t="shared" si="182"/>
        <v>0</v>
      </c>
      <c r="W219" s="77">
        <f t="shared" si="162"/>
        <v>0.74477953422502208</v>
      </c>
      <c r="X219" s="82">
        <f t="shared" si="183"/>
        <v>2.9326433587533133E-5</v>
      </c>
      <c r="Y219" s="82">
        <f t="shared" si="184"/>
        <v>4.3517095389414853E-4</v>
      </c>
      <c r="Z219" s="82">
        <f t="shared" si="185"/>
        <v>0</v>
      </c>
      <c r="AA219" s="82">
        <f t="shared" si="186"/>
        <v>0.74431503683754041</v>
      </c>
      <c r="AC219" s="46">
        <f t="shared" si="163"/>
        <v>0</v>
      </c>
      <c r="AD219" s="15">
        <f t="shared" si="187"/>
        <v>0</v>
      </c>
      <c r="AE219" s="46">
        <f t="shared" si="188"/>
        <v>0</v>
      </c>
      <c r="AF219" s="15">
        <f t="shared" si="189"/>
        <v>0</v>
      </c>
      <c r="AG219" s="46">
        <f>SUMPRODUCT(AE220:AE$605, $I219:$I$604) / $I219</f>
        <v>0</v>
      </c>
      <c r="AI219" s="46">
        <f t="shared" si="164"/>
        <v>-47000</v>
      </c>
      <c r="AJ219" s="46">
        <f>IF(E219&gt;Mat_Year,0,  -SUM($AD$5:AD219))</f>
        <v>-9306</v>
      </c>
      <c r="AK219" s="24">
        <f t="shared" si="190"/>
        <v>-0.27291179096558332</v>
      </c>
      <c r="AL219" s="79">
        <f t="shared" si="191"/>
        <v>-20.453034833024979</v>
      </c>
      <c r="AM219" s="24">
        <f t="shared" si="192"/>
        <v>-27.828297733176676</v>
      </c>
      <c r="AN219" s="79">
        <f t="shared" si="193"/>
        <v>-20.725946623990563</v>
      </c>
      <c r="AO219" s="15">
        <f t="shared" si="194"/>
        <v>-805.87375489058593</v>
      </c>
      <c r="AP219" s="46">
        <f>SUMPRODUCT(AN220:AN$605, $I220:$I$605) / $I219</f>
        <v>-600.19827981158016</v>
      </c>
      <c r="AR219" s="46">
        <v>0</v>
      </c>
      <c r="AS219" s="46">
        <v>0</v>
      </c>
      <c r="AT219" s="46">
        <v>0</v>
      </c>
      <c r="AU219" s="95">
        <f t="shared" si="165"/>
        <v>-2.6352608159144859</v>
      </c>
      <c r="AV219" s="47">
        <f t="shared" si="166"/>
        <v>0.1</v>
      </c>
      <c r="AW219" s="96">
        <f t="shared" si="195"/>
        <v>-2.8987868975059348</v>
      </c>
      <c r="AX219" s="95">
        <f t="shared" si="167"/>
        <v>-30.217657355819433</v>
      </c>
      <c r="AY219" s="11">
        <f t="shared" si="168"/>
        <v>0.1</v>
      </c>
      <c r="AZ219" s="96">
        <f t="shared" si="196"/>
        <v>-33.239423091401378</v>
      </c>
      <c r="BA219" s="95">
        <f t="shared" si="197"/>
        <v>-2.1589571553420668</v>
      </c>
      <c r="BB219" s="64">
        <f t="shared" si="198"/>
        <v>-1.5439625187354224E-2</v>
      </c>
      <c r="BC219" s="95">
        <f t="shared" si="210"/>
        <v>-2.8987868975059348</v>
      </c>
      <c r="BD219" s="96">
        <f t="shared" si="210"/>
        <v>-2.0730463818960702E-2</v>
      </c>
      <c r="BE219" s="96">
        <f t="shared" si="199"/>
        <v>-2.1589571553420668</v>
      </c>
      <c r="BF219" s="96">
        <f t="shared" si="200"/>
        <v>-1.5439625187354224E-2</v>
      </c>
      <c r="BG219" s="15">
        <f t="shared" si="201"/>
        <v>-87.94156575847839</v>
      </c>
      <c r="BH219" s="46">
        <f>(SUMPRODUCT(BE220:BE$605,$I219:$I$604)+SUMPRODUCT(BF220:BF$605,$I220:$I$605)) / $I219</f>
        <v>-65.497078384618689</v>
      </c>
      <c r="BJ219" s="46">
        <f t="shared" si="202"/>
        <v>-2.1589571553420668</v>
      </c>
      <c r="BK219" s="46">
        <f t="shared" si="203"/>
        <v>-20.741386249177918</v>
      </c>
      <c r="BM219" s="49">
        <f t="shared" si="169"/>
        <v>894.37311521290496</v>
      </c>
      <c r="BN219" s="50">
        <f t="shared" si="204"/>
        <v>665.69535819619909</v>
      </c>
      <c r="BP219" s="68">
        <f>INDEX(Others!$H$11:$I$60, MATCH(C219, Others!$A$11:$A$60, 0), MATCH(BP$3, Others!$H$10:$I$10, 0))</f>
        <v>3.0518181818181833E-2</v>
      </c>
      <c r="BQ219" s="16">
        <f t="shared" si="205"/>
        <v>2.5082875760633616E-3</v>
      </c>
      <c r="BR219" s="69">
        <f t="shared" si="206"/>
        <v>0.58497892127565443</v>
      </c>
      <c r="BT219" s="46">
        <f t="shared" si="207"/>
        <v>674.25426916793265</v>
      </c>
      <c r="BU219" s="49">
        <f t="shared" si="170"/>
        <v>11.4990434804311</v>
      </c>
      <c r="BV219" s="46">
        <f t="shared" si="208"/>
        <v>8.5589109717335532</v>
      </c>
      <c r="BX219" s="46">
        <f t="shared" si="209"/>
        <v>905.87215869333602</v>
      </c>
    </row>
    <row r="220" spans="1:76" x14ac:dyDescent="0.25">
      <c r="A220" s="61">
        <f t="shared" si="159"/>
        <v>17.916666666666682</v>
      </c>
      <c r="B220" s="32">
        <f t="shared" si="171"/>
        <v>11</v>
      </c>
      <c r="C220" s="62">
        <f t="shared" si="172"/>
        <v>18</v>
      </c>
      <c r="D220" s="64">
        <f t="shared" si="173"/>
        <v>18.416666666666682</v>
      </c>
      <c r="E220" s="28">
        <f t="shared" si="174"/>
        <v>18</v>
      </c>
      <c r="G220" s="68">
        <f>INDEX(Others!$D$11:$E$60, MATCH(C220, Others!$A$11:$A$60, 0), MATCH(G$3, Others!$D$10:$E$10, 0))</f>
        <v>4.0690909090909111E-2</v>
      </c>
      <c r="H220" s="16">
        <f t="shared" si="175"/>
        <v>3.329265421250005E-3</v>
      </c>
      <c r="I220" s="69">
        <f t="shared" si="176"/>
        <v>0.48938627509770116</v>
      </c>
      <c r="K220" s="80">
        <f>INDEX(Mortality!$B$7:$F$32, MATCH( E220,Mortality!$A$7:$A$32, 0), MATCH( K$3,Mortality!$B$6:$F$6,0))</f>
        <v>0.41100000000000003</v>
      </c>
      <c r="L220" s="11" cm="1">
        <f t="array" ref="L220">PAD_Res_Mort</f>
        <v>0.15</v>
      </c>
      <c r="M220" s="80">
        <f t="shared" si="177"/>
        <v>0.47265000000000001</v>
      </c>
      <c r="N220" s="76">
        <f>INDEX('Myopia_(Reserve)'!$H:$H, MATCH(E220, 'Myopia_(Reserve)'!$A:$A, 0)) * Trend_Factor_Reserve^(A220)</f>
        <v>5.393598477604141</v>
      </c>
      <c r="O220" s="11">
        <f t="shared" si="160"/>
        <v>0.3</v>
      </c>
      <c r="P220" s="80">
        <f t="shared" si="178"/>
        <v>7.0116780208853839</v>
      </c>
      <c r="Q220" s="76">
        <f>VLOOKUP(C220,Others!$L$10:$M$61,2)</f>
        <v>0</v>
      </c>
      <c r="R220" s="11">
        <f t="shared" si="161"/>
        <v>0</v>
      </c>
      <c r="S220" s="80">
        <f t="shared" si="179"/>
        <v>0</v>
      </c>
      <c r="T220" s="78">
        <f t="shared" si="180"/>
        <v>3.9387500000000002E-5</v>
      </c>
      <c r="U220" s="81">
        <f t="shared" si="181"/>
        <v>5.8430650174044871E-4</v>
      </c>
      <c r="V220" s="81">
        <f t="shared" si="182"/>
        <v>0</v>
      </c>
      <c r="W220" s="77">
        <f t="shared" si="162"/>
        <v>0.74431503683754041</v>
      </c>
      <c r="X220" s="82">
        <f t="shared" si="183"/>
        <v>2.9308143541741611E-5</v>
      </c>
      <c r="Y220" s="82">
        <f t="shared" si="184"/>
        <v>4.3489955039565943E-4</v>
      </c>
      <c r="Z220" s="82">
        <f t="shared" si="185"/>
        <v>0</v>
      </c>
      <c r="AA220" s="82">
        <f t="shared" si="186"/>
        <v>0.74385082914360301</v>
      </c>
      <c r="AC220" s="46">
        <f t="shared" si="163"/>
        <v>0</v>
      </c>
      <c r="AD220" s="15">
        <f t="shared" si="187"/>
        <v>0</v>
      </c>
      <c r="AE220" s="46">
        <f t="shared" si="188"/>
        <v>0</v>
      </c>
      <c r="AF220" s="15">
        <f t="shared" si="189"/>
        <v>0</v>
      </c>
      <c r="AG220" s="46">
        <f>SUMPRODUCT(AE221:AE$605, $I220:$I$604) / $I220</f>
        <v>0</v>
      </c>
      <c r="AI220" s="46">
        <f t="shared" si="164"/>
        <v>-47000</v>
      </c>
      <c r="AJ220" s="46">
        <f>IF(E220&gt;Mat_Year,0,  -SUM($AD$5:AD220))</f>
        <v>-9306</v>
      </c>
      <c r="AK220" s="24">
        <f t="shared" si="190"/>
        <v>-0.27274158379944746</v>
      </c>
      <c r="AL220" s="79">
        <f t="shared" si="191"/>
        <v>-20.440278868595993</v>
      </c>
      <c r="AM220" s="24">
        <f t="shared" si="192"/>
        <v>-27.828297733176676</v>
      </c>
      <c r="AN220" s="79">
        <f t="shared" si="193"/>
        <v>-20.71302045239544</v>
      </c>
      <c r="AO220" s="15">
        <f t="shared" si="194"/>
        <v>-781.23301284987213</v>
      </c>
      <c r="AP220" s="46">
        <f>SUMPRODUCT(AN221:AN$605, $I221:$I$605) / $I220</f>
        <v>-581.48347873805528</v>
      </c>
      <c r="AR220" s="46">
        <v>0</v>
      </c>
      <c r="AS220" s="46">
        <v>0</v>
      </c>
      <c r="AT220" s="46">
        <v>0</v>
      </c>
      <c r="AU220" s="95">
        <f t="shared" si="165"/>
        <v>-2.6403667702756337</v>
      </c>
      <c r="AV220" s="47">
        <f t="shared" si="166"/>
        <v>0.1</v>
      </c>
      <c r="AW220" s="96">
        <f t="shared" si="195"/>
        <v>-2.9044034473031974</v>
      </c>
      <c r="AX220" s="95">
        <f t="shared" si="167"/>
        <v>-30.27620563249393</v>
      </c>
      <c r="AY220" s="11">
        <f t="shared" si="168"/>
        <v>0.1</v>
      </c>
      <c r="AZ220" s="96">
        <f t="shared" si="196"/>
        <v>-33.303826195743326</v>
      </c>
      <c r="BA220" s="95">
        <f t="shared" si="197"/>
        <v>-2.1617911588705589</v>
      </c>
      <c r="BB220" s="64">
        <f t="shared" si="198"/>
        <v>-1.5459892357618018E-2</v>
      </c>
      <c r="BC220" s="95">
        <f t="shared" si="210"/>
        <v>-2.9044034473031979</v>
      </c>
      <c r="BD220" s="96">
        <f t="shared" si="210"/>
        <v>-2.0770630166635214E-2</v>
      </c>
      <c r="BE220" s="96">
        <f t="shared" si="199"/>
        <v>-2.1617911588705589</v>
      </c>
      <c r="BF220" s="96">
        <f t="shared" si="200"/>
        <v>-1.5459892357618018E-2</v>
      </c>
      <c r="BG220" s="15">
        <f t="shared" si="201"/>
        <v>-85.354566508593592</v>
      </c>
      <c r="BH220" s="46">
        <f>(SUMPRODUCT(BE221:BE$605,$I220:$I$604)+SUMPRODUCT(BF221:BF$605,$I221:$I$605)) / $I220</f>
        <v>-63.530687315096131</v>
      </c>
      <c r="BJ220" s="46">
        <f t="shared" si="202"/>
        <v>-2.1617911588705589</v>
      </c>
      <c r="BK220" s="46">
        <f t="shared" si="203"/>
        <v>-20.728480344753059</v>
      </c>
      <c r="BM220" s="49">
        <f t="shared" si="169"/>
        <v>867.12838217275043</v>
      </c>
      <c r="BN220" s="50">
        <f t="shared" si="204"/>
        <v>645.01416605315148</v>
      </c>
      <c r="BP220" s="68">
        <f>INDEX(Others!$H$11:$I$60, MATCH(C220, Others!$A$11:$A$60, 0), MATCH(BP$3, Others!$H$10:$I$10, 0))</f>
        <v>3.0518181818181833E-2</v>
      </c>
      <c r="BQ220" s="16">
        <f t="shared" si="205"/>
        <v>2.5082875760633616E-3</v>
      </c>
      <c r="BR220" s="69">
        <f t="shared" si="206"/>
        <v>0.58351529710548178</v>
      </c>
      <c r="BT220" s="46">
        <f t="shared" si="207"/>
        <v>653.04979887686477</v>
      </c>
      <c r="BU220" s="49">
        <f t="shared" si="170"/>
        <v>10.802747686609056</v>
      </c>
      <c r="BV220" s="46">
        <f t="shared" si="208"/>
        <v>8.0356328237132857</v>
      </c>
      <c r="BX220" s="46">
        <f t="shared" si="209"/>
        <v>877.93112985935954</v>
      </c>
    </row>
    <row r="221" spans="1:76" x14ac:dyDescent="0.25">
      <c r="A221" s="61">
        <f t="shared" si="159"/>
        <v>18.000000000000014</v>
      </c>
      <c r="B221" s="32">
        <f t="shared" si="171"/>
        <v>12</v>
      </c>
      <c r="C221" s="62">
        <f t="shared" si="172"/>
        <v>18</v>
      </c>
      <c r="D221" s="64">
        <f t="shared" si="173"/>
        <v>18.500000000000014</v>
      </c>
      <c r="E221" s="28">
        <f t="shared" si="174"/>
        <v>18</v>
      </c>
      <c r="G221" s="68">
        <f>INDEX(Others!$D$11:$E$60, MATCH(C221, Others!$A$11:$A$60, 0), MATCH(G$3, Others!$D$10:$E$10, 0))</f>
        <v>4.0690909090909111E-2</v>
      </c>
      <c r="H221" s="16">
        <f t="shared" si="175"/>
        <v>3.329265421250005E-3</v>
      </c>
      <c r="I221" s="69">
        <f t="shared" si="176"/>
        <v>0.48776238465667726</v>
      </c>
      <c r="K221" s="80">
        <f>INDEX(Mortality!$B$7:$F$32, MATCH( E221,Mortality!$A$7:$A$32, 0), MATCH( K$3,Mortality!$B$6:$F$6,0))</f>
        <v>0.41100000000000003</v>
      </c>
      <c r="L221" s="11" cm="1">
        <f t="array" ref="L221">PAD_Res_Mort</f>
        <v>0.15</v>
      </c>
      <c r="M221" s="80">
        <f t="shared" si="177"/>
        <v>0.47265000000000001</v>
      </c>
      <c r="N221" s="76">
        <f>INDEX('Myopia_(Reserve)'!$H:$H, MATCH(E221, 'Myopia_(Reserve)'!$A:$A, 0)) * Trend_Factor_Reserve^(A221)</f>
        <v>5.393598477604141</v>
      </c>
      <c r="O221" s="11">
        <f t="shared" si="160"/>
        <v>0.3</v>
      </c>
      <c r="P221" s="80">
        <f t="shared" si="178"/>
        <v>7.0116780208853839</v>
      </c>
      <c r="Q221" s="76">
        <f>VLOOKUP(C221,Others!$L$10:$M$61,2)</f>
        <v>0</v>
      </c>
      <c r="R221" s="11">
        <f t="shared" si="161"/>
        <v>0</v>
      </c>
      <c r="S221" s="80">
        <f t="shared" si="179"/>
        <v>0</v>
      </c>
      <c r="T221" s="78">
        <f t="shared" si="180"/>
        <v>3.9387500000000002E-5</v>
      </c>
      <c r="U221" s="81">
        <f t="shared" si="181"/>
        <v>5.8430650174044871E-4</v>
      </c>
      <c r="V221" s="81">
        <f t="shared" si="182"/>
        <v>0</v>
      </c>
      <c r="W221" s="77">
        <f t="shared" si="162"/>
        <v>0.74385082914360301</v>
      </c>
      <c r="X221" s="82">
        <f t="shared" si="183"/>
        <v>2.9289864902921005E-5</v>
      </c>
      <c r="Y221" s="82">
        <f t="shared" si="184"/>
        <v>4.3462831616365824E-4</v>
      </c>
      <c r="Z221" s="82">
        <f t="shared" si="185"/>
        <v>0</v>
      </c>
      <c r="AA221" s="82">
        <f t="shared" si="186"/>
        <v>0.7433869109625364</v>
      </c>
      <c r="AC221" s="46">
        <f t="shared" si="163"/>
        <v>0</v>
      </c>
      <c r="AD221" s="15">
        <f t="shared" si="187"/>
        <v>0</v>
      </c>
      <c r="AE221" s="46">
        <f t="shared" si="188"/>
        <v>0</v>
      </c>
      <c r="AF221" s="15">
        <f t="shared" si="189"/>
        <v>0</v>
      </c>
      <c r="AG221" s="46">
        <f>SUMPRODUCT(AE222:AE$605, $I221:$I$604) / $I221</f>
        <v>0</v>
      </c>
      <c r="AI221" s="46">
        <f t="shared" si="164"/>
        <v>-47000</v>
      </c>
      <c r="AJ221" s="46">
        <f>IF(E221&gt;Mat_Year,0,  -SUM($AD$5:AD221))</f>
        <v>-9306</v>
      </c>
      <c r="AK221" s="24">
        <f t="shared" si="190"/>
        <v>-0.27257148278658289</v>
      </c>
      <c r="AL221" s="79">
        <f t="shared" si="191"/>
        <v>-20.427530859691938</v>
      </c>
      <c r="AM221" s="24">
        <f t="shared" si="192"/>
        <v>-27.828297733176676</v>
      </c>
      <c r="AN221" s="79">
        <f t="shared" si="193"/>
        <v>-20.70010234247852</v>
      </c>
      <c r="AO221" s="15">
        <f t="shared" si="194"/>
        <v>-756.49480673729613</v>
      </c>
      <c r="AP221" s="46">
        <f>SUMPRODUCT(AN222:AN$605, $I222:$I$605) / $I221</f>
        <v>-562.71928923436747</v>
      </c>
      <c r="AR221" s="46">
        <v>0</v>
      </c>
      <c r="AS221" s="46">
        <v>0</v>
      </c>
      <c r="AT221" s="46">
        <v>0</v>
      </c>
      <c r="AU221" s="95">
        <f t="shared" si="165"/>
        <v>-2.6454826176878901</v>
      </c>
      <c r="AV221" s="47">
        <f t="shared" si="166"/>
        <v>0.1</v>
      </c>
      <c r="AW221" s="96">
        <f t="shared" si="195"/>
        <v>-2.9100308794566794</v>
      </c>
      <c r="AX221" s="95">
        <f t="shared" si="167"/>
        <v>-30.334867349487805</v>
      </c>
      <c r="AY221" s="11">
        <f t="shared" si="168"/>
        <v>0.1</v>
      </c>
      <c r="AZ221" s="96">
        <f t="shared" si="196"/>
        <v>-33.368354084436589</v>
      </c>
      <c r="BA221" s="95">
        <f t="shared" si="197"/>
        <v>-2.1646288825173392</v>
      </c>
      <c r="BB221" s="64">
        <f t="shared" si="198"/>
        <v>-1.5480186132037383E-2</v>
      </c>
      <c r="BC221" s="95">
        <f t="shared" si="210"/>
        <v>-2.9100308794566794</v>
      </c>
      <c r="BD221" s="96">
        <f t="shared" si="210"/>
        <v>-2.0810874338689323E-2</v>
      </c>
      <c r="BE221" s="96">
        <f t="shared" si="199"/>
        <v>-2.1646288825173392</v>
      </c>
      <c r="BF221" s="96">
        <f t="shared" si="200"/>
        <v>-1.5480186132037383E-2</v>
      </c>
      <c r="BG221" s="15">
        <f t="shared" si="201"/>
        <v>-82.751648221852506</v>
      </c>
      <c r="BH221" s="46">
        <f>(SUMPRODUCT(BE222:BE$605,$I221:$I$604)+SUMPRODUCT(BF222:BF$605,$I222:$I$605)) / $I221</f>
        <v>-61.554882142824752</v>
      </c>
      <c r="BJ221" s="46">
        <f t="shared" si="202"/>
        <v>-2.1646288825173392</v>
      </c>
      <c r="BK221" s="46">
        <f t="shared" si="203"/>
        <v>-20.715582528610557</v>
      </c>
      <c r="BM221" s="49">
        <f t="shared" si="169"/>
        <v>839.77019526599258</v>
      </c>
      <c r="BN221" s="50">
        <f t="shared" si="204"/>
        <v>624.27417137719226</v>
      </c>
      <c r="BP221" s="68">
        <f>INDEX(Others!$H$11:$I$60, MATCH(C221, Others!$A$11:$A$60, 0), MATCH(BP$3, Others!$H$10:$I$10, 0))</f>
        <v>3.0518181818181833E-2</v>
      </c>
      <c r="BQ221" s="16">
        <f t="shared" si="205"/>
        <v>2.5082875760633616E-3</v>
      </c>
      <c r="BR221" s="69">
        <f t="shared" si="206"/>
        <v>0.58205533494026973</v>
      </c>
      <c r="BT221" s="46">
        <f t="shared" si="207"/>
        <v>631.80219465107768</v>
      </c>
      <c r="BU221" s="49">
        <f t="shared" si="170"/>
        <v>10.126655665941373</v>
      </c>
      <c r="BV221" s="46">
        <f t="shared" si="208"/>
        <v>7.5280232738854238</v>
      </c>
      <c r="BX221" s="46">
        <f t="shared" si="209"/>
        <v>849.89685093193395</v>
      </c>
    </row>
    <row r="222" spans="1:76" x14ac:dyDescent="0.25">
      <c r="A222" s="61">
        <f t="shared" si="159"/>
        <v>18.083333333333346</v>
      </c>
      <c r="B222" s="32">
        <f t="shared" si="171"/>
        <v>1</v>
      </c>
      <c r="C222" s="62">
        <f t="shared" si="172"/>
        <v>19</v>
      </c>
      <c r="D222" s="64">
        <f t="shared" si="173"/>
        <v>18.583333333333346</v>
      </c>
      <c r="E222" s="28">
        <f t="shared" si="174"/>
        <v>18</v>
      </c>
      <c r="G222" s="68">
        <f>INDEX(Others!$D$11:$E$60, MATCH(C222, Others!$A$11:$A$60, 0), MATCH(G$3, Others!$D$10:$E$10, 0))</f>
        <v>4.0690909090909111E-2</v>
      </c>
      <c r="H222" s="16">
        <f t="shared" si="175"/>
        <v>3.329265421250005E-3</v>
      </c>
      <c r="I222" s="69">
        <f t="shared" si="176"/>
        <v>0.48614388263845681</v>
      </c>
      <c r="K222" s="80">
        <f>INDEX(Mortality!$B$7:$F$32, MATCH( E222,Mortality!$A$7:$A$32, 0), MATCH( K$3,Mortality!$B$6:$F$6,0))</f>
        <v>0.41100000000000003</v>
      </c>
      <c r="L222" s="11" cm="1">
        <f t="array" ref="L222">PAD_Res_Mort</f>
        <v>0.15</v>
      </c>
      <c r="M222" s="80">
        <f t="shared" si="177"/>
        <v>0.47265000000000001</v>
      </c>
      <c r="N222" s="76">
        <f>INDEX('Myopia_(Reserve)'!$H:$H, MATCH(E222, 'Myopia_(Reserve)'!$A:$A, 0)) * Trend_Factor_Reserve^(A222)</f>
        <v>5.393598477604141</v>
      </c>
      <c r="O222" s="11">
        <f t="shared" si="160"/>
        <v>0.3</v>
      </c>
      <c r="P222" s="80">
        <f t="shared" si="178"/>
        <v>7.0116780208853839</v>
      </c>
      <c r="Q222" s="76">
        <f>VLOOKUP(C222,Others!$L$10:$M$61,2)</f>
        <v>0</v>
      </c>
      <c r="R222" s="11">
        <f t="shared" si="161"/>
        <v>0</v>
      </c>
      <c r="S222" s="80">
        <f t="shared" si="179"/>
        <v>0</v>
      </c>
      <c r="T222" s="78">
        <f t="shared" si="180"/>
        <v>3.9387500000000002E-5</v>
      </c>
      <c r="U222" s="81">
        <f t="shared" si="181"/>
        <v>5.8430650174044871E-4</v>
      </c>
      <c r="V222" s="81">
        <f t="shared" si="182"/>
        <v>0</v>
      </c>
      <c r="W222" s="77">
        <f t="shared" si="162"/>
        <v>0.7433869109625364</v>
      </c>
      <c r="X222" s="82">
        <f t="shared" si="183"/>
        <v>2.9271597663957121E-5</v>
      </c>
      <c r="Y222" s="82">
        <f t="shared" si="184"/>
        <v>4.3435725109257828E-4</v>
      </c>
      <c r="Z222" s="82">
        <f t="shared" si="185"/>
        <v>0</v>
      </c>
      <c r="AA222" s="82">
        <f t="shared" si="186"/>
        <v>0.74292328211377989</v>
      </c>
      <c r="AC222" s="46">
        <f t="shared" si="163"/>
        <v>0</v>
      </c>
      <c r="AD222" s="15">
        <f t="shared" si="187"/>
        <v>0</v>
      </c>
      <c r="AE222" s="46">
        <f t="shared" si="188"/>
        <v>0</v>
      </c>
      <c r="AF222" s="15">
        <f t="shared" si="189"/>
        <v>0</v>
      </c>
      <c r="AG222" s="46">
        <f>SUMPRODUCT(AE223:AE$605, $I222:$I$604) / $I222</f>
        <v>0</v>
      </c>
      <c r="AI222" s="46">
        <f t="shared" si="164"/>
        <v>-47000</v>
      </c>
      <c r="AJ222" s="46">
        <f>IF(E222&gt;Mat_Year,0,  -SUM($AD$5:AD222))</f>
        <v>-9306</v>
      </c>
      <c r="AK222" s="24">
        <f t="shared" si="190"/>
        <v>-0.27240148786078494</v>
      </c>
      <c r="AL222" s="79">
        <f t="shared" si="191"/>
        <v>-20.414790801351177</v>
      </c>
      <c r="AM222" s="24">
        <f t="shared" si="192"/>
        <v>-27.828297733176672</v>
      </c>
      <c r="AN222" s="79">
        <f t="shared" si="193"/>
        <v>-20.687192289211961</v>
      </c>
      <c r="AO222" s="15">
        <f t="shared" si="194"/>
        <v>-731.65875104314875</v>
      </c>
      <c r="AP222" s="46">
        <f>SUMPRODUCT(AN223:AN$605, $I223:$I$605) / $I222</f>
        <v>-543.90553881667381</v>
      </c>
      <c r="AR222" s="46">
        <v>0</v>
      </c>
      <c r="AS222" s="46">
        <v>0</v>
      </c>
      <c r="AT222" s="46">
        <v>0</v>
      </c>
      <c r="AU222" s="95">
        <f t="shared" si="165"/>
        <v>-2.6506083773195557</v>
      </c>
      <c r="AV222" s="47">
        <f t="shared" si="166"/>
        <v>0.1</v>
      </c>
      <c r="AW222" s="96">
        <f t="shared" si="195"/>
        <v>-2.9156692150515116</v>
      </c>
      <c r="AX222" s="95">
        <f t="shared" si="167"/>
        <v>-30.393642726597569</v>
      </c>
      <c r="AY222" s="11">
        <f t="shared" si="168"/>
        <v>0.1</v>
      </c>
      <c r="AZ222" s="96">
        <f t="shared" si="196"/>
        <v>-33.43300699925733</v>
      </c>
      <c r="BA222" s="95">
        <f t="shared" si="197"/>
        <v>-2.1674703311657062</v>
      </c>
      <c r="BB222" s="64">
        <f t="shared" si="198"/>
        <v>-1.5500506545534865E-2</v>
      </c>
      <c r="BC222" s="95">
        <f t="shared" si="210"/>
        <v>-2.9156692150515111</v>
      </c>
      <c r="BD222" s="96">
        <f t="shared" si="210"/>
        <v>-2.0851196485911796E-2</v>
      </c>
      <c r="BE222" s="96">
        <f t="shared" si="199"/>
        <v>-2.1674703311657062</v>
      </c>
      <c r="BF222" s="96">
        <f t="shared" si="200"/>
        <v>-1.5500506545534865E-2</v>
      </c>
      <c r="BG222" s="15">
        <f t="shared" si="201"/>
        <v>-80.132736914327609</v>
      </c>
      <c r="BH222" s="46">
        <f>(SUMPRODUCT(BE223:BE$605,$I222:$I$604)+SUMPRODUCT(BF223:BF$605,$I223:$I$605)) / $I222</f>
        <v>-59.569627761715616</v>
      </c>
      <c r="BJ222" s="46">
        <f t="shared" si="202"/>
        <v>-2.1674703311657062</v>
      </c>
      <c r="BK222" s="46">
        <f t="shared" si="203"/>
        <v>-20.702692795757496</v>
      </c>
      <c r="BM222" s="49">
        <f t="shared" si="169"/>
        <v>812.2980947122428</v>
      </c>
      <c r="BN222" s="50">
        <f t="shared" si="204"/>
        <v>603.47516657838946</v>
      </c>
      <c r="BP222" s="68">
        <f>INDEX(Others!$H$11:$I$60, MATCH(C222, Others!$A$11:$A$60, 0), MATCH(BP$3, Others!$H$10:$I$10, 0))</f>
        <v>3.0518181818181833E-2</v>
      </c>
      <c r="BQ222" s="16">
        <f t="shared" si="205"/>
        <v>2.5082875760633616E-3</v>
      </c>
      <c r="BR222" s="69">
        <f t="shared" si="206"/>
        <v>0.58059902561763854</v>
      </c>
      <c r="BT222" s="46">
        <f t="shared" si="207"/>
        <v>610.51133648062421</v>
      </c>
      <c r="BU222" s="49">
        <f t="shared" si="170"/>
        <v>9.4709239454917853</v>
      </c>
      <c r="BV222" s="46">
        <f t="shared" si="208"/>
        <v>7.0361699022347466</v>
      </c>
      <c r="BX222" s="46">
        <f t="shared" si="209"/>
        <v>821.76901865773459</v>
      </c>
    </row>
    <row r="223" spans="1:76" x14ac:dyDescent="0.25">
      <c r="A223" s="61">
        <f t="shared" si="159"/>
        <v>18.166666666666679</v>
      </c>
      <c r="B223" s="32">
        <f t="shared" si="171"/>
        <v>2</v>
      </c>
      <c r="C223" s="62">
        <f t="shared" si="172"/>
        <v>19</v>
      </c>
      <c r="D223" s="64">
        <f t="shared" si="173"/>
        <v>18.666666666666679</v>
      </c>
      <c r="E223" s="28">
        <f t="shared" si="174"/>
        <v>18</v>
      </c>
      <c r="G223" s="68">
        <f>INDEX(Others!$D$11:$E$60, MATCH(C223, Others!$A$11:$A$60, 0), MATCH(G$3, Others!$D$10:$E$10, 0))</f>
        <v>4.0690909090909111E-2</v>
      </c>
      <c r="H223" s="16">
        <f t="shared" si="175"/>
        <v>3.329265421250005E-3</v>
      </c>
      <c r="I223" s="69">
        <f t="shared" si="176"/>
        <v>0.48453075116307731</v>
      </c>
      <c r="K223" s="80">
        <f>INDEX(Mortality!$B$7:$F$32, MATCH( E223,Mortality!$A$7:$A$32, 0), MATCH( K$3,Mortality!$B$6:$F$6,0))</f>
        <v>0.41100000000000003</v>
      </c>
      <c r="L223" s="11" cm="1">
        <f t="array" ref="L223">PAD_Res_Mort</f>
        <v>0.15</v>
      </c>
      <c r="M223" s="80">
        <f t="shared" si="177"/>
        <v>0.47265000000000001</v>
      </c>
      <c r="N223" s="76">
        <f>INDEX('Myopia_(Reserve)'!$H:$H, MATCH(E223, 'Myopia_(Reserve)'!$A:$A, 0)) * Trend_Factor_Reserve^(A223)</f>
        <v>5.393598477604141</v>
      </c>
      <c r="O223" s="11">
        <f t="shared" si="160"/>
        <v>0.3</v>
      </c>
      <c r="P223" s="80">
        <f t="shared" si="178"/>
        <v>7.0116780208853839</v>
      </c>
      <c r="Q223" s="76">
        <f>VLOOKUP(C223,Others!$L$10:$M$61,2)</f>
        <v>0</v>
      </c>
      <c r="R223" s="11">
        <f t="shared" si="161"/>
        <v>0</v>
      </c>
      <c r="S223" s="80">
        <f t="shared" si="179"/>
        <v>0</v>
      </c>
      <c r="T223" s="78">
        <f t="shared" si="180"/>
        <v>3.9387500000000002E-5</v>
      </c>
      <c r="U223" s="81">
        <f t="shared" si="181"/>
        <v>5.8430650174044871E-4</v>
      </c>
      <c r="V223" s="81">
        <f t="shared" si="182"/>
        <v>0</v>
      </c>
      <c r="W223" s="77">
        <f t="shared" si="162"/>
        <v>0.74292328211377989</v>
      </c>
      <c r="X223" s="82">
        <f t="shared" si="183"/>
        <v>2.9253341817740202E-5</v>
      </c>
      <c r="Y223" s="82">
        <f t="shared" si="184"/>
        <v>4.3408635507691891E-4</v>
      </c>
      <c r="Z223" s="82">
        <f t="shared" si="185"/>
        <v>0</v>
      </c>
      <c r="AA223" s="82">
        <f t="shared" si="186"/>
        <v>0.74245994241688529</v>
      </c>
      <c r="AC223" s="46">
        <f t="shared" si="163"/>
        <v>0</v>
      </c>
      <c r="AD223" s="15">
        <f t="shared" si="187"/>
        <v>0</v>
      </c>
      <c r="AE223" s="46">
        <f t="shared" si="188"/>
        <v>0</v>
      </c>
      <c r="AF223" s="15">
        <f t="shared" si="189"/>
        <v>0</v>
      </c>
      <c r="AG223" s="46">
        <f>SUMPRODUCT(AE224:AE$605, $I223:$I$604) / $I223</f>
        <v>0</v>
      </c>
      <c r="AI223" s="46">
        <f t="shared" si="164"/>
        <v>-47000</v>
      </c>
      <c r="AJ223" s="46">
        <f>IF(E223&gt;Mat_Year,0,  -SUM($AD$5:AD223))</f>
        <v>-9306</v>
      </c>
      <c r="AK223" s="24">
        <f t="shared" si="190"/>
        <v>-0.27223159895589033</v>
      </c>
      <c r="AL223" s="79">
        <f t="shared" si="191"/>
        <v>-20.402058688615188</v>
      </c>
      <c r="AM223" s="24">
        <f t="shared" si="192"/>
        <v>-27.828297733176679</v>
      </c>
      <c r="AN223" s="79">
        <f t="shared" si="193"/>
        <v>-20.674290287571079</v>
      </c>
      <c r="AO223" s="15">
        <f t="shared" si="194"/>
        <v>-706.72445873287415</v>
      </c>
      <c r="AP223" s="46">
        <f>SUMPRODUCT(AN224:AN$605, $I224:$I$605) / $I223</f>
        <v>-525.04205443191142</v>
      </c>
      <c r="AR223" s="46">
        <v>0</v>
      </c>
      <c r="AS223" s="46">
        <v>0</v>
      </c>
      <c r="AT223" s="46">
        <v>0</v>
      </c>
      <c r="AU223" s="95">
        <f t="shared" si="165"/>
        <v>-2.6557440683760682</v>
      </c>
      <c r="AV223" s="47">
        <f t="shared" si="166"/>
        <v>0.1</v>
      </c>
      <c r="AW223" s="96">
        <f t="shared" si="195"/>
        <v>-2.9213184752136754</v>
      </c>
      <c r="AX223" s="95">
        <f t="shared" si="167"/>
        <v>-30.452531984045578</v>
      </c>
      <c r="AY223" s="11">
        <f t="shared" si="168"/>
        <v>0.1</v>
      </c>
      <c r="AZ223" s="96">
        <f t="shared" si="196"/>
        <v>-33.497785182450137</v>
      </c>
      <c r="BA223" s="95">
        <f t="shared" si="197"/>
        <v>-2.1703155097053668</v>
      </c>
      <c r="BB223" s="64">
        <f t="shared" si="198"/>
        <v>-1.5520853633078849E-2</v>
      </c>
      <c r="BC223" s="95">
        <f t="shared" si="210"/>
        <v>-2.9213184752136754</v>
      </c>
      <c r="BD223" s="96">
        <f t="shared" si="210"/>
        <v>-2.0891596759383568E-2</v>
      </c>
      <c r="BE223" s="96">
        <f t="shared" si="199"/>
        <v>-2.1703155097053668</v>
      </c>
      <c r="BF223" s="96">
        <f t="shared" si="200"/>
        <v>-1.5520853633078849E-2</v>
      </c>
      <c r="BG223" s="15">
        <f t="shared" si="201"/>
        <v>-77.497758288107633</v>
      </c>
      <c r="BH223" s="46">
        <f>(SUMPRODUCT(BE224:BE$605,$I223:$I$604)+SUMPRODUCT(BF224:BF$605,$I224:$I$605)) / $I223</f>
        <v>-57.574888943861311</v>
      </c>
      <c r="BJ223" s="46">
        <f t="shared" si="202"/>
        <v>-2.1703155097053668</v>
      </c>
      <c r="BK223" s="46">
        <f t="shared" si="203"/>
        <v>-20.689811141204157</v>
      </c>
      <c r="BM223" s="49">
        <f t="shared" si="169"/>
        <v>784.71161889113478</v>
      </c>
      <c r="BN223" s="50">
        <f t="shared" si="204"/>
        <v>582.61694337577273</v>
      </c>
      <c r="BP223" s="68">
        <f>INDEX(Others!$H$11:$I$60, MATCH(C223, Others!$A$11:$A$60, 0), MATCH(BP$3, Others!$H$10:$I$10, 0))</f>
        <v>3.0518181818181833E-2</v>
      </c>
      <c r="BQ223" s="16">
        <f t="shared" si="205"/>
        <v>2.5082875760633616E-3</v>
      </c>
      <c r="BR223" s="69">
        <f t="shared" si="206"/>
        <v>0.57914635999813291</v>
      </c>
      <c r="BT223" s="46">
        <f t="shared" si="207"/>
        <v>589.17710405462572</v>
      </c>
      <c r="BU223" s="49">
        <f t="shared" si="170"/>
        <v>8.8357099205892293</v>
      </c>
      <c r="BV223" s="46">
        <f t="shared" si="208"/>
        <v>6.5601606788529807</v>
      </c>
      <c r="BX223" s="46">
        <f t="shared" si="209"/>
        <v>793.54732881172401</v>
      </c>
    </row>
    <row r="224" spans="1:76" x14ac:dyDescent="0.25">
      <c r="A224" s="61">
        <f t="shared" si="159"/>
        <v>18.250000000000011</v>
      </c>
      <c r="B224" s="32">
        <f t="shared" si="171"/>
        <v>3</v>
      </c>
      <c r="C224" s="62">
        <f t="shared" si="172"/>
        <v>19</v>
      </c>
      <c r="D224" s="64">
        <f t="shared" si="173"/>
        <v>18.750000000000011</v>
      </c>
      <c r="E224" s="28">
        <f t="shared" si="174"/>
        <v>18</v>
      </c>
      <c r="G224" s="68">
        <f>INDEX(Others!$D$11:$E$60, MATCH(C224, Others!$A$11:$A$60, 0), MATCH(G$3, Others!$D$10:$E$10, 0))</f>
        <v>4.0690909090909111E-2</v>
      </c>
      <c r="H224" s="16">
        <f t="shared" si="175"/>
        <v>3.329265421250005E-3</v>
      </c>
      <c r="I224" s="69">
        <f t="shared" si="176"/>
        <v>0.48292297240990573</v>
      </c>
      <c r="K224" s="80">
        <f>INDEX(Mortality!$B$7:$F$32, MATCH( E224,Mortality!$A$7:$A$32, 0), MATCH( K$3,Mortality!$B$6:$F$6,0))</f>
        <v>0.41100000000000003</v>
      </c>
      <c r="L224" s="11" cm="1">
        <f t="array" ref="L224">PAD_Res_Mort</f>
        <v>0.15</v>
      </c>
      <c r="M224" s="80">
        <f t="shared" si="177"/>
        <v>0.47265000000000001</v>
      </c>
      <c r="N224" s="76">
        <f>INDEX('Myopia_(Reserve)'!$H:$H, MATCH(E224, 'Myopia_(Reserve)'!$A:$A, 0)) * Trend_Factor_Reserve^(A224)</f>
        <v>5.393598477604141</v>
      </c>
      <c r="O224" s="11">
        <f t="shared" si="160"/>
        <v>0.3</v>
      </c>
      <c r="P224" s="80">
        <f t="shared" si="178"/>
        <v>7.0116780208853839</v>
      </c>
      <c r="Q224" s="76">
        <f>VLOOKUP(C224,Others!$L$10:$M$61,2)</f>
        <v>0</v>
      </c>
      <c r="R224" s="11">
        <f t="shared" si="161"/>
        <v>0</v>
      </c>
      <c r="S224" s="80">
        <f t="shared" si="179"/>
        <v>0</v>
      </c>
      <c r="T224" s="78">
        <f t="shared" si="180"/>
        <v>3.9387500000000002E-5</v>
      </c>
      <c r="U224" s="81">
        <f t="shared" si="181"/>
        <v>5.8430650174044871E-4</v>
      </c>
      <c r="V224" s="81">
        <f t="shared" si="182"/>
        <v>0</v>
      </c>
      <c r="W224" s="77">
        <f t="shared" si="162"/>
        <v>0.74245994241688529</v>
      </c>
      <c r="X224" s="82">
        <f t="shared" si="183"/>
        <v>2.9235097357164916E-5</v>
      </c>
      <c r="Y224" s="82">
        <f t="shared" si="184"/>
        <v>4.3381562801124511E-4</v>
      </c>
      <c r="Z224" s="82">
        <f t="shared" si="185"/>
        <v>0</v>
      </c>
      <c r="AA224" s="82">
        <f t="shared" si="186"/>
        <v>0.74199689169151684</v>
      </c>
      <c r="AC224" s="46">
        <f t="shared" si="163"/>
        <v>0</v>
      </c>
      <c r="AD224" s="15">
        <f t="shared" si="187"/>
        <v>0</v>
      </c>
      <c r="AE224" s="46">
        <f t="shared" si="188"/>
        <v>0</v>
      </c>
      <c r="AF224" s="15">
        <f t="shared" si="189"/>
        <v>0</v>
      </c>
      <c r="AG224" s="46">
        <f>SUMPRODUCT(AE225:AE$605, $I224:$I$604) / $I224</f>
        <v>0</v>
      </c>
      <c r="AI224" s="46">
        <f t="shared" si="164"/>
        <v>-47000</v>
      </c>
      <c r="AJ224" s="46">
        <f>IF(E224&gt;Mat_Year,0,  -SUM($AD$5:AD224))</f>
        <v>-9306</v>
      </c>
      <c r="AK224" s="24">
        <f t="shared" si="190"/>
        <v>-0.27206181600577672</v>
      </c>
      <c r="AL224" s="79">
        <f t="shared" si="191"/>
        <v>-20.389334516528521</v>
      </c>
      <c r="AM224" s="24">
        <f t="shared" si="192"/>
        <v>-27.828297733176683</v>
      </c>
      <c r="AN224" s="79">
        <f t="shared" si="193"/>
        <v>-20.661396332534299</v>
      </c>
      <c r="AO224" s="15">
        <f t="shared" si="194"/>
        <v>-681.69154124103875</v>
      </c>
      <c r="AP224" s="46">
        <f>SUMPRODUCT(AN225:AN$605, $I225:$I$605) / $I224</f>
        <v>-506.12866245589942</v>
      </c>
      <c r="AR224" s="46">
        <v>0</v>
      </c>
      <c r="AS224" s="46">
        <v>0</v>
      </c>
      <c r="AT224" s="46">
        <v>0</v>
      </c>
      <c r="AU224" s="95">
        <f t="shared" si="165"/>
        <v>-2.660889710100077</v>
      </c>
      <c r="AV224" s="47">
        <f t="shared" si="166"/>
        <v>0.1</v>
      </c>
      <c r="AW224" s="96">
        <f t="shared" si="195"/>
        <v>-2.9269786811100849</v>
      </c>
      <c r="AX224" s="95">
        <f t="shared" si="167"/>
        <v>-30.511535342480883</v>
      </c>
      <c r="AY224" s="11">
        <f t="shared" si="168"/>
        <v>0.1</v>
      </c>
      <c r="AZ224" s="96">
        <f t="shared" si="196"/>
        <v>-33.562688876728977</v>
      </c>
      <c r="BA224" s="95">
        <f t="shared" si="197"/>
        <v>-2.1731644230324445</v>
      </c>
      <c r="BB224" s="64">
        <f t="shared" si="198"/>
        <v>-1.554122742968362E-2</v>
      </c>
      <c r="BC224" s="95">
        <f t="shared" si="210"/>
        <v>-2.9269786811100849</v>
      </c>
      <c r="BD224" s="96">
        <f t="shared" si="210"/>
        <v>-2.0932075310478294E-2</v>
      </c>
      <c r="BE224" s="96">
        <f t="shared" si="199"/>
        <v>-2.1731644230324445</v>
      </c>
      <c r="BF224" s="96">
        <f t="shared" si="200"/>
        <v>-1.554122742968362E-2</v>
      </c>
      <c r="BG224" s="15">
        <f t="shared" si="201"/>
        <v>-74.84663773001445</v>
      </c>
      <c r="BH224" s="46">
        <f>(SUMPRODUCT(BE225:BE$605,$I224:$I$604)+SUMPRODUCT(BF225:BF$605,$I225:$I$605)) / $I224</f>
        <v>-55.570630339124001</v>
      </c>
      <c r="BJ224" s="46">
        <f t="shared" si="202"/>
        <v>-2.1731644230324445</v>
      </c>
      <c r="BK224" s="46">
        <f t="shared" si="203"/>
        <v>-20.676937559963982</v>
      </c>
      <c r="BM224" s="49">
        <f t="shared" si="169"/>
        <v>757.01030433500557</v>
      </c>
      <c r="BN224" s="50">
        <f t="shared" si="204"/>
        <v>561.69929279502333</v>
      </c>
      <c r="BP224" s="68">
        <f>INDEX(Others!$H$11:$I$60, MATCH(C224, Others!$A$11:$A$60, 0), MATCH(BP$3, Others!$H$10:$I$10, 0))</f>
        <v>3.0518181818181833E-2</v>
      </c>
      <c r="BQ224" s="16">
        <f t="shared" si="205"/>
        <v>2.5082875760633616E-3</v>
      </c>
      <c r="BR224" s="69">
        <f t="shared" si="206"/>
        <v>0.57769732896516457</v>
      </c>
      <c r="BT224" s="46">
        <f t="shared" si="207"/>
        <v>567.79937676050736</v>
      </c>
      <c r="BU224" s="49">
        <f t="shared" si="170"/>
        <v>8.2211718590596536</v>
      </c>
      <c r="BV224" s="46">
        <f t="shared" si="208"/>
        <v>6.100083965484032</v>
      </c>
      <c r="BX224" s="46">
        <f t="shared" si="209"/>
        <v>765.23147619406518</v>
      </c>
    </row>
    <row r="225" spans="1:76" x14ac:dyDescent="0.25">
      <c r="A225" s="61">
        <f t="shared" si="159"/>
        <v>18.333333333333343</v>
      </c>
      <c r="B225" s="32">
        <f t="shared" si="171"/>
        <v>4</v>
      </c>
      <c r="C225" s="62">
        <f t="shared" si="172"/>
        <v>19</v>
      </c>
      <c r="D225" s="64">
        <f t="shared" si="173"/>
        <v>18.833333333333343</v>
      </c>
      <c r="E225" s="28">
        <f t="shared" si="174"/>
        <v>18</v>
      </c>
      <c r="G225" s="68">
        <f>INDEX(Others!$D$11:$E$60, MATCH(C225, Others!$A$11:$A$60, 0), MATCH(G$3, Others!$D$10:$E$10, 0))</f>
        <v>4.0690909090909111E-2</v>
      </c>
      <c r="H225" s="16">
        <f t="shared" si="175"/>
        <v>3.329265421250005E-3</v>
      </c>
      <c r="I225" s="69">
        <f t="shared" si="176"/>
        <v>0.4813205286174419</v>
      </c>
      <c r="K225" s="80">
        <f>INDEX(Mortality!$B$7:$F$32, MATCH( E225,Mortality!$A$7:$A$32, 0), MATCH( K$3,Mortality!$B$6:$F$6,0))</f>
        <v>0.41100000000000003</v>
      </c>
      <c r="L225" s="11" cm="1">
        <f t="array" ref="L225">PAD_Res_Mort</f>
        <v>0.15</v>
      </c>
      <c r="M225" s="80">
        <f t="shared" si="177"/>
        <v>0.47265000000000001</v>
      </c>
      <c r="N225" s="76">
        <f>INDEX('Myopia_(Reserve)'!$H:$H, MATCH(E225, 'Myopia_(Reserve)'!$A:$A, 0)) * Trend_Factor_Reserve^(A225)</f>
        <v>5.393598477604141</v>
      </c>
      <c r="O225" s="11">
        <f t="shared" si="160"/>
        <v>0.3</v>
      </c>
      <c r="P225" s="80">
        <f t="shared" si="178"/>
        <v>7.0116780208853839</v>
      </c>
      <c r="Q225" s="76">
        <f>VLOOKUP(C225,Others!$L$10:$M$61,2)</f>
        <v>0</v>
      </c>
      <c r="R225" s="11">
        <f t="shared" si="161"/>
        <v>0</v>
      </c>
      <c r="S225" s="80">
        <f t="shared" si="179"/>
        <v>0</v>
      </c>
      <c r="T225" s="78">
        <f t="shared" si="180"/>
        <v>3.9387500000000002E-5</v>
      </c>
      <c r="U225" s="81">
        <f t="shared" si="181"/>
        <v>5.8430650174044871E-4</v>
      </c>
      <c r="V225" s="81">
        <f t="shared" si="182"/>
        <v>0</v>
      </c>
      <c r="W225" s="77">
        <f t="shared" si="162"/>
        <v>0.74199689169151684</v>
      </c>
      <c r="X225" s="82">
        <f t="shared" si="183"/>
        <v>2.9216864275130365E-5</v>
      </c>
      <c r="Y225" s="82">
        <f t="shared" si="184"/>
        <v>4.3354506979018754E-4</v>
      </c>
      <c r="Z225" s="82">
        <f t="shared" si="185"/>
        <v>0</v>
      </c>
      <c r="AA225" s="82">
        <f t="shared" si="186"/>
        <v>0.74153412975745148</v>
      </c>
      <c r="AC225" s="46">
        <f t="shared" si="163"/>
        <v>0</v>
      </c>
      <c r="AD225" s="15">
        <f t="shared" si="187"/>
        <v>0</v>
      </c>
      <c r="AE225" s="46">
        <f t="shared" si="188"/>
        <v>0</v>
      </c>
      <c r="AF225" s="15">
        <f t="shared" si="189"/>
        <v>0</v>
      </c>
      <c r="AG225" s="46">
        <f>SUMPRODUCT(AE226:AE$605, $I225:$I$604) / $I225</f>
        <v>0</v>
      </c>
      <c r="AI225" s="46">
        <f t="shared" si="164"/>
        <v>-47000</v>
      </c>
      <c r="AJ225" s="46">
        <f>IF(E225&gt;Mat_Year,0,  -SUM($AD$5:AD225))</f>
        <v>-9306</v>
      </c>
      <c r="AK225" s="24">
        <f t="shared" si="190"/>
        <v>-0.2718921389443632</v>
      </c>
      <c r="AL225" s="79">
        <f t="shared" si="191"/>
        <v>-20.376618280138814</v>
      </c>
      <c r="AM225" s="24">
        <f t="shared" si="192"/>
        <v>-27.828297733176676</v>
      </c>
      <c r="AN225" s="79">
        <f t="shared" si="193"/>
        <v>-20.648510419083177</v>
      </c>
      <c r="AO225" s="15">
        <f t="shared" si="194"/>
        <v>-656.55960846527614</v>
      </c>
      <c r="AP225" s="46">
        <f>SUMPRODUCT(AN226:AN$605, $I226:$I$605) / $I225</f>
        <v>-487.1651886914342</v>
      </c>
      <c r="AR225" s="46">
        <v>0</v>
      </c>
      <c r="AS225" s="46">
        <v>0</v>
      </c>
      <c r="AT225" s="46">
        <v>0</v>
      </c>
      <c r="AU225" s="95">
        <f t="shared" si="165"/>
        <v>-2.6660453217715179</v>
      </c>
      <c r="AV225" s="47">
        <f t="shared" si="166"/>
        <v>0.1</v>
      </c>
      <c r="AW225" s="96">
        <f t="shared" si="195"/>
        <v>-2.9326498539486701</v>
      </c>
      <c r="AX225" s="95">
        <f t="shared" si="167"/>
        <v>-30.570653022980068</v>
      </c>
      <c r="AY225" s="11">
        <f t="shared" si="168"/>
        <v>0.1</v>
      </c>
      <c r="AZ225" s="96">
        <f t="shared" si="196"/>
        <v>-33.627718325278074</v>
      </c>
      <c r="BA225" s="95">
        <f t="shared" si="197"/>
        <v>-2.1760170760494941</v>
      </c>
      <c r="BB225" s="64">
        <f t="shared" si="198"/>
        <v>-1.5561627970409414E-2</v>
      </c>
      <c r="BC225" s="95">
        <f t="shared" si="210"/>
        <v>-2.9326498539486701</v>
      </c>
      <c r="BD225" s="96">
        <f t="shared" si="210"/>
        <v>-2.0972632290862908E-2</v>
      </c>
      <c r="BE225" s="96">
        <f t="shared" si="199"/>
        <v>-2.1760170760494941</v>
      </c>
      <c r="BF225" s="96">
        <f t="shared" si="200"/>
        <v>-1.5561627970409414E-2</v>
      </c>
      <c r="BG225" s="15">
        <f t="shared" si="201"/>
        <v>-72.179300310314474</v>
      </c>
      <c r="BH225" s="46">
        <f>(SUMPRODUCT(BE226:BE$605,$I225:$I$604)+SUMPRODUCT(BF226:BF$605,$I226:$I$605)) / $I225</f>
        <v>-53.556816474721877</v>
      </c>
      <c r="BJ225" s="46">
        <f t="shared" si="202"/>
        <v>-2.1760170760494941</v>
      </c>
      <c r="BK225" s="46">
        <f t="shared" si="203"/>
        <v>-20.664072047053587</v>
      </c>
      <c r="BM225" s="49">
        <f t="shared" si="169"/>
        <v>729.19368572154713</v>
      </c>
      <c r="BN225" s="50">
        <f t="shared" si="204"/>
        <v>540.72200516615601</v>
      </c>
      <c r="BP225" s="68">
        <f>INDEX(Others!$H$11:$I$60, MATCH(C225, Others!$A$11:$A$60, 0), MATCH(BP$3, Others!$H$10:$I$10, 0))</f>
        <v>3.0518181818181833E-2</v>
      </c>
      <c r="BQ225" s="16">
        <f t="shared" si="205"/>
        <v>2.5082875760633616E-3</v>
      </c>
      <c r="BR225" s="69">
        <f t="shared" si="206"/>
        <v>0.57625192342495513</v>
      </c>
      <c r="BT225" s="46">
        <f t="shared" si="207"/>
        <v>546.37803368323205</v>
      </c>
      <c r="BU225" s="49">
        <f t="shared" si="170"/>
        <v>7.6274689054785236</v>
      </c>
      <c r="BV225" s="46">
        <f t="shared" si="208"/>
        <v>5.656028517076038</v>
      </c>
      <c r="BX225" s="46">
        <f t="shared" si="209"/>
        <v>736.82115462702563</v>
      </c>
    </row>
    <row r="226" spans="1:76" x14ac:dyDescent="0.25">
      <c r="A226" s="61">
        <f t="shared" si="159"/>
        <v>18.416666666666675</v>
      </c>
      <c r="B226" s="32">
        <f t="shared" si="171"/>
        <v>5</v>
      </c>
      <c r="C226" s="62">
        <f t="shared" si="172"/>
        <v>19</v>
      </c>
      <c r="D226" s="64">
        <f t="shared" si="173"/>
        <v>18.916666666666675</v>
      </c>
      <c r="E226" s="28">
        <f t="shared" si="174"/>
        <v>18</v>
      </c>
      <c r="G226" s="68">
        <f>INDEX(Others!$D$11:$E$60, MATCH(C226, Others!$A$11:$A$60, 0), MATCH(G$3, Others!$D$10:$E$10, 0))</f>
        <v>4.0690909090909111E-2</v>
      </c>
      <c r="H226" s="16">
        <f t="shared" si="175"/>
        <v>3.329265421250005E-3</v>
      </c>
      <c r="I226" s="69">
        <f t="shared" si="176"/>
        <v>0.47972340208312214</v>
      </c>
      <c r="K226" s="80">
        <f>INDEX(Mortality!$B$7:$F$32, MATCH( E226,Mortality!$A$7:$A$32, 0), MATCH( K$3,Mortality!$B$6:$F$6,0))</f>
        <v>0.41100000000000003</v>
      </c>
      <c r="L226" s="11" cm="1">
        <f t="array" ref="L226">PAD_Res_Mort</f>
        <v>0.15</v>
      </c>
      <c r="M226" s="80">
        <f t="shared" si="177"/>
        <v>0.47265000000000001</v>
      </c>
      <c r="N226" s="76">
        <f>INDEX('Myopia_(Reserve)'!$H:$H, MATCH(E226, 'Myopia_(Reserve)'!$A:$A, 0)) * Trend_Factor_Reserve^(A226)</f>
        <v>5.393598477604141</v>
      </c>
      <c r="O226" s="11">
        <f t="shared" si="160"/>
        <v>0.3</v>
      </c>
      <c r="P226" s="80">
        <f t="shared" si="178"/>
        <v>7.0116780208853839</v>
      </c>
      <c r="Q226" s="76">
        <f>VLOOKUP(C226,Others!$L$10:$M$61,2)</f>
        <v>0</v>
      </c>
      <c r="R226" s="11">
        <f t="shared" si="161"/>
        <v>0</v>
      </c>
      <c r="S226" s="80">
        <f t="shared" si="179"/>
        <v>0</v>
      </c>
      <c r="T226" s="78">
        <f t="shared" si="180"/>
        <v>3.9387500000000002E-5</v>
      </c>
      <c r="U226" s="81">
        <f t="shared" si="181"/>
        <v>5.8430650174044871E-4</v>
      </c>
      <c r="V226" s="81">
        <f t="shared" si="182"/>
        <v>0</v>
      </c>
      <c r="W226" s="77">
        <f t="shared" si="162"/>
        <v>0.74153412975745148</v>
      </c>
      <c r="X226" s="82">
        <f t="shared" si="183"/>
        <v>2.9198642564540097E-5</v>
      </c>
      <c r="Y226" s="82">
        <f t="shared" si="184"/>
        <v>4.3327468030844287E-4</v>
      </c>
      <c r="Z226" s="82">
        <f t="shared" si="185"/>
        <v>0</v>
      </c>
      <c r="AA226" s="82">
        <f t="shared" si="186"/>
        <v>0.74107165643457851</v>
      </c>
      <c r="AC226" s="46">
        <f t="shared" si="163"/>
        <v>0</v>
      </c>
      <c r="AD226" s="15">
        <f t="shared" si="187"/>
        <v>0</v>
      </c>
      <c r="AE226" s="46">
        <f t="shared" si="188"/>
        <v>0</v>
      </c>
      <c r="AF226" s="15">
        <f t="shared" si="189"/>
        <v>0</v>
      </c>
      <c r="AG226" s="46">
        <f>SUMPRODUCT(AE227:AE$605, $I226:$I$604) / $I226</f>
        <v>0</v>
      </c>
      <c r="AI226" s="46">
        <f t="shared" si="164"/>
        <v>-47000</v>
      </c>
      <c r="AJ226" s="46">
        <f>IF(E226&gt;Mat_Year,0,  -SUM($AD$5:AD226))</f>
        <v>-9306</v>
      </c>
      <c r="AK226" s="24">
        <f t="shared" si="190"/>
        <v>-0.27172256770561015</v>
      </c>
      <c r="AL226" s="79">
        <f t="shared" si="191"/>
        <v>-20.363909974496814</v>
      </c>
      <c r="AM226" s="24">
        <f t="shared" si="192"/>
        <v>-27.828297733176672</v>
      </c>
      <c r="AN226" s="79">
        <f t="shared" si="193"/>
        <v>-20.635632542202423</v>
      </c>
      <c r="AO226" s="15">
        <f t="shared" si="194"/>
        <v>-631.32826876020761</v>
      </c>
      <c r="AP226" s="46">
        <f>SUMPRODUCT(AN227:AN$605, $I227:$I$605) / $I226</f>
        <v>-468.15145836637896</v>
      </c>
      <c r="AR226" s="46">
        <v>0</v>
      </c>
      <c r="AS226" s="46">
        <v>0</v>
      </c>
      <c r="AT226" s="46">
        <v>0</v>
      </c>
      <c r="AU226" s="95">
        <f t="shared" si="165"/>
        <v>-2.6712109227076786</v>
      </c>
      <c r="AV226" s="47">
        <f t="shared" si="166"/>
        <v>0.1</v>
      </c>
      <c r="AW226" s="96">
        <f t="shared" si="195"/>
        <v>-2.9383320149784469</v>
      </c>
      <c r="AX226" s="95">
        <f t="shared" si="167"/>
        <v>-30.629885247048044</v>
      </c>
      <c r="AY226" s="11">
        <f t="shared" si="168"/>
        <v>0.1</v>
      </c>
      <c r="AZ226" s="96">
        <f t="shared" si="196"/>
        <v>-33.692873771752851</v>
      </c>
      <c r="BA226" s="95">
        <f t="shared" si="197"/>
        <v>-2.1788734736655013</v>
      </c>
      <c r="BB226" s="64">
        <f t="shared" si="198"/>
        <v>-1.5582055290362514E-2</v>
      </c>
      <c r="BC226" s="95">
        <f t="shared" si="210"/>
        <v>-2.9383320149784469</v>
      </c>
      <c r="BD226" s="96">
        <f t="shared" si="210"/>
        <v>-2.1013267852498241E-2</v>
      </c>
      <c r="BE226" s="96">
        <f t="shared" si="199"/>
        <v>-2.1788734736655013</v>
      </c>
      <c r="BF226" s="96">
        <f t="shared" si="200"/>
        <v>-1.5582055290362514E-2</v>
      </c>
      <c r="BG226" s="15">
        <f t="shared" si="201"/>
        <v>-69.495670781425062</v>
      </c>
      <c r="BH226" s="46">
        <f>(SUMPRODUCT(BE227:BE$605,$I226:$I$604)+SUMPRODUCT(BF227:BF$605,$I227:$I$605)) / $I226</f>
        <v>-51.533411754814381</v>
      </c>
      <c r="BJ226" s="46">
        <f t="shared" si="202"/>
        <v>-2.1788734736655013</v>
      </c>
      <c r="BK226" s="46">
        <f t="shared" si="203"/>
        <v>-20.651214597492785</v>
      </c>
      <c r="BM226" s="49">
        <f t="shared" si="169"/>
        <v>701.26129586642855</v>
      </c>
      <c r="BN226" s="50">
        <f t="shared" si="204"/>
        <v>519.68487012119328</v>
      </c>
      <c r="BP226" s="68">
        <f>INDEX(Others!$H$11:$I$60, MATCH(C226, Others!$A$11:$A$60, 0), MATCH(BP$3, Others!$H$10:$I$10, 0))</f>
        <v>3.0518181818181833E-2</v>
      </c>
      <c r="BQ226" s="16">
        <f t="shared" si="205"/>
        <v>2.5082875760633616E-3</v>
      </c>
      <c r="BR226" s="69">
        <f t="shared" si="206"/>
        <v>0.57481013430647887</v>
      </c>
      <c r="BT226" s="46">
        <f t="shared" si="207"/>
        <v>524.91295360453159</v>
      </c>
      <c r="BU226" s="49">
        <f t="shared" si="170"/>
        <v>7.0547610854414629</v>
      </c>
      <c r="BV226" s="46">
        <f t="shared" si="208"/>
        <v>5.2280834833383096</v>
      </c>
      <c r="BX226" s="46">
        <f t="shared" si="209"/>
        <v>708.31605695187</v>
      </c>
    </row>
    <row r="227" spans="1:76" x14ac:dyDescent="0.25">
      <c r="A227" s="61">
        <f t="shared" si="159"/>
        <v>18.500000000000007</v>
      </c>
      <c r="B227" s="32">
        <f t="shared" si="171"/>
        <v>6</v>
      </c>
      <c r="C227" s="62">
        <f t="shared" si="172"/>
        <v>19</v>
      </c>
      <c r="D227" s="64">
        <f t="shared" si="173"/>
        <v>19.000000000000007</v>
      </c>
      <c r="E227" s="28">
        <f t="shared" si="174"/>
        <v>19</v>
      </c>
      <c r="G227" s="68">
        <f>INDEX(Others!$D$11:$E$60, MATCH(C227, Others!$A$11:$A$60, 0), MATCH(G$3, Others!$D$10:$E$10, 0))</f>
        <v>4.0690909090909111E-2</v>
      </c>
      <c r="H227" s="16">
        <f t="shared" si="175"/>
        <v>3.329265421250005E-3</v>
      </c>
      <c r="I227" s="69">
        <f t="shared" si="176"/>
        <v>0.47813157516312377</v>
      </c>
      <c r="K227" s="80">
        <f>INDEX(Mortality!$B$7:$F$32, MATCH( E227,Mortality!$A$7:$A$32, 0), MATCH( K$3,Mortality!$B$6:$F$6,0))</f>
        <v>0.42199999999999999</v>
      </c>
      <c r="L227" s="11" cm="1">
        <f t="array" ref="L227">PAD_Res_Mort</f>
        <v>0.15</v>
      </c>
      <c r="M227" s="80">
        <f t="shared" si="177"/>
        <v>0.48529999999999995</v>
      </c>
      <c r="N227" s="76">
        <f>INDEX('Myopia_(Reserve)'!$H:$H, MATCH(E227, 'Myopia_(Reserve)'!$A:$A, 0)) * Trend_Factor_Reserve^(A227)</f>
        <v>5.3646636359842574</v>
      </c>
      <c r="O227" s="11">
        <f t="shared" si="160"/>
        <v>0.3</v>
      </c>
      <c r="P227" s="80">
        <f t="shared" si="178"/>
        <v>6.9740627267795352</v>
      </c>
      <c r="Q227" s="76">
        <f>VLOOKUP(C227,Others!$L$10:$M$61,2)</f>
        <v>0</v>
      </c>
      <c r="R227" s="11">
        <f t="shared" si="161"/>
        <v>0</v>
      </c>
      <c r="S227" s="80">
        <f t="shared" si="179"/>
        <v>0</v>
      </c>
      <c r="T227" s="78">
        <f t="shared" si="180"/>
        <v>4.0441666666666663E-5</v>
      </c>
      <c r="U227" s="81">
        <f t="shared" si="181"/>
        <v>5.8117189389829459E-4</v>
      </c>
      <c r="V227" s="81">
        <f t="shared" si="182"/>
        <v>0</v>
      </c>
      <c r="W227" s="77">
        <f t="shared" si="162"/>
        <v>0.74107165643457851</v>
      </c>
      <c r="X227" s="82">
        <f t="shared" si="183"/>
        <v>2.9961463994567726E-5</v>
      </c>
      <c r="Y227" s="82">
        <f t="shared" si="184"/>
        <v>4.3068130917335627E-4</v>
      </c>
      <c r="Z227" s="82">
        <f t="shared" si="185"/>
        <v>0</v>
      </c>
      <c r="AA227" s="82">
        <f t="shared" si="186"/>
        <v>0.74061101366141058</v>
      </c>
      <c r="AC227" s="46">
        <f t="shared" si="163"/>
        <v>0</v>
      </c>
      <c r="AD227" s="15">
        <f t="shared" si="187"/>
        <v>0</v>
      </c>
      <c r="AE227" s="46">
        <f t="shared" si="188"/>
        <v>0</v>
      </c>
      <c r="AF227" s="15">
        <f t="shared" si="189"/>
        <v>0</v>
      </c>
      <c r="AG227" s="46">
        <f>SUMPRODUCT(AE228:AE$605, $I227:$I$604) / $I227</f>
        <v>0</v>
      </c>
      <c r="AI227" s="46">
        <f t="shared" si="164"/>
        <v>-47000</v>
      </c>
      <c r="AJ227" s="46">
        <f>IF(E227&gt;Mat_Year,0,  -SUM($AD$5:AD227))</f>
        <v>-9306</v>
      </c>
      <c r="AK227" s="24">
        <f t="shared" si="190"/>
        <v>-0.27882138393344724</v>
      </c>
      <c r="AL227" s="79">
        <f t="shared" si="191"/>
        <v>-20.242021531147746</v>
      </c>
      <c r="AM227" s="24">
        <f t="shared" si="192"/>
        <v>-27.690767467494911</v>
      </c>
      <c r="AN227" s="79">
        <f t="shared" si="193"/>
        <v>-20.520842915081193</v>
      </c>
      <c r="AO227" s="15">
        <f t="shared" si="194"/>
        <v>-606.13465919702048</v>
      </c>
      <c r="AP227" s="46">
        <f>SUMPRODUCT(AN228:AN$605, $I228:$I$605) / $I227</f>
        <v>-449.18921591354473</v>
      </c>
      <c r="AR227" s="46">
        <v>0</v>
      </c>
      <c r="AS227" s="46">
        <v>0</v>
      </c>
      <c r="AT227" s="46">
        <v>0</v>
      </c>
      <c r="AU227" s="95">
        <f t="shared" si="165"/>
        <v>-2.6763865322632787</v>
      </c>
      <c r="AV227" s="47">
        <f t="shared" si="166"/>
        <v>0.1</v>
      </c>
      <c r="AW227" s="96">
        <f t="shared" si="195"/>
        <v>-2.9440251854896067</v>
      </c>
      <c r="AX227" s="95">
        <f t="shared" si="167"/>
        <v>-30.689232236618924</v>
      </c>
      <c r="AY227" s="11">
        <f t="shared" si="168"/>
        <v>0.1</v>
      </c>
      <c r="AZ227" s="96">
        <f t="shared" si="196"/>
        <v>-33.758155460280818</v>
      </c>
      <c r="BA227" s="95">
        <f t="shared" si="197"/>
        <v>-2.1817336207958999</v>
      </c>
      <c r="BB227" s="64">
        <f t="shared" si="198"/>
        <v>-1.5550450348257652E-2</v>
      </c>
      <c r="BC227" s="95">
        <f t="shared" si="210"/>
        <v>-2.9440251854896067</v>
      </c>
      <c r="BD227" s="96">
        <f t="shared" si="210"/>
        <v>-2.0983733776937991E-2</v>
      </c>
      <c r="BE227" s="96">
        <f t="shared" si="199"/>
        <v>-2.1817336207958999</v>
      </c>
      <c r="BF227" s="96">
        <f t="shared" si="200"/>
        <v>-1.5550450348257652E-2</v>
      </c>
      <c r="BG227" s="15">
        <f t="shared" si="201"/>
        <v>-66.795743824986431</v>
      </c>
      <c r="BH227" s="46">
        <f>(SUMPRODUCT(BE228:BE$605,$I227:$I$604)+SUMPRODUCT(BF228:BF$605,$I228:$I$605)) / $I227</f>
        <v>-49.500432519162466</v>
      </c>
      <c r="BJ227" s="46">
        <f t="shared" si="202"/>
        <v>-2.1817336207958999</v>
      </c>
      <c r="BK227" s="46">
        <f t="shared" si="203"/>
        <v>-20.536393365429451</v>
      </c>
      <c r="BM227" s="49">
        <f t="shared" si="169"/>
        <v>673.34895003424288</v>
      </c>
      <c r="BN227" s="50">
        <f t="shared" si="204"/>
        <v>498.68964843270709</v>
      </c>
      <c r="BP227" s="68">
        <f>INDEX(Others!$H$11:$I$60, MATCH(C227, Others!$A$11:$A$60, 0), MATCH(BP$3, Others!$H$10:$I$10, 0))</f>
        <v>3.0518181818181833E-2</v>
      </c>
      <c r="BQ227" s="16">
        <f t="shared" si="205"/>
        <v>2.5082875760633616E-3</v>
      </c>
      <c r="BR227" s="69">
        <f t="shared" si="206"/>
        <v>0.57337195256140594</v>
      </c>
      <c r="BT227" s="46">
        <f t="shared" si="207"/>
        <v>503.5059868430119</v>
      </c>
      <c r="BU227" s="49">
        <f t="shared" si="170"/>
        <v>6.5031957687125646</v>
      </c>
      <c r="BV227" s="46">
        <f t="shared" si="208"/>
        <v>4.8163384103048088</v>
      </c>
      <c r="BX227" s="46">
        <f t="shared" si="209"/>
        <v>679.85214580295542</v>
      </c>
    </row>
    <row r="228" spans="1:76" x14ac:dyDescent="0.25">
      <c r="A228" s="61">
        <f t="shared" si="159"/>
        <v>18.583333333333339</v>
      </c>
      <c r="B228" s="32">
        <f t="shared" si="171"/>
        <v>7</v>
      </c>
      <c r="C228" s="62">
        <f t="shared" si="172"/>
        <v>19</v>
      </c>
      <c r="D228" s="64">
        <f t="shared" si="173"/>
        <v>19.083333333333339</v>
      </c>
      <c r="E228" s="28">
        <f t="shared" si="174"/>
        <v>19</v>
      </c>
      <c r="G228" s="68">
        <f>INDEX(Others!$D$11:$E$60, MATCH(C228, Others!$A$11:$A$60, 0), MATCH(G$3, Others!$D$10:$E$10, 0))</f>
        <v>4.0690909090909111E-2</v>
      </c>
      <c r="H228" s="16">
        <f t="shared" si="175"/>
        <v>3.329265421250005E-3</v>
      </c>
      <c r="I228" s="69">
        <f t="shared" si="176"/>
        <v>0.4765450302721701</v>
      </c>
      <c r="K228" s="80">
        <f>INDEX(Mortality!$B$7:$F$32, MATCH( E228,Mortality!$A$7:$A$32, 0), MATCH( K$3,Mortality!$B$6:$F$6,0))</f>
        <v>0.42199999999999999</v>
      </c>
      <c r="L228" s="11" cm="1">
        <f t="array" ref="L228">PAD_Res_Mort</f>
        <v>0.15</v>
      </c>
      <c r="M228" s="80">
        <f t="shared" si="177"/>
        <v>0.48529999999999995</v>
      </c>
      <c r="N228" s="76">
        <f>INDEX('Myopia_(Reserve)'!$H:$H, MATCH(E228, 'Myopia_(Reserve)'!$A:$A, 0)) * Trend_Factor_Reserve^(A228)</f>
        <v>5.3646636359842574</v>
      </c>
      <c r="O228" s="11">
        <f t="shared" si="160"/>
        <v>0.3</v>
      </c>
      <c r="P228" s="80">
        <f t="shared" si="178"/>
        <v>6.9740627267795352</v>
      </c>
      <c r="Q228" s="76">
        <f>VLOOKUP(C228,Others!$L$10:$M$61,2)</f>
        <v>0</v>
      </c>
      <c r="R228" s="11">
        <f t="shared" si="161"/>
        <v>0</v>
      </c>
      <c r="S228" s="80">
        <f t="shared" si="179"/>
        <v>0</v>
      </c>
      <c r="T228" s="78">
        <f t="shared" si="180"/>
        <v>4.0441666666666663E-5</v>
      </c>
      <c r="U228" s="81">
        <f t="shared" si="181"/>
        <v>5.8117189389829459E-4</v>
      </c>
      <c r="V228" s="81">
        <f t="shared" si="182"/>
        <v>0</v>
      </c>
      <c r="W228" s="77">
        <f t="shared" si="162"/>
        <v>0.74061101366141058</v>
      </c>
      <c r="X228" s="82">
        <f t="shared" si="183"/>
        <v>2.994284024645539E-5</v>
      </c>
      <c r="Y228" s="82">
        <f t="shared" si="184"/>
        <v>4.3041360195383626E-4</v>
      </c>
      <c r="Z228" s="82">
        <f t="shared" si="185"/>
        <v>0</v>
      </c>
      <c r="AA228" s="82">
        <f t="shared" si="186"/>
        <v>0.74015065721921025</v>
      </c>
      <c r="AC228" s="46">
        <f t="shared" si="163"/>
        <v>0</v>
      </c>
      <c r="AD228" s="15">
        <f t="shared" si="187"/>
        <v>0</v>
      </c>
      <c r="AE228" s="46">
        <f t="shared" si="188"/>
        <v>0</v>
      </c>
      <c r="AF228" s="15">
        <f t="shared" si="189"/>
        <v>0</v>
      </c>
      <c r="AG228" s="46">
        <f>SUMPRODUCT(AE229:AE$605, $I228:$I$604) / $I228</f>
        <v>0</v>
      </c>
      <c r="AI228" s="46">
        <f t="shared" si="164"/>
        <v>-47000</v>
      </c>
      <c r="AJ228" s="46">
        <f>IF(E228&gt;Mat_Year,0,  -SUM($AD$5:AD228))</f>
        <v>-9306</v>
      </c>
      <c r="AK228" s="24">
        <f t="shared" si="190"/>
        <v>-0.27864807133351388</v>
      </c>
      <c r="AL228" s="79">
        <f t="shared" si="191"/>
        <v>-20.229439291830303</v>
      </c>
      <c r="AM228" s="24">
        <f t="shared" si="192"/>
        <v>-27.690767467494911</v>
      </c>
      <c r="AN228" s="79">
        <f t="shared" si="193"/>
        <v>-20.508087363163817</v>
      </c>
      <c r="AO228" s="15">
        <f t="shared" si="194"/>
        <v>-580.84013164728151</v>
      </c>
      <c r="AP228" s="46">
        <f>SUMPRODUCT(AN229:AN$605, $I229:$I$605) / $I228</f>
        <v>-430.17659867452033</v>
      </c>
      <c r="AR228" s="46">
        <v>0</v>
      </c>
      <c r="AS228" s="46">
        <v>0</v>
      </c>
      <c r="AT228" s="46">
        <v>0</v>
      </c>
      <c r="AU228" s="95">
        <f t="shared" si="165"/>
        <v>-2.6815721698305355</v>
      </c>
      <c r="AV228" s="47">
        <f t="shared" si="166"/>
        <v>0.1</v>
      </c>
      <c r="AW228" s="96">
        <f t="shared" si="195"/>
        <v>-2.9497293868135892</v>
      </c>
      <c r="AX228" s="95">
        <f t="shared" si="167"/>
        <v>-30.748694214056805</v>
      </c>
      <c r="AY228" s="11">
        <f t="shared" si="168"/>
        <v>0.1</v>
      </c>
      <c r="AZ228" s="96">
        <f t="shared" si="196"/>
        <v>-33.823563635462484</v>
      </c>
      <c r="BA228" s="95">
        <f t="shared" si="197"/>
        <v>-2.1846020711948633</v>
      </c>
      <c r="BB228" s="64">
        <f t="shared" si="198"/>
        <v>-1.5570895417756673E-2</v>
      </c>
      <c r="BC228" s="95">
        <f t="shared" si="210"/>
        <v>-2.9497293868135892</v>
      </c>
      <c r="BD228" s="96">
        <f t="shared" si="210"/>
        <v>-2.1024390848277758E-2</v>
      </c>
      <c r="BE228" s="96">
        <f t="shared" si="199"/>
        <v>-2.1846020711948633</v>
      </c>
      <c r="BF228" s="96">
        <f t="shared" si="200"/>
        <v>-1.5570895417756673E-2</v>
      </c>
      <c r="BG228" s="15">
        <f t="shared" si="201"/>
        <v>-64.079234085539184</v>
      </c>
      <c r="BH228" s="46">
        <f>(SUMPRODUCT(BE229:BE$605,$I228:$I$604)+SUMPRODUCT(BF229:BF$605,$I229:$I$605)) / $I228</f>
        <v>-47.457786510737982</v>
      </c>
      <c r="BJ228" s="46">
        <f t="shared" si="202"/>
        <v>-2.1846020711948633</v>
      </c>
      <c r="BK228" s="46">
        <f t="shared" si="203"/>
        <v>-20.523658258581573</v>
      </c>
      <c r="BM228" s="49">
        <f t="shared" si="169"/>
        <v>645.32049053331764</v>
      </c>
      <c r="BN228" s="50">
        <f t="shared" si="204"/>
        <v>477.63438518525817</v>
      </c>
      <c r="BP228" s="68">
        <f>INDEX(Others!$H$11:$I$60, MATCH(C228, Others!$A$11:$A$60, 0), MATCH(BP$3, Others!$H$10:$I$10, 0))</f>
        <v>3.0518181818181833E-2</v>
      </c>
      <c r="BQ228" s="16">
        <f t="shared" si="205"/>
        <v>2.5082875760633616E-3</v>
      </c>
      <c r="BR228" s="69">
        <f t="shared" si="206"/>
        <v>0.57193736916404536</v>
      </c>
      <c r="BT228" s="46">
        <f t="shared" si="207"/>
        <v>482.05518471427354</v>
      </c>
      <c r="BU228" s="49">
        <f t="shared" si="170"/>
        <v>5.9728374026236413</v>
      </c>
      <c r="BV228" s="46">
        <f t="shared" si="208"/>
        <v>4.420799529015369</v>
      </c>
      <c r="BX228" s="46">
        <f t="shared" si="209"/>
        <v>651.29332793594131</v>
      </c>
    </row>
    <row r="229" spans="1:76" x14ac:dyDescent="0.25">
      <c r="A229" s="61">
        <f t="shared" si="159"/>
        <v>18.666666666666671</v>
      </c>
      <c r="B229" s="32">
        <f t="shared" si="171"/>
        <v>8</v>
      </c>
      <c r="C229" s="62">
        <f t="shared" si="172"/>
        <v>19</v>
      </c>
      <c r="D229" s="64">
        <f t="shared" si="173"/>
        <v>19.166666666666671</v>
      </c>
      <c r="E229" s="28">
        <f t="shared" si="174"/>
        <v>19</v>
      </c>
      <c r="G229" s="68">
        <f>INDEX(Others!$D$11:$E$60, MATCH(C229, Others!$A$11:$A$60, 0), MATCH(G$3, Others!$D$10:$E$10, 0))</f>
        <v>4.0690909090909111E-2</v>
      </c>
      <c r="H229" s="16">
        <f t="shared" si="175"/>
        <v>3.329265421250005E-3</v>
      </c>
      <c r="I229" s="69">
        <f t="shared" si="176"/>
        <v>0.47496374988333628</v>
      </c>
      <c r="K229" s="80">
        <f>INDEX(Mortality!$B$7:$F$32, MATCH( E229,Mortality!$A$7:$A$32, 0), MATCH( K$3,Mortality!$B$6:$F$6,0))</f>
        <v>0.42199999999999999</v>
      </c>
      <c r="L229" s="11" cm="1">
        <f t="array" ref="L229">PAD_Res_Mort</f>
        <v>0.15</v>
      </c>
      <c r="M229" s="80">
        <f t="shared" si="177"/>
        <v>0.48529999999999995</v>
      </c>
      <c r="N229" s="76">
        <f>INDEX('Myopia_(Reserve)'!$H:$H, MATCH(E229, 'Myopia_(Reserve)'!$A:$A, 0)) * Trend_Factor_Reserve^(A229)</f>
        <v>5.3646636359842574</v>
      </c>
      <c r="O229" s="11">
        <f t="shared" si="160"/>
        <v>0.3</v>
      </c>
      <c r="P229" s="80">
        <f t="shared" si="178"/>
        <v>6.9740627267795352</v>
      </c>
      <c r="Q229" s="76">
        <f>VLOOKUP(C229,Others!$L$10:$M$61,2)</f>
        <v>0</v>
      </c>
      <c r="R229" s="11">
        <f t="shared" si="161"/>
        <v>0</v>
      </c>
      <c r="S229" s="80">
        <f t="shared" si="179"/>
        <v>0</v>
      </c>
      <c r="T229" s="78">
        <f t="shared" si="180"/>
        <v>4.0441666666666663E-5</v>
      </c>
      <c r="U229" s="81">
        <f t="shared" si="181"/>
        <v>5.8117189389829459E-4</v>
      </c>
      <c r="V229" s="81">
        <f t="shared" si="182"/>
        <v>0</v>
      </c>
      <c r="W229" s="77">
        <f t="shared" si="162"/>
        <v>0.74015065721921025</v>
      </c>
      <c r="X229" s="82">
        <f t="shared" si="183"/>
        <v>2.9924228074679704E-5</v>
      </c>
      <c r="Y229" s="82">
        <f t="shared" si="184"/>
        <v>4.3014606113846203E-4</v>
      </c>
      <c r="Z229" s="82">
        <f t="shared" si="185"/>
        <v>0</v>
      </c>
      <c r="AA229" s="82">
        <f t="shared" si="186"/>
        <v>0.73969058692999712</v>
      </c>
      <c r="AC229" s="46">
        <f t="shared" si="163"/>
        <v>0</v>
      </c>
      <c r="AD229" s="15">
        <f t="shared" si="187"/>
        <v>0</v>
      </c>
      <c r="AE229" s="46">
        <f t="shared" si="188"/>
        <v>0</v>
      </c>
      <c r="AF229" s="15">
        <f t="shared" si="189"/>
        <v>0</v>
      </c>
      <c r="AG229" s="46">
        <f>SUMPRODUCT(AE230:AE$605, $I229:$I$604) / $I229</f>
        <v>0</v>
      </c>
      <c r="AI229" s="46">
        <f t="shared" si="164"/>
        <v>-47000</v>
      </c>
      <c r="AJ229" s="46">
        <f>IF(E229&gt;Mat_Year,0,  -SUM($AD$5:AD229))</f>
        <v>-9306</v>
      </c>
      <c r="AK229" s="24">
        <f t="shared" si="190"/>
        <v>-0.27847486646296932</v>
      </c>
      <c r="AL229" s="79">
        <f t="shared" si="191"/>
        <v>-20.216864873507717</v>
      </c>
      <c r="AM229" s="24">
        <f t="shared" si="192"/>
        <v>-27.690767467494911</v>
      </c>
      <c r="AN229" s="79">
        <f t="shared" si="193"/>
        <v>-20.495339739970685</v>
      </c>
      <c r="AO229" s="15">
        <f t="shared" si="194"/>
        <v>-555.44560691754975</v>
      </c>
      <c r="AP229" s="46">
        <f>SUMPRODUCT(AN230:AN$605, $I230:$I$605) / $I229</f>
        <v>-411.11343100954758</v>
      </c>
      <c r="AR229" s="46">
        <v>0</v>
      </c>
      <c r="AS229" s="46">
        <v>0</v>
      </c>
      <c r="AT229" s="46">
        <v>0</v>
      </c>
      <c r="AU229" s="95">
        <f t="shared" si="165"/>
        <v>-2.6867678548392422</v>
      </c>
      <c r="AV229" s="47">
        <f t="shared" si="166"/>
        <v>0.1</v>
      </c>
      <c r="AW229" s="96">
        <f t="shared" si="195"/>
        <v>-2.9554446403231664</v>
      </c>
      <c r="AX229" s="95">
        <f t="shared" si="167"/>
        <v>-30.808271402156638</v>
      </c>
      <c r="AY229" s="11">
        <f t="shared" si="168"/>
        <v>0.1</v>
      </c>
      <c r="AZ229" s="96">
        <f t="shared" si="196"/>
        <v>-33.889098542372302</v>
      </c>
      <c r="BA229" s="95">
        <f t="shared" si="197"/>
        <v>-2.187474292910184</v>
      </c>
      <c r="BB229" s="64">
        <f t="shared" si="198"/>
        <v>-1.5591367367561886E-2</v>
      </c>
      <c r="BC229" s="95">
        <f t="shared" si="210"/>
        <v>-2.9554446403231664</v>
      </c>
      <c r="BD229" s="96">
        <f t="shared" si="210"/>
        <v>-2.1065126694799641E-2</v>
      </c>
      <c r="BE229" s="96">
        <f t="shared" si="199"/>
        <v>-2.187474292910184</v>
      </c>
      <c r="BF229" s="96">
        <f t="shared" si="200"/>
        <v>-1.5591367367561886E-2</v>
      </c>
      <c r="BG229" s="15">
        <f t="shared" si="201"/>
        <v>-61.346210116366244</v>
      </c>
      <c r="BH229" s="46">
        <f>(SUMPRODUCT(BE230:BE$605,$I229:$I$604)+SUMPRODUCT(BF230:BF$605,$I230:$I$605)) / $I229</f>
        <v>-45.405437735536239</v>
      </c>
      <c r="BJ229" s="46">
        <f t="shared" si="202"/>
        <v>-2.187474292910184</v>
      </c>
      <c r="BK229" s="46">
        <f t="shared" si="203"/>
        <v>-20.510931107338248</v>
      </c>
      <c r="BM229" s="49">
        <f t="shared" si="169"/>
        <v>617.17544715529527</v>
      </c>
      <c r="BN229" s="50">
        <f t="shared" si="204"/>
        <v>456.51886874508375</v>
      </c>
      <c r="BP229" s="68">
        <f>INDEX(Others!$H$11:$I$60, MATCH(C229, Others!$A$11:$A$60, 0), MATCH(BP$3, Others!$H$10:$I$10, 0))</f>
        <v>3.0518181818181833E-2</v>
      </c>
      <c r="BQ229" s="16">
        <f t="shared" si="205"/>
        <v>2.5082875760633616E-3</v>
      </c>
      <c r="BR229" s="69">
        <f t="shared" si="206"/>
        <v>0.57050637511128877</v>
      </c>
      <c r="BT229" s="46">
        <f t="shared" si="207"/>
        <v>460.56042553022894</v>
      </c>
      <c r="BU229" s="49">
        <f t="shared" si="170"/>
        <v>5.4638477987386835</v>
      </c>
      <c r="BV229" s="46">
        <f t="shared" si="208"/>
        <v>4.0415567851451897</v>
      </c>
      <c r="BX229" s="46">
        <f t="shared" si="209"/>
        <v>622.63929495403397</v>
      </c>
    </row>
    <row r="230" spans="1:76" x14ac:dyDescent="0.25">
      <c r="A230" s="61">
        <f t="shared" si="159"/>
        <v>18.750000000000004</v>
      </c>
      <c r="B230" s="32">
        <f t="shared" si="171"/>
        <v>9</v>
      </c>
      <c r="C230" s="62">
        <f t="shared" si="172"/>
        <v>19</v>
      </c>
      <c r="D230" s="64">
        <f t="shared" si="173"/>
        <v>19.250000000000004</v>
      </c>
      <c r="E230" s="28">
        <f t="shared" si="174"/>
        <v>19</v>
      </c>
      <c r="G230" s="68">
        <f>INDEX(Others!$D$11:$E$60, MATCH(C230, Others!$A$11:$A$60, 0), MATCH(G$3, Others!$D$10:$E$10, 0))</f>
        <v>4.0690909090909111E-2</v>
      </c>
      <c r="H230" s="16">
        <f t="shared" si="175"/>
        <v>3.329265421250005E-3</v>
      </c>
      <c r="I230" s="69">
        <f t="shared" si="176"/>
        <v>0.47338771652785561</v>
      </c>
      <c r="K230" s="80">
        <f>INDEX(Mortality!$B$7:$F$32, MATCH( E230,Mortality!$A$7:$A$32, 0), MATCH( K$3,Mortality!$B$6:$F$6,0))</f>
        <v>0.42199999999999999</v>
      </c>
      <c r="L230" s="11" cm="1">
        <f t="array" ref="L230">PAD_Res_Mort</f>
        <v>0.15</v>
      </c>
      <c r="M230" s="80">
        <f t="shared" si="177"/>
        <v>0.48529999999999995</v>
      </c>
      <c r="N230" s="76">
        <f>INDEX('Myopia_(Reserve)'!$H:$H, MATCH(E230, 'Myopia_(Reserve)'!$A:$A, 0)) * Trend_Factor_Reserve^(A230)</f>
        <v>5.3646636359842574</v>
      </c>
      <c r="O230" s="11">
        <f t="shared" si="160"/>
        <v>0.3</v>
      </c>
      <c r="P230" s="80">
        <f t="shared" si="178"/>
        <v>6.9740627267795352</v>
      </c>
      <c r="Q230" s="76">
        <f>VLOOKUP(C230,Others!$L$10:$M$61,2)</f>
        <v>0</v>
      </c>
      <c r="R230" s="11">
        <f t="shared" si="161"/>
        <v>0</v>
      </c>
      <c r="S230" s="80">
        <f t="shared" si="179"/>
        <v>0</v>
      </c>
      <c r="T230" s="78">
        <f t="shared" si="180"/>
        <v>4.0441666666666663E-5</v>
      </c>
      <c r="U230" s="81">
        <f t="shared" si="181"/>
        <v>5.8117189389829459E-4</v>
      </c>
      <c r="V230" s="81">
        <f t="shared" si="182"/>
        <v>0</v>
      </c>
      <c r="W230" s="77">
        <f t="shared" si="162"/>
        <v>0.73969058692999712</v>
      </c>
      <c r="X230" s="82">
        <f t="shared" si="183"/>
        <v>2.9905627472044937E-5</v>
      </c>
      <c r="Y230" s="82">
        <f t="shared" si="184"/>
        <v>4.2987868662379853E-4</v>
      </c>
      <c r="Z230" s="82">
        <f t="shared" si="185"/>
        <v>0</v>
      </c>
      <c r="AA230" s="82">
        <f t="shared" si="186"/>
        <v>0.73923080261590124</v>
      </c>
      <c r="AC230" s="46">
        <f t="shared" si="163"/>
        <v>0</v>
      </c>
      <c r="AD230" s="15">
        <f t="shared" si="187"/>
        <v>0</v>
      </c>
      <c r="AE230" s="46">
        <f t="shared" si="188"/>
        <v>0</v>
      </c>
      <c r="AF230" s="15">
        <f t="shared" si="189"/>
        <v>0</v>
      </c>
      <c r="AG230" s="46">
        <f>SUMPRODUCT(AE231:AE$605, $I230:$I$604) / $I230</f>
        <v>0</v>
      </c>
      <c r="AI230" s="46">
        <f t="shared" si="164"/>
        <v>-47000</v>
      </c>
      <c r="AJ230" s="46">
        <f>IF(E230&gt;Mat_Year,0,  -SUM($AD$5:AD230))</f>
        <v>-9306</v>
      </c>
      <c r="AK230" s="24">
        <f t="shared" si="190"/>
        <v>-0.27830176925485017</v>
      </c>
      <c r="AL230" s="79">
        <f t="shared" si="191"/>
        <v>-20.204298271318532</v>
      </c>
      <c r="AM230" s="24">
        <f t="shared" si="192"/>
        <v>-27.690767467494911</v>
      </c>
      <c r="AN230" s="79">
        <f t="shared" si="193"/>
        <v>-20.482600040573381</v>
      </c>
      <c r="AO230" s="15">
        <f t="shared" si="194"/>
        <v>-529.95068968769215</v>
      </c>
      <c r="AP230" s="46">
        <f>SUMPRODUCT(AN231:AN$605, $I231:$I$605) / $I230</f>
        <v>-391.99953669904579</v>
      </c>
      <c r="AR230" s="46">
        <v>0</v>
      </c>
      <c r="AS230" s="46">
        <v>0</v>
      </c>
      <c r="AT230" s="46">
        <v>0</v>
      </c>
      <c r="AU230" s="95">
        <f t="shared" si="165"/>
        <v>-2.6919736067568363</v>
      </c>
      <c r="AV230" s="47">
        <f t="shared" si="166"/>
        <v>0.1</v>
      </c>
      <c r="AW230" s="96">
        <f t="shared" si="195"/>
        <v>-2.96117096743252</v>
      </c>
      <c r="AX230" s="95">
        <f t="shared" si="167"/>
        <v>-30.867964024145053</v>
      </c>
      <c r="AY230" s="11">
        <f t="shared" si="168"/>
        <v>0.1</v>
      </c>
      <c r="AZ230" s="96">
        <f t="shared" si="196"/>
        <v>-33.95476042655956</v>
      </c>
      <c r="BA230" s="95">
        <f t="shared" si="197"/>
        <v>-2.1903502909002279</v>
      </c>
      <c r="BB230" s="64">
        <f t="shared" si="198"/>
        <v>-1.5611866233014377E-2</v>
      </c>
      <c r="BC230" s="95">
        <f t="shared" si="210"/>
        <v>-2.96117096743252</v>
      </c>
      <c r="BD230" s="96">
        <f t="shared" si="210"/>
        <v>-2.1105941469134654E-2</v>
      </c>
      <c r="BE230" s="96">
        <f t="shared" si="199"/>
        <v>-2.1903502909002279</v>
      </c>
      <c r="BF230" s="96">
        <f t="shared" si="200"/>
        <v>-1.5611866233014377E-2</v>
      </c>
      <c r="BG230" s="15">
        <f t="shared" si="201"/>
        <v>-58.596595442157003</v>
      </c>
      <c r="BH230" s="46">
        <f>(SUMPRODUCT(BE231:BE$605,$I230:$I$604)+SUMPRODUCT(BF231:BF$605,$I231:$I$605)) / $I230</f>
        <v>-43.343350074708709</v>
      </c>
      <c r="BJ230" s="46">
        <f t="shared" si="202"/>
        <v>-2.1903502909002279</v>
      </c>
      <c r="BK230" s="46">
        <f t="shared" si="203"/>
        <v>-20.498211906806397</v>
      </c>
      <c r="BM230" s="49">
        <f t="shared" si="169"/>
        <v>588.91334781128603</v>
      </c>
      <c r="BN230" s="50">
        <f t="shared" si="204"/>
        <v>435.34288677375434</v>
      </c>
      <c r="BP230" s="68">
        <f>INDEX(Others!$H$11:$I$60, MATCH(C230, Others!$A$11:$A$60, 0), MATCH(BP$3, Others!$H$10:$I$10, 0))</f>
        <v>3.0518181818181833E-2</v>
      </c>
      <c r="BQ230" s="16">
        <f t="shared" si="205"/>
        <v>2.5082875760633616E-3</v>
      </c>
      <c r="BR230" s="69">
        <f t="shared" si="206"/>
        <v>0.56907896142255354</v>
      </c>
      <c r="BT230" s="46">
        <f t="shared" si="207"/>
        <v>439.02158729748436</v>
      </c>
      <c r="BU230" s="49">
        <f t="shared" si="170"/>
        <v>4.9763896616757188</v>
      </c>
      <c r="BV230" s="46">
        <f t="shared" si="208"/>
        <v>3.678700523730015</v>
      </c>
      <c r="BX230" s="46">
        <f t="shared" si="209"/>
        <v>593.88973747296177</v>
      </c>
    </row>
    <row r="231" spans="1:76" x14ac:dyDescent="0.25">
      <c r="A231" s="61">
        <f t="shared" si="159"/>
        <v>18.833333333333336</v>
      </c>
      <c r="B231" s="32">
        <f t="shared" si="171"/>
        <v>10</v>
      </c>
      <c r="C231" s="62">
        <f t="shared" si="172"/>
        <v>19</v>
      </c>
      <c r="D231" s="64">
        <f t="shared" si="173"/>
        <v>19.333333333333336</v>
      </c>
      <c r="E231" s="28">
        <f t="shared" si="174"/>
        <v>19</v>
      </c>
      <c r="G231" s="68">
        <f>INDEX(Others!$D$11:$E$60, MATCH(C231, Others!$A$11:$A$60, 0), MATCH(G$3, Others!$D$10:$E$10, 0))</f>
        <v>4.0690909090909111E-2</v>
      </c>
      <c r="H231" s="16">
        <f t="shared" si="175"/>
        <v>3.329265421250005E-3</v>
      </c>
      <c r="I231" s="69">
        <f t="shared" si="176"/>
        <v>0.47181691279492655</v>
      </c>
      <c r="K231" s="80">
        <f>INDEX(Mortality!$B$7:$F$32, MATCH( E231,Mortality!$A$7:$A$32, 0), MATCH( K$3,Mortality!$B$6:$F$6,0))</f>
        <v>0.42199999999999999</v>
      </c>
      <c r="L231" s="11" cm="1">
        <f t="array" ref="L231">PAD_Res_Mort</f>
        <v>0.15</v>
      </c>
      <c r="M231" s="80">
        <f t="shared" si="177"/>
        <v>0.48529999999999995</v>
      </c>
      <c r="N231" s="76">
        <f>INDEX('Myopia_(Reserve)'!$H:$H, MATCH(E231, 'Myopia_(Reserve)'!$A:$A, 0)) * Trend_Factor_Reserve^(A231)</f>
        <v>5.3646636359842574</v>
      </c>
      <c r="O231" s="11">
        <f t="shared" si="160"/>
        <v>0.3</v>
      </c>
      <c r="P231" s="80">
        <f t="shared" si="178"/>
        <v>6.9740627267795352</v>
      </c>
      <c r="Q231" s="76">
        <f>VLOOKUP(C231,Others!$L$10:$M$61,2)</f>
        <v>0</v>
      </c>
      <c r="R231" s="11">
        <f t="shared" si="161"/>
        <v>0</v>
      </c>
      <c r="S231" s="80">
        <f t="shared" si="179"/>
        <v>0</v>
      </c>
      <c r="T231" s="78">
        <f t="shared" si="180"/>
        <v>4.0441666666666663E-5</v>
      </c>
      <c r="U231" s="81">
        <f t="shared" si="181"/>
        <v>5.8117189389829459E-4</v>
      </c>
      <c r="V231" s="81">
        <f t="shared" si="182"/>
        <v>0</v>
      </c>
      <c r="W231" s="77">
        <f t="shared" si="162"/>
        <v>0.73923080261590124</v>
      </c>
      <c r="X231" s="82">
        <f t="shared" si="183"/>
        <v>2.9887038431359817E-5</v>
      </c>
      <c r="Y231" s="82">
        <f t="shared" si="184"/>
        <v>4.2961147830647482E-4</v>
      </c>
      <c r="Z231" s="82">
        <f t="shared" si="185"/>
        <v>0</v>
      </c>
      <c r="AA231" s="82">
        <f t="shared" si="186"/>
        <v>0.73877130409916336</v>
      </c>
      <c r="AC231" s="46">
        <f t="shared" si="163"/>
        <v>0</v>
      </c>
      <c r="AD231" s="15">
        <f t="shared" si="187"/>
        <v>0</v>
      </c>
      <c r="AE231" s="46">
        <f t="shared" si="188"/>
        <v>0</v>
      </c>
      <c r="AF231" s="15">
        <f t="shared" si="189"/>
        <v>0</v>
      </c>
      <c r="AG231" s="46">
        <f>SUMPRODUCT(AE232:AE$605, $I231:$I$604) / $I231</f>
        <v>0</v>
      </c>
      <c r="AI231" s="46">
        <f t="shared" si="164"/>
        <v>-47000</v>
      </c>
      <c r="AJ231" s="46">
        <f>IF(E231&gt;Mat_Year,0,  -SUM($AD$5:AD231))</f>
        <v>-9306</v>
      </c>
      <c r="AK231" s="24">
        <f t="shared" si="190"/>
        <v>-0.27812877964223448</v>
      </c>
      <c r="AL231" s="79">
        <f t="shared" si="191"/>
        <v>-20.191739480404316</v>
      </c>
      <c r="AM231" s="24">
        <f t="shared" si="192"/>
        <v>-27.690767467494911</v>
      </c>
      <c r="AN231" s="79">
        <f t="shared" si="193"/>
        <v>-20.46986826004655</v>
      </c>
      <c r="AO231" s="15">
        <f t="shared" si="194"/>
        <v>-504.35498307475092</v>
      </c>
      <c r="AP231" s="46">
        <f>SUMPRODUCT(AN232:AN$605, $I232:$I$605) / $I231</f>
        <v>-372.83473894167741</v>
      </c>
      <c r="AR231" s="46">
        <v>0</v>
      </c>
      <c r="AS231" s="46">
        <v>0</v>
      </c>
      <c r="AT231" s="46">
        <v>0</v>
      </c>
      <c r="AU231" s="95">
        <f t="shared" si="165"/>
        <v>-2.6971894450884757</v>
      </c>
      <c r="AV231" s="47">
        <f t="shared" si="166"/>
        <v>0.1</v>
      </c>
      <c r="AW231" s="96">
        <f t="shared" si="195"/>
        <v>-2.9669083895973234</v>
      </c>
      <c r="AX231" s="95">
        <f t="shared" si="167"/>
        <v>-30.927772303681184</v>
      </c>
      <c r="AY231" s="11">
        <f t="shared" si="168"/>
        <v>0.1</v>
      </c>
      <c r="AZ231" s="96">
        <f t="shared" si="196"/>
        <v>-34.020549534049309</v>
      </c>
      <c r="BA231" s="95">
        <f t="shared" si="197"/>
        <v>-2.1932300701298804</v>
      </c>
      <c r="BB231" s="64">
        <f t="shared" si="198"/>
        <v>-1.5632392049501689E-2</v>
      </c>
      <c r="BC231" s="95">
        <f t="shared" si="210"/>
        <v>-2.9669083895973234</v>
      </c>
      <c r="BD231" s="96">
        <f t="shared" si="210"/>
        <v>-2.1146835324209513E-2</v>
      </c>
      <c r="BE231" s="96">
        <f t="shared" si="199"/>
        <v>-2.1932300701298804</v>
      </c>
      <c r="BF231" s="96">
        <f t="shared" si="200"/>
        <v>-1.5632392049501689E-2</v>
      </c>
      <c r="BG231" s="15">
        <f t="shared" si="201"/>
        <v>-55.83031326359005</v>
      </c>
      <c r="BH231" s="46">
        <f>(SUMPRODUCT(BE232:BE$605,$I231:$I$604)+SUMPRODUCT(BF232:BF$605,$I232:$I$605)) / $I231</f>
        <v>-41.271487284140868</v>
      </c>
      <c r="BJ231" s="46">
        <f t="shared" si="202"/>
        <v>-2.1932300701298804</v>
      </c>
      <c r="BK231" s="46">
        <f t="shared" si="203"/>
        <v>-20.48550065209605</v>
      </c>
      <c r="BM231" s="49">
        <f t="shared" si="169"/>
        <v>560.53371852439147</v>
      </c>
      <c r="BN231" s="50">
        <f t="shared" si="204"/>
        <v>414.10622622581809</v>
      </c>
      <c r="BP231" s="68">
        <f>INDEX(Others!$H$11:$I$60, MATCH(C231, Others!$A$11:$A$60, 0), MATCH(BP$3, Others!$H$10:$I$10, 0))</f>
        <v>3.0518181818181833E-2</v>
      </c>
      <c r="BQ231" s="16">
        <f t="shared" si="205"/>
        <v>2.5082875760633616E-3</v>
      </c>
      <c r="BR231" s="69">
        <f t="shared" si="206"/>
        <v>0.56765511913972655</v>
      </c>
      <c r="BT231" s="46">
        <f t="shared" si="207"/>
        <v>417.43854771656396</v>
      </c>
      <c r="BU231" s="49">
        <f t="shared" si="170"/>
        <v>4.5106265934478964</v>
      </c>
      <c r="BV231" s="46">
        <f t="shared" si="208"/>
        <v>3.3323214907458691</v>
      </c>
      <c r="BX231" s="46">
        <f t="shared" si="209"/>
        <v>565.04434511783938</v>
      </c>
    </row>
    <row r="232" spans="1:76" x14ac:dyDescent="0.25">
      <c r="A232" s="61">
        <f t="shared" si="159"/>
        <v>18.916666666666668</v>
      </c>
      <c r="B232" s="32">
        <f t="shared" si="171"/>
        <v>11</v>
      </c>
      <c r="C232" s="62">
        <f t="shared" si="172"/>
        <v>19</v>
      </c>
      <c r="D232" s="64">
        <f t="shared" si="173"/>
        <v>19.416666666666668</v>
      </c>
      <c r="E232" s="28">
        <f t="shared" si="174"/>
        <v>19</v>
      </c>
      <c r="G232" s="68">
        <f>INDEX(Others!$D$11:$E$60, MATCH(C232, Others!$A$11:$A$60, 0), MATCH(G$3, Others!$D$10:$E$10, 0))</f>
        <v>4.0690909090909111E-2</v>
      </c>
      <c r="H232" s="16">
        <f t="shared" si="175"/>
        <v>3.329265421250005E-3</v>
      </c>
      <c r="I232" s="69">
        <f t="shared" si="176"/>
        <v>0.47025132133152037</v>
      </c>
      <c r="K232" s="80">
        <f>INDEX(Mortality!$B$7:$F$32, MATCH( E232,Mortality!$A$7:$A$32, 0), MATCH( K$3,Mortality!$B$6:$F$6,0))</f>
        <v>0.42199999999999999</v>
      </c>
      <c r="L232" s="11" cm="1">
        <f t="array" ref="L232">PAD_Res_Mort</f>
        <v>0.15</v>
      </c>
      <c r="M232" s="80">
        <f t="shared" si="177"/>
        <v>0.48529999999999995</v>
      </c>
      <c r="N232" s="76">
        <f>INDEX('Myopia_(Reserve)'!$H:$H, MATCH(E232, 'Myopia_(Reserve)'!$A:$A, 0)) * Trend_Factor_Reserve^(A232)</f>
        <v>5.3646636359842574</v>
      </c>
      <c r="O232" s="11">
        <f t="shared" si="160"/>
        <v>0.3</v>
      </c>
      <c r="P232" s="80">
        <f t="shared" si="178"/>
        <v>6.9740627267795352</v>
      </c>
      <c r="Q232" s="76">
        <f>VLOOKUP(C232,Others!$L$10:$M$61,2)</f>
        <v>0</v>
      </c>
      <c r="R232" s="11">
        <f t="shared" si="161"/>
        <v>0</v>
      </c>
      <c r="S232" s="80">
        <f t="shared" si="179"/>
        <v>0</v>
      </c>
      <c r="T232" s="78">
        <f t="shared" si="180"/>
        <v>4.0441666666666663E-5</v>
      </c>
      <c r="U232" s="81">
        <f t="shared" si="181"/>
        <v>5.8117189389829459E-4</v>
      </c>
      <c r="V232" s="81">
        <f t="shared" si="182"/>
        <v>0</v>
      </c>
      <c r="W232" s="77">
        <f t="shared" si="162"/>
        <v>0.73877130409916336</v>
      </c>
      <c r="X232" s="82">
        <f t="shared" si="183"/>
        <v>2.9868460945437557E-5</v>
      </c>
      <c r="Y232" s="82">
        <f t="shared" si="184"/>
        <v>4.2934443608318423E-4</v>
      </c>
      <c r="Z232" s="82">
        <f t="shared" si="185"/>
        <v>0</v>
      </c>
      <c r="AA232" s="82">
        <f t="shared" si="186"/>
        <v>0.7383120912021347</v>
      </c>
      <c r="AC232" s="46">
        <f t="shared" si="163"/>
        <v>0</v>
      </c>
      <c r="AD232" s="15">
        <f t="shared" si="187"/>
        <v>0</v>
      </c>
      <c r="AE232" s="46">
        <f t="shared" si="188"/>
        <v>0</v>
      </c>
      <c r="AF232" s="15">
        <f t="shared" si="189"/>
        <v>0</v>
      </c>
      <c r="AG232" s="46">
        <f>SUMPRODUCT(AE233:AE$605, $I232:$I$604) / $I232</f>
        <v>0</v>
      </c>
      <c r="AI232" s="46">
        <f t="shared" si="164"/>
        <v>-47000</v>
      </c>
      <c r="AJ232" s="46">
        <f>IF(E232&gt;Mat_Year,0,  -SUM($AD$5:AD232))</f>
        <v>-9306</v>
      </c>
      <c r="AK232" s="24">
        <f t="shared" si="190"/>
        <v>-0.2779558975582419</v>
      </c>
      <c r="AL232" s="79">
        <f t="shared" si="191"/>
        <v>-20.17918849590966</v>
      </c>
      <c r="AM232" s="24">
        <f t="shared" si="192"/>
        <v>-27.690767467494911</v>
      </c>
      <c r="AN232" s="79">
        <f t="shared" si="193"/>
        <v>-20.457144393467903</v>
      </c>
      <c r="AO232" s="15">
        <f t="shared" si="194"/>
        <v>-478.6580886267659</v>
      </c>
      <c r="AP232" s="46">
        <f>SUMPRODUCT(AN233:AN$605, $I233:$I$605) / $I232</f>
        <v>-353.61886035240877</v>
      </c>
      <c r="AR232" s="46">
        <v>0</v>
      </c>
      <c r="AS232" s="46">
        <v>0</v>
      </c>
      <c r="AT232" s="46">
        <v>0</v>
      </c>
      <c r="AU232" s="95">
        <f t="shared" si="165"/>
        <v>-2.7024153893771103</v>
      </c>
      <c r="AV232" s="47">
        <f t="shared" si="166"/>
        <v>0.1</v>
      </c>
      <c r="AW232" s="96">
        <f t="shared" si="195"/>
        <v>-2.9726569283148216</v>
      </c>
      <c r="AX232" s="95">
        <f t="shared" si="167"/>
        <v>-30.987696464857528</v>
      </c>
      <c r="AY232" s="11">
        <f t="shared" si="168"/>
        <v>0.1</v>
      </c>
      <c r="AZ232" s="96">
        <f t="shared" si="196"/>
        <v>-34.086466111343285</v>
      </c>
      <c r="BA232" s="95">
        <f t="shared" si="197"/>
        <v>-2.1961136355705539</v>
      </c>
      <c r="BB232" s="64">
        <f t="shared" si="198"/>
        <v>-1.5652944852457887E-2</v>
      </c>
      <c r="BC232" s="95">
        <f t="shared" si="210"/>
        <v>-2.9726569283148216</v>
      </c>
      <c r="BD232" s="96">
        <f t="shared" si="210"/>
        <v>-2.1187808413247237E-2</v>
      </c>
      <c r="BE232" s="96">
        <f t="shared" si="199"/>
        <v>-2.1961136355705539</v>
      </c>
      <c r="BF232" s="96">
        <f t="shared" si="200"/>
        <v>-1.5652944852457887E-2</v>
      </c>
      <c r="BG232" s="15">
        <f t="shared" si="201"/>
        <v>-53.047286456010106</v>
      </c>
      <c r="BH232" s="46">
        <f>(SUMPRODUCT(BE233:BE$605,$I232:$I$604)+SUMPRODUCT(BF233:BF$605,$I233:$I$605)) / $I232</f>
        <v>-39.189812994028472</v>
      </c>
      <c r="BJ232" s="46">
        <f t="shared" si="202"/>
        <v>-2.1961136355705539</v>
      </c>
      <c r="BK232" s="46">
        <f t="shared" si="203"/>
        <v>-20.472797338320362</v>
      </c>
      <c r="BM232" s="49">
        <f t="shared" si="169"/>
        <v>532.036083422199</v>
      </c>
      <c r="BN232" s="50">
        <f t="shared" si="204"/>
        <v>392.8086733464371</v>
      </c>
      <c r="BP232" s="68">
        <f>INDEX(Others!$H$11:$I$60, MATCH(C232, Others!$A$11:$A$60, 0), MATCH(BP$3, Others!$H$10:$I$10, 0))</f>
        <v>3.0518181818181833E-2</v>
      </c>
      <c r="BQ232" s="16">
        <f t="shared" si="205"/>
        <v>2.5082875760633616E-3</v>
      </c>
      <c r="BR232" s="69">
        <f t="shared" si="206"/>
        <v>0.56623483932710816</v>
      </c>
      <c r="BT232" s="46">
        <f t="shared" si="207"/>
        <v>395.81118418113272</v>
      </c>
      <c r="BU232" s="49">
        <f t="shared" si="170"/>
        <v>4.0667230978255606</v>
      </c>
      <c r="BV232" s="46">
        <f t="shared" si="208"/>
        <v>3.0025108346956131</v>
      </c>
      <c r="BX232" s="46">
        <f t="shared" si="209"/>
        <v>536.10280652002461</v>
      </c>
    </row>
    <row r="233" spans="1:76" x14ac:dyDescent="0.25">
      <c r="A233" s="61">
        <f t="shared" si="159"/>
        <v>19</v>
      </c>
      <c r="B233" s="32">
        <f t="shared" si="171"/>
        <v>12</v>
      </c>
      <c r="C233" s="62">
        <f t="shared" si="172"/>
        <v>19</v>
      </c>
      <c r="D233" s="64">
        <f t="shared" si="173"/>
        <v>19.5</v>
      </c>
      <c r="E233" s="28">
        <f t="shared" si="174"/>
        <v>19</v>
      </c>
      <c r="G233" s="68">
        <f>INDEX(Others!$D$11:$E$60, MATCH(C233, Others!$A$11:$A$60, 0), MATCH(G$3, Others!$D$10:$E$10, 0))</f>
        <v>4.0690909090909111E-2</v>
      </c>
      <c r="H233" s="16">
        <f t="shared" si="175"/>
        <v>3.329265421250005E-3</v>
      </c>
      <c r="I233" s="69">
        <f t="shared" si="176"/>
        <v>0.4686909248421896</v>
      </c>
      <c r="K233" s="80">
        <f>INDEX(Mortality!$B$7:$F$32, MATCH( E233,Mortality!$A$7:$A$32, 0), MATCH( K$3,Mortality!$B$6:$F$6,0))</f>
        <v>0.42199999999999999</v>
      </c>
      <c r="L233" s="11" cm="1">
        <f t="array" ref="L233">PAD_Res_Mort</f>
        <v>0.15</v>
      </c>
      <c r="M233" s="80">
        <f t="shared" si="177"/>
        <v>0.48529999999999995</v>
      </c>
      <c r="N233" s="76">
        <f>INDEX('Myopia_(Reserve)'!$H:$H, MATCH(E233, 'Myopia_(Reserve)'!$A:$A, 0)) * Trend_Factor_Reserve^(A233)</f>
        <v>5.3646636359842574</v>
      </c>
      <c r="O233" s="11">
        <f t="shared" si="160"/>
        <v>0.3</v>
      </c>
      <c r="P233" s="80">
        <f t="shared" si="178"/>
        <v>6.9740627267795352</v>
      </c>
      <c r="Q233" s="76">
        <f>VLOOKUP(C233,Others!$L$10:$M$61,2)</f>
        <v>0</v>
      </c>
      <c r="R233" s="11">
        <f t="shared" si="161"/>
        <v>0</v>
      </c>
      <c r="S233" s="80">
        <f t="shared" si="179"/>
        <v>0</v>
      </c>
      <c r="T233" s="78">
        <f t="shared" si="180"/>
        <v>4.0441666666666663E-5</v>
      </c>
      <c r="U233" s="81">
        <f t="shared" si="181"/>
        <v>5.8117189389829459E-4</v>
      </c>
      <c r="V233" s="81">
        <f t="shared" si="182"/>
        <v>0</v>
      </c>
      <c r="W233" s="77">
        <f t="shared" si="162"/>
        <v>0.7383120912021347</v>
      </c>
      <c r="X233" s="82">
        <f t="shared" si="183"/>
        <v>2.9849895007095832E-5</v>
      </c>
      <c r="Y233" s="82">
        <f t="shared" si="184"/>
        <v>4.2907755985068451E-4</v>
      </c>
      <c r="Z233" s="82">
        <f t="shared" si="185"/>
        <v>0</v>
      </c>
      <c r="AA233" s="82">
        <f t="shared" si="186"/>
        <v>0.73785316374727694</v>
      </c>
      <c r="AC233" s="46">
        <f t="shared" si="163"/>
        <v>0</v>
      </c>
      <c r="AD233" s="15">
        <f t="shared" si="187"/>
        <v>0</v>
      </c>
      <c r="AE233" s="46">
        <f t="shared" si="188"/>
        <v>0</v>
      </c>
      <c r="AF233" s="15">
        <f t="shared" si="189"/>
        <v>0</v>
      </c>
      <c r="AG233" s="46">
        <f>SUMPRODUCT(AE234:AE$605, $I233:$I$604) / $I233</f>
        <v>0</v>
      </c>
      <c r="AI233" s="46">
        <f t="shared" si="164"/>
        <v>-47000</v>
      </c>
      <c r="AJ233" s="46">
        <f>IF(E233&gt;Mat_Year,0,  -SUM($AD$5:AD233))</f>
        <v>-9306</v>
      </c>
      <c r="AK233" s="24">
        <f t="shared" si="190"/>
        <v>-0.2777831229360338</v>
      </c>
      <c r="AL233" s="79">
        <f t="shared" si="191"/>
        <v>-20.166645312982173</v>
      </c>
      <c r="AM233" s="24">
        <f t="shared" si="192"/>
        <v>-27.690767467494908</v>
      </c>
      <c r="AN233" s="79">
        <f t="shared" si="193"/>
        <v>-20.444428435918205</v>
      </c>
      <c r="AO233" s="15">
        <f t="shared" si="194"/>
        <v>-452.85960631657184</v>
      </c>
      <c r="AP233" s="46">
        <f>SUMPRODUCT(AN234:AN$605, $I234:$I$605) / $I233</f>
        <v>-334.35172296056362</v>
      </c>
      <c r="AR233" s="46">
        <v>0</v>
      </c>
      <c r="AS233" s="46">
        <v>0</v>
      </c>
      <c r="AT233" s="46">
        <v>0</v>
      </c>
      <c r="AU233" s="95">
        <f t="shared" si="165"/>
        <v>-2.7076514592035554</v>
      </c>
      <c r="AV233" s="47">
        <f t="shared" si="166"/>
        <v>0.1</v>
      </c>
      <c r="AW233" s="96">
        <f t="shared" si="195"/>
        <v>-2.9784166051239112</v>
      </c>
      <c r="AX233" s="95">
        <f t="shared" si="167"/>
        <v>-31.047736732200764</v>
      </c>
      <c r="AY233" s="11">
        <f t="shared" si="168"/>
        <v>0.1</v>
      </c>
      <c r="AZ233" s="96">
        <f t="shared" si="196"/>
        <v>-34.152510405420841</v>
      </c>
      <c r="BA233" s="95">
        <f t="shared" si="197"/>
        <v>-2.1990009922001974</v>
      </c>
      <c r="BB233" s="64">
        <f t="shared" si="198"/>
        <v>-1.5673524677363646E-2</v>
      </c>
      <c r="BC233" s="95">
        <f t="shared" si="210"/>
        <v>-2.9784166051239112</v>
      </c>
      <c r="BD233" s="96">
        <f t="shared" si="210"/>
        <v>-2.1228860889767762E-2</v>
      </c>
      <c r="BE233" s="96">
        <f t="shared" si="199"/>
        <v>-2.1990009922001974</v>
      </c>
      <c r="BF233" s="96">
        <f t="shared" si="200"/>
        <v>-1.5673524677363646E-2</v>
      </c>
      <c r="BG233" s="15">
        <f t="shared" si="201"/>
        <v>-50.247437568099912</v>
      </c>
      <c r="BH233" s="46">
        <f>(SUMPRODUCT(BE234:BE$605,$I233:$I$604)+SUMPRODUCT(BF234:BF$605,$I234:$I$605)) / $I233</f>
        <v>-37.098290708452552</v>
      </c>
      <c r="BJ233" s="46">
        <f t="shared" si="202"/>
        <v>-2.1990009922001974</v>
      </c>
      <c r="BK233" s="46">
        <f t="shared" si="203"/>
        <v>-20.460101960595569</v>
      </c>
      <c r="BM233" s="49">
        <f t="shared" si="169"/>
        <v>503.41996472924518</v>
      </c>
      <c r="BN233" s="50">
        <f t="shared" si="204"/>
        <v>371.45001366901613</v>
      </c>
      <c r="BP233" s="68">
        <f>INDEX(Others!$H$11:$I$60, MATCH(C233, Others!$A$11:$A$60, 0), MATCH(BP$3, Others!$H$10:$I$10, 0))</f>
        <v>3.0518181818181833E-2</v>
      </c>
      <c r="BQ233" s="16">
        <f t="shared" si="205"/>
        <v>2.5082875760633616E-3</v>
      </c>
      <c r="BR233" s="69">
        <f t="shared" si="206"/>
        <v>0.56481811307135577</v>
      </c>
      <c r="BT233" s="46">
        <f t="shared" si="207"/>
        <v>374.13937377721697</v>
      </c>
      <c r="BU233" s="49">
        <f t="shared" si="170"/>
        <v>3.6448445847173745</v>
      </c>
      <c r="BV233" s="46">
        <f t="shared" si="208"/>
        <v>2.6893601082008445</v>
      </c>
      <c r="BX233" s="46">
        <f t="shared" si="209"/>
        <v>507.06480931396254</v>
      </c>
    </row>
    <row r="234" spans="1:76" x14ac:dyDescent="0.25">
      <c r="A234" s="61">
        <f t="shared" si="159"/>
        <v>19.083333333333332</v>
      </c>
      <c r="B234" s="32">
        <f t="shared" si="171"/>
        <v>1</v>
      </c>
      <c r="C234" s="62">
        <f t="shared" si="172"/>
        <v>20</v>
      </c>
      <c r="D234" s="64">
        <f t="shared" si="173"/>
        <v>19.583333333333332</v>
      </c>
      <c r="E234" s="28">
        <f t="shared" si="174"/>
        <v>19</v>
      </c>
      <c r="G234" s="68">
        <f>INDEX(Others!$D$11:$E$60, MATCH(C234, Others!$A$11:$A$60, 0), MATCH(G$3, Others!$D$10:$E$10, 0))</f>
        <v>4.0690909090909333E-2</v>
      </c>
      <c r="H234" s="16">
        <f t="shared" si="175"/>
        <v>3.329265421250005E-3</v>
      </c>
      <c r="I234" s="69">
        <f t="shared" si="176"/>
        <v>0.46713570608887672</v>
      </c>
      <c r="K234" s="80">
        <f>INDEX(Mortality!$B$7:$F$32, MATCH( E234,Mortality!$A$7:$A$32, 0), MATCH( K$3,Mortality!$B$6:$F$6,0))</f>
        <v>0.42199999999999999</v>
      </c>
      <c r="L234" s="11" cm="1">
        <f t="array" ref="L234">PAD_Res_Mort</f>
        <v>0.15</v>
      </c>
      <c r="M234" s="80">
        <f t="shared" si="177"/>
        <v>0.48529999999999995</v>
      </c>
      <c r="N234" s="76">
        <f>INDEX('Myopia_(Reserve)'!$H:$H, MATCH(E234, 'Myopia_(Reserve)'!$A:$A, 0)) * Trend_Factor_Reserve^(A234)</f>
        <v>5.3646636359842574</v>
      </c>
      <c r="O234" s="11">
        <f t="shared" si="160"/>
        <v>0.3</v>
      </c>
      <c r="P234" s="80">
        <f t="shared" si="178"/>
        <v>6.9740627267795352</v>
      </c>
      <c r="Q234" s="76">
        <f>VLOOKUP(C234,Others!$L$10:$M$61,2)</f>
        <v>0</v>
      </c>
      <c r="R234" s="11">
        <f t="shared" si="161"/>
        <v>0</v>
      </c>
      <c r="S234" s="80">
        <f t="shared" si="179"/>
        <v>0</v>
      </c>
      <c r="T234" s="78">
        <f t="shared" si="180"/>
        <v>4.0441666666666663E-5</v>
      </c>
      <c r="U234" s="81">
        <f t="shared" si="181"/>
        <v>5.8117189389829459E-4</v>
      </c>
      <c r="V234" s="81">
        <f t="shared" si="182"/>
        <v>0</v>
      </c>
      <c r="W234" s="77">
        <f t="shared" si="162"/>
        <v>0.73785316374727694</v>
      </c>
      <c r="X234" s="82">
        <f t="shared" si="183"/>
        <v>2.9831340609156778E-5</v>
      </c>
      <c r="Y234" s="82">
        <f t="shared" si="184"/>
        <v>4.2881084950579742E-4</v>
      </c>
      <c r="Z234" s="82">
        <f t="shared" si="185"/>
        <v>0</v>
      </c>
      <c r="AA234" s="82">
        <f t="shared" si="186"/>
        <v>0.73739452155716201</v>
      </c>
      <c r="AC234" s="46">
        <f t="shared" si="163"/>
        <v>0</v>
      </c>
      <c r="AD234" s="15">
        <f t="shared" si="187"/>
        <v>0</v>
      </c>
      <c r="AE234" s="46">
        <f t="shared" si="188"/>
        <v>0</v>
      </c>
      <c r="AF234" s="15">
        <f t="shared" si="189"/>
        <v>0</v>
      </c>
      <c r="AG234" s="46">
        <f>SUMPRODUCT(AE235:AE$605, $I234:$I$604) / $I234</f>
        <v>0</v>
      </c>
      <c r="AI234" s="46">
        <f t="shared" si="164"/>
        <v>-47000</v>
      </c>
      <c r="AJ234" s="46">
        <f>IF(E234&gt;Mat_Year,0,  -SUM($AD$5:AD234))</f>
        <v>-9306</v>
      </c>
      <c r="AK234" s="24">
        <f t="shared" si="190"/>
        <v>-0.27761045570881299</v>
      </c>
      <c r="AL234" s="79">
        <f t="shared" si="191"/>
        <v>-20.154109926772477</v>
      </c>
      <c r="AM234" s="24">
        <f t="shared" si="192"/>
        <v>-27.690767467494911</v>
      </c>
      <c r="AN234" s="79">
        <f t="shared" si="193"/>
        <v>-20.431720382481291</v>
      </c>
      <c r="AO234" s="15">
        <f t="shared" si="194"/>
        <v>-426.95913453557097</v>
      </c>
      <c r="AP234" s="46">
        <f>SUMPRODUCT(AN235:AN$605, $I235:$I$605) / $I234</f>
        <v>-315.03314820787028</v>
      </c>
      <c r="AR234" s="46">
        <v>0</v>
      </c>
      <c r="AS234" s="46">
        <v>0</v>
      </c>
      <c r="AT234" s="46">
        <v>0</v>
      </c>
      <c r="AU234" s="95">
        <f t="shared" si="165"/>
        <v>-2.7128976741865638</v>
      </c>
      <c r="AV234" s="47">
        <f t="shared" si="166"/>
        <v>0.1</v>
      </c>
      <c r="AW234" s="96">
        <f t="shared" si="195"/>
        <v>-2.9841874416052203</v>
      </c>
      <c r="AX234" s="95">
        <f t="shared" si="167"/>
        <v>-31.107893330672596</v>
      </c>
      <c r="AY234" s="11">
        <f t="shared" si="168"/>
        <v>0.1</v>
      </c>
      <c r="AZ234" s="96">
        <f t="shared" si="196"/>
        <v>-34.218682663739855</v>
      </c>
      <c r="BA234" s="95">
        <f t="shared" si="197"/>
        <v>-2.201892145003304</v>
      </c>
      <c r="BB234" s="64">
        <f t="shared" si="198"/>
        <v>-1.5694131559746263E-2</v>
      </c>
      <c r="BC234" s="95">
        <f t="shared" si="210"/>
        <v>-2.9841874416052203</v>
      </c>
      <c r="BD234" s="96">
        <f t="shared" si="210"/>
        <v>-2.1269992907588426E-2</v>
      </c>
      <c r="BE234" s="96">
        <f t="shared" si="199"/>
        <v>-2.201892145003304</v>
      </c>
      <c r="BF234" s="96">
        <f t="shared" si="200"/>
        <v>-1.5694131559746263E-2</v>
      </c>
      <c r="BG234" s="15">
        <f t="shared" si="201"/>
        <v>-47.430688820546656</v>
      </c>
      <c r="BH234" s="46">
        <f>(SUMPRODUCT(BE235:BE$605,$I234:$I$604)+SUMPRODUCT(BF235:BF$605,$I235:$I$605)) / $I234</f>
        <v>-34.996883804952951</v>
      </c>
      <c r="BJ234" s="46">
        <f t="shared" si="202"/>
        <v>-2.201892145003304</v>
      </c>
      <c r="BK234" s="46">
        <f t="shared" si="203"/>
        <v>-20.447414514041039</v>
      </c>
      <c r="BM234" s="49">
        <f t="shared" si="169"/>
        <v>474.68488275945145</v>
      </c>
      <c r="BN234" s="50">
        <f t="shared" si="204"/>
        <v>350.03003201282326</v>
      </c>
      <c r="BP234" s="68">
        <f>INDEX(Others!$H$11:$I$60, MATCH(C234, Others!$A$11:$A$60, 0), MATCH(BP$3, Others!$H$10:$I$10, 0))</f>
        <v>3.0518181818182E-2</v>
      </c>
      <c r="BQ234" s="16">
        <f t="shared" si="205"/>
        <v>2.5082875760633616E-3</v>
      </c>
      <c r="BR234" s="69">
        <f t="shared" si="206"/>
        <v>0.56340493148142812</v>
      </c>
      <c r="BT234" s="46">
        <f t="shared" si="207"/>
        <v>352.42299328242302</v>
      </c>
      <c r="BU234" s="49">
        <f t="shared" si="170"/>
        <v>3.2451573745713902</v>
      </c>
      <c r="BV234" s="46">
        <f t="shared" si="208"/>
        <v>2.3929612695997662</v>
      </c>
      <c r="BX234" s="46">
        <f t="shared" si="209"/>
        <v>477.93004013402282</v>
      </c>
    </row>
    <row r="235" spans="1:76" x14ac:dyDescent="0.25">
      <c r="A235" s="61">
        <f t="shared" si="159"/>
        <v>19.166666666666664</v>
      </c>
      <c r="B235" s="32">
        <f t="shared" si="171"/>
        <v>2</v>
      </c>
      <c r="C235" s="62">
        <f t="shared" si="172"/>
        <v>20</v>
      </c>
      <c r="D235" s="64">
        <f t="shared" si="173"/>
        <v>19.666666666666664</v>
      </c>
      <c r="E235" s="28">
        <f t="shared" si="174"/>
        <v>19</v>
      </c>
      <c r="G235" s="68">
        <f>INDEX(Others!$D$11:$E$60, MATCH(C235, Others!$A$11:$A$60, 0), MATCH(G$3, Others!$D$10:$E$10, 0))</f>
        <v>4.0690909090909333E-2</v>
      </c>
      <c r="H235" s="16">
        <f t="shared" si="175"/>
        <v>3.329265421250005E-3</v>
      </c>
      <c r="I235" s="69">
        <f t="shared" si="176"/>
        <v>0.46558564789072387</v>
      </c>
      <c r="K235" s="80">
        <f>INDEX(Mortality!$B$7:$F$32, MATCH( E235,Mortality!$A$7:$A$32, 0), MATCH( K$3,Mortality!$B$6:$F$6,0))</f>
        <v>0.42199999999999999</v>
      </c>
      <c r="L235" s="11" cm="1">
        <f t="array" ref="L235">PAD_Res_Mort</f>
        <v>0.15</v>
      </c>
      <c r="M235" s="80">
        <f t="shared" si="177"/>
        <v>0.48529999999999995</v>
      </c>
      <c r="N235" s="76">
        <f>INDEX('Myopia_(Reserve)'!$H:$H, MATCH(E235, 'Myopia_(Reserve)'!$A:$A, 0)) * Trend_Factor_Reserve^(A235)</f>
        <v>5.3646636359842574</v>
      </c>
      <c r="O235" s="11">
        <f t="shared" si="160"/>
        <v>0.3</v>
      </c>
      <c r="P235" s="80">
        <f t="shared" si="178"/>
        <v>6.9740627267795352</v>
      </c>
      <c r="Q235" s="76">
        <f>VLOOKUP(C235,Others!$L$10:$M$61,2)</f>
        <v>0</v>
      </c>
      <c r="R235" s="11">
        <f t="shared" si="161"/>
        <v>0</v>
      </c>
      <c r="S235" s="80">
        <f t="shared" si="179"/>
        <v>0</v>
      </c>
      <c r="T235" s="78">
        <f t="shared" si="180"/>
        <v>4.0441666666666663E-5</v>
      </c>
      <c r="U235" s="81">
        <f t="shared" si="181"/>
        <v>5.8117189389829459E-4</v>
      </c>
      <c r="V235" s="81">
        <f t="shared" si="182"/>
        <v>0</v>
      </c>
      <c r="W235" s="77">
        <f t="shared" si="162"/>
        <v>0.73739452155716201</v>
      </c>
      <c r="X235" s="82">
        <f t="shared" si="183"/>
        <v>2.9812797744447E-5</v>
      </c>
      <c r="Y235" s="82">
        <f t="shared" si="184"/>
        <v>4.2854430494540876E-4</v>
      </c>
      <c r="Z235" s="82">
        <f t="shared" si="185"/>
        <v>0</v>
      </c>
      <c r="AA235" s="82">
        <f t="shared" si="186"/>
        <v>0.73693616445447219</v>
      </c>
      <c r="AC235" s="46">
        <f t="shared" si="163"/>
        <v>0</v>
      </c>
      <c r="AD235" s="15">
        <f t="shared" si="187"/>
        <v>0</v>
      </c>
      <c r="AE235" s="46">
        <f t="shared" si="188"/>
        <v>0</v>
      </c>
      <c r="AF235" s="15">
        <f t="shared" si="189"/>
        <v>0</v>
      </c>
      <c r="AG235" s="46">
        <f>SUMPRODUCT(AE236:AE$605, $I235:$I$604) / $I235</f>
        <v>0</v>
      </c>
      <c r="AI235" s="46">
        <f t="shared" si="164"/>
        <v>-47000</v>
      </c>
      <c r="AJ235" s="46">
        <f>IF(E235&gt;Mat_Year,0,  -SUM($AD$5:AD235))</f>
        <v>-9306</v>
      </c>
      <c r="AK235" s="24">
        <f t="shared" si="190"/>
        <v>-0.27743789580982381</v>
      </c>
      <c r="AL235" s="79">
        <f t="shared" si="191"/>
        <v>-20.141582332434211</v>
      </c>
      <c r="AM235" s="24">
        <f t="shared" si="192"/>
        <v>-27.690767467494911</v>
      </c>
      <c r="AN235" s="79">
        <f t="shared" si="193"/>
        <v>-20.419020228244037</v>
      </c>
      <c r="AO235" s="15">
        <f t="shared" si="194"/>
        <v>-400.9562700874809</v>
      </c>
      <c r="AP235" s="46">
        <f>SUMPRODUCT(AN236:AN$605, $I236:$I$605) / $I235</f>
        <v>-295.66295694650222</v>
      </c>
      <c r="AR235" s="46">
        <v>0</v>
      </c>
      <c r="AS235" s="46">
        <v>0</v>
      </c>
      <c r="AT235" s="46">
        <v>0</v>
      </c>
      <c r="AU235" s="95">
        <f t="shared" si="165"/>
        <v>-2.7181540539829045</v>
      </c>
      <c r="AV235" s="47">
        <f t="shared" si="166"/>
        <v>0.1</v>
      </c>
      <c r="AW235" s="96">
        <f t="shared" si="195"/>
        <v>-2.9899694593811952</v>
      </c>
      <c r="AX235" s="95">
        <f t="shared" si="167"/>
        <v>-31.168166485670636</v>
      </c>
      <c r="AY235" s="11">
        <f t="shared" si="168"/>
        <v>0.1</v>
      </c>
      <c r="AZ235" s="96">
        <f t="shared" si="196"/>
        <v>-34.284983134237699</v>
      </c>
      <c r="BA235" s="95">
        <f t="shared" si="197"/>
        <v>-2.2047870989709226</v>
      </c>
      <c r="BB235" s="64">
        <f t="shared" si="198"/>
        <v>-1.571476553517976E-2</v>
      </c>
      <c r="BC235" s="95">
        <f t="shared" si="210"/>
        <v>-2.9899694593811952</v>
      </c>
      <c r="BD235" s="96">
        <f t="shared" si="210"/>
        <v>-2.1311204620824632E-2</v>
      </c>
      <c r="BE235" s="96">
        <f t="shared" si="199"/>
        <v>-2.2047870989709226</v>
      </c>
      <c r="BF235" s="96">
        <f t="shared" si="200"/>
        <v>-1.571476553517976E-2</v>
      </c>
      <c r="BG235" s="15">
        <f t="shared" si="201"/>
        <v>-44.59696210470301</v>
      </c>
      <c r="BH235" s="46">
        <f>(SUMPRODUCT(BE236:BE$605,$I235:$I$604)+SUMPRODUCT(BF236:BF$605,$I236:$I$605)) / $I235</f>
        <v>-32.885555534100362</v>
      </c>
      <c r="BJ235" s="46">
        <f t="shared" si="202"/>
        <v>-2.2047870989709226</v>
      </c>
      <c r="BK235" s="46">
        <f t="shared" si="203"/>
        <v>-20.434734993779216</v>
      </c>
      <c r="BM235" s="49">
        <f t="shared" si="169"/>
        <v>445.83035590852762</v>
      </c>
      <c r="BN235" s="50">
        <f t="shared" si="204"/>
        <v>328.5485124806026</v>
      </c>
      <c r="BP235" s="68">
        <f>INDEX(Others!$H$11:$I$60, MATCH(C235, Others!$A$11:$A$60, 0), MATCH(BP$3, Others!$H$10:$I$10, 0))</f>
        <v>3.0518181818182E-2</v>
      </c>
      <c r="BQ235" s="16">
        <f t="shared" si="205"/>
        <v>2.5082875760633616E-3</v>
      </c>
      <c r="BR235" s="69">
        <f t="shared" si="206"/>
        <v>0.56199528568852941</v>
      </c>
      <c r="BT235" s="46">
        <f t="shared" si="207"/>
        <v>330.66191916515402</v>
      </c>
      <c r="BU235" s="49">
        <f t="shared" si="170"/>
        <v>2.8678287027966682</v>
      </c>
      <c r="BV235" s="46">
        <f t="shared" si="208"/>
        <v>2.1134066845514212</v>
      </c>
      <c r="BX235" s="46">
        <f t="shared" si="209"/>
        <v>448.69818461132428</v>
      </c>
    </row>
    <row r="236" spans="1:76" x14ac:dyDescent="0.25">
      <c r="A236" s="61">
        <f t="shared" si="159"/>
        <v>19.249999999999996</v>
      </c>
      <c r="B236" s="32">
        <f t="shared" si="171"/>
        <v>3</v>
      </c>
      <c r="C236" s="62">
        <f t="shared" si="172"/>
        <v>20</v>
      </c>
      <c r="D236" s="64">
        <f t="shared" si="173"/>
        <v>19.749999999999996</v>
      </c>
      <c r="E236" s="28">
        <f t="shared" si="174"/>
        <v>19</v>
      </c>
      <c r="G236" s="68">
        <f>INDEX(Others!$D$11:$E$60, MATCH(C236, Others!$A$11:$A$60, 0), MATCH(G$3, Others!$D$10:$E$10, 0))</f>
        <v>4.0690909090909333E-2</v>
      </c>
      <c r="H236" s="16">
        <f t="shared" si="175"/>
        <v>3.329265421250005E-3</v>
      </c>
      <c r="I236" s="69">
        <f t="shared" si="176"/>
        <v>0.46404073312388305</v>
      </c>
      <c r="K236" s="80">
        <f>INDEX(Mortality!$B$7:$F$32, MATCH( E236,Mortality!$A$7:$A$32, 0), MATCH( K$3,Mortality!$B$6:$F$6,0))</f>
        <v>0.42199999999999999</v>
      </c>
      <c r="L236" s="11" cm="1">
        <f t="array" ref="L236">PAD_Res_Mort</f>
        <v>0.15</v>
      </c>
      <c r="M236" s="80">
        <f t="shared" si="177"/>
        <v>0.48529999999999995</v>
      </c>
      <c r="N236" s="76">
        <f>INDEX('Myopia_(Reserve)'!$H:$H, MATCH(E236, 'Myopia_(Reserve)'!$A:$A, 0)) * Trend_Factor_Reserve^(A236)</f>
        <v>5.3646636359842574</v>
      </c>
      <c r="O236" s="11">
        <f t="shared" si="160"/>
        <v>0.3</v>
      </c>
      <c r="P236" s="80">
        <f t="shared" si="178"/>
        <v>6.9740627267795352</v>
      </c>
      <c r="Q236" s="76">
        <f>VLOOKUP(C236,Others!$L$10:$M$61,2)</f>
        <v>0</v>
      </c>
      <c r="R236" s="11">
        <f t="shared" si="161"/>
        <v>0</v>
      </c>
      <c r="S236" s="80">
        <f t="shared" si="179"/>
        <v>0</v>
      </c>
      <c r="T236" s="78">
        <f t="shared" si="180"/>
        <v>4.0441666666666663E-5</v>
      </c>
      <c r="U236" s="81">
        <f t="shared" si="181"/>
        <v>5.8117189389829459E-4</v>
      </c>
      <c r="V236" s="81">
        <f t="shared" si="182"/>
        <v>0</v>
      </c>
      <c r="W236" s="77">
        <f t="shared" si="162"/>
        <v>0.73693616445447219</v>
      </c>
      <c r="X236" s="82">
        <f t="shared" si="183"/>
        <v>2.9794266405797555E-5</v>
      </c>
      <c r="Y236" s="82">
        <f t="shared" si="184"/>
        <v>4.2827792606646865E-4</v>
      </c>
      <c r="Z236" s="82">
        <f t="shared" si="185"/>
        <v>0</v>
      </c>
      <c r="AA236" s="82">
        <f t="shared" si="186"/>
        <v>0.73647809226199989</v>
      </c>
      <c r="AC236" s="46">
        <f t="shared" si="163"/>
        <v>0</v>
      </c>
      <c r="AD236" s="15">
        <f t="shared" si="187"/>
        <v>0</v>
      </c>
      <c r="AE236" s="46">
        <f t="shared" si="188"/>
        <v>0</v>
      </c>
      <c r="AF236" s="15">
        <f t="shared" si="189"/>
        <v>0</v>
      </c>
      <c r="AG236" s="46">
        <f>SUMPRODUCT(AE237:AE$605, $I236:$I$604) / $I236</f>
        <v>0</v>
      </c>
      <c r="AI236" s="46">
        <f t="shared" si="164"/>
        <v>-47000</v>
      </c>
      <c r="AJ236" s="46">
        <f>IF(E236&gt;Mat_Year,0,  -SUM($AD$5:AD236))</f>
        <v>-9306</v>
      </c>
      <c r="AK236" s="24">
        <f t="shared" si="190"/>
        <v>-0.27726544317235202</v>
      </c>
      <c r="AL236" s="79">
        <f t="shared" si="191"/>
        <v>-20.129062525124027</v>
      </c>
      <c r="AM236" s="24">
        <f t="shared" si="192"/>
        <v>-27.690767467494915</v>
      </c>
      <c r="AN236" s="79">
        <f t="shared" si="193"/>
        <v>-20.406327968296381</v>
      </c>
      <c r="AO236" s="15">
        <f t="shared" si="194"/>
        <v>-374.85060818205847</v>
      </c>
      <c r="AP236" s="46">
        <f>SUMPRODUCT(AN237:AN$605, $I237:$I$605) / $I236</f>
        <v>-276.24096943711237</v>
      </c>
      <c r="AR236" s="46">
        <v>0</v>
      </c>
      <c r="AS236" s="46">
        <v>0</v>
      </c>
      <c r="AT236" s="46">
        <v>0</v>
      </c>
      <c r="AU236" s="95">
        <f t="shared" si="165"/>
        <v>-2.7234206182874283</v>
      </c>
      <c r="AV236" s="47">
        <f t="shared" si="166"/>
        <v>0.1</v>
      </c>
      <c r="AW236" s="96">
        <f t="shared" si="195"/>
        <v>-2.9957626801161714</v>
      </c>
      <c r="AX236" s="95">
        <f t="shared" si="167"/>
        <v>-31.228556423029175</v>
      </c>
      <c r="AY236" s="11">
        <f t="shared" si="168"/>
        <v>0.1</v>
      </c>
      <c r="AZ236" s="96">
        <f t="shared" si="196"/>
        <v>-34.351412065332099</v>
      </c>
      <c r="BA236" s="95">
        <f t="shared" si="197"/>
        <v>-2.2076858591006614</v>
      </c>
      <c r="BB236" s="64">
        <f t="shared" si="198"/>
        <v>-1.5735426639284934E-2</v>
      </c>
      <c r="BC236" s="95">
        <f t="shared" si="210"/>
        <v>-2.9957626801161714</v>
      </c>
      <c r="BD236" s="96">
        <f t="shared" si="210"/>
        <v>-2.1352496183890384E-2</v>
      </c>
      <c r="BE236" s="96">
        <f t="shared" si="199"/>
        <v>-2.2076858591006614</v>
      </c>
      <c r="BF236" s="96">
        <f t="shared" si="200"/>
        <v>-1.5735426639284934E-2</v>
      </c>
      <c r="BG236" s="15">
        <f t="shared" si="201"/>
        <v>-41.746178981242842</v>
      </c>
      <c r="BH236" s="46">
        <f>(SUMPRODUCT(BE237:BE$605,$I236:$I$604)+SUMPRODUCT(BF237:BF$605,$I237:$I$605)) / $I236</f>
        <v>-30.764269019067005</v>
      </c>
      <c r="BJ236" s="46">
        <f t="shared" si="202"/>
        <v>-2.2076858591006614</v>
      </c>
      <c r="BK236" s="46">
        <f t="shared" si="203"/>
        <v>-20.422063394935666</v>
      </c>
      <c r="BM236" s="49">
        <f t="shared" si="169"/>
        <v>416.85590064634692</v>
      </c>
      <c r="BN236" s="50">
        <f t="shared" si="204"/>
        <v>307.00523845617937</v>
      </c>
      <c r="BP236" s="68">
        <f>INDEX(Others!$H$11:$I$60, MATCH(C236, Others!$A$11:$A$60, 0), MATCH(BP$3, Others!$H$10:$I$10, 0))</f>
        <v>3.0518181818182E-2</v>
      </c>
      <c r="BQ236" s="16">
        <f t="shared" si="205"/>
        <v>2.5082875760633616E-3</v>
      </c>
      <c r="BR236" s="69">
        <f t="shared" si="206"/>
        <v>0.56058916684605375</v>
      </c>
      <c r="BT236" s="46">
        <f t="shared" si="207"/>
        <v>308.8560275838247</v>
      </c>
      <c r="BU236" s="49">
        <f t="shared" si="170"/>
        <v>2.5130267242041944</v>
      </c>
      <c r="BV236" s="46">
        <f t="shared" si="208"/>
        <v>1.8507891276453279</v>
      </c>
      <c r="BX236" s="46">
        <f t="shared" si="209"/>
        <v>419.36892737055109</v>
      </c>
    </row>
    <row r="237" spans="1:76" x14ac:dyDescent="0.25">
      <c r="A237" s="61">
        <f t="shared" si="159"/>
        <v>19.333333333333329</v>
      </c>
      <c r="B237" s="32">
        <f t="shared" si="171"/>
        <v>4</v>
      </c>
      <c r="C237" s="62">
        <f t="shared" si="172"/>
        <v>20</v>
      </c>
      <c r="D237" s="64">
        <f t="shared" si="173"/>
        <v>19.833333333333329</v>
      </c>
      <c r="E237" s="28">
        <f t="shared" si="174"/>
        <v>19</v>
      </c>
      <c r="G237" s="68">
        <f>INDEX(Others!$D$11:$E$60, MATCH(C237, Others!$A$11:$A$60, 0), MATCH(G$3, Others!$D$10:$E$10, 0))</f>
        <v>4.0690909090909333E-2</v>
      </c>
      <c r="H237" s="16">
        <f t="shared" si="175"/>
        <v>3.329265421250005E-3</v>
      </c>
      <c r="I237" s="69">
        <f t="shared" si="176"/>
        <v>0.46250094472132686</v>
      </c>
      <c r="K237" s="80">
        <f>INDEX(Mortality!$B$7:$F$32, MATCH( E237,Mortality!$A$7:$A$32, 0), MATCH( K$3,Mortality!$B$6:$F$6,0))</f>
        <v>0.42199999999999999</v>
      </c>
      <c r="L237" s="11" cm="1">
        <f t="array" ref="L237">PAD_Res_Mort</f>
        <v>0.15</v>
      </c>
      <c r="M237" s="80">
        <f t="shared" si="177"/>
        <v>0.48529999999999995</v>
      </c>
      <c r="N237" s="76">
        <f>INDEX('Myopia_(Reserve)'!$H:$H, MATCH(E237, 'Myopia_(Reserve)'!$A:$A, 0)) * Trend_Factor_Reserve^(A237)</f>
        <v>5.3646636359842574</v>
      </c>
      <c r="O237" s="11">
        <f t="shared" si="160"/>
        <v>0.3</v>
      </c>
      <c r="P237" s="80">
        <f t="shared" si="178"/>
        <v>6.9740627267795352</v>
      </c>
      <c r="Q237" s="76">
        <f>VLOOKUP(C237,Others!$L$10:$M$61,2)</f>
        <v>0</v>
      </c>
      <c r="R237" s="11">
        <f t="shared" si="161"/>
        <v>0</v>
      </c>
      <c r="S237" s="80">
        <f t="shared" si="179"/>
        <v>0</v>
      </c>
      <c r="T237" s="78">
        <f t="shared" si="180"/>
        <v>4.0441666666666663E-5</v>
      </c>
      <c r="U237" s="81">
        <f t="shared" si="181"/>
        <v>5.8117189389829459E-4</v>
      </c>
      <c r="V237" s="81">
        <f t="shared" si="182"/>
        <v>0</v>
      </c>
      <c r="W237" s="77">
        <f t="shared" si="162"/>
        <v>0.73647809226199989</v>
      </c>
      <c r="X237" s="82">
        <f t="shared" si="183"/>
        <v>2.9775746586043952E-5</v>
      </c>
      <c r="Y237" s="82">
        <f t="shared" si="184"/>
        <v>4.2801171276599104E-4</v>
      </c>
      <c r="Z237" s="82">
        <f t="shared" si="185"/>
        <v>0</v>
      </c>
      <c r="AA237" s="82">
        <f t="shared" si="186"/>
        <v>0.73602030480264791</v>
      </c>
      <c r="AC237" s="46">
        <f t="shared" si="163"/>
        <v>0</v>
      </c>
      <c r="AD237" s="15">
        <f t="shared" si="187"/>
        <v>0</v>
      </c>
      <c r="AE237" s="46">
        <f t="shared" si="188"/>
        <v>0</v>
      </c>
      <c r="AF237" s="15">
        <f t="shared" si="189"/>
        <v>0</v>
      </c>
      <c r="AG237" s="46">
        <f>SUMPRODUCT(AE238:AE$605, $I237:$I$604) / $I237</f>
        <v>0</v>
      </c>
      <c r="AI237" s="46">
        <f t="shared" si="164"/>
        <v>-47000</v>
      </c>
      <c r="AJ237" s="46">
        <f>IF(E237&gt;Mat_Year,0,  -SUM($AD$5:AD237))</f>
        <v>-9306</v>
      </c>
      <c r="AK237" s="24">
        <f t="shared" si="190"/>
        <v>-0.27709309772972501</v>
      </c>
      <c r="AL237" s="79">
        <f t="shared" si="191"/>
        <v>-20.11655050000158</v>
      </c>
      <c r="AM237" s="24">
        <f t="shared" si="192"/>
        <v>-27.690767467494915</v>
      </c>
      <c r="AN237" s="79">
        <f t="shared" si="193"/>
        <v>-20.393643597731305</v>
      </c>
      <c r="AO237" s="15">
        <f t="shared" si="194"/>
        <v>-348.6417424287979</v>
      </c>
      <c r="AP237" s="46">
        <f>SUMPRODUCT(AN238:AN$605, $I238:$I$605) / $I237</f>
        <v>-256.76700534686063</v>
      </c>
      <c r="AR237" s="46">
        <v>0</v>
      </c>
      <c r="AS237" s="46">
        <v>0</v>
      </c>
      <c r="AT237" s="46">
        <v>0</v>
      </c>
      <c r="AU237" s="95">
        <f t="shared" si="165"/>
        <v>-2.7286973868331477</v>
      </c>
      <c r="AV237" s="47">
        <f t="shared" si="166"/>
        <v>0.1</v>
      </c>
      <c r="AW237" s="96">
        <f t="shared" si="195"/>
        <v>-3.0015671255164627</v>
      </c>
      <c r="AX237" s="95">
        <f t="shared" si="167"/>
        <v>-31.289063369020088</v>
      </c>
      <c r="AY237" s="11">
        <f t="shared" si="168"/>
        <v>0.1</v>
      </c>
      <c r="AZ237" s="96">
        <f t="shared" si="196"/>
        <v>-34.417969705922097</v>
      </c>
      <c r="BA237" s="95">
        <f t="shared" si="197"/>
        <v>-2.2105884303966992</v>
      </c>
      <c r="BB237" s="64">
        <f t="shared" si="198"/>
        <v>-1.5756114907729383E-2</v>
      </c>
      <c r="BC237" s="95">
        <f t="shared" si="210"/>
        <v>-3.0015671255164627</v>
      </c>
      <c r="BD237" s="96">
        <f t="shared" si="210"/>
        <v>-2.1393867751498836E-2</v>
      </c>
      <c r="BE237" s="96">
        <f t="shared" si="199"/>
        <v>-2.2105884303966992</v>
      </c>
      <c r="BF237" s="96">
        <f t="shared" si="200"/>
        <v>-1.5756114907729383E-2</v>
      </c>
      <c r="BG237" s="15">
        <f t="shared" si="201"/>
        <v>-38.87826067881155</v>
      </c>
      <c r="BH237" s="46">
        <f>(SUMPRODUCT(BE238:BE$605,$I237:$I$604)+SUMPRODUCT(BF238:BF$605,$I238:$I$605)) / $I237</f>
        <v>-28.632987255195854</v>
      </c>
      <c r="BJ237" s="46">
        <f t="shared" si="202"/>
        <v>-2.2105884303966992</v>
      </c>
      <c r="BK237" s="46">
        <f t="shared" si="203"/>
        <v>-20.409399712639036</v>
      </c>
      <c r="BM237" s="49">
        <f t="shared" si="169"/>
        <v>387.76103150928952</v>
      </c>
      <c r="BN237" s="50">
        <f t="shared" si="204"/>
        <v>285.39999260205644</v>
      </c>
      <c r="BP237" s="68">
        <f>INDEX(Others!$H$11:$I$60, MATCH(C237, Others!$A$11:$A$60, 0), MATCH(BP$3, Others!$H$10:$I$10, 0))</f>
        <v>3.0518181818182E-2</v>
      </c>
      <c r="BQ237" s="16">
        <f t="shared" si="205"/>
        <v>2.5082875760633616E-3</v>
      </c>
      <c r="BR237" s="69">
        <f t="shared" si="206"/>
        <v>0.55918656612952955</v>
      </c>
      <c r="BT237" s="46">
        <f t="shared" si="207"/>
        <v>287.00519438607398</v>
      </c>
      <c r="BU237" s="49">
        <f t="shared" si="170"/>
        <v>2.1809205174685329</v>
      </c>
      <c r="BV237" s="46">
        <f t="shared" si="208"/>
        <v>1.6052017840175381</v>
      </c>
      <c r="BX237" s="46">
        <f t="shared" si="209"/>
        <v>389.94195202675803</v>
      </c>
    </row>
    <row r="238" spans="1:76" x14ac:dyDescent="0.25">
      <c r="A238" s="61">
        <f t="shared" si="159"/>
        <v>19.416666666666661</v>
      </c>
      <c r="B238" s="32">
        <f t="shared" si="171"/>
        <v>5</v>
      </c>
      <c r="C238" s="62">
        <f t="shared" si="172"/>
        <v>20</v>
      </c>
      <c r="D238" s="64">
        <f t="shared" si="173"/>
        <v>19.916666666666661</v>
      </c>
      <c r="E238" s="28">
        <f t="shared" si="174"/>
        <v>19</v>
      </c>
      <c r="G238" s="68">
        <f>INDEX(Others!$D$11:$E$60, MATCH(C238, Others!$A$11:$A$60, 0), MATCH(G$3, Others!$D$10:$E$10, 0))</f>
        <v>4.0690909090909333E-2</v>
      </c>
      <c r="H238" s="16">
        <f t="shared" si="175"/>
        <v>3.329265421250005E-3</v>
      </c>
      <c r="I238" s="69">
        <f t="shared" si="176"/>
        <v>0.46096626567266014</v>
      </c>
      <c r="K238" s="80">
        <f>INDEX(Mortality!$B$7:$F$32, MATCH( E238,Mortality!$A$7:$A$32, 0), MATCH( K$3,Mortality!$B$6:$F$6,0))</f>
        <v>0.42199999999999999</v>
      </c>
      <c r="L238" s="11" cm="1">
        <f t="array" ref="L238">PAD_Res_Mort</f>
        <v>0.15</v>
      </c>
      <c r="M238" s="80">
        <f t="shared" si="177"/>
        <v>0.48529999999999995</v>
      </c>
      <c r="N238" s="76">
        <f>INDEX('Myopia_(Reserve)'!$H:$H, MATCH(E238, 'Myopia_(Reserve)'!$A:$A, 0)) * Trend_Factor_Reserve^(A238)</f>
        <v>5.3646636359842574</v>
      </c>
      <c r="O238" s="11">
        <f t="shared" si="160"/>
        <v>0.3</v>
      </c>
      <c r="P238" s="80">
        <f t="shared" si="178"/>
        <v>6.9740627267795352</v>
      </c>
      <c r="Q238" s="76">
        <f>VLOOKUP(C238,Others!$L$10:$M$61,2)</f>
        <v>0</v>
      </c>
      <c r="R238" s="11">
        <f t="shared" si="161"/>
        <v>0</v>
      </c>
      <c r="S238" s="80">
        <f t="shared" si="179"/>
        <v>0</v>
      </c>
      <c r="T238" s="78">
        <f t="shared" si="180"/>
        <v>4.0441666666666663E-5</v>
      </c>
      <c r="U238" s="81">
        <f t="shared" si="181"/>
        <v>5.8117189389829459E-4</v>
      </c>
      <c r="V238" s="81">
        <f t="shared" si="182"/>
        <v>0</v>
      </c>
      <c r="W238" s="77">
        <f t="shared" si="162"/>
        <v>0.73602030480264791</v>
      </c>
      <c r="X238" s="82">
        <f t="shared" si="183"/>
        <v>2.9757238278026172E-5</v>
      </c>
      <c r="Y238" s="82">
        <f t="shared" si="184"/>
        <v>4.2774566494105403E-4</v>
      </c>
      <c r="Z238" s="82">
        <f t="shared" si="185"/>
        <v>0</v>
      </c>
      <c r="AA238" s="82">
        <f t="shared" si="186"/>
        <v>0.7355628018994288</v>
      </c>
      <c r="AC238" s="46">
        <f t="shared" si="163"/>
        <v>0</v>
      </c>
      <c r="AD238" s="15">
        <f t="shared" si="187"/>
        <v>0</v>
      </c>
      <c r="AE238" s="46">
        <f t="shared" si="188"/>
        <v>0</v>
      </c>
      <c r="AF238" s="15">
        <f t="shared" si="189"/>
        <v>0</v>
      </c>
      <c r="AG238" s="46">
        <f>SUMPRODUCT(AE239:AE$605, $I238:$I$604) / $I238</f>
        <v>0</v>
      </c>
      <c r="AI238" s="46">
        <f t="shared" si="164"/>
        <v>-47000</v>
      </c>
      <c r="AJ238" s="46">
        <f>IF(E238&gt;Mat_Year,0,  -SUM($AD$5:AD238))</f>
        <v>-9306</v>
      </c>
      <c r="AK238" s="24">
        <f t="shared" si="190"/>
        <v>-0.27692085941531158</v>
      </c>
      <c r="AL238" s="79">
        <f t="shared" si="191"/>
        <v>-20.104046252229541</v>
      </c>
      <c r="AM238" s="24">
        <f t="shared" si="192"/>
        <v>-27.690767467494915</v>
      </c>
      <c r="AN238" s="79">
        <f t="shared" si="193"/>
        <v>-20.380967111644853</v>
      </c>
      <c r="AO238" s="15">
        <f t="shared" si="194"/>
        <v>-322.32926483060447</v>
      </c>
      <c r="AP238" s="46">
        <f>SUMPRODUCT(AN239:AN$605, $I239:$I$605) / $I238</f>
        <v>-237.24088374743494</v>
      </c>
      <c r="AR238" s="46">
        <v>0</v>
      </c>
      <c r="AS238" s="46">
        <v>0</v>
      </c>
      <c r="AT238" s="46">
        <v>0</v>
      </c>
      <c r="AU238" s="95">
        <f t="shared" si="165"/>
        <v>-2.7339843793913086</v>
      </c>
      <c r="AV238" s="47">
        <f t="shared" si="166"/>
        <v>0.1</v>
      </c>
      <c r="AW238" s="96">
        <f t="shared" si="195"/>
        <v>-3.0073828173304396</v>
      </c>
      <c r="AX238" s="95">
        <f t="shared" si="167"/>
        <v>-31.349687550353668</v>
      </c>
      <c r="AY238" s="11">
        <f t="shared" si="168"/>
        <v>0.1</v>
      </c>
      <c r="AZ238" s="96">
        <f t="shared" si="196"/>
        <v>-34.484656305389038</v>
      </c>
      <c r="BA238" s="95">
        <f t="shared" si="197"/>
        <v>-2.2134948178697962</v>
      </c>
      <c r="BB238" s="64">
        <f t="shared" si="198"/>
        <v>-1.5776830376227645E-2</v>
      </c>
      <c r="BC238" s="95">
        <f t="shared" si="210"/>
        <v>-3.0073828173304396</v>
      </c>
      <c r="BD238" s="96">
        <f t="shared" si="210"/>
        <v>-2.1435319478662958E-2</v>
      </c>
      <c r="BE238" s="96">
        <f t="shared" si="199"/>
        <v>-2.2134948178697962</v>
      </c>
      <c r="BF238" s="96">
        <f t="shared" si="200"/>
        <v>-1.5776830376227645E-2</v>
      </c>
      <c r="BG238" s="15">
        <f t="shared" si="201"/>
        <v>-35.993128092670922</v>
      </c>
      <c r="BH238" s="46">
        <f>(SUMPRODUCT(BE239:BE$605,$I238:$I$604)+SUMPRODUCT(BF239:BF$605,$I239:$I$605)) / $I238</f>
        <v>-26.491673109568399</v>
      </c>
      <c r="BJ238" s="46">
        <f t="shared" si="202"/>
        <v>-2.2134948178697962</v>
      </c>
      <c r="BK238" s="46">
        <f t="shared" si="203"/>
        <v>-20.396743942021082</v>
      </c>
      <c r="BM238" s="49">
        <f t="shared" si="169"/>
        <v>358.54526109255687</v>
      </c>
      <c r="BN238" s="50">
        <f t="shared" si="204"/>
        <v>263.73255685700337</v>
      </c>
      <c r="BP238" s="68">
        <f>INDEX(Others!$H$11:$I$60, MATCH(C238, Others!$A$11:$A$60, 0), MATCH(BP$3, Others!$H$10:$I$10, 0))</f>
        <v>3.0518181818182E-2</v>
      </c>
      <c r="BQ238" s="16">
        <f t="shared" si="205"/>
        <v>2.5082875760633616E-3</v>
      </c>
      <c r="BR238" s="69">
        <f t="shared" si="206"/>
        <v>0.55778747473656409</v>
      </c>
      <c r="BT238" s="46">
        <f t="shared" si="207"/>
        <v>265.10929510797604</v>
      </c>
      <c r="BU238" s="49">
        <f t="shared" si="170"/>
        <v>1.8716800896096721</v>
      </c>
      <c r="BV238" s="46">
        <f t="shared" si="208"/>
        <v>1.3767382509726644</v>
      </c>
      <c r="BX238" s="46">
        <f t="shared" si="209"/>
        <v>360.41694118216657</v>
      </c>
    </row>
    <row r="239" spans="1:76" x14ac:dyDescent="0.25">
      <c r="A239" s="61">
        <f t="shared" si="159"/>
        <v>19.499999999999993</v>
      </c>
      <c r="B239" s="32">
        <f t="shared" si="171"/>
        <v>6</v>
      </c>
      <c r="C239" s="62">
        <f t="shared" si="172"/>
        <v>20</v>
      </c>
      <c r="D239" s="64">
        <f t="shared" si="173"/>
        <v>19.999999999999993</v>
      </c>
      <c r="E239" s="28">
        <f t="shared" si="174"/>
        <v>20</v>
      </c>
      <c r="G239" s="68">
        <f>INDEX(Others!$D$11:$E$60, MATCH(C239, Others!$A$11:$A$60, 0), MATCH(G$3, Others!$D$10:$E$10, 0))</f>
        <v>4.0690909090909333E-2</v>
      </c>
      <c r="H239" s="16">
        <f t="shared" si="175"/>
        <v>3.329265421250005E-3</v>
      </c>
      <c r="I239" s="69">
        <f t="shared" si="176"/>
        <v>0.45943667902393182</v>
      </c>
      <c r="K239" s="80">
        <f>INDEX(Mortality!$B$7:$F$32, MATCH( E239,Mortality!$A$7:$A$32, 0), MATCH( K$3,Mortality!$B$6:$F$6,0))</f>
        <v>0.434</v>
      </c>
      <c r="L239" s="11" cm="1">
        <f t="array" ref="L239">PAD_Res_Mort</f>
        <v>0.15</v>
      </c>
      <c r="M239" s="80">
        <f t="shared" si="177"/>
        <v>0.49909999999999993</v>
      </c>
      <c r="N239" s="76">
        <f>INDEX('Myopia_(Reserve)'!$H:$H, MATCH(E239, 'Myopia_(Reserve)'!$A:$A, 0)) * Trend_Factor_Reserve^(A239)</f>
        <v>5.3360375891693437</v>
      </c>
      <c r="O239" s="11">
        <f t="shared" si="160"/>
        <v>0.3</v>
      </c>
      <c r="P239" s="80">
        <f t="shared" si="178"/>
        <v>6.9368488659201466</v>
      </c>
      <c r="Q239" s="76">
        <f>VLOOKUP(C239,Others!$L$10:$M$61,2)</f>
        <v>0</v>
      </c>
      <c r="R239" s="11">
        <f t="shared" si="161"/>
        <v>0</v>
      </c>
      <c r="S239" s="80">
        <f t="shared" si="179"/>
        <v>0</v>
      </c>
      <c r="T239" s="78">
        <f t="shared" si="180"/>
        <v>4.1591666666666663E-5</v>
      </c>
      <c r="U239" s="81">
        <f t="shared" si="181"/>
        <v>5.7807073882667895E-4</v>
      </c>
      <c r="V239" s="81">
        <f t="shared" si="182"/>
        <v>0</v>
      </c>
      <c r="W239" s="77">
        <f t="shared" si="162"/>
        <v>0.7355628018994288</v>
      </c>
      <c r="X239" s="82">
        <f t="shared" si="183"/>
        <v>3.05844403281848E-5</v>
      </c>
      <c r="Y239" s="82">
        <f t="shared" si="184"/>
        <v>4.2519848980660928E-4</v>
      </c>
      <c r="Z239" s="82">
        <f t="shared" si="185"/>
        <v>0</v>
      </c>
      <c r="AA239" s="82">
        <f t="shared" si="186"/>
        <v>0.73510701896929398</v>
      </c>
      <c r="AC239" s="46">
        <f t="shared" si="163"/>
        <v>0</v>
      </c>
      <c r="AD239" s="15">
        <f t="shared" si="187"/>
        <v>0</v>
      </c>
      <c r="AE239" s="46">
        <f t="shared" si="188"/>
        <v>0</v>
      </c>
      <c r="AF239" s="15">
        <f t="shared" si="189"/>
        <v>0</v>
      </c>
      <c r="AG239" s="46">
        <f>SUMPRODUCT(AE240:AE$605, $I239:$I$604) / $I239</f>
        <v>0</v>
      </c>
      <c r="AI239" s="46">
        <f t="shared" si="164"/>
        <v>-47000</v>
      </c>
      <c r="AJ239" s="46">
        <f>IF(E239&gt;Mat_Year,0,  -SUM($AD$5:AD239))</f>
        <v>-9306</v>
      </c>
      <c r="AK239" s="24">
        <f t="shared" si="190"/>
        <v>-0.28461880169408776</v>
      </c>
      <c r="AL239" s="79">
        <f t="shared" si="191"/>
        <v>-19.984329020910636</v>
      </c>
      <c r="AM239" s="24">
        <f t="shared" si="192"/>
        <v>-27.555699894372896</v>
      </c>
      <c r="AN239" s="79">
        <f t="shared" si="193"/>
        <v>-20.268947822604723</v>
      </c>
      <c r="AO239" s="15">
        <f t="shared" si="194"/>
        <v>-296.04783335056584</v>
      </c>
      <c r="AP239" s="46">
        <f>SUMPRODUCT(AN240:AN$605, $I240:$I$605) / $I239</f>
        <v>-217.76177379559735</v>
      </c>
      <c r="AR239" s="46">
        <v>0</v>
      </c>
      <c r="AS239" s="46">
        <v>0</v>
      </c>
      <c r="AT239" s="46">
        <v>0</v>
      </c>
      <c r="AU239" s="95">
        <f t="shared" si="165"/>
        <v>-2.7392816157714646</v>
      </c>
      <c r="AV239" s="47">
        <f t="shared" si="166"/>
        <v>0.1</v>
      </c>
      <c r="AW239" s="96">
        <f t="shared" si="195"/>
        <v>-3.0132097773486111</v>
      </c>
      <c r="AX239" s="95">
        <f t="shared" si="167"/>
        <v>-31.410429194179457</v>
      </c>
      <c r="AY239" s="11">
        <f t="shared" si="168"/>
        <v>0.1</v>
      </c>
      <c r="AZ239" s="96">
        <f t="shared" si="196"/>
        <v>-34.551472113597406</v>
      </c>
      <c r="BA239" s="95">
        <f t="shared" si="197"/>
        <v>-2.2164050265372985</v>
      </c>
      <c r="BB239" s="64">
        <f t="shared" si="198"/>
        <v>-1.5747971200406052E-2</v>
      </c>
      <c r="BC239" s="95">
        <f t="shared" si="210"/>
        <v>-3.0132097773486115</v>
      </c>
      <c r="BD239" s="96">
        <f t="shared" si="210"/>
        <v>-2.14094176047788E-2</v>
      </c>
      <c r="BE239" s="96">
        <f t="shared" si="199"/>
        <v>-2.2164050265372985</v>
      </c>
      <c r="BF239" s="96">
        <f t="shared" si="200"/>
        <v>-1.5747971200406052E-2</v>
      </c>
      <c r="BG239" s="15">
        <f t="shared" si="201"/>
        <v>-33.090769217254518</v>
      </c>
      <c r="BH239" s="46">
        <f>(SUMPRODUCT(BE240:BE$605,$I239:$I$604)+SUMPRODUCT(BF240:BF$605,$I240:$I$605)) / $I239</f>
        <v>-24.3403389224511</v>
      </c>
      <c r="BJ239" s="46">
        <f t="shared" si="202"/>
        <v>-2.2164050265372985</v>
      </c>
      <c r="BK239" s="46">
        <f t="shared" si="203"/>
        <v>-20.284695793805128</v>
      </c>
      <c r="BM239" s="49">
        <f t="shared" si="169"/>
        <v>329.34267592425385</v>
      </c>
      <c r="BN239" s="50">
        <f t="shared" si="204"/>
        <v>242.10211271804852</v>
      </c>
      <c r="BP239" s="68">
        <f>INDEX(Others!$H$11:$I$60, MATCH(C239, Others!$A$11:$A$60, 0), MATCH(BP$3, Others!$H$10:$I$10, 0))</f>
        <v>3.0518181818182E-2</v>
      </c>
      <c r="BQ239" s="16">
        <f t="shared" si="205"/>
        <v>2.5082875760633616E-3</v>
      </c>
      <c r="BR239" s="69">
        <f t="shared" si="206"/>
        <v>0.5563918838867884</v>
      </c>
      <c r="BT239" s="46">
        <f t="shared" si="207"/>
        <v>243.26760525766025</v>
      </c>
      <c r="BU239" s="49">
        <f t="shared" si="170"/>
        <v>1.5854732842109036</v>
      </c>
      <c r="BV239" s="46">
        <f t="shared" si="208"/>
        <v>1.1654925396117335</v>
      </c>
      <c r="BX239" s="46">
        <f t="shared" si="209"/>
        <v>330.92814920846473</v>
      </c>
    </row>
    <row r="240" spans="1:76" x14ac:dyDescent="0.25">
      <c r="A240" s="61">
        <f t="shared" si="159"/>
        <v>19.583333333333325</v>
      </c>
      <c r="B240" s="32">
        <f t="shared" si="171"/>
        <v>7</v>
      </c>
      <c r="C240" s="62">
        <f t="shared" si="172"/>
        <v>20</v>
      </c>
      <c r="D240" s="64">
        <f t="shared" si="173"/>
        <v>20.083333333333325</v>
      </c>
      <c r="E240" s="28">
        <f t="shared" si="174"/>
        <v>20</v>
      </c>
      <c r="G240" s="68">
        <f>INDEX(Others!$D$11:$E$60, MATCH(C240, Others!$A$11:$A$60, 0), MATCH(G$3, Others!$D$10:$E$10, 0))</f>
        <v>4.0690909090909333E-2</v>
      </c>
      <c r="H240" s="16">
        <f t="shared" si="175"/>
        <v>3.329265421250005E-3</v>
      </c>
      <c r="I240" s="69">
        <f t="shared" si="176"/>
        <v>0.45791216787744782</v>
      </c>
      <c r="K240" s="80">
        <f>INDEX(Mortality!$B$7:$F$32, MATCH( E240,Mortality!$A$7:$A$32, 0), MATCH( K$3,Mortality!$B$6:$F$6,0))</f>
        <v>0.434</v>
      </c>
      <c r="L240" s="11" cm="1">
        <f t="array" ref="L240">PAD_Res_Mort</f>
        <v>0.15</v>
      </c>
      <c r="M240" s="80">
        <f t="shared" si="177"/>
        <v>0.49909999999999993</v>
      </c>
      <c r="N240" s="76">
        <f>INDEX('Myopia_(Reserve)'!$H:$H, MATCH(E240, 'Myopia_(Reserve)'!$A:$A, 0)) * Trend_Factor_Reserve^(A240)</f>
        <v>5.3360375891693437</v>
      </c>
      <c r="O240" s="11">
        <f t="shared" si="160"/>
        <v>0.3</v>
      </c>
      <c r="P240" s="80">
        <f t="shared" si="178"/>
        <v>6.9368488659201466</v>
      </c>
      <c r="Q240" s="76">
        <f>VLOOKUP(C240,Others!$L$10:$M$61,2)</f>
        <v>0</v>
      </c>
      <c r="R240" s="11">
        <f t="shared" si="161"/>
        <v>0</v>
      </c>
      <c r="S240" s="80">
        <f t="shared" si="179"/>
        <v>0</v>
      </c>
      <c r="T240" s="78">
        <f t="shared" si="180"/>
        <v>4.1591666666666663E-5</v>
      </c>
      <c r="U240" s="81">
        <f t="shared" si="181"/>
        <v>5.7807073882667895E-4</v>
      </c>
      <c r="V240" s="81">
        <f t="shared" si="182"/>
        <v>0</v>
      </c>
      <c r="W240" s="77">
        <f t="shared" si="162"/>
        <v>0.73510701896929398</v>
      </c>
      <c r="X240" s="82">
        <f t="shared" si="183"/>
        <v>3.0565489035659783E-5</v>
      </c>
      <c r="Y240" s="82">
        <f t="shared" si="184"/>
        <v>4.2493502051061917E-4</v>
      </c>
      <c r="Z240" s="82">
        <f t="shared" si="185"/>
        <v>0</v>
      </c>
      <c r="AA240" s="82">
        <f t="shared" si="186"/>
        <v>0.73465151845974774</v>
      </c>
      <c r="AC240" s="46">
        <f t="shared" si="163"/>
        <v>0</v>
      </c>
      <c r="AD240" s="15">
        <f t="shared" si="187"/>
        <v>0</v>
      </c>
      <c r="AE240" s="46">
        <f t="shared" si="188"/>
        <v>0</v>
      </c>
      <c r="AF240" s="15">
        <f t="shared" si="189"/>
        <v>0</v>
      </c>
      <c r="AG240" s="46">
        <f>SUMPRODUCT(AE241:AE$605, $I240:$I$604) / $I240</f>
        <v>0</v>
      </c>
      <c r="AI240" s="46">
        <f t="shared" si="164"/>
        <v>-47000</v>
      </c>
      <c r="AJ240" s="46">
        <f>IF(E240&gt;Mat_Year,0,  -SUM($AD$5:AD240))</f>
        <v>-9306</v>
      </c>
      <c r="AK240" s="24">
        <f t="shared" si="190"/>
        <v>-0.28444244096584992</v>
      </c>
      <c r="AL240" s="79">
        <f t="shared" si="191"/>
        <v>-19.971945963999101</v>
      </c>
      <c r="AM240" s="24">
        <f t="shared" si="192"/>
        <v>-27.5556998943729</v>
      </c>
      <c r="AN240" s="79">
        <f t="shared" si="193"/>
        <v>-20.256388404964952</v>
      </c>
      <c r="AO240" s="15">
        <f t="shared" si="194"/>
        <v>-269.66192271180097</v>
      </c>
      <c r="AP240" s="46">
        <f>SUMPRODUCT(AN241:AN$605, $I241:$I$605) / $I240</f>
        <v>-198.23037213420017</v>
      </c>
      <c r="AR240" s="46">
        <v>0</v>
      </c>
      <c r="AS240" s="46">
        <v>0</v>
      </c>
      <c r="AT240" s="46">
        <v>0</v>
      </c>
      <c r="AU240" s="95">
        <f t="shared" si="165"/>
        <v>-2.7445891158215523</v>
      </c>
      <c r="AV240" s="47">
        <f t="shared" si="166"/>
        <v>0.1</v>
      </c>
      <c r="AW240" s="96">
        <f t="shared" si="195"/>
        <v>-3.0190480274037079</v>
      </c>
      <c r="AX240" s="95">
        <f t="shared" si="167"/>
        <v>-31.471288528087129</v>
      </c>
      <c r="AY240" s="11">
        <f t="shared" si="168"/>
        <v>0.1</v>
      </c>
      <c r="AZ240" s="96">
        <f t="shared" si="196"/>
        <v>-34.618417380895842</v>
      </c>
      <c r="BA240" s="95">
        <f t="shared" si="197"/>
        <v>-2.2193233955498672</v>
      </c>
      <c r="BB240" s="64">
        <f t="shared" si="198"/>
        <v>-1.5768706756683817E-2</v>
      </c>
      <c r="BC240" s="95">
        <f t="shared" si="210"/>
        <v>-3.0190480274037079</v>
      </c>
      <c r="BD240" s="96">
        <f t="shared" si="210"/>
        <v>-2.1450899460589274E-2</v>
      </c>
      <c r="BE240" s="96">
        <f t="shared" si="199"/>
        <v>-2.2193233955498672</v>
      </c>
      <c r="BF240" s="96">
        <f t="shared" si="200"/>
        <v>-1.5768706756683817E-2</v>
      </c>
      <c r="BG240" s="15">
        <f t="shared" si="201"/>
        <v>-30.17097236170946</v>
      </c>
      <c r="BH240" s="46">
        <f>(SUMPRODUCT(BE241:BE$605,$I240:$I$604)+SUMPRODUCT(BF241:BF$605,$I241:$I$605)) / $I240</f>
        <v>-22.178893552221201</v>
      </c>
      <c r="BJ240" s="46">
        <f t="shared" si="202"/>
        <v>-2.2193233955498672</v>
      </c>
      <c r="BK240" s="46">
        <f t="shared" si="203"/>
        <v>-20.272157111721636</v>
      </c>
      <c r="BM240" s="49">
        <f t="shared" si="169"/>
        <v>300.01879823038553</v>
      </c>
      <c r="BN240" s="50">
        <f t="shared" si="204"/>
        <v>220.40926568642141</v>
      </c>
      <c r="BP240" s="68">
        <f>INDEX(Others!$H$11:$I$60, MATCH(C240, Others!$A$11:$A$60, 0), MATCH(BP$3, Others!$H$10:$I$10, 0))</f>
        <v>3.0518181818182E-2</v>
      </c>
      <c r="BQ240" s="16">
        <f t="shared" si="205"/>
        <v>2.5082875760633616E-3</v>
      </c>
      <c r="BR240" s="69">
        <f t="shared" si="206"/>
        <v>0.55499978482180201</v>
      </c>
      <c r="BT240" s="46">
        <f t="shared" si="207"/>
        <v>221.38074316101489</v>
      </c>
      <c r="BU240" s="49">
        <f t="shared" si="170"/>
        <v>1.3223650263872868</v>
      </c>
      <c r="BV240" s="46">
        <f t="shared" si="208"/>
        <v>0.97147747459348466</v>
      </c>
      <c r="BX240" s="46">
        <f t="shared" si="209"/>
        <v>301.3411632567728</v>
      </c>
    </row>
    <row r="241" spans="1:76" x14ac:dyDescent="0.25">
      <c r="A241" s="61">
        <f t="shared" si="159"/>
        <v>19.666666666666657</v>
      </c>
      <c r="B241" s="32">
        <f t="shared" si="171"/>
        <v>8</v>
      </c>
      <c r="C241" s="62">
        <f t="shared" si="172"/>
        <v>20</v>
      </c>
      <c r="D241" s="64">
        <f t="shared" si="173"/>
        <v>20.166666666666657</v>
      </c>
      <c r="E241" s="28">
        <f t="shared" si="174"/>
        <v>20</v>
      </c>
      <c r="G241" s="68">
        <f>INDEX(Others!$D$11:$E$60, MATCH(C241, Others!$A$11:$A$60, 0), MATCH(G$3, Others!$D$10:$E$10, 0))</f>
        <v>4.0690909090909333E-2</v>
      </c>
      <c r="H241" s="16">
        <f t="shared" si="175"/>
        <v>3.329265421250005E-3</v>
      </c>
      <c r="I241" s="69">
        <f t="shared" si="176"/>
        <v>0.45639271539158421</v>
      </c>
      <c r="K241" s="80">
        <f>INDEX(Mortality!$B$7:$F$32, MATCH( E241,Mortality!$A$7:$A$32, 0), MATCH( K$3,Mortality!$B$6:$F$6,0))</f>
        <v>0.434</v>
      </c>
      <c r="L241" s="11" cm="1">
        <f t="array" ref="L241">PAD_Res_Mort</f>
        <v>0.15</v>
      </c>
      <c r="M241" s="80">
        <f t="shared" si="177"/>
        <v>0.49909999999999993</v>
      </c>
      <c r="N241" s="76">
        <f>INDEX('Myopia_(Reserve)'!$H:$H, MATCH(E241, 'Myopia_(Reserve)'!$A:$A, 0)) * Trend_Factor_Reserve^(A241)</f>
        <v>5.3360375891693437</v>
      </c>
      <c r="O241" s="11">
        <f t="shared" si="160"/>
        <v>0.3</v>
      </c>
      <c r="P241" s="80">
        <f t="shared" si="178"/>
        <v>6.9368488659201466</v>
      </c>
      <c r="Q241" s="76">
        <f>VLOOKUP(C241,Others!$L$10:$M$61,2)</f>
        <v>0</v>
      </c>
      <c r="R241" s="11">
        <f t="shared" si="161"/>
        <v>0</v>
      </c>
      <c r="S241" s="80">
        <f t="shared" si="179"/>
        <v>0</v>
      </c>
      <c r="T241" s="78">
        <f t="shared" si="180"/>
        <v>4.1591666666666663E-5</v>
      </c>
      <c r="U241" s="81">
        <f t="shared" si="181"/>
        <v>5.7807073882667895E-4</v>
      </c>
      <c r="V241" s="81">
        <f t="shared" si="182"/>
        <v>0</v>
      </c>
      <c r="W241" s="77">
        <f t="shared" si="162"/>
        <v>0.73465151845974774</v>
      </c>
      <c r="X241" s="82">
        <f t="shared" si="183"/>
        <v>3.0546549486082647E-5</v>
      </c>
      <c r="Y241" s="82">
        <f t="shared" si="184"/>
        <v>4.2467171447031223E-4</v>
      </c>
      <c r="Z241" s="82">
        <f t="shared" si="185"/>
        <v>0</v>
      </c>
      <c r="AA241" s="82">
        <f t="shared" si="186"/>
        <v>0.7341963001957913</v>
      </c>
      <c r="AC241" s="46">
        <f t="shared" si="163"/>
        <v>0</v>
      </c>
      <c r="AD241" s="15">
        <f t="shared" si="187"/>
        <v>0</v>
      </c>
      <c r="AE241" s="46">
        <f t="shared" si="188"/>
        <v>0</v>
      </c>
      <c r="AF241" s="15">
        <f t="shared" si="189"/>
        <v>0</v>
      </c>
      <c r="AG241" s="46">
        <f>SUMPRODUCT(AE242:AE$605, $I241:$I$604) / $I241</f>
        <v>0</v>
      </c>
      <c r="AI241" s="46">
        <f t="shared" si="164"/>
        <v>-47000</v>
      </c>
      <c r="AJ241" s="46">
        <f>IF(E241&gt;Mat_Year,0,  -SUM($AD$5:AD241))</f>
        <v>-9306</v>
      </c>
      <c r="AK241" s="24">
        <f t="shared" si="190"/>
        <v>-0.28426618951748511</v>
      </c>
      <c r="AL241" s="79">
        <f t="shared" si="191"/>
        <v>-19.959570580104675</v>
      </c>
      <c r="AM241" s="24">
        <f t="shared" si="192"/>
        <v>-27.555699894372896</v>
      </c>
      <c r="AN241" s="79">
        <f t="shared" si="193"/>
        <v>-20.24383676962216</v>
      </c>
      <c r="AO241" s="15">
        <f t="shared" si="194"/>
        <v>-243.17175204716344</v>
      </c>
      <c r="AP241" s="46">
        <f>SUMPRODUCT(AN242:AN$605, $I242:$I$605) / $I241</f>
        <v>-178.6464968879659</v>
      </c>
      <c r="AR241" s="46">
        <v>0</v>
      </c>
      <c r="AS241" s="46">
        <v>0</v>
      </c>
      <c r="AT241" s="46">
        <v>0</v>
      </c>
      <c r="AU241" s="95">
        <f t="shared" si="165"/>
        <v>-2.7499068994279634</v>
      </c>
      <c r="AV241" s="47">
        <f t="shared" si="166"/>
        <v>0.1</v>
      </c>
      <c r="AW241" s="96">
        <f t="shared" si="195"/>
        <v>-3.0248975893707599</v>
      </c>
      <c r="AX241" s="95">
        <f t="shared" si="167"/>
        <v>-31.532265780107309</v>
      </c>
      <c r="AY241" s="11">
        <f t="shared" si="168"/>
        <v>0.1</v>
      </c>
      <c r="AZ241" s="96">
        <f t="shared" si="196"/>
        <v>-34.68549235811804</v>
      </c>
      <c r="BA241" s="95">
        <f t="shared" si="197"/>
        <v>-2.2222456072164594</v>
      </c>
      <c r="BB241" s="64">
        <f t="shared" si="198"/>
        <v>-1.5789469615735297E-2</v>
      </c>
      <c r="BC241" s="95">
        <f t="shared" si="210"/>
        <v>-3.0248975893707599</v>
      </c>
      <c r="BD241" s="96">
        <f t="shared" si="210"/>
        <v>-2.1492461689644513E-2</v>
      </c>
      <c r="BE241" s="96">
        <f t="shared" si="199"/>
        <v>-2.2222456072164594</v>
      </c>
      <c r="BF241" s="96">
        <f t="shared" si="200"/>
        <v>-1.5789469615735297E-2</v>
      </c>
      <c r="BG241" s="15">
        <f t="shared" si="201"/>
        <v>-27.233727761514981</v>
      </c>
      <c r="BH241" s="46">
        <f>(SUMPRODUCT(BE242:BE$605,$I241:$I$604)+SUMPRODUCT(BF242:BF$605,$I242:$I$605)) / $I241</f>
        <v>-20.007299453316367</v>
      </c>
      <c r="BJ241" s="46">
        <f t="shared" si="202"/>
        <v>-2.2222456072164594</v>
      </c>
      <c r="BK241" s="46">
        <f t="shared" si="203"/>
        <v>-20.259626239237896</v>
      </c>
      <c r="BM241" s="49">
        <f t="shared" si="169"/>
        <v>270.57313730443269</v>
      </c>
      <c r="BN241" s="50">
        <f t="shared" si="204"/>
        <v>198.65379634128232</v>
      </c>
      <c r="BP241" s="68">
        <f>INDEX(Others!$H$11:$I$60, MATCH(C241, Others!$A$11:$A$60, 0), MATCH(BP$3, Others!$H$10:$I$10, 0))</f>
        <v>3.0518181818182E-2</v>
      </c>
      <c r="BQ241" s="16">
        <f t="shared" si="205"/>
        <v>2.5082875760633616E-3</v>
      </c>
      <c r="BR241" s="69">
        <f t="shared" si="206"/>
        <v>0.55361116880511818</v>
      </c>
      <c r="BT241" s="46">
        <f t="shared" si="207"/>
        <v>199.44858385116345</v>
      </c>
      <c r="BU241" s="49">
        <f t="shared" si="170"/>
        <v>1.0825272609916217</v>
      </c>
      <c r="BV241" s="46">
        <f t="shared" si="208"/>
        <v>0.79478750988113234</v>
      </c>
      <c r="BX241" s="46">
        <f t="shared" si="209"/>
        <v>271.65566456542433</v>
      </c>
    </row>
    <row r="242" spans="1:76" x14ac:dyDescent="0.25">
      <c r="A242" s="61">
        <f t="shared" si="159"/>
        <v>19.749999999999989</v>
      </c>
      <c r="B242" s="32">
        <f t="shared" si="171"/>
        <v>9</v>
      </c>
      <c r="C242" s="62">
        <f t="shared" si="172"/>
        <v>20</v>
      </c>
      <c r="D242" s="64">
        <f t="shared" si="173"/>
        <v>20.249999999999989</v>
      </c>
      <c r="E242" s="28">
        <f t="shared" si="174"/>
        <v>20</v>
      </c>
      <c r="G242" s="68">
        <f>INDEX(Others!$D$11:$E$60, MATCH(C242, Others!$A$11:$A$60, 0), MATCH(G$3, Others!$D$10:$E$10, 0))</f>
        <v>4.0690909090909333E-2</v>
      </c>
      <c r="H242" s="16">
        <f t="shared" si="175"/>
        <v>3.329265421250005E-3</v>
      </c>
      <c r="I242" s="69">
        <f t="shared" si="176"/>
        <v>0.45487830478060132</v>
      </c>
      <c r="K242" s="80">
        <f>INDEX(Mortality!$B$7:$F$32, MATCH( E242,Mortality!$A$7:$A$32, 0), MATCH( K$3,Mortality!$B$6:$F$6,0))</f>
        <v>0.434</v>
      </c>
      <c r="L242" s="11" cm="1">
        <f t="array" ref="L242">PAD_Res_Mort</f>
        <v>0.15</v>
      </c>
      <c r="M242" s="80">
        <f t="shared" si="177"/>
        <v>0.49909999999999993</v>
      </c>
      <c r="N242" s="76">
        <f>INDEX('Myopia_(Reserve)'!$H:$H, MATCH(E242, 'Myopia_(Reserve)'!$A:$A, 0)) * Trend_Factor_Reserve^(A242)</f>
        <v>5.3360375891693437</v>
      </c>
      <c r="O242" s="11">
        <f t="shared" si="160"/>
        <v>0.3</v>
      </c>
      <c r="P242" s="80">
        <f t="shared" si="178"/>
        <v>6.9368488659201466</v>
      </c>
      <c r="Q242" s="76">
        <f>VLOOKUP(C242,Others!$L$10:$M$61,2)</f>
        <v>0</v>
      </c>
      <c r="R242" s="11">
        <f t="shared" si="161"/>
        <v>0</v>
      </c>
      <c r="S242" s="80">
        <f t="shared" si="179"/>
        <v>0</v>
      </c>
      <c r="T242" s="78">
        <f t="shared" si="180"/>
        <v>4.1591666666666663E-5</v>
      </c>
      <c r="U242" s="81">
        <f t="shared" si="181"/>
        <v>5.7807073882667895E-4</v>
      </c>
      <c r="V242" s="81">
        <f t="shared" si="182"/>
        <v>0</v>
      </c>
      <c r="W242" s="77">
        <f t="shared" si="162"/>
        <v>0.7341963001957913</v>
      </c>
      <c r="X242" s="82">
        <f t="shared" si="183"/>
        <v>3.0527621672176988E-5</v>
      </c>
      <c r="Y242" s="82">
        <f t="shared" si="184"/>
        <v>4.2440857158452893E-4</v>
      </c>
      <c r="Z242" s="82">
        <f t="shared" si="185"/>
        <v>0</v>
      </c>
      <c r="AA242" s="82">
        <f t="shared" si="186"/>
        <v>0.73374136400253454</v>
      </c>
      <c r="AC242" s="46">
        <f t="shared" si="163"/>
        <v>0</v>
      </c>
      <c r="AD242" s="15">
        <f t="shared" si="187"/>
        <v>0</v>
      </c>
      <c r="AE242" s="46">
        <f t="shared" si="188"/>
        <v>0</v>
      </c>
      <c r="AF242" s="15">
        <f t="shared" si="189"/>
        <v>0</v>
      </c>
      <c r="AG242" s="46">
        <f>SUMPRODUCT(AE243:AE$605, $I242:$I$604) / $I242</f>
        <v>0</v>
      </c>
      <c r="AI242" s="46">
        <f t="shared" si="164"/>
        <v>-47000</v>
      </c>
      <c r="AJ242" s="46">
        <f>IF(E242&gt;Mat_Year,0,  -SUM($AD$5:AD242))</f>
        <v>-9306</v>
      </c>
      <c r="AK242" s="24">
        <f t="shared" si="190"/>
        <v>-0.28409004728127907</v>
      </c>
      <c r="AL242" s="79">
        <f t="shared" si="191"/>
        <v>-19.94720286447286</v>
      </c>
      <c r="AM242" s="24">
        <f t="shared" si="192"/>
        <v>-27.555699894372896</v>
      </c>
      <c r="AN242" s="79">
        <f t="shared" si="193"/>
        <v>-20.231292911754139</v>
      </c>
      <c r="AO242" s="15">
        <f t="shared" si="194"/>
        <v>-216.57690938857147</v>
      </c>
      <c r="AP242" s="46">
        <f>SUMPRODUCT(AN243:AN$605, $I243:$I$605) / $I242</f>
        <v>-159.00996558092831</v>
      </c>
      <c r="AR242" s="46">
        <v>0</v>
      </c>
      <c r="AS242" s="46">
        <v>0</v>
      </c>
      <c r="AT242" s="46">
        <v>0</v>
      </c>
      <c r="AU242" s="95">
        <f t="shared" si="165"/>
        <v>-2.7552349865156209</v>
      </c>
      <c r="AV242" s="47">
        <f t="shared" si="166"/>
        <v>0.1</v>
      </c>
      <c r="AW242" s="96">
        <f t="shared" si="195"/>
        <v>-3.0307584851671834</v>
      </c>
      <c r="AX242" s="95">
        <f t="shared" si="167"/>
        <v>-31.593361178712449</v>
      </c>
      <c r="AY242" s="11">
        <f t="shared" si="168"/>
        <v>0.1</v>
      </c>
      <c r="AZ242" s="96">
        <f t="shared" si="196"/>
        <v>-34.752697296583698</v>
      </c>
      <c r="BA242" s="95">
        <f t="shared" si="197"/>
        <v>-2.2251716665967471</v>
      </c>
      <c r="BB242" s="64">
        <f t="shared" si="198"/>
        <v>-1.5810259813510402E-2</v>
      </c>
      <c r="BC242" s="95">
        <f t="shared" si="210"/>
        <v>-3.0307584851671834</v>
      </c>
      <c r="BD242" s="96">
        <f t="shared" si="210"/>
        <v>-2.1534104447671842E-2</v>
      </c>
      <c r="BE242" s="96">
        <f t="shared" si="199"/>
        <v>-2.2251716665967471</v>
      </c>
      <c r="BF242" s="96">
        <f t="shared" si="200"/>
        <v>-1.5810259813510402E-2</v>
      </c>
      <c r="BG242" s="15">
        <f t="shared" si="201"/>
        <v>-24.278955022395341</v>
      </c>
      <c r="BH242" s="46">
        <f>(SUMPRODUCT(BE243:BE$605,$I242:$I$604)+SUMPRODUCT(BF243:BF$605,$I243:$I$605)) / $I242</f>
        <v>-17.825518950062683</v>
      </c>
      <c r="BJ242" s="46">
        <f t="shared" si="202"/>
        <v>-2.2251716665967471</v>
      </c>
      <c r="BK242" s="46">
        <f t="shared" si="203"/>
        <v>-20.247103171567648</v>
      </c>
      <c r="BM242" s="49">
        <f t="shared" si="169"/>
        <v>241.00520047876188</v>
      </c>
      <c r="BN242" s="50">
        <f t="shared" si="204"/>
        <v>176.83548453099104</v>
      </c>
      <c r="BP242" s="68">
        <f>INDEX(Others!$H$11:$I$60, MATCH(C242, Others!$A$11:$A$60, 0), MATCH(BP$3, Others!$H$10:$I$10, 0))</f>
        <v>3.0518181818182E-2</v>
      </c>
      <c r="BQ242" s="16">
        <f t="shared" si="205"/>
        <v>2.5082875760633616E-3</v>
      </c>
      <c r="BR242" s="69">
        <f t="shared" si="206"/>
        <v>0.552226027122109</v>
      </c>
      <c r="BT242" s="46">
        <f t="shared" si="207"/>
        <v>177.47100204749043</v>
      </c>
      <c r="BU242" s="49">
        <f t="shared" si="170"/>
        <v>0.86613287416790052</v>
      </c>
      <c r="BV242" s="46">
        <f t="shared" si="208"/>
        <v>0.63551751649939092</v>
      </c>
      <c r="BX242" s="46">
        <f t="shared" si="209"/>
        <v>241.87133335292978</v>
      </c>
    </row>
    <row r="243" spans="1:76" x14ac:dyDescent="0.25">
      <c r="A243" s="61">
        <f t="shared" si="159"/>
        <v>19.833333333333321</v>
      </c>
      <c r="B243" s="32">
        <f t="shared" si="171"/>
        <v>10</v>
      </c>
      <c r="C243" s="62">
        <f t="shared" si="172"/>
        <v>20</v>
      </c>
      <c r="D243" s="64">
        <f t="shared" si="173"/>
        <v>20.333333333333321</v>
      </c>
      <c r="E243" s="28">
        <f t="shared" si="174"/>
        <v>20</v>
      </c>
      <c r="G243" s="68">
        <f>INDEX(Others!$D$11:$E$60, MATCH(C243, Others!$A$11:$A$60, 0), MATCH(G$3, Others!$D$10:$E$10, 0))</f>
        <v>4.0690909090909333E-2</v>
      </c>
      <c r="H243" s="16">
        <f t="shared" si="175"/>
        <v>3.329265421250005E-3</v>
      </c>
      <c r="I243" s="69">
        <f t="shared" si="176"/>
        <v>0.45336891931445822</v>
      </c>
      <c r="K243" s="80">
        <f>INDEX(Mortality!$B$7:$F$32, MATCH( E243,Mortality!$A$7:$A$32, 0), MATCH( K$3,Mortality!$B$6:$F$6,0))</f>
        <v>0.434</v>
      </c>
      <c r="L243" s="11" cm="1">
        <f t="array" ref="L243">PAD_Res_Mort</f>
        <v>0.15</v>
      </c>
      <c r="M243" s="80">
        <f t="shared" si="177"/>
        <v>0.49909999999999993</v>
      </c>
      <c r="N243" s="76">
        <f>INDEX('Myopia_(Reserve)'!$H:$H, MATCH(E243, 'Myopia_(Reserve)'!$A:$A, 0)) * Trend_Factor_Reserve^(A243)</f>
        <v>5.3360375891693437</v>
      </c>
      <c r="O243" s="11">
        <f t="shared" si="160"/>
        <v>0.3</v>
      </c>
      <c r="P243" s="80">
        <f t="shared" si="178"/>
        <v>6.9368488659201466</v>
      </c>
      <c r="Q243" s="76">
        <f>VLOOKUP(C243,Others!$L$10:$M$61,2)</f>
        <v>0</v>
      </c>
      <c r="R243" s="11">
        <f t="shared" si="161"/>
        <v>0</v>
      </c>
      <c r="S243" s="80">
        <f t="shared" si="179"/>
        <v>0</v>
      </c>
      <c r="T243" s="78">
        <f t="shared" si="180"/>
        <v>4.1591666666666663E-5</v>
      </c>
      <c r="U243" s="81">
        <f t="shared" si="181"/>
        <v>5.7807073882667895E-4</v>
      </c>
      <c r="V243" s="81">
        <f t="shared" si="182"/>
        <v>0</v>
      </c>
      <c r="W243" s="77">
        <f t="shared" si="162"/>
        <v>0.73374136400253454</v>
      </c>
      <c r="X243" s="82">
        <f t="shared" si="183"/>
        <v>3.0508705586670945E-5</v>
      </c>
      <c r="Y243" s="82">
        <f t="shared" si="184"/>
        <v>4.241455917521725E-4</v>
      </c>
      <c r="Z243" s="82">
        <f t="shared" si="185"/>
        <v>0</v>
      </c>
      <c r="AA243" s="82">
        <f t="shared" si="186"/>
        <v>0.73328670970519572</v>
      </c>
      <c r="AC243" s="46">
        <f t="shared" si="163"/>
        <v>0</v>
      </c>
      <c r="AD243" s="15">
        <f t="shared" si="187"/>
        <v>0</v>
      </c>
      <c r="AE243" s="46">
        <f t="shared" si="188"/>
        <v>0</v>
      </c>
      <c r="AF243" s="15">
        <f t="shared" si="189"/>
        <v>0</v>
      </c>
      <c r="AG243" s="46">
        <f>SUMPRODUCT(AE244:AE$605, $I243:$I$604) / $I243</f>
        <v>0</v>
      </c>
      <c r="AI243" s="46">
        <f t="shared" si="164"/>
        <v>-47000</v>
      </c>
      <c r="AJ243" s="46">
        <f>IF(E243&gt;Mat_Year,0,  -SUM($AD$5:AD243))</f>
        <v>-9306</v>
      </c>
      <c r="AK243" s="24">
        <f t="shared" si="190"/>
        <v>-0.2839140141895598</v>
      </c>
      <c r="AL243" s="79">
        <f t="shared" si="191"/>
        <v>-19.934842812352109</v>
      </c>
      <c r="AM243" s="24">
        <f t="shared" si="192"/>
        <v>-27.5556998943729</v>
      </c>
      <c r="AN243" s="79">
        <f t="shared" si="193"/>
        <v>-20.218756826541668</v>
      </c>
      <c r="AO243" s="15">
        <f t="shared" si="194"/>
        <v>-189.87698114011212</v>
      </c>
      <c r="AP243" s="46">
        <f>SUMPRODUCT(AN244:AN$605, $I244:$I$605) / $I243</f>
        <v>-139.3205951344294</v>
      </c>
      <c r="AR243" s="46">
        <v>0</v>
      </c>
      <c r="AS243" s="46">
        <v>0</v>
      </c>
      <c r="AT243" s="46">
        <v>0</v>
      </c>
      <c r="AU243" s="95">
        <f t="shared" si="165"/>
        <v>-2.7605733970480544</v>
      </c>
      <c r="AV243" s="47">
        <f t="shared" si="166"/>
        <v>0.1</v>
      </c>
      <c r="AW243" s="96">
        <f t="shared" si="195"/>
        <v>-3.0366307367528602</v>
      </c>
      <c r="AX243" s="95">
        <f t="shared" si="167"/>
        <v>-31.654574952817686</v>
      </c>
      <c r="AY243" s="11">
        <f t="shared" si="168"/>
        <v>0.1</v>
      </c>
      <c r="AZ243" s="96">
        <f t="shared" si="196"/>
        <v>-34.820032448099461</v>
      </c>
      <c r="BA243" s="95">
        <f t="shared" si="197"/>
        <v>-2.228101578757065</v>
      </c>
      <c r="BB243" s="64">
        <f t="shared" si="198"/>
        <v>-1.5831077386006389E-2</v>
      </c>
      <c r="BC243" s="95">
        <f t="shared" si="210"/>
        <v>-3.0366307367528602</v>
      </c>
      <c r="BD243" s="96">
        <f t="shared" si="210"/>
        <v>-2.1575827890700332E-2</v>
      </c>
      <c r="BE243" s="96">
        <f t="shared" si="199"/>
        <v>-2.228101578757065</v>
      </c>
      <c r="BF243" s="96">
        <f t="shared" si="200"/>
        <v>-1.5831077386006389E-2</v>
      </c>
      <c r="BG243" s="15">
        <f t="shared" si="201"/>
        <v>-21.306573410219652</v>
      </c>
      <c r="BH243" s="46">
        <f>(SUMPRODUCT(BE244:BE$605,$I243:$I$604)+SUMPRODUCT(BF244:BF$605,$I244:$I$605)) / $I243</f>
        <v>-15.633514236234701</v>
      </c>
      <c r="BJ243" s="46">
        <f t="shared" si="202"/>
        <v>-2.228101578757065</v>
      </c>
      <c r="BK243" s="46">
        <f t="shared" si="203"/>
        <v>-20.234587903927675</v>
      </c>
      <c r="BM243" s="49">
        <f t="shared" si="169"/>
        <v>211.31449311683357</v>
      </c>
      <c r="BN243" s="50">
        <f t="shared" si="204"/>
        <v>154.95410937066413</v>
      </c>
      <c r="BP243" s="68">
        <f>INDEX(Others!$H$11:$I$60, MATCH(C243, Others!$A$11:$A$60, 0), MATCH(BP$3, Others!$H$10:$I$10, 0))</f>
        <v>3.0518181818182E-2</v>
      </c>
      <c r="BQ243" s="16">
        <f t="shared" si="205"/>
        <v>2.5082875760633616E-3</v>
      </c>
      <c r="BR243" s="69">
        <f t="shared" si="206"/>
        <v>0.55084435107995045</v>
      </c>
      <c r="BT243" s="46">
        <f t="shared" si="207"/>
        <v>155.44787215484473</v>
      </c>
      <c r="BU243" s="49">
        <f t="shared" si="170"/>
        <v>0.67335569790854588</v>
      </c>
      <c r="BV243" s="46">
        <f t="shared" si="208"/>
        <v>0.49376278418060338</v>
      </c>
      <c r="BX243" s="46">
        <f t="shared" si="209"/>
        <v>211.98784881474211</v>
      </c>
    </row>
    <row r="244" spans="1:76" x14ac:dyDescent="0.25">
      <c r="A244" s="61">
        <f t="shared" si="159"/>
        <v>19.916666666666654</v>
      </c>
      <c r="B244" s="32">
        <f t="shared" si="171"/>
        <v>11</v>
      </c>
      <c r="C244" s="62">
        <f t="shared" si="172"/>
        <v>20</v>
      </c>
      <c r="D244" s="64">
        <f t="shared" si="173"/>
        <v>20.416666666666654</v>
      </c>
      <c r="E244" s="28">
        <f t="shared" si="174"/>
        <v>20</v>
      </c>
      <c r="G244" s="68">
        <f>INDEX(Others!$D$11:$E$60, MATCH(C244, Others!$A$11:$A$60, 0), MATCH(G$3, Others!$D$10:$E$10, 0))</f>
        <v>4.0690909090909333E-2</v>
      </c>
      <c r="H244" s="16">
        <f t="shared" si="175"/>
        <v>3.329265421250005E-3</v>
      </c>
      <c r="I244" s="69">
        <f t="shared" si="176"/>
        <v>0.45186454231862783</v>
      </c>
      <c r="K244" s="80">
        <f>INDEX(Mortality!$B$7:$F$32, MATCH( E244,Mortality!$A$7:$A$32, 0), MATCH( K$3,Mortality!$B$6:$F$6,0))</f>
        <v>0.434</v>
      </c>
      <c r="L244" s="11" cm="1">
        <f t="array" ref="L244">PAD_Res_Mort</f>
        <v>0.15</v>
      </c>
      <c r="M244" s="80">
        <f t="shared" si="177"/>
        <v>0.49909999999999993</v>
      </c>
      <c r="N244" s="76">
        <f>INDEX('Myopia_(Reserve)'!$H:$H, MATCH(E244, 'Myopia_(Reserve)'!$A:$A, 0)) * Trend_Factor_Reserve^(A244)</f>
        <v>5.3360375891693437</v>
      </c>
      <c r="O244" s="11">
        <f t="shared" si="160"/>
        <v>0.3</v>
      </c>
      <c r="P244" s="80">
        <f t="shared" si="178"/>
        <v>6.9368488659201466</v>
      </c>
      <c r="Q244" s="76">
        <f>VLOOKUP(C244,Others!$L$10:$M$61,2)</f>
        <v>0</v>
      </c>
      <c r="R244" s="11">
        <f t="shared" si="161"/>
        <v>0</v>
      </c>
      <c r="S244" s="80">
        <f t="shared" si="179"/>
        <v>0</v>
      </c>
      <c r="T244" s="78">
        <f t="shared" si="180"/>
        <v>4.1591666666666663E-5</v>
      </c>
      <c r="U244" s="81">
        <f t="shared" si="181"/>
        <v>5.7807073882667895E-4</v>
      </c>
      <c r="V244" s="81">
        <f t="shared" si="182"/>
        <v>0</v>
      </c>
      <c r="W244" s="77">
        <f t="shared" si="162"/>
        <v>0.73328670970519572</v>
      </c>
      <c r="X244" s="82">
        <f t="shared" si="183"/>
        <v>3.0489801222297156E-5</v>
      </c>
      <c r="Y244" s="82">
        <f t="shared" si="184"/>
        <v>4.2388277487220882E-4</v>
      </c>
      <c r="Z244" s="82">
        <f t="shared" si="185"/>
        <v>0</v>
      </c>
      <c r="AA244" s="82">
        <f t="shared" si="186"/>
        <v>0.73283233712910123</v>
      </c>
      <c r="AC244" s="46">
        <f t="shared" si="163"/>
        <v>0</v>
      </c>
      <c r="AD244" s="15">
        <f t="shared" si="187"/>
        <v>0</v>
      </c>
      <c r="AE244" s="46">
        <f t="shared" si="188"/>
        <v>0</v>
      </c>
      <c r="AF244" s="15">
        <f t="shared" si="189"/>
        <v>0</v>
      </c>
      <c r="AG244" s="46">
        <f>SUMPRODUCT(AE245:AE$605, $I244:$I$604) / $I244</f>
        <v>0</v>
      </c>
      <c r="AI244" s="46">
        <f t="shared" si="164"/>
        <v>-47000</v>
      </c>
      <c r="AJ244" s="46">
        <f>IF(E244&gt;Mat_Year,0,  -SUM($AD$5:AD244))</f>
        <v>-9306</v>
      </c>
      <c r="AK244" s="24">
        <f t="shared" si="190"/>
        <v>-0.28373809017469731</v>
      </c>
      <c r="AL244" s="79">
        <f t="shared" si="191"/>
        <v>-19.922490418993814</v>
      </c>
      <c r="AM244" s="24">
        <f t="shared" si="192"/>
        <v>-27.555699894372896</v>
      </c>
      <c r="AN244" s="79">
        <f t="shared" si="193"/>
        <v>-20.206228509168511</v>
      </c>
      <c r="AO244" s="15">
        <f t="shared" si="194"/>
        <v>-163.07155207160935</v>
      </c>
      <c r="AP244" s="46">
        <f>SUMPRODUCT(AN245:AN$605, $I245:$I$605) / $I244</f>
        <v>-119.57820186510992</v>
      </c>
      <c r="AR244" s="46">
        <v>0</v>
      </c>
      <c r="AS244" s="46">
        <v>0</v>
      </c>
      <c r="AT244" s="46">
        <v>0</v>
      </c>
      <c r="AU244" s="95">
        <f t="shared" si="165"/>
        <v>-2.7659221510274716</v>
      </c>
      <c r="AV244" s="47">
        <f t="shared" si="166"/>
        <v>0.1</v>
      </c>
      <c r="AW244" s="96">
        <f t="shared" si="195"/>
        <v>-3.0425143661302192</v>
      </c>
      <c r="AX244" s="95">
        <f t="shared" si="167"/>
        <v>-31.715907331781672</v>
      </c>
      <c r="AY244" s="11">
        <f t="shared" si="168"/>
        <v>0.1</v>
      </c>
      <c r="AZ244" s="96">
        <f t="shared" si="196"/>
        <v>-34.887498064959843</v>
      </c>
      <c r="BA244" s="95">
        <f t="shared" si="197"/>
        <v>-2.2310353487704178</v>
      </c>
      <c r="BB244" s="64">
        <f t="shared" si="198"/>
        <v>-1.5851922369267895E-2</v>
      </c>
      <c r="BC244" s="95">
        <f t="shared" si="210"/>
        <v>-3.0425143661302196</v>
      </c>
      <c r="BD244" s="96">
        <f t="shared" si="210"/>
        <v>-2.1617632175061328E-2</v>
      </c>
      <c r="BE244" s="96">
        <f t="shared" si="199"/>
        <v>-2.2310353487704178</v>
      </c>
      <c r="BF244" s="96">
        <f t="shared" si="200"/>
        <v>-1.5851922369267895E-2</v>
      </c>
      <c r="BG244" s="15">
        <f t="shared" si="201"/>
        <v>-18.316501849616053</v>
      </c>
      <c r="BH244" s="46">
        <f>(SUMPRODUCT(BE245:BE$605,$I244:$I$604)+SUMPRODUCT(BF245:BF$605,$I245:$I$605)) / $I244</f>
        <v>-13.431247374614086</v>
      </c>
      <c r="BJ244" s="46">
        <f t="shared" si="202"/>
        <v>-2.2310353487704178</v>
      </c>
      <c r="BK244" s="46">
        <f t="shared" si="203"/>
        <v>-20.22208043153778</v>
      </c>
      <c r="BM244" s="49">
        <f t="shared" si="169"/>
        <v>181.50051860537926</v>
      </c>
      <c r="BN244" s="50">
        <f t="shared" si="204"/>
        <v>133.00944923972401</v>
      </c>
      <c r="BP244" s="68">
        <f>INDEX(Others!$H$11:$I$60, MATCH(C244, Others!$A$11:$A$60, 0), MATCH(BP$3, Others!$H$10:$I$10, 0))</f>
        <v>3.0518181818182E-2</v>
      </c>
      <c r="BQ244" s="16">
        <f t="shared" si="205"/>
        <v>2.5082875760633616E-3</v>
      </c>
      <c r="BR244" s="69">
        <f t="shared" si="206"/>
        <v>0.54946613200756822</v>
      </c>
      <c r="BT244" s="46">
        <f t="shared" si="207"/>
        <v>133.37906826274093</v>
      </c>
      <c r="BU244" s="49">
        <f t="shared" si="170"/>
        <v>0.50437051463220128</v>
      </c>
      <c r="BV244" s="46">
        <f t="shared" si="208"/>
        <v>0.36961902301692362</v>
      </c>
      <c r="BX244" s="46">
        <f t="shared" si="209"/>
        <v>182.00488912001146</v>
      </c>
    </row>
    <row r="245" spans="1:76" x14ac:dyDescent="0.25">
      <c r="A245" s="61">
        <f t="shared" si="159"/>
        <v>19.999999999999986</v>
      </c>
      <c r="B245" s="32">
        <f t="shared" si="171"/>
        <v>12</v>
      </c>
      <c r="C245" s="62">
        <f t="shared" si="172"/>
        <v>20</v>
      </c>
      <c r="D245" s="64">
        <f t="shared" si="173"/>
        <v>20.499999999999986</v>
      </c>
      <c r="E245" s="28">
        <f t="shared" si="174"/>
        <v>20</v>
      </c>
      <c r="G245" s="68">
        <f>INDEX(Others!$D$11:$E$60, MATCH(C245, Others!$A$11:$A$60, 0), MATCH(G$3, Others!$D$10:$E$10, 0))</f>
        <v>4.0690909090909333E-2</v>
      </c>
      <c r="H245" s="16">
        <f t="shared" si="175"/>
        <v>3.329265421250005E-3</v>
      </c>
      <c r="I245" s="69">
        <f t="shared" si="176"/>
        <v>0.4503651571739129</v>
      </c>
      <c r="K245" s="80">
        <f>INDEX(Mortality!$B$7:$F$32, MATCH( E245,Mortality!$A$7:$A$32, 0), MATCH( K$3,Mortality!$B$6:$F$6,0))</f>
        <v>0.434</v>
      </c>
      <c r="L245" s="11" cm="1">
        <f t="array" ref="L245">PAD_Res_Mort</f>
        <v>0.15</v>
      </c>
      <c r="M245" s="80">
        <f t="shared" si="177"/>
        <v>0.49909999999999993</v>
      </c>
      <c r="N245" s="76">
        <f>INDEX('Myopia_(Reserve)'!$H:$H, MATCH(E245, 'Myopia_(Reserve)'!$A:$A, 0)) * Trend_Factor_Reserve^(A245)</f>
        <v>5.3360375891693437</v>
      </c>
      <c r="O245" s="11">
        <f t="shared" si="160"/>
        <v>0.3</v>
      </c>
      <c r="P245" s="80">
        <f t="shared" si="178"/>
        <v>6.9368488659201466</v>
      </c>
      <c r="Q245" s="76">
        <f>VLOOKUP(C245,Others!$L$10:$M$61,2)</f>
        <v>0</v>
      </c>
      <c r="R245" s="11">
        <f t="shared" si="161"/>
        <v>0</v>
      </c>
      <c r="S245" s="80">
        <f t="shared" si="179"/>
        <v>0</v>
      </c>
      <c r="T245" s="78">
        <f t="shared" si="180"/>
        <v>4.1591666666666663E-5</v>
      </c>
      <c r="U245" s="81">
        <f t="shared" si="181"/>
        <v>5.7807073882667895E-4</v>
      </c>
      <c r="V245" s="81">
        <f t="shared" si="182"/>
        <v>0</v>
      </c>
      <c r="W245" s="77">
        <f t="shared" si="162"/>
        <v>0.73283233712910123</v>
      </c>
      <c r="X245" s="82">
        <f t="shared" si="183"/>
        <v>3.0470908571792754E-5</v>
      </c>
      <c r="Y245" s="82">
        <f t="shared" si="184"/>
        <v>4.2362012084366633E-4</v>
      </c>
      <c r="Z245" s="82">
        <f t="shared" si="185"/>
        <v>0</v>
      </c>
      <c r="AA245" s="82">
        <f t="shared" si="186"/>
        <v>0.73237824609968583</v>
      </c>
      <c r="AC245" s="46">
        <f t="shared" si="163"/>
        <v>0</v>
      </c>
      <c r="AD245" s="15">
        <f t="shared" si="187"/>
        <v>0</v>
      </c>
      <c r="AE245" s="46">
        <f t="shared" si="188"/>
        <v>0</v>
      </c>
      <c r="AF245" s="15">
        <f t="shared" si="189"/>
        <v>0</v>
      </c>
      <c r="AG245" s="46">
        <f>SUMPRODUCT(AE246:AE$605, $I245:$I$604) / $I245</f>
        <v>0</v>
      </c>
      <c r="AI245" s="46">
        <f t="shared" si="164"/>
        <v>-47000</v>
      </c>
      <c r="AJ245" s="46">
        <f>IF(E245&gt;Mat_Year,0,  -SUM($AD$5:AD245))</f>
        <v>-9306</v>
      </c>
      <c r="AK245" s="24">
        <f t="shared" si="190"/>
        <v>-0.28356227516910337</v>
      </c>
      <c r="AL245" s="79">
        <f t="shared" si="191"/>
        <v>-19.910145679652317</v>
      </c>
      <c r="AM245" s="24">
        <f t="shared" si="192"/>
        <v>-27.5556998943729</v>
      </c>
      <c r="AN245" s="79">
        <f t="shared" si="193"/>
        <v>-20.19370795482142</v>
      </c>
      <c r="AO245" s="15">
        <f t="shared" si="194"/>
        <v>-136.16020531216651</v>
      </c>
      <c r="AP245" s="46">
        <f>SUMPRODUCT(AN246:AN$605, $I246:$I$605) / $I245</f>
        <v>-99.782601482893256</v>
      </c>
      <c r="AR245" s="46">
        <v>0</v>
      </c>
      <c r="AS245" s="46">
        <v>0</v>
      </c>
      <c r="AT245" s="46">
        <v>0</v>
      </c>
      <c r="AU245" s="95">
        <f t="shared" si="165"/>
        <v>-2.771281268494838</v>
      </c>
      <c r="AV245" s="47">
        <f t="shared" si="166"/>
        <v>0.1</v>
      </c>
      <c r="AW245" s="96">
        <f t="shared" si="195"/>
        <v>-3.0484093953443221</v>
      </c>
      <c r="AX245" s="95">
        <f t="shared" si="167"/>
        <v>-31.777358545407473</v>
      </c>
      <c r="AY245" s="11">
        <f t="shared" si="168"/>
        <v>0.1</v>
      </c>
      <c r="AZ245" s="96">
        <f t="shared" si="196"/>
        <v>-34.955094399948223</v>
      </c>
      <c r="BA245" s="95">
        <f t="shared" si="197"/>
        <v>-2.2339729817164899</v>
      </c>
      <c r="BB245" s="64">
        <f t="shared" si="198"/>
        <v>-1.5872794799387038E-2</v>
      </c>
      <c r="BC245" s="95">
        <f t="shared" si="210"/>
        <v>-3.0484093953443221</v>
      </c>
      <c r="BD245" s="96">
        <f t="shared" si="210"/>
        <v>-2.1659517457389123E-2</v>
      </c>
      <c r="BE245" s="96">
        <f t="shared" si="199"/>
        <v>-2.2339729817164899</v>
      </c>
      <c r="BF245" s="96">
        <f t="shared" si="200"/>
        <v>-1.5872794799387038E-2</v>
      </c>
      <c r="BG245" s="15">
        <f t="shared" si="201"/>
        <v>-15.30865892258022</v>
      </c>
      <c r="BH245" s="46">
        <f>(SUMPRODUCT(BE246:BE$605,$I245:$I$604)+SUMPRODUCT(BF246:BF$605,$I246:$I$605)) / $I245</f>
        <v>-11.218680296546731</v>
      </c>
      <c r="BJ245" s="46">
        <f t="shared" si="202"/>
        <v>-2.2339729817164899</v>
      </c>
      <c r="BK245" s="46">
        <f t="shared" si="203"/>
        <v>-20.209580749620805</v>
      </c>
      <c r="BM245" s="49">
        <f t="shared" si="169"/>
        <v>151.56277834654765</v>
      </c>
      <c r="BN245" s="50">
        <f t="shared" si="204"/>
        <v>111.00128177944001</v>
      </c>
      <c r="BP245" s="68">
        <f>INDEX(Others!$H$11:$I$60, MATCH(C245, Others!$A$11:$A$60, 0), MATCH(BP$3, Others!$H$10:$I$10, 0))</f>
        <v>3.0518181818182E-2</v>
      </c>
      <c r="BQ245" s="16">
        <f t="shared" si="205"/>
        <v>2.5082875760633616E-3</v>
      </c>
      <c r="BR245" s="69">
        <f t="shared" si="206"/>
        <v>0.54809136125558322</v>
      </c>
      <c r="BT245" s="46">
        <f t="shared" si="207"/>
        <v>111.26446414455867</v>
      </c>
      <c r="BU245" s="49">
        <f t="shared" si="170"/>
        <v>0.35935306178229115</v>
      </c>
      <c r="BV245" s="46">
        <f t="shared" si="208"/>
        <v>0.26318236511866644</v>
      </c>
      <c r="BX245" s="46">
        <f t="shared" si="209"/>
        <v>151.92213140832993</v>
      </c>
    </row>
    <row r="246" spans="1:76" x14ac:dyDescent="0.25">
      <c r="A246" s="61">
        <f t="shared" si="159"/>
        <v>20.083333333333318</v>
      </c>
      <c r="B246" s="32">
        <f t="shared" si="171"/>
        <v>1</v>
      </c>
      <c r="C246" s="62">
        <f t="shared" si="172"/>
        <v>21</v>
      </c>
      <c r="D246" s="64">
        <f t="shared" si="173"/>
        <v>20.583333333333318</v>
      </c>
      <c r="E246" s="28">
        <f t="shared" si="174"/>
        <v>20</v>
      </c>
      <c r="G246" s="68">
        <f>INDEX(Others!$D$11:$E$60, MATCH(C246, Others!$A$11:$A$60, 0), MATCH(G$3, Others!$D$10:$E$10, 0))</f>
        <v>4.0690909090909111E-2</v>
      </c>
      <c r="H246" s="16">
        <f t="shared" si="175"/>
        <v>3.329265421250005E-3</v>
      </c>
      <c r="I246" s="69">
        <f t="shared" si="176"/>
        <v>0.4488707473162622</v>
      </c>
      <c r="K246" s="80">
        <f>INDEX(Mortality!$B$7:$F$32, MATCH( E246,Mortality!$A$7:$A$32, 0), MATCH( K$3,Mortality!$B$6:$F$6,0))</f>
        <v>0.434</v>
      </c>
      <c r="L246" s="11" cm="1">
        <f t="array" ref="L246">PAD_Res_Mort</f>
        <v>0.15</v>
      </c>
      <c r="M246" s="80">
        <f t="shared" si="177"/>
        <v>0.49909999999999993</v>
      </c>
      <c r="N246" s="76">
        <f>INDEX('Myopia_(Reserve)'!$H:$H, MATCH(E246, 'Myopia_(Reserve)'!$A:$A, 0)) * Trend_Factor_Reserve^(A246)</f>
        <v>5.3360375891693437</v>
      </c>
      <c r="O246" s="11">
        <f t="shared" si="160"/>
        <v>0.3</v>
      </c>
      <c r="P246" s="80">
        <f t="shared" si="178"/>
        <v>6.9368488659201466</v>
      </c>
      <c r="Q246" s="76">
        <f>VLOOKUP(C246,Others!$L$10:$M$61,2)</f>
        <v>0</v>
      </c>
      <c r="R246" s="11">
        <f t="shared" si="161"/>
        <v>0</v>
      </c>
      <c r="S246" s="80">
        <f t="shared" si="179"/>
        <v>0</v>
      </c>
      <c r="T246" s="78">
        <f t="shared" si="180"/>
        <v>4.1591666666666663E-5</v>
      </c>
      <c r="U246" s="81">
        <f t="shared" si="181"/>
        <v>5.7807073882667895E-4</v>
      </c>
      <c r="V246" s="81">
        <f t="shared" si="182"/>
        <v>0</v>
      </c>
      <c r="W246" s="77">
        <f t="shared" si="162"/>
        <v>0.73237824609968583</v>
      </c>
      <c r="X246" s="82">
        <f t="shared" si="183"/>
        <v>3.0452027627899377E-5</v>
      </c>
      <c r="Y246" s="82">
        <f t="shared" si="184"/>
        <v>4.2335762956563597E-4</v>
      </c>
      <c r="Z246" s="82">
        <f t="shared" si="185"/>
        <v>0</v>
      </c>
      <c r="AA246" s="82">
        <f t="shared" si="186"/>
        <v>0.73192443644249228</v>
      </c>
      <c r="AC246" s="46">
        <f t="shared" si="163"/>
        <v>0</v>
      </c>
      <c r="AD246" s="15">
        <f t="shared" si="187"/>
        <v>0</v>
      </c>
      <c r="AE246" s="46">
        <f t="shared" si="188"/>
        <v>0</v>
      </c>
      <c r="AF246" s="15">
        <f t="shared" si="189"/>
        <v>0</v>
      </c>
      <c r="AG246" s="46">
        <f>SUMPRODUCT(AE247:AE$605, $I246:$I$604) / $I246</f>
        <v>0</v>
      </c>
      <c r="AI246" s="46">
        <f t="shared" si="164"/>
        <v>-47000</v>
      </c>
      <c r="AJ246" s="46">
        <f>IF(E246&gt;Mat_Year,0,  -SUM($AD$5:AD246))</f>
        <v>-9306</v>
      </c>
      <c r="AK246" s="24">
        <f t="shared" si="190"/>
        <v>-0.28338656910523163</v>
      </c>
      <c r="AL246" s="79">
        <f t="shared" si="191"/>
        <v>-19.897808589584891</v>
      </c>
      <c r="AM246" s="24">
        <f t="shared" si="192"/>
        <v>-27.5556998943729</v>
      </c>
      <c r="AN246" s="79">
        <f t="shared" si="193"/>
        <v>-20.181195158690123</v>
      </c>
      <c r="AO246" s="15">
        <f t="shared" si="194"/>
        <v>-109.14252234368325</v>
      </c>
      <c r="AP246" s="46">
        <f>SUMPRODUCT(AN247:AN$605, $I247:$I$605) / $I246</f>
        <v>-79.933609088962513</v>
      </c>
      <c r="AR246" s="46">
        <v>0</v>
      </c>
      <c r="AS246" s="46">
        <v>0</v>
      </c>
      <c r="AT246" s="46">
        <v>0</v>
      </c>
      <c r="AU246" s="95">
        <f t="shared" si="165"/>
        <v>-2.7766507695299483</v>
      </c>
      <c r="AV246" s="47">
        <f t="shared" si="166"/>
        <v>0.1</v>
      </c>
      <c r="AW246" s="96">
        <f t="shared" si="195"/>
        <v>-3.0543158464829432</v>
      </c>
      <c r="AX246" s="95">
        <f t="shared" si="167"/>
        <v>-31.838928823943402</v>
      </c>
      <c r="AY246" s="11">
        <f t="shared" si="168"/>
        <v>0.1</v>
      </c>
      <c r="AZ246" s="96">
        <f t="shared" si="196"/>
        <v>-35.022821706337744</v>
      </c>
      <c r="BA246" s="95">
        <f t="shared" si="197"/>
        <v>-2.2369144826816552</v>
      </c>
      <c r="BB246" s="64">
        <f t="shared" si="198"/>
        <v>-1.5893694712503438E-2</v>
      </c>
      <c r="BC246" s="95">
        <f t="shared" si="210"/>
        <v>-3.0543158464829432</v>
      </c>
      <c r="BD246" s="96">
        <f t="shared" si="210"/>
        <v>-2.170148389462145E-2</v>
      </c>
      <c r="BE246" s="96">
        <f t="shared" si="199"/>
        <v>-2.2369144826816552</v>
      </c>
      <c r="BF246" s="96">
        <f t="shared" si="200"/>
        <v>-1.5893694712503438E-2</v>
      </c>
      <c r="BG246" s="15">
        <f t="shared" si="201"/>
        <v>-12.282962867078387</v>
      </c>
      <c r="BH246" s="46">
        <f>(SUMPRODUCT(BE247:BE$605,$I246:$I$604)+SUMPRODUCT(BF247:BF$605,$I247:$I$605)) / $I246</f>
        <v>-8.9957748014984382</v>
      </c>
      <c r="BJ246" s="46">
        <f t="shared" si="202"/>
        <v>-2.2369144826816552</v>
      </c>
      <c r="BK246" s="46">
        <f>SUM(AN246,BF246)</f>
        <v>-20.197088853402626</v>
      </c>
      <c r="BM246" s="49">
        <f t="shared" si="169"/>
        <v>121.50077175001958</v>
      </c>
      <c r="BN246" s="50">
        <f t="shared" si="204"/>
        <v>88.929383890460969</v>
      </c>
      <c r="BP246" s="68">
        <f>INDEX(Others!$H$11:$I$60, MATCH(C246, Others!$A$11:$A$60, 0), MATCH(BP$3, Others!$H$10:$I$10, 0))</f>
        <v>3.0518181818181833E-2</v>
      </c>
      <c r="BQ246" s="16">
        <f t="shared" si="205"/>
        <v>2.5082875760633616E-3</v>
      </c>
      <c r="BR246" s="69">
        <f t="shared" si="206"/>
        <v>0.54672003019625692</v>
      </c>
      <c r="BT246" s="46">
        <f t="shared" si="207"/>
        <v>89.103933256739907</v>
      </c>
      <c r="BU246" s="49">
        <f t="shared" si="170"/>
        <v>0.23848003644656701</v>
      </c>
      <c r="BV246" s="46">
        <f t="shared" si="208"/>
        <v>0.17454936627893858</v>
      </c>
      <c r="BX246" s="46">
        <f t="shared" si="209"/>
        <v>121.73925178646614</v>
      </c>
    </row>
    <row r="247" spans="1:76" x14ac:dyDescent="0.25">
      <c r="A247" s="61">
        <f t="shared" si="159"/>
        <v>20.16666666666665</v>
      </c>
      <c r="B247" s="32">
        <f t="shared" si="171"/>
        <v>2</v>
      </c>
      <c r="C247" s="62">
        <f t="shared" si="172"/>
        <v>21</v>
      </c>
      <c r="D247" s="64">
        <f t="shared" si="173"/>
        <v>20.66666666666665</v>
      </c>
      <c r="E247" s="28">
        <f t="shared" si="174"/>
        <v>20</v>
      </c>
      <c r="G247" s="68">
        <f>INDEX(Others!$D$11:$E$60, MATCH(C247, Others!$A$11:$A$60, 0), MATCH(G$3, Others!$D$10:$E$10, 0))</f>
        <v>4.0690909090909111E-2</v>
      </c>
      <c r="H247" s="16">
        <f t="shared" si="175"/>
        <v>3.329265421250005E-3</v>
      </c>
      <c r="I247" s="69">
        <f t="shared" si="176"/>
        <v>0.44738129623658773</v>
      </c>
      <c r="K247" s="80">
        <f>INDEX(Mortality!$B$7:$F$32, MATCH( E247,Mortality!$A$7:$A$32, 0), MATCH( K$3,Mortality!$B$6:$F$6,0))</f>
        <v>0.434</v>
      </c>
      <c r="L247" s="11" cm="1">
        <f t="array" ref="L247">PAD_Res_Mort</f>
        <v>0.15</v>
      </c>
      <c r="M247" s="80">
        <f t="shared" si="177"/>
        <v>0.49909999999999993</v>
      </c>
      <c r="N247" s="76">
        <f>INDEX('Myopia_(Reserve)'!$H:$H, MATCH(E247, 'Myopia_(Reserve)'!$A:$A, 0)) * Trend_Factor_Reserve^(A247)</f>
        <v>5.3360375891693437</v>
      </c>
      <c r="O247" s="11">
        <f t="shared" si="160"/>
        <v>0.3</v>
      </c>
      <c r="P247" s="80">
        <f t="shared" si="178"/>
        <v>6.9368488659201466</v>
      </c>
      <c r="Q247" s="76">
        <f>VLOOKUP(C247,Others!$L$10:$M$61,2)</f>
        <v>0</v>
      </c>
      <c r="R247" s="11">
        <f t="shared" si="161"/>
        <v>0</v>
      </c>
      <c r="S247" s="80">
        <f t="shared" si="179"/>
        <v>0</v>
      </c>
      <c r="T247" s="78">
        <f t="shared" si="180"/>
        <v>4.1591666666666663E-5</v>
      </c>
      <c r="U247" s="81">
        <f t="shared" si="181"/>
        <v>5.7807073882667895E-4</v>
      </c>
      <c r="V247" s="81">
        <f t="shared" si="182"/>
        <v>0</v>
      </c>
      <c r="W247" s="77">
        <f t="shared" si="162"/>
        <v>0.73192443644249228</v>
      </c>
      <c r="X247" s="82">
        <f t="shared" si="183"/>
        <v>3.0433158383363152E-5</v>
      </c>
      <c r="Y247" s="82">
        <f t="shared" si="184"/>
        <v>4.2309530093727132E-4</v>
      </c>
      <c r="Z247" s="82">
        <f t="shared" si="185"/>
        <v>0</v>
      </c>
      <c r="AA247" s="82">
        <f t="shared" si="186"/>
        <v>0.7314709079831716</v>
      </c>
      <c r="AC247" s="46">
        <f t="shared" si="163"/>
        <v>0</v>
      </c>
      <c r="AD247" s="15">
        <f t="shared" si="187"/>
        <v>0</v>
      </c>
      <c r="AE247" s="46">
        <f t="shared" si="188"/>
        <v>0</v>
      </c>
      <c r="AF247" s="15">
        <f t="shared" si="189"/>
        <v>0</v>
      </c>
      <c r="AG247" s="46">
        <f>SUMPRODUCT(AE248:AE$605, $I247:$I$604) / $I247</f>
        <v>0</v>
      </c>
      <c r="AI247" s="46">
        <f t="shared" si="164"/>
        <v>-47000</v>
      </c>
      <c r="AJ247" s="46">
        <f>IF(E247&gt;Mat_Year,0,  -SUM($AD$5:AD247))</f>
        <v>-9306</v>
      </c>
      <c r="AK247" s="24">
        <f t="shared" si="190"/>
        <v>-0.28321097191557748</v>
      </c>
      <c r="AL247" s="79">
        <f t="shared" si="191"/>
        <v>-19.88547914405175</v>
      </c>
      <c r="AM247" s="24">
        <f t="shared" si="192"/>
        <v>-27.555699894372896</v>
      </c>
      <c r="AN247" s="79">
        <f t="shared" si="193"/>
        <v>-20.168690115967326</v>
      </c>
      <c r="AO247" s="15">
        <f t="shared" si="194"/>
        <v>-82.018082994346713</v>
      </c>
      <c r="AP247" s="46">
        <f>SUMPRODUCT(AN248:AN$605, $I248:$I$605) / $I247</f>
        <v>-60.031039173730782</v>
      </c>
      <c r="AR247" s="46">
        <v>0</v>
      </c>
      <c r="AS247" s="46">
        <v>0</v>
      </c>
      <c r="AT247" s="46">
        <v>0</v>
      </c>
      <c r="AU247" s="95">
        <f t="shared" si="165"/>
        <v>-2.7820306742515024</v>
      </c>
      <c r="AV247" s="47">
        <f t="shared" si="166"/>
        <v>0.1</v>
      </c>
      <c r="AW247" s="96">
        <f t="shared" si="195"/>
        <v>-3.0602337416766527</v>
      </c>
      <c r="AX247" s="95">
        <f t="shared" si="167"/>
        <v>-31.900618398083893</v>
      </c>
      <c r="AY247" s="11">
        <f t="shared" si="168"/>
        <v>0.1</v>
      </c>
      <c r="AZ247" s="96">
        <f t="shared" si="196"/>
        <v>-35.090680237892286</v>
      </c>
      <c r="BA247" s="95">
        <f t="shared" si="197"/>
        <v>-2.2398598567589834</v>
      </c>
      <c r="BB247" s="64">
        <f t="shared" si="198"/>
        <v>-1.5914622144804325E-2</v>
      </c>
      <c r="BC247" s="95">
        <f t="shared" si="210"/>
        <v>-3.0602337416766523</v>
      </c>
      <c r="BD247" s="96">
        <f t="shared" si="210"/>
        <v>-2.1743531644000173E-2</v>
      </c>
      <c r="BE247" s="96">
        <f t="shared" si="199"/>
        <v>-2.2398598567589834</v>
      </c>
      <c r="BF247" s="96">
        <f t="shared" si="200"/>
        <v>-1.5914622144804325E-2</v>
      </c>
      <c r="BG247" s="15">
        <f t="shared" si="201"/>
        <v>-9.2393315756447087</v>
      </c>
      <c r="BH247" s="46">
        <f>(SUMPRODUCT(BE248:BE$605,$I247:$I$604)+SUMPRODUCT(BF248:BF$605,$I248:$I$605)) / $I247</f>
        <v>-6.7624925566090779</v>
      </c>
      <c r="BJ247" s="46">
        <f t="shared" si="202"/>
        <v>-2.2398598567589834</v>
      </c>
      <c r="BK247" s="46">
        <f t="shared" si="203"/>
        <v>-20.184604738112132</v>
      </c>
      <c r="BM247" s="49">
        <f t="shared" si="169"/>
        <v>91.313996225091884</v>
      </c>
      <c r="BN247" s="50">
        <f t="shared" si="204"/>
        <v>66.793531730339865</v>
      </c>
      <c r="BP247" s="68">
        <f>INDEX(Others!$H$11:$I$60, MATCH(C247, Others!$A$11:$A$60, 0), MATCH(BP$3, Others!$H$10:$I$10, 0))</f>
        <v>3.0518181818181833E-2</v>
      </c>
      <c r="BQ247" s="16">
        <f t="shared" si="205"/>
        <v>2.5082875760633616E-3</v>
      </c>
      <c r="BR247" s="69">
        <f t="shared" si="206"/>
        <v>0.54535213022343776</v>
      </c>
      <c r="BT247" s="46">
        <f t="shared" si="207"/>
        <v>66.897348737984231</v>
      </c>
      <c r="BU247" s="49">
        <f t="shared" si="170"/>
        <v>0.14192909999744616</v>
      </c>
      <c r="BV247" s="46">
        <f t="shared" si="208"/>
        <v>0.1038170076443663</v>
      </c>
      <c r="BX247" s="46">
        <f t="shared" si="209"/>
        <v>91.455925325089325</v>
      </c>
    </row>
    <row r="248" spans="1:76" x14ac:dyDescent="0.25">
      <c r="A248" s="61">
        <f t="shared" si="159"/>
        <v>20.249999999999982</v>
      </c>
      <c r="B248" s="32">
        <f t="shared" si="171"/>
        <v>3</v>
      </c>
      <c r="C248" s="62">
        <f t="shared" si="172"/>
        <v>21</v>
      </c>
      <c r="D248" s="64">
        <f t="shared" si="173"/>
        <v>20.749999999999982</v>
      </c>
      <c r="E248" s="28">
        <f t="shared" si="174"/>
        <v>20</v>
      </c>
      <c r="G248" s="68">
        <f>INDEX(Others!$D$11:$E$60, MATCH(C248, Others!$A$11:$A$60, 0), MATCH(G$3, Others!$D$10:$E$10, 0))</f>
        <v>4.0690909090909111E-2</v>
      </c>
      <c r="H248" s="16">
        <f t="shared" si="175"/>
        <v>3.329265421250005E-3</v>
      </c>
      <c r="I248" s="69">
        <f t="shared" si="176"/>
        <v>0.44589678748058215</v>
      </c>
      <c r="K248" s="80">
        <f>INDEX(Mortality!$B$7:$F$32, MATCH( E248,Mortality!$A$7:$A$32, 0), MATCH( K$3,Mortality!$B$6:$F$6,0))</f>
        <v>0.434</v>
      </c>
      <c r="L248" s="11" cm="1">
        <f t="array" ref="L248">PAD_Res_Mort</f>
        <v>0.15</v>
      </c>
      <c r="M248" s="80">
        <f t="shared" si="177"/>
        <v>0.49909999999999993</v>
      </c>
      <c r="N248" s="76">
        <f>INDEX('Myopia_(Reserve)'!$H:$H, MATCH(E248, 'Myopia_(Reserve)'!$A:$A, 0)) * Trend_Factor_Reserve^(A248)</f>
        <v>5.3360375891693437</v>
      </c>
      <c r="O248" s="11">
        <f t="shared" si="160"/>
        <v>0.3</v>
      </c>
      <c r="P248" s="80">
        <f t="shared" si="178"/>
        <v>6.9368488659201466</v>
      </c>
      <c r="Q248" s="76">
        <f>VLOOKUP(C248,Others!$L$10:$M$61,2)</f>
        <v>0</v>
      </c>
      <c r="R248" s="11">
        <f t="shared" si="161"/>
        <v>0</v>
      </c>
      <c r="S248" s="80">
        <f t="shared" si="179"/>
        <v>0</v>
      </c>
      <c r="T248" s="78">
        <f t="shared" si="180"/>
        <v>4.1591666666666663E-5</v>
      </c>
      <c r="U248" s="81">
        <f t="shared" si="181"/>
        <v>5.7807073882667895E-4</v>
      </c>
      <c r="V248" s="81">
        <f t="shared" si="182"/>
        <v>0</v>
      </c>
      <c r="W248" s="77">
        <f t="shared" si="162"/>
        <v>0.7314709079831716</v>
      </c>
      <c r="X248" s="82">
        <f t="shared" si="183"/>
        <v>3.0414300830934715E-5</v>
      </c>
      <c r="Y248" s="82">
        <f t="shared" si="184"/>
        <v>4.2283313485778836E-4</v>
      </c>
      <c r="Z248" s="82">
        <f t="shared" si="185"/>
        <v>0</v>
      </c>
      <c r="AA248" s="82">
        <f t="shared" si="186"/>
        <v>0.73101766054748285</v>
      </c>
      <c r="AC248" s="46">
        <f t="shared" si="163"/>
        <v>0</v>
      </c>
      <c r="AD248" s="15">
        <f t="shared" si="187"/>
        <v>0</v>
      </c>
      <c r="AE248" s="46">
        <f t="shared" si="188"/>
        <v>0</v>
      </c>
      <c r="AF248" s="15">
        <f t="shared" si="189"/>
        <v>0</v>
      </c>
      <c r="AG248" s="46">
        <f>SUMPRODUCT(AE249:AE$605, $I248:$I$604) / $I248</f>
        <v>0</v>
      </c>
      <c r="AI248" s="46">
        <f t="shared" si="164"/>
        <v>-47000</v>
      </c>
      <c r="AJ248" s="46">
        <f>IF(E248&gt;Mat_Year,0,  -SUM($AD$5:AD248))</f>
        <v>-9306</v>
      </c>
      <c r="AK248" s="24">
        <f t="shared" si="190"/>
        <v>-0.28303548353267843</v>
      </c>
      <c r="AL248" s="79">
        <f t="shared" si="191"/>
        <v>-19.873157338316052</v>
      </c>
      <c r="AM248" s="24">
        <f t="shared" si="192"/>
        <v>-27.5556998943729</v>
      </c>
      <c r="AN248" s="79">
        <f t="shared" si="193"/>
        <v>-20.15619282184873</v>
      </c>
      <c r="AO248" s="15">
        <f t="shared" si="194"/>
        <v>-54.786465432097316</v>
      </c>
      <c r="AP248" s="46">
        <f>SUMPRODUCT(AN249:AN$605, $I249:$I$605) / $I248</f>
        <v>-40.07470561480487</v>
      </c>
      <c r="AR248" s="46">
        <v>0</v>
      </c>
      <c r="AS248" s="46">
        <v>0</v>
      </c>
      <c r="AT248" s="46">
        <v>0</v>
      </c>
      <c r="AU248" s="95">
        <f t="shared" si="165"/>
        <v>-2.7874210028171822</v>
      </c>
      <c r="AV248" s="47">
        <f t="shared" si="166"/>
        <v>0.1</v>
      </c>
      <c r="AW248" s="96">
        <f t="shared" si="195"/>
        <v>-3.0661631030989005</v>
      </c>
      <c r="AX248" s="95">
        <f t="shared" si="167"/>
        <v>-31.962427498970349</v>
      </c>
      <c r="AY248" s="11">
        <f t="shared" si="168"/>
        <v>0.1</v>
      </c>
      <c r="AZ248" s="96">
        <f t="shared" si="196"/>
        <v>-35.158670248867388</v>
      </c>
      <c r="BA248" s="95">
        <f t="shared" si="197"/>
        <v>-2.2428091090482516</v>
      </c>
      <c r="BB248" s="64">
        <f t="shared" si="198"/>
        <v>-1.5935577132524543E-2</v>
      </c>
      <c r="BC248" s="95">
        <f t="shared" si="210"/>
        <v>-3.0661631030989005</v>
      </c>
      <c r="BD248" s="96">
        <f t="shared" si="210"/>
        <v>-2.1785660863071755E-2</v>
      </c>
      <c r="BE248" s="96">
        <f t="shared" si="199"/>
        <v>-2.2428091090482516</v>
      </c>
      <c r="BF248" s="96">
        <f t="shared" si="200"/>
        <v>-1.5935577132524543E-2</v>
      </c>
      <c r="BG248" s="15">
        <f t="shared" si="201"/>
        <v>-6.1776825939729987</v>
      </c>
      <c r="BH248" s="46">
        <f>(SUMPRODUCT(BE249:BE$605,$I248:$I$604)+SUMPRODUCT(BF249:BF$605,$I249:$I$605)) / $I248</f>
        <v>-4.5187950962452641</v>
      </c>
      <c r="BJ248" s="46">
        <f t="shared" si="202"/>
        <v>-2.2428091090482516</v>
      </c>
      <c r="BK248" s="46">
        <f t="shared" si="203"/>
        <v>-20.172128398981254</v>
      </c>
      <c r="BM248" s="49">
        <f t="shared" si="169"/>
        <v>61.001947172729871</v>
      </c>
      <c r="BN248" s="50">
        <f t="shared" si="204"/>
        <v>44.593500711050126</v>
      </c>
      <c r="BP248" s="68">
        <f>INDEX(Others!$H$11:$I$60, MATCH(C248, Others!$A$11:$A$60, 0), MATCH(BP$3, Others!$H$10:$I$10, 0))</f>
        <v>3.0518181818181833E-2</v>
      </c>
      <c r="BQ248" s="16">
        <f t="shared" si="205"/>
        <v>2.5082875760633616E-3</v>
      </c>
      <c r="BR248" s="69">
        <f t="shared" si="206"/>
        <v>0.54398765275250682</v>
      </c>
      <c r="BT248" s="46">
        <f t="shared" si="207"/>
        <v>44.644583408442088</v>
      </c>
      <c r="BU248" s="49">
        <f t="shared" si="170"/>
        <v>6.9878882753262817E-2</v>
      </c>
      <c r="BV248" s="46">
        <f t="shared" si="208"/>
        <v>5.1082697391962029E-2</v>
      </c>
      <c r="BX248" s="46">
        <f t="shared" si="209"/>
        <v>61.071826055483136</v>
      </c>
    </row>
    <row r="249" spans="1:76" x14ac:dyDescent="0.25">
      <c r="A249" s="61">
        <f t="shared" si="159"/>
        <v>20.333333333333314</v>
      </c>
      <c r="B249" s="32">
        <f t="shared" si="171"/>
        <v>4</v>
      </c>
      <c r="C249" s="62">
        <f t="shared" si="172"/>
        <v>21</v>
      </c>
      <c r="D249" s="64">
        <f t="shared" si="173"/>
        <v>20.833333333333314</v>
      </c>
      <c r="E249" s="28">
        <f t="shared" si="174"/>
        <v>20</v>
      </c>
      <c r="G249" s="68">
        <f>INDEX(Others!$D$11:$E$60, MATCH(C249, Others!$A$11:$A$60, 0), MATCH(G$3, Others!$D$10:$E$10, 0))</f>
        <v>4.0690909090909111E-2</v>
      </c>
      <c r="H249" s="16">
        <f t="shared" si="175"/>
        <v>3.329265421250005E-3</v>
      </c>
      <c r="I249" s="69">
        <f t="shared" si="176"/>
        <v>0.44441720464853718</v>
      </c>
      <c r="K249" s="80">
        <f>INDEX(Mortality!$B$7:$F$32, MATCH( E249,Mortality!$A$7:$A$32, 0), MATCH( K$3,Mortality!$B$6:$F$6,0))</f>
        <v>0.434</v>
      </c>
      <c r="L249" s="11" cm="1">
        <f t="array" ref="L249">PAD_Res_Mort</f>
        <v>0.15</v>
      </c>
      <c r="M249" s="80">
        <f t="shared" si="177"/>
        <v>0.49909999999999993</v>
      </c>
      <c r="N249" s="76">
        <f>INDEX('Myopia_(Reserve)'!$H:$H, MATCH(E249, 'Myopia_(Reserve)'!$A:$A, 0)) * Trend_Factor_Reserve^(A249)</f>
        <v>5.3360375891693437</v>
      </c>
      <c r="O249" s="11">
        <f t="shared" si="160"/>
        <v>0.3</v>
      </c>
      <c r="P249" s="80">
        <f t="shared" si="178"/>
        <v>6.9368488659201466</v>
      </c>
      <c r="Q249" s="76">
        <f>VLOOKUP(C249,Others!$L$10:$M$61,2)</f>
        <v>0</v>
      </c>
      <c r="R249" s="11">
        <f t="shared" si="161"/>
        <v>0</v>
      </c>
      <c r="S249" s="80">
        <f t="shared" si="179"/>
        <v>0</v>
      </c>
      <c r="T249" s="78">
        <f t="shared" si="180"/>
        <v>4.1591666666666663E-5</v>
      </c>
      <c r="U249" s="81">
        <f t="shared" si="181"/>
        <v>5.7807073882667895E-4</v>
      </c>
      <c r="V249" s="81">
        <f t="shared" si="182"/>
        <v>0</v>
      </c>
      <c r="W249" s="77">
        <f t="shared" si="162"/>
        <v>0.73101766054748285</v>
      </c>
      <c r="X249" s="82">
        <f t="shared" si="183"/>
        <v>3.0395454963369187E-5</v>
      </c>
      <c r="Y249" s="82">
        <f t="shared" si="184"/>
        <v>4.2257113122646562E-4</v>
      </c>
      <c r="Z249" s="82">
        <f t="shared" si="185"/>
        <v>0</v>
      </c>
      <c r="AA249" s="82">
        <f t="shared" si="186"/>
        <v>0.73056469396129298</v>
      </c>
      <c r="AC249" s="46">
        <f t="shared" si="163"/>
        <v>0</v>
      </c>
      <c r="AD249" s="15">
        <f t="shared" si="187"/>
        <v>0</v>
      </c>
      <c r="AE249" s="46">
        <f t="shared" si="188"/>
        <v>0</v>
      </c>
      <c r="AF249" s="15">
        <f t="shared" si="189"/>
        <v>0</v>
      </c>
      <c r="AG249" s="46">
        <f>SUMPRODUCT(AE250:AE$605, $I249:$I$604) / $I249</f>
        <v>0</v>
      </c>
      <c r="AI249" s="46">
        <f t="shared" si="164"/>
        <v>-47000</v>
      </c>
      <c r="AJ249" s="46">
        <f>IF(E249&gt;Mat_Year,0,  -SUM($AD$5:AD249))</f>
        <v>-9306</v>
      </c>
      <c r="AK249" s="24">
        <f t="shared" si="190"/>
        <v>-0.28286010388911365</v>
      </c>
      <c r="AL249" s="79">
        <f t="shared" si="191"/>
        <v>-19.860843167643885</v>
      </c>
      <c r="AM249" s="24">
        <f t="shared" si="192"/>
        <v>-27.555699894372903</v>
      </c>
      <c r="AN249" s="79">
        <f t="shared" si="193"/>
        <v>-20.143703271532999</v>
      </c>
      <c r="AO249" s="15">
        <f t="shared" si="194"/>
        <v>-27.447246158068342</v>
      </c>
      <c r="AP249" s="46">
        <f>SUMPRODUCT(AN250:AN$605, $I250:$I$605) / $I249</f>
        <v>-20.064421674942007</v>
      </c>
      <c r="AR249" s="46">
        <v>0</v>
      </c>
      <c r="AS249" s="46">
        <v>0</v>
      </c>
      <c r="AT249" s="46">
        <v>0</v>
      </c>
      <c r="AU249" s="95">
        <f t="shared" si="165"/>
        <v>-2.7928217754237261</v>
      </c>
      <c r="AV249" s="47">
        <f t="shared" si="166"/>
        <v>0.1</v>
      </c>
      <c r="AW249" s="96">
        <f t="shared" si="195"/>
        <v>-3.0721039529660992</v>
      </c>
      <c r="AX249" s="95">
        <f t="shared" si="167"/>
        <v>-32.024356358192051</v>
      </c>
      <c r="AY249" s="11">
        <f t="shared" si="168"/>
        <v>0.1</v>
      </c>
      <c r="AZ249" s="96">
        <f t="shared" si="196"/>
        <v>-35.226791994011258</v>
      </c>
      <c r="BA249" s="95">
        <f t="shared" si="197"/>
        <v>-2.245762244655952</v>
      </c>
      <c r="BB249" s="64">
        <f t="shared" si="198"/>
        <v>-1.5956559711946684E-2</v>
      </c>
      <c r="BC249" s="95">
        <f t="shared" si="210"/>
        <v>-3.0721039529660992</v>
      </c>
      <c r="BD249" s="96">
        <f t="shared" si="210"/>
        <v>-2.182787170968797E-2</v>
      </c>
      <c r="BE249" s="96">
        <f t="shared" si="199"/>
        <v>-2.245762244655952</v>
      </c>
      <c r="BF249" s="96">
        <f t="shared" si="200"/>
        <v>-1.5956559711946684E-2</v>
      </c>
      <c r="BG249" s="15">
        <f t="shared" si="201"/>
        <v>-3.0979331195028328</v>
      </c>
      <c r="BH249" s="46">
        <f>(SUMPRODUCT(BE250:BE$605,$I249:$I$604)+SUMPRODUCT(BF250:BF$605,$I250:$I$605)) / $I249</f>
        <v>-2.2646438215515263</v>
      </c>
      <c r="BJ249" s="46">
        <f t="shared" si="202"/>
        <v>-2.245762244655952</v>
      </c>
      <c r="BK249" s="46">
        <f t="shared" si="203"/>
        <v>-20.159659831244944</v>
      </c>
      <c r="BM249" s="49">
        <f t="shared" si="169"/>
        <v>30.564117977588143</v>
      </c>
      <c r="BN249" s="50">
        <f t="shared" si="204"/>
        <v>22.329065496493534</v>
      </c>
      <c r="BP249" s="68">
        <f>INDEX(Others!$H$11:$I$60, MATCH(C249, Others!$A$11:$A$60, 0), MATCH(BP$3, Others!$H$10:$I$10, 0))</f>
        <v>3.0518181818181833E-2</v>
      </c>
      <c r="BQ249" s="16">
        <f t="shared" si="205"/>
        <v>2.5082875760633616E-3</v>
      </c>
      <c r="BR249" s="69">
        <f t="shared" si="206"/>
        <v>0.54262658922032381</v>
      </c>
      <c r="BT249" s="46">
        <f>MAX(BT250/(1+BQ250) - (BJ250 + BK250/(1+BQ250)),0)</f>
        <v>22.345509768906044</v>
      </c>
      <c r="BU249" s="49">
        <f t="shared" si="170"/>
        <v>2.2508988661011704E-2</v>
      </c>
      <c r="BV249" s="46">
        <f t="shared" si="208"/>
        <v>1.644427241251023E-2</v>
      </c>
      <c r="BX249" s="46">
        <f t="shared" si="209"/>
        <v>30.586626966249156</v>
      </c>
    </row>
    <row r="250" spans="1:76" x14ac:dyDescent="0.25">
      <c r="A250" s="61">
        <f t="shared" si="159"/>
        <v>20.416666666666647</v>
      </c>
      <c r="B250" s="32">
        <f t="shared" si="171"/>
        <v>5</v>
      </c>
      <c r="C250" s="62">
        <f t="shared" si="172"/>
        <v>21</v>
      </c>
      <c r="D250" s="64">
        <f t="shared" si="173"/>
        <v>20.916666666666647</v>
      </c>
      <c r="E250" s="28">
        <f t="shared" si="174"/>
        <v>20</v>
      </c>
      <c r="G250" s="68">
        <f>INDEX(Others!$D$11:$E$60, MATCH(C250, Others!$A$11:$A$60, 0), MATCH(G$3, Others!$D$10:$E$10, 0))</f>
        <v>4.0690909090909111E-2</v>
      </c>
      <c r="H250" s="16">
        <f t="shared" si="175"/>
        <v>3.329265421250005E-3</v>
      </c>
      <c r="I250" s="69">
        <f t="shared" si="176"/>
        <v>0.44294253139516232</v>
      </c>
      <c r="K250" s="80">
        <f>INDEX(Mortality!$B$7:$F$32, MATCH( E250,Mortality!$A$7:$A$32, 0), MATCH( K$3,Mortality!$B$6:$F$6,0))</f>
        <v>0.434</v>
      </c>
      <c r="L250" s="11" cm="1">
        <f t="array" ref="L250">PAD_Res_Mort</f>
        <v>0.15</v>
      </c>
      <c r="M250" s="80">
        <f t="shared" si="177"/>
        <v>0.49909999999999993</v>
      </c>
      <c r="N250" s="76">
        <f>INDEX('Myopia_(Reserve)'!$H:$H, MATCH(E250, 'Myopia_(Reserve)'!$A:$A, 0)) * Trend_Factor_Reserve^(A250)</f>
        <v>5.3360375891693437</v>
      </c>
      <c r="O250" s="11">
        <f t="shared" si="160"/>
        <v>0.3</v>
      </c>
      <c r="P250" s="80">
        <f t="shared" si="178"/>
        <v>6.9368488659201466</v>
      </c>
      <c r="Q250" s="76">
        <f>VLOOKUP(C250,Others!$L$10:$M$61,2)</f>
        <v>0</v>
      </c>
      <c r="R250" s="11">
        <f t="shared" si="161"/>
        <v>0</v>
      </c>
      <c r="S250" s="80">
        <f t="shared" si="179"/>
        <v>0</v>
      </c>
      <c r="T250" s="78">
        <f t="shared" si="180"/>
        <v>4.1591666666666663E-5</v>
      </c>
      <c r="U250" s="81">
        <f t="shared" si="181"/>
        <v>5.7807073882667895E-4</v>
      </c>
      <c r="V250" s="81">
        <f t="shared" si="182"/>
        <v>0</v>
      </c>
      <c r="W250" s="77">
        <f t="shared" si="162"/>
        <v>0.73056469396129298</v>
      </c>
      <c r="X250" s="82">
        <f t="shared" si="183"/>
        <v>3.0376620773426178E-5</v>
      </c>
      <c r="Y250" s="82">
        <f t="shared" si="184"/>
        <v>4.2230928994264395E-4</v>
      </c>
      <c r="Z250" s="82">
        <f t="shared" si="185"/>
        <v>0</v>
      </c>
      <c r="AA250" s="82">
        <f t="shared" si="186"/>
        <v>0.73011200805057686</v>
      </c>
      <c r="AC250" s="46">
        <f t="shared" si="163"/>
        <v>0</v>
      </c>
      <c r="AD250" s="15">
        <f t="shared" si="187"/>
        <v>0</v>
      </c>
      <c r="AE250" s="46">
        <f t="shared" si="188"/>
        <v>0</v>
      </c>
      <c r="AF250" s="15">
        <f t="shared" si="189"/>
        <v>0</v>
      </c>
      <c r="AG250" s="46">
        <f>SUMPRODUCT(AE251:AE$605, $I250:$I$604) / $I250</f>
        <v>0</v>
      </c>
      <c r="AI250" s="46">
        <f t="shared" si="164"/>
        <v>-47000</v>
      </c>
      <c r="AJ250" s="46">
        <f>IF(E250&gt;Mat_Year,0,  -SUM($AD$5:AD250))</f>
        <v>-9306</v>
      </c>
      <c r="AK250" s="24">
        <f t="shared" si="190"/>
        <v>-0.28268483291750401</v>
      </c>
      <c r="AL250" s="79">
        <f t="shared" si="191"/>
        <v>-19.848536627304266</v>
      </c>
      <c r="AM250" s="24">
        <f t="shared" si="192"/>
        <v>-27.5556998943729</v>
      </c>
      <c r="AN250" s="79">
        <f t="shared" si="193"/>
        <v>-20.13122146022177</v>
      </c>
      <c r="AO250" s="15">
        <f t="shared" si="194"/>
        <v>0</v>
      </c>
      <c r="AP250" s="46">
        <f>SUMPRODUCT(AN251:AN$605, $I251:$I$605) / $I250</f>
        <v>0</v>
      </c>
      <c r="AR250" s="46">
        <v>0</v>
      </c>
      <c r="AS250" s="46">
        <v>0</v>
      </c>
      <c r="AT250" s="46">
        <v>0</v>
      </c>
      <c r="AU250" s="95">
        <f t="shared" si="165"/>
        <v>-2.7982330123070036</v>
      </c>
      <c r="AV250" s="47">
        <f t="shared" si="166"/>
        <v>0.1</v>
      </c>
      <c r="AW250" s="96">
        <f t="shared" si="195"/>
        <v>-3.0780563135377044</v>
      </c>
      <c r="AX250" s="95">
        <f t="shared" si="167"/>
        <v>-32.086405207786974</v>
      </c>
      <c r="AY250" s="11">
        <f t="shared" si="168"/>
        <v>0.1</v>
      </c>
      <c r="AZ250" s="96">
        <f t="shared" si="196"/>
        <v>-35.295045728565675</v>
      </c>
      <c r="BA250" s="95">
        <f t="shared" si="197"/>
        <v>-2.2487192686952988</v>
      </c>
      <c r="BB250" s="64">
        <f t="shared" si="198"/>
        <v>-1.5977569919401094E-2</v>
      </c>
      <c r="BC250" s="95">
        <f t="shared" si="210"/>
        <v>-3.0780563135377044</v>
      </c>
      <c r="BD250" s="96">
        <f t="shared" si="210"/>
        <v>-2.1870164342006407E-2</v>
      </c>
      <c r="BE250" s="96">
        <f t="shared" si="199"/>
        <v>-2.2487192686952988</v>
      </c>
      <c r="BF250" s="96">
        <f t="shared" si="200"/>
        <v>-1.5977569919401094E-2</v>
      </c>
      <c r="BG250" s="15">
        <f t="shared" si="201"/>
        <v>0</v>
      </c>
      <c r="BH250" s="46">
        <f>(SUMPRODUCT(BE251:BE$605,$I250:$I$604)+SUMPRODUCT(BF251:BF$605,$I251:$I$605)) / $I250</f>
        <v>0</v>
      </c>
      <c r="BJ250" s="46">
        <f t="shared" si="202"/>
        <v>-2.2487192686952988</v>
      </c>
      <c r="BK250" s="46">
        <f t="shared" si="203"/>
        <v>-20.14719903014117</v>
      </c>
      <c r="BM250" s="49">
        <f t="shared" si="169"/>
        <v>0</v>
      </c>
      <c r="BN250" s="50">
        <f t="shared" si="204"/>
        <v>0</v>
      </c>
      <c r="BP250" s="68">
        <f>INDEX(Others!$H$11:$I$60, MATCH(C250, Others!$A$11:$A$60, 0), MATCH(BP$3, Others!$H$10:$I$10, 0))</f>
        <v>3.0518181818181833E-2</v>
      </c>
      <c r="BQ250" s="16">
        <f>(1+BP250)^(1/12) - 1</f>
        <v>2.5082875760633616E-3</v>
      </c>
      <c r="BR250" s="69">
        <f t="shared" si="206"/>
        <v>0.54126893108517382</v>
      </c>
      <c r="BT250" s="46">
        <f t="shared" si="207"/>
        <v>0</v>
      </c>
      <c r="BU250" s="49">
        <f t="shared" si="170"/>
        <v>0</v>
      </c>
      <c r="BV250" s="46">
        <f t="shared" si="208"/>
        <v>0</v>
      </c>
      <c r="BX250" s="46">
        <f t="shared" si="209"/>
        <v>0</v>
      </c>
    </row>
    <row r="251" spans="1:76" x14ac:dyDescent="0.25">
      <c r="A251" s="61">
        <f t="shared" si="159"/>
        <v>20.499999999999979</v>
      </c>
      <c r="B251" s="32">
        <f t="shared" si="171"/>
        <v>6</v>
      </c>
      <c r="C251" s="62">
        <f t="shared" si="172"/>
        <v>21</v>
      </c>
      <c r="D251" s="64">
        <f t="shared" si="173"/>
        <v>20.999999999999979</v>
      </c>
      <c r="E251" s="28">
        <f t="shared" si="174"/>
        <v>21</v>
      </c>
      <c r="G251" s="68">
        <f>INDEX(Others!$D$11:$E$60, MATCH(C251, Others!$A$11:$A$60, 0), MATCH(G$3, Others!$D$10:$E$10, 0))</f>
        <v>4.0690909090909111E-2</v>
      </c>
      <c r="H251" s="16">
        <f t="shared" si="175"/>
        <v>3.329265421250005E-3</v>
      </c>
      <c r="I251" s="69">
        <f t="shared" si="176"/>
        <v>0.44147275142940429</v>
      </c>
      <c r="K251" s="80">
        <f>INDEX(Mortality!$B$7:$F$32, MATCH( E251,Mortality!$A$7:$A$32, 0), MATCH( K$3,Mortality!$B$6:$F$6,0))</f>
        <v>0.44800000000000001</v>
      </c>
      <c r="L251" s="11" cm="1">
        <f t="array" ref="L251">PAD_Res_Mort</f>
        <v>0.15</v>
      </c>
      <c r="M251" s="80">
        <f t="shared" si="177"/>
        <v>0.51519999999999999</v>
      </c>
      <c r="N251" s="76" t="e">
        <f>INDEX('Myopia_(Reserve)'!$H:$H, MATCH(E251, 'Myopia_(Reserve)'!$A:$A, 0)) * Trend_Factor_Reserve^(A251)</f>
        <v>#N/A</v>
      </c>
      <c r="O251" s="11">
        <f t="shared" si="160"/>
        <v>0.3</v>
      </c>
      <c r="P251" s="80">
        <f t="shared" si="178"/>
        <v>0</v>
      </c>
      <c r="Q251" s="76">
        <f>VLOOKUP(C251,Others!$L$10:$M$61,2)</f>
        <v>0</v>
      </c>
      <c r="R251" s="11">
        <f t="shared" si="161"/>
        <v>0</v>
      </c>
      <c r="S251" s="80">
        <f t="shared" si="179"/>
        <v>0</v>
      </c>
      <c r="T251" s="78">
        <f t="shared" si="180"/>
        <v>4.2933333333333331E-5</v>
      </c>
      <c r="U251" s="81">
        <f t="shared" si="181"/>
        <v>0</v>
      </c>
      <c r="V251" s="81">
        <f t="shared" si="182"/>
        <v>0</v>
      </c>
      <c r="W251" s="77">
        <f t="shared" si="162"/>
        <v>0</v>
      </c>
      <c r="X251" s="82">
        <f t="shared" si="183"/>
        <v>0</v>
      </c>
      <c r="Y251" s="82">
        <f t="shared" si="184"/>
        <v>0</v>
      </c>
      <c r="Z251" s="82">
        <f t="shared" si="185"/>
        <v>0</v>
      </c>
      <c r="AA251" s="82">
        <f t="shared" si="186"/>
        <v>0</v>
      </c>
      <c r="AC251" s="46">
        <f t="shared" si="163"/>
        <v>0</v>
      </c>
      <c r="AD251" s="15">
        <f t="shared" si="187"/>
        <v>0</v>
      </c>
      <c r="AE251" s="46">
        <f t="shared" si="188"/>
        <v>0</v>
      </c>
      <c r="AF251" s="15">
        <f t="shared" si="189"/>
        <v>0</v>
      </c>
      <c r="AG251" s="46">
        <f>SUMPRODUCT(AE252:AE$605, $I251:$I$604) / $I251</f>
        <v>0</v>
      </c>
      <c r="AI251" s="46">
        <f t="shared" si="164"/>
        <v>0</v>
      </c>
      <c r="AJ251" s="46">
        <f>IF(E251&gt;Mat_Year,0,  -SUM($AD$5:AD251))</f>
        <v>0</v>
      </c>
      <c r="AK251" s="24">
        <f t="shared" si="190"/>
        <v>0</v>
      </c>
      <c r="AL251" s="79">
        <f t="shared" si="191"/>
        <v>0</v>
      </c>
      <c r="AM251" s="24">
        <f t="shared" si="192"/>
        <v>0</v>
      </c>
      <c r="AN251" s="79">
        <f t="shared" si="193"/>
        <v>0</v>
      </c>
      <c r="AO251" s="15">
        <f t="shared" si="194"/>
        <v>0</v>
      </c>
      <c r="AP251" s="46">
        <f>SUMPRODUCT(AN252:AN$605, $I252:$I$605) / $I251</f>
        <v>0</v>
      </c>
      <c r="AR251" s="46">
        <v>0</v>
      </c>
      <c r="AS251" s="46">
        <v>0</v>
      </c>
      <c r="AT251" s="46">
        <v>0</v>
      </c>
      <c r="AU251" s="95">
        <f t="shared" si="165"/>
        <v>0</v>
      </c>
      <c r="AV251" s="47">
        <f t="shared" si="166"/>
        <v>0.1</v>
      </c>
      <c r="AW251" s="96">
        <f t="shared" si="195"/>
        <v>0</v>
      </c>
      <c r="AX251" s="95">
        <f t="shared" si="167"/>
        <v>0</v>
      </c>
      <c r="AY251" s="11">
        <f t="shared" si="168"/>
        <v>0.1</v>
      </c>
      <c r="AZ251" s="96">
        <f t="shared" si="196"/>
        <v>0</v>
      </c>
      <c r="BA251" s="95">
        <f t="shared" si="197"/>
        <v>0</v>
      </c>
      <c r="BB251" s="64">
        <f t="shared" si="198"/>
        <v>0</v>
      </c>
      <c r="BC251" s="95">
        <f t="shared" si="210"/>
        <v>0</v>
      </c>
      <c r="BD251" s="96">
        <f t="shared" si="210"/>
        <v>0</v>
      </c>
      <c r="BE251" s="96">
        <f t="shared" si="199"/>
        <v>0</v>
      </c>
      <c r="BF251" s="96">
        <f t="shared" si="200"/>
        <v>0</v>
      </c>
      <c r="BG251" s="15">
        <f t="shared" si="201"/>
        <v>0</v>
      </c>
      <c r="BH251" s="46">
        <f>(SUMPRODUCT(BE252:BE$605,$I251:$I$604)+SUMPRODUCT(BF252:BF$605,$I252:$I$605)) / $I251</f>
        <v>0</v>
      </c>
      <c r="BJ251" s="46">
        <f t="shared" si="202"/>
        <v>0</v>
      </c>
      <c r="BK251" s="46">
        <f t="shared" si="203"/>
        <v>0</v>
      </c>
      <c r="BM251" s="49">
        <f t="shared" si="169"/>
        <v>0</v>
      </c>
      <c r="BN251" s="50">
        <f t="shared" si="204"/>
        <v>0</v>
      </c>
      <c r="BP251" s="68">
        <f>INDEX(Others!$H$11:$I$60, MATCH(C251, Others!$A$11:$A$60, 0), MATCH(BP$3, Others!$H$10:$I$10, 0))</f>
        <v>3.0518181818181833E-2</v>
      </c>
      <c r="BQ251" s="16">
        <f t="shared" si="205"/>
        <v>2.5082875760633616E-3</v>
      </c>
      <c r="BR251" s="69">
        <f t="shared" si="206"/>
        <v>0.5399146698267131</v>
      </c>
      <c r="BT251" s="46">
        <f t="shared" si="207"/>
        <v>0</v>
      </c>
      <c r="BU251" s="49">
        <f t="shared" si="170"/>
        <v>0</v>
      </c>
      <c r="BV251" s="46">
        <f t="shared" si="208"/>
        <v>0</v>
      </c>
      <c r="BX251" s="46">
        <f t="shared" si="209"/>
        <v>0</v>
      </c>
    </row>
    <row r="252" spans="1:76" x14ac:dyDescent="0.25">
      <c r="A252" s="61">
        <f t="shared" si="159"/>
        <v>20.583333333333311</v>
      </c>
      <c r="B252" s="32">
        <f t="shared" si="171"/>
        <v>7</v>
      </c>
      <c r="C252" s="62">
        <f t="shared" si="172"/>
        <v>21</v>
      </c>
      <c r="D252" s="64">
        <f t="shared" si="173"/>
        <v>21.083333333333311</v>
      </c>
      <c r="E252" s="28">
        <f t="shared" si="174"/>
        <v>21</v>
      </c>
      <c r="G252" s="68">
        <f>INDEX(Others!$D$11:$E$60, MATCH(C252, Others!$A$11:$A$60, 0), MATCH(G$3, Others!$D$10:$E$10, 0))</f>
        <v>4.0690909090909111E-2</v>
      </c>
      <c r="H252" s="16">
        <f t="shared" si="175"/>
        <v>3.329265421250005E-3</v>
      </c>
      <c r="I252" s="69">
        <f t="shared" si="176"/>
        <v>0.44000784851426711</v>
      </c>
      <c r="K252" s="80">
        <f>INDEX(Mortality!$B$7:$F$32, MATCH( E252,Mortality!$A$7:$A$32, 0), MATCH( K$3,Mortality!$B$6:$F$6,0))</f>
        <v>0.44800000000000001</v>
      </c>
      <c r="L252" s="11" cm="1">
        <f t="array" ref="L252">PAD_Res_Mort</f>
        <v>0.15</v>
      </c>
      <c r="M252" s="80">
        <f t="shared" si="177"/>
        <v>0.51519999999999999</v>
      </c>
      <c r="N252" s="76" t="e">
        <f>INDEX('Myopia_(Reserve)'!$H:$H, MATCH(E252, 'Myopia_(Reserve)'!$A:$A, 0)) * Trend_Factor_Reserve^(A252)</f>
        <v>#N/A</v>
      </c>
      <c r="O252" s="11">
        <f t="shared" si="160"/>
        <v>0.3</v>
      </c>
      <c r="P252" s="80">
        <f t="shared" si="178"/>
        <v>0</v>
      </c>
      <c r="Q252" s="76">
        <f>VLOOKUP(C252,Others!$L$10:$M$61,2)</f>
        <v>0</v>
      </c>
      <c r="R252" s="11">
        <f t="shared" si="161"/>
        <v>0</v>
      </c>
      <c r="S252" s="80">
        <f t="shared" si="179"/>
        <v>0</v>
      </c>
      <c r="T252" s="78">
        <f t="shared" si="180"/>
        <v>4.2933333333333331E-5</v>
      </c>
      <c r="U252" s="81">
        <f t="shared" si="181"/>
        <v>0</v>
      </c>
      <c r="V252" s="81">
        <f t="shared" si="182"/>
        <v>0</v>
      </c>
      <c r="W252" s="77">
        <f t="shared" si="162"/>
        <v>0</v>
      </c>
      <c r="X252" s="82">
        <f t="shared" si="183"/>
        <v>0</v>
      </c>
      <c r="Y252" s="82">
        <f t="shared" si="184"/>
        <v>0</v>
      </c>
      <c r="Z252" s="82">
        <f t="shared" si="185"/>
        <v>0</v>
      </c>
      <c r="AA252" s="82">
        <f t="shared" si="186"/>
        <v>0</v>
      </c>
      <c r="AC252" s="46">
        <f t="shared" si="163"/>
        <v>0</v>
      </c>
      <c r="AD252" s="15">
        <f t="shared" si="187"/>
        <v>0</v>
      </c>
      <c r="AE252" s="46">
        <f t="shared" si="188"/>
        <v>0</v>
      </c>
      <c r="AF252" s="15">
        <f t="shared" si="189"/>
        <v>0</v>
      </c>
      <c r="AG252" s="46">
        <f>SUMPRODUCT(AE253:AE$605, $I252:$I$604) / $I252</f>
        <v>0</v>
      </c>
      <c r="AI252" s="46">
        <f t="shared" si="164"/>
        <v>0</v>
      </c>
      <c r="AJ252" s="46">
        <f>IF(E252&gt;Mat_Year,0,  -SUM($AD$5:AD252))</f>
        <v>0</v>
      </c>
      <c r="AK252" s="24">
        <f t="shared" si="190"/>
        <v>0</v>
      </c>
      <c r="AL252" s="79">
        <f t="shared" si="191"/>
        <v>0</v>
      </c>
      <c r="AM252" s="24">
        <f t="shared" si="192"/>
        <v>0</v>
      </c>
      <c r="AN252" s="79">
        <f t="shared" si="193"/>
        <v>0</v>
      </c>
      <c r="AO252" s="15">
        <f t="shared" si="194"/>
        <v>0</v>
      </c>
      <c r="AP252" s="46">
        <f>SUMPRODUCT(AN253:AN$605, $I253:$I$605) / $I252</f>
        <v>0</v>
      </c>
      <c r="AR252" s="46">
        <v>0</v>
      </c>
      <c r="AS252" s="46">
        <v>0</v>
      </c>
      <c r="AT252" s="46">
        <v>0</v>
      </c>
      <c r="AU252" s="95">
        <f t="shared" si="165"/>
        <v>0</v>
      </c>
      <c r="AV252" s="47">
        <f t="shared" si="166"/>
        <v>0.1</v>
      </c>
      <c r="AW252" s="96">
        <f t="shared" si="195"/>
        <v>0</v>
      </c>
      <c r="AX252" s="95">
        <f t="shared" si="167"/>
        <v>0</v>
      </c>
      <c r="AY252" s="11">
        <f t="shared" si="168"/>
        <v>0.1</v>
      </c>
      <c r="AZ252" s="96">
        <f t="shared" si="196"/>
        <v>0</v>
      </c>
      <c r="BA252" s="95">
        <f t="shared" si="197"/>
        <v>0</v>
      </c>
      <c r="BB252" s="64">
        <f t="shared" si="198"/>
        <v>0</v>
      </c>
      <c r="BC252" s="95">
        <f t="shared" si="210"/>
        <v>0</v>
      </c>
      <c r="BD252" s="96">
        <f t="shared" si="210"/>
        <v>0</v>
      </c>
      <c r="BE252" s="96">
        <f t="shared" si="199"/>
        <v>0</v>
      </c>
      <c r="BF252" s="96">
        <f t="shared" si="200"/>
        <v>0</v>
      </c>
      <c r="BG252" s="15">
        <f t="shared" si="201"/>
        <v>0</v>
      </c>
      <c r="BH252" s="46">
        <f>(SUMPRODUCT(BE253:BE$605,$I252:$I$604)+SUMPRODUCT(BF253:BF$605,$I253:$I$605)) / $I252</f>
        <v>0</v>
      </c>
      <c r="BJ252" s="46">
        <f t="shared" si="202"/>
        <v>0</v>
      </c>
      <c r="BK252" s="46">
        <f t="shared" si="203"/>
        <v>0</v>
      </c>
      <c r="BM252" s="49">
        <f t="shared" si="169"/>
        <v>0</v>
      </c>
      <c r="BN252" s="50">
        <f t="shared" si="204"/>
        <v>0</v>
      </c>
      <c r="BP252" s="68">
        <f>INDEX(Others!$H$11:$I$60, MATCH(C252, Others!$A$11:$A$60, 0), MATCH(BP$3, Others!$H$10:$I$10, 0))</f>
        <v>3.0518181818181833E-2</v>
      </c>
      <c r="BQ252" s="16">
        <f t="shared" si="205"/>
        <v>2.5082875760633616E-3</v>
      </c>
      <c r="BR252" s="69">
        <f t="shared" si="206"/>
        <v>0.53856379694591616</v>
      </c>
      <c r="BT252" s="46">
        <f t="shared" si="207"/>
        <v>0</v>
      </c>
      <c r="BU252" s="49">
        <f t="shared" si="170"/>
        <v>0</v>
      </c>
      <c r="BV252" s="46">
        <f t="shared" si="208"/>
        <v>0</v>
      </c>
      <c r="BX252" s="46">
        <f t="shared" si="209"/>
        <v>0</v>
      </c>
    </row>
    <row r="253" spans="1:76" x14ac:dyDescent="0.25">
      <c r="A253" s="61">
        <f t="shared" si="159"/>
        <v>20.666666666666643</v>
      </c>
      <c r="B253" s="32">
        <f t="shared" si="171"/>
        <v>8</v>
      </c>
      <c r="C253" s="62">
        <f t="shared" si="172"/>
        <v>21</v>
      </c>
      <c r="D253" s="64">
        <f t="shared" si="173"/>
        <v>21.166666666666643</v>
      </c>
      <c r="E253" s="28">
        <f t="shared" si="174"/>
        <v>21</v>
      </c>
      <c r="G253" s="68">
        <f>INDEX(Others!$D$11:$E$60, MATCH(C253, Others!$A$11:$A$60, 0), MATCH(G$3, Others!$D$10:$E$10, 0))</f>
        <v>4.0690909090909111E-2</v>
      </c>
      <c r="H253" s="16">
        <f t="shared" si="175"/>
        <v>3.329265421250005E-3</v>
      </c>
      <c r="I253" s="69">
        <f t="shared" si="176"/>
        <v>0.43854780646663272</v>
      </c>
      <c r="K253" s="80">
        <f>INDEX(Mortality!$B$7:$F$32, MATCH( E253,Mortality!$A$7:$A$32, 0), MATCH( K$3,Mortality!$B$6:$F$6,0))</f>
        <v>0.44800000000000001</v>
      </c>
      <c r="L253" s="11" cm="1">
        <f t="array" ref="L253">PAD_Res_Mort</f>
        <v>0.15</v>
      </c>
      <c r="M253" s="80">
        <f t="shared" si="177"/>
        <v>0.51519999999999999</v>
      </c>
      <c r="N253" s="76" t="e">
        <f>INDEX('Myopia_(Reserve)'!$H:$H, MATCH(E253, 'Myopia_(Reserve)'!$A:$A, 0)) * Trend_Factor_Reserve^(A253)</f>
        <v>#N/A</v>
      </c>
      <c r="O253" s="11">
        <f t="shared" si="160"/>
        <v>0.3</v>
      </c>
      <c r="P253" s="80">
        <f t="shared" si="178"/>
        <v>0</v>
      </c>
      <c r="Q253" s="76">
        <f>VLOOKUP(C253,Others!$L$10:$M$61,2)</f>
        <v>0</v>
      </c>
      <c r="R253" s="11">
        <f t="shared" si="161"/>
        <v>0</v>
      </c>
      <c r="S253" s="80">
        <f t="shared" si="179"/>
        <v>0</v>
      </c>
      <c r="T253" s="78">
        <f t="shared" si="180"/>
        <v>4.2933333333333331E-5</v>
      </c>
      <c r="U253" s="81">
        <f t="shared" si="181"/>
        <v>0</v>
      </c>
      <c r="V253" s="81">
        <f t="shared" si="182"/>
        <v>0</v>
      </c>
      <c r="W253" s="77">
        <f t="shared" si="162"/>
        <v>0</v>
      </c>
      <c r="X253" s="82">
        <f t="shared" si="183"/>
        <v>0</v>
      </c>
      <c r="Y253" s="82">
        <f t="shared" si="184"/>
        <v>0</v>
      </c>
      <c r="Z253" s="82">
        <f t="shared" si="185"/>
        <v>0</v>
      </c>
      <c r="AA253" s="82">
        <f t="shared" si="186"/>
        <v>0</v>
      </c>
      <c r="AC253" s="46">
        <f t="shared" si="163"/>
        <v>0</v>
      </c>
      <c r="AD253" s="15">
        <f t="shared" si="187"/>
        <v>0</v>
      </c>
      <c r="AE253" s="46">
        <f t="shared" si="188"/>
        <v>0</v>
      </c>
      <c r="AF253" s="15">
        <f t="shared" si="189"/>
        <v>0</v>
      </c>
      <c r="AG253" s="46">
        <f>SUMPRODUCT(AE254:AE$605, $I253:$I$604) / $I253</f>
        <v>0</v>
      </c>
      <c r="AI253" s="46">
        <f t="shared" si="164"/>
        <v>0</v>
      </c>
      <c r="AJ253" s="46">
        <f>IF(E253&gt;Mat_Year,0,  -SUM($AD$5:AD253))</f>
        <v>0</v>
      </c>
      <c r="AK253" s="24">
        <f t="shared" si="190"/>
        <v>0</v>
      </c>
      <c r="AL253" s="79">
        <f t="shared" si="191"/>
        <v>0</v>
      </c>
      <c r="AM253" s="24">
        <f t="shared" si="192"/>
        <v>0</v>
      </c>
      <c r="AN253" s="79">
        <f t="shared" si="193"/>
        <v>0</v>
      </c>
      <c r="AO253" s="15">
        <f t="shared" si="194"/>
        <v>0</v>
      </c>
      <c r="AP253" s="46">
        <f>SUMPRODUCT(AN254:AN$605, $I254:$I$605) / $I253</f>
        <v>0</v>
      </c>
      <c r="AR253" s="46">
        <v>0</v>
      </c>
      <c r="AS253" s="46">
        <v>0</v>
      </c>
      <c r="AT253" s="46">
        <v>0</v>
      </c>
      <c r="AU253" s="95">
        <f t="shared" si="165"/>
        <v>0</v>
      </c>
      <c r="AV253" s="47">
        <f t="shared" si="166"/>
        <v>0.1</v>
      </c>
      <c r="AW253" s="96">
        <f t="shared" si="195"/>
        <v>0</v>
      </c>
      <c r="AX253" s="95">
        <f t="shared" si="167"/>
        <v>0</v>
      </c>
      <c r="AY253" s="11">
        <f t="shared" si="168"/>
        <v>0.1</v>
      </c>
      <c r="AZ253" s="96">
        <f t="shared" si="196"/>
        <v>0</v>
      </c>
      <c r="BA253" s="95">
        <f t="shared" si="197"/>
        <v>0</v>
      </c>
      <c r="BB253" s="64">
        <f t="shared" si="198"/>
        <v>0</v>
      </c>
      <c r="BC253" s="95">
        <f t="shared" si="210"/>
        <v>0</v>
      </c>
      <c r="BD253" s="96">
        <f t="shared" si="210"/>
        <v>0</v>
      </c>
      <c r="BE253" s="96">
        <f t="shared" si="199"/>
        <v>0</v>
      </c>
      <c r="BF253" s="96">
        <f t="shared" si="200"/>
        <v>0</v>
      </c>
      <c r="BG253" s="15">
        <f t="shared" si="201"/>
        <v>0</v>
      </c>
      <c r="BH253" s="46">
        <f>(SUMPRODUCT(BE254:BE$605,$I253:$I$604)+SUMPRODUCT(BF254:BF$605,$I254:$I$605)) / $I253</f>
        <v>0</v>
      </c>
      <c r="BJ253" s="46">
        <f t="shared" si="202"/>
        <v>0</v>
      </c>
      <c r="BK253" s="46">
        <f t="shared" si="203"/>
        <v>0</v>
      </c>
      <c r="BM253" s="49">
        <f t="shared" si="169"/>
        <v>0</v>
      </c>
      <c r="BN253" s="50">
        <f t="shared" si="204"/>
        <v>0</v>
      </c>
      <c r="BP253" s="68">
        <f>INDEX(Others!$H$11:$I$60, MATCH(C253, Others!$A$11:$A$60, 0), MATCH(BP$3, Others!$H$10:$I$10, 0))</f>
        <v>3.0518181818181833E-2</v>
      </c>
      <c r="BQ253" s="16">
        <f t="shared" si="205"/>
        <v>2.5082875760633616E-3</v>
      </c>
      <c r="BR253" s="69">
        <f t="shared" si="206"/>
        <v>0.53721630396502207</v>
      </c>
      <c r="BT253" s="46">
        <f t="shared" si="207"/>
        <v>0</v>
      </c>
      <c r="BU253" s="49">
        <f t="shared" si="170"/>
        <v>0</v>
      </c>
      <c r="BV253" s="46">
        <f t="shared" si="208"/>
        <v>0</v>
      </c>
      <c r="BX253" s="46">
        <f t="shared" si="209"/>
        <v>0</v>
      </c>
    </row>
    <row r="254" spans="1:76" x14ac:dyDescent="0.25">
      <c r="A254" s="61">
        <f t="shared" si="159"/>
        <v>20.749999999999975</v>
      </c>
      <c r="B254" s="32">
        <f t="shared" si="171"/>
        <v>9</v>
      </c>
      <c r="C254" s="62">
        <f t="shared" si="172"/>
        <v>21</v>
      </c>
      <c r="D254" s="64">
        <f t="shared" si="173"/>
        <v>21.249999999999975</v>
      </c>
      <c r="E254" s="28">
        <f t="shared" si="174"/>
        <v>21</v>
      </c>
      <c r="G254" s="68">
        <f>INDEX(Others!$D$11:$E$60, MATCH(C254, Others!$A$11:$A$60, 0), MATCH(G$3, Others!$D$10:$E$10, 0))</f>
        <v>4.0690909090909111E-2</v>
      </c>
      <c r="H254" s="16">
        <f t="shared" si="175"/>
        <v>3.329265421250005E-3</v>
      </c>
      <c r="I254" s="69">
        <f t="shared" si="176"/>
        <v>0.43709260915708209</v>
      </c>
      <c r="K254" s="80">
        <f>INDEX(Mortality!$B$7:$F$32, MATCH( E254,Mortality!$A$7:$A$32, 0), MATCH( K$3,Mortality!$B$6:$F$6,0))</f>
        <v>0.44800000000000001</v>
      </c>
      <c r="L254" s="11" cm="1">
        <f t="array" ref="L254">PAD_Res_Mort</f>
        <v>0.15</v>
      </c>
      <c r="M254" s="80">
        <f t="shared" si="177"/>
        <v>0.51519999999999999</v>
      </c>
      <c r="N254" s="76" t="e">
        <f>INDEX('Myopia_(Reserve)'!$H:$H, MATCH(E254, 'Myopia_(Reserve)'!$A:$A, 0)) * Trend_Factor_Reserve^(A254)</f>
        <v>#N/A</v>
      </c>
      <c r="O254" s="11">
        <f t="shared" si="160"/>
        <v>0.3</v>
      </c>
      <c r="P254" s="80">
        <f t="shared" si="178"/>
        <v>0</v>
      </c>
      <c r="Q254" s="76">
        <f>VLOOKUP(C254,Others!$L$10:$M$61,2)</f>
        <v>0</v>
      </c>
      <c r="R254" s="11">
        <f t="shared" si="161"/>
        <v>0</v>
      </c>
      <c r="S254" s="80">
        <f t="shared" si="179"/>
        <v>0</v>
      </c>
      <c r="T254" s="78">
        <f t="shared" si="180"/>
        <v>4.2933333333333331E-5</v>
      </c>
      <c r="U254" s="81">
        <f t="shared" si="181"/>
        <v>0</v>
      </c>
      <c r="V254" s="81">
        <f t="shared" si="182"/>
        <v>0</v>
      </c>
      <c r="W254" s="77">
        <f t="shared" si="162"/>
        <v>0</v>
      </c>
      <c r="X254" s="82">
        <f t="shared" si="183"/>
        <v>0</v>
      </c>
      <c r="Y254" s="82">
        <f t="shared" si="184"/>
        <v>0</v>
      </c>
      <c r="Z254" s="82">
        <f t="shared" si="185"/>
        <v>0</v>
      </c>
      <c r="AA254" s="82">
        <f t="shared" si="186"/>
        <v>0</v>
      </c>
      <c r="AC254" s="46">
        <f t="shared" si="163"/>
        <v>0</v>
      </c>
      <c r="AD254" s="15">
        <f t="shared" si="187"/>
        <v>0</v>
      </c>
      <c r="AE254" s="46">
        <f t="shared" si="188"/>
        <v>0</v>
      </c>
      <c r="AF254" s="15">
        <f t="shared" si="189"/>
        <v>0</v>
      </c>
      <c r="AG254" s="46">
        <f>SUMPRODUCT(AE255:AE$605, $I254:$I$604) / $I254</f>
        <v>0</v>
      </c>
      <c r="AI254" s="46">
        <f t="shared" si="164"/>
        <v>0</v>
      </c>
      <c r="AJ254" s="46">
        <f>IF(E254&gt;Mat_Year,0,  -SUM($AD$5:AD254))</f>
        <v>0</v>
      </c>
      <c r="AK254" s="24">
        <f t="shared" si="190"/>
        <v>0</v>
      </c>
      <c r="AL254" s="79">
        <f t="shared" si="191"/>
        <v>0</v>
      </c>
      <c r="AM254" s="24">
        <f t="shared" si="192"/>
        <v>0</v>
      </c>
      <c r="AN254" s="79">
        <f t="shared" si="193"/>
        <v>0</v>
      </c>
      <c r="AO254" s="15">
        <f t="shared" si="194"/>
        <v>0</v>
      </c>
      <c r="AP254" s="46">
        <f>SUMPRODUCT(AN255:AN$605, $I255:$I$605) / $I254</f>
        <v>0</v>
      </c>
      <c r="AR254" s="46">
        <v>0</v>
      </c>
      <c r="AS254" s="46">
        <v>0</v>
      </c>
      <c r="AT254" s="46">
        <v>0</v>
      </c>
      <c r="AU254" s="95">
        <f t="shared" si="165"/>
        <v>0</v>
      </c>
      <c r="AV254" s="47">
        <f t="shared" si="166"/>
        <v>0.1</v>
      </c>
      <c r="AW254" s="96">
        <f t="shared" si="195"/>
        <v>0</v>
      </c>
      <c r="AX254" s="95">
        <f t="shared" si="167"/>
        <v>0</v>
      </c>
      <c r="AY254" s="11">
        <f t="shared" si="168"/>
        <v>0.1</v>
      </c>
      <c r="AZ254" s="96">
        <f t="shared" si="196"/>
        <v>0</v>
      </c>
      <c r="BA254" s="95">
        <f t="shared" si="197"/>
        <v>0</v>
      </c>
      <c r="BB254" s="64">
        <f t="shared" si="198"/>
        <v>0</v>
      </c>
      <c r="BC254" s="95">
        <f t="shared" si="210"/>
        <v>0</v>
      </c>
      <c r="BD254" s="96">
        <f t="shared" si="210"/>
        <v>0</v>
      </c>
      <c r="BE254" s="96">
        <f t="shared" si="199"/>
        <v>0</v>
      </c>
      <c r="BF254" s="96">
        <f t="shared" si="200"/>
        <v>0</v>
      </c>
      <c r="BG254" s="15">
        <f t="shared" si="201"/>
        <v>0</v>
      </c>
      <c r="BH254" s="46">
        <f>(SUMPRODUCT(BE255:BE$605,$I254:$I$604)+SUMPRODUCT(BF255:BF$605,$I255:$I$605)) / $I254</f>
        <v>0</v>
      </c>
      <c r="BJ254" s="46">
        <f t="shared" si="202"/>
        <v>0</v>
      </c>
      <c r="BK254" s="46">
        <f t="shared" si="203"/>
        <v>0</v>
      </c>
      <c r="BM254" s="49">
        <f t="shared" si="169"/>
        <v>0</v>
      </c>
      <c r="BN254" s="50">
        <f t="shared" si="204"/>
        <v>0</v>
      </c>
      <c r="BP254" s="68">
        <f>INDEX(Others!$H$11:$I$60, MATCH(C254, Others!$A$11:$A$60, 0), MATCH(BP$3, Others!$H$10:$I$10, 0))</f>
        <v>3.0518181818181833E-2</v>
      </c>
      <c r="BQ254" s="16">
        <f t="shared" si="205"/>
        <v>2.5082875760633616E-3</v>
      </c>
      <c r="BR254" s="69">
        <f t="shared" si="206"/>
        <v>0.53587218242748125</v>
      </c>
      <c r="BT254" s="46">
        <f t="shared" si="207"/>
        <v>0</v>
      </c>
      <c r="BU254" s="49">
        <f t="shared" si="170"/>
        <v>0</v>
      </c>
      <c r="BV254" s="46">
        <f t="shared" si="208"/>
        <v>0</v>
      </c>
      <c r="BX254" s="46">
        <f t="shared" si="209"/>
        <v>0</v>
      </c>
    </row>
    <row r="255" spans="1:76" x14ac:dyDescent="0.25">
      <c r="A255" s="61">
        <f t="shared" si="159"/>
        <v>20.833333333333307</v>
      </c>
      <c r="B255" s="32">
        <f t="shared" si="171"/>
        <v>10</v>
      </c>
      <c r="C255" s="62">
        <f t="shared" si="172"/>
        <v>21</v>
      </c>
      <c r="D255" s="64">
        <f t="shared" si="173"/>
        <v>21.333333333333307</v>
      </c>
      <c r="E255" s="28">
        <f t="shared" si="174"/>
        <v>21</v>
      </c>
      <c r="G255" s="68">
        <f>INDEX(Others!$D$11:$E$60, MATCH(C255, Others!$A$11:$A$60, 0), MATCH(G$3, Others!$D$10:$E$10, 0))</f>
        <v>4.0690909090909111E-2</v>
      </c>
      <c r="H255" s="16">
        <f t="shared" si="175"/>
        <v>3.329265421250005E-3</v>
      </c>
      <c r="I255" s="69">
        <f t="shared" si="176"/>
        <v>0.43564224050971723</v>
      </c>
      <c r="K255" s="80">
        <f>INDEX(Mortality!$B$7:$F$32, MATCH( E255,Mortality!$A$7:$A$32, 0), MATCH( K$3,Mortality!$B$6:$F$6,0))</f>
        <v>0.44800000000000001</v>
      </c>
      <c r="L255" s="11" cm="1">
        <f t="array" ref="L255">PAD_Res_Mort</f>
        <v>0.15</v>
      </c>
      <c r="M255" s="80">
        <f t="shared" si="177"/>
        <v>0.51519999999999999</v>
      </c>
      <c r="N255" s="76" t="e">
        <f>INDEX('Myopia_(Reserve)'!$H:$H, MATCH(E255, 'Myopia_(Reserve)'!$A:$A, 0)) * Trend_Factor_Reserve^(A255)</f>
        <v>#N/A</v>
      </c>
      <c r="O255" s="11">
        <f t="shared" si="160"/>
        <v>0.3</v>
      </c>
      <c r="P255" s="80">
        <f t="shared" si="178"/>
        <v>0</v>
      </c>
      <c r="Q255" s="76">
        <f>VLOOKUP(C255,Others!$L$10:$M$61,2)</f>
        <v>0</v>
      </c>
      <c r="R255" s="11">
        <f t="shared" si="161"/>
        <v>0</v>
      </c>
      <c r="S255" s="80">
        <f t="shared" si="179"/>
        <v>0</v>
      </c>
      <c r="T255" s="78">
        <f t="shared" si="180"/>
        <v>4.2933333333333331E-5</v>
      </c>
      <c r="U255" s="81">
        <f t="shared" si="181"/>
        <v>0</v>
      </c>
      <c r="V255" s="81">
        <f t="shared" si="182"/>
        <v>0</v>
      </c>
      <c r="W255" s="77">
        <f t="shared" si="162"/>
        <v>0</v>
      </c>
      <c r="X255" s="82">
        <f t="shared" si="183"/>
        <v>0</v>
      </c>
      <c r="Y255" s="82">
        <f t="shared" si="184"/>
        <v>0</v>
      </c>
      <c r="Z255" s="82">
        <f t="shared" si="185"/>
        <v>0</v>
      </c>
      <c r="AA255" s="82">
        <f t="shared" si="186"/>
        <v>0</v>
      </c>
      <c r="AC255" s="46">
        <f t="shared" si="163"/>
        <v>0</v>
      </c>
      <c r="AD255" s="15">
        <f t="shared" si="187"/>
        <v>0</v>
      </c>
      <c r="AE255" s="46">
        <f t="shared" si="188"/>
        <v>0</v>
      </c>
      <c r="AF255" s="15">
        <f t="shared" si="189"/>
        <v>0</v>
      </c>
      <c r="AG255" s="46">
        <f>SUMPRODUCT(AE256:AE$605, $I255:$I$604) / $I255</f>
        <v>0</v>
      </c>
      <c r="AI255" s="46">
        <f t="shared" si="164"/>
        <v>0</v>
      </c>
      <c r="AJ255" s="46">
        <f>IF(E255&gt;Mat_Year,0,  -SUM($AD$5:AD255))</f>
        <v>0</v>
      </c>
      <c r="AK255" s="24">
        <f t="shared" si="190"/>
        <v>0</v>
      </c>
      <c r="AL255" s="79">
        <f t="shared" si="191"/>
        <v>0</v>
      </c>
      <c r="AM255" s="24">
        <f t="shared" si="192"/>
        <v>0</v>
      </c>
      <c r="AN255" s="79">
        <f t="shared" si="193"/>
        <v>0</v>
      </c>
      <c r="AO255" s="15">
        <f t="shared" si="194"/>
        <v>0</v>
      </c>
      <c r="AP255" s="46">
        <f>SUMPRODUCT(AN256:AN$605, $I256:$I$605) / $I255</f>
        <v>0</v>
      </c>
      <c r="AR255" s="46">
        <v>0</v>
      </c>
      <c r="AS255" s="46">
        <v>0</v>
      </c>
      <c r="AT255" s="46">
        <v>0</v>
      </c>
      <c r="AU255" s="95">
        <f t="shared" si="165"/>
        <v>0</v>
      </c>
      <c r="AV255" s="47">
        <f t="shared" si="166"/>
        <v>0.1</v>
      </c>
      <c r="AW255" s="96">
        <f t="shared" si="195"/>
        <v>0</v>
      </c>
      <c r="AX255" s="95">
        <f t="shared" si="167"/>
        <v>0</v>
      </c>
      <c r="AY255" s="11">
        <f t="shared" si="168"/>
        <v>0.1</v>
      </c>
      <c r="AZ255" s="96">
        <f t="shared" si="196"/>
        <v>0</v>
      </c>
      <c r="BA255" s="95">
        <f t="shared" si="197"/>
        <v>0</v>
      </c>
      <c r="BB255" s="64">
        <f t="shared" si="198"/>
        <v>0</v>
      </c>
      <c r="BC255" s="95">
        <f t="shared" si="210"/>
        <v>0</v>
      </c>
      <c r="BD255" s="96">
        <f t="shared" si="210"/>
        <v>0</v>
      </c>
      <c r="BE255" s="96">
        <f t="shared" si="199"/>
        <v>0</v>
      </c>
      <c r="BF255" s="96">
        <f t="shared" si="200"/>
        <v>0</v>
      </c>
      <c r="BG255" s="15">
        <f t="shared" si="201"/>
        <v>0</v>
      </c>
      <c r="BH255" s="46">
        <f>(SUMPRODUCT(BE256:BE$605,$I255:$I$604)+SUMPRODUCT(BF256:BF$605,$I256:$I$605)) / $I255</f>
        <v>0</v>
      </c>
      <c r="BJ255" s="46">
        <f t="shared" si="202"/>
        <v>0</v>
      </c>
      <c r="BK255" s="46">
        <f t="shared" si="203"/>
        <v>0</v>
      </c>
      <c r="BM255" s="49">
        <f t="shared" si="169"/>
        <v>0</v>
      </c>
      <c r="BN255" s="50">
        <f t="shared" si="204"/>
        <v>0</v>
      </c>
      <c r="BP255" s="68">
        <f>INDEX(Others!$H$11:$I$60, MATCH(C255, Others!$A$11:$A$60, 0), MATCH(BP$3, Others!$H$10:$I$10, 0))</f>
        <v>3.0518181818181833E-2</v>
      </c>
      <c r="BQ255" s="16">
        <f t="shared" si="205"/>
        <v>2.5082875760633616E-3</v>
      </c>
      <c r="BR255" s="69">
        <f t="shared" si="206"/>
        <v>0.53453142389790265</v>
      </c>
      <c r="BT255" s="46">
        <f t="shared" si="207"/>
        <v>0</v>
      </c>
      <c r="BU255" s="49">
        <f t="shared" si="170"/>
        <v>0</v>
      </c>
      <c r="BV255" s="46">
        <f t="shared" si="208"/>
        <v>0</v>
      </c>
      <c r="BX255" s="46">
        <f t="shared" si="209"/>
        <v>0</v>
      </c>
    </row>
    <row r="256" spans="1:76" x14ac:dyDescent="0.25">
      <c r="A256" s="61">
        <f t="shared" si="159"/>
        <v>20.916666666666639</v>
      </c>
      <c r="B256" s="32">
        <f t="shared" si="171"/>
        <v>11</v>
      </c>
      <c r="C256" s="62">
        <f t="shared" si="172"/>
        <v>21</v>
      </c>
      <c r="D256" s="64">
        <f t="shared" si="173"/>
        <v>21.416666666666639</v>
      </c>
      <c r="E256" s="28">
        <f t="shared" si="174"/>
        <v>21</v>
      </c>
      <c r="G256" s="68">
        <f>INDEX(Others!$D$11:$E$60, MATCH(C256, Others!$A$11:$A$60, 0), MATCH(G$3, Others!$D$10:$E$10, 0))</f>
        <v>4.0690909090909111E-2</v>
      </c>
      <c r="H256" s="16">
        <f t="shared" si="175"/>
        <v>3.329265421250005E-3</v>
      </c>
      <c r="I256" s="69">
        <f t="shared" si="176"/>
        <v>0.4341966845019834</v>
      </c>
      <c r="K256" s="80">
        <f>INDEX(Mortality!$B$7:$F$32, MATCH( E256,Mortality!$A$7:$A$32, 0), MATCH( K$3,Mortality!$B$6:$F$6,0))</f>
        <v>0.44800000000000001</v>
      </c>
      <c r="L256" s="11" cm="1">
        <f t="array" ref="L256">PAD_Res_Mort</f>
        <v>0.15</v>
      </c>
      <c r="M256" s="80">
        <f t="shared" si="177"/>
        <v>0.51519999999999999</v>
      </c>
      <c r="N256" s="76" t="e">
        <f>INDEX('Myopia_(Reserve)'!$H:$H, MATCH(E256, 'Myopia_(Reserve)'!$A:$A, 0)) * Trend_Factor_Reserve^(A256)</f>
        <v>#N/A</v>
      </c>
      <c r="O256" s="11">
        <f t="shared" si="160"/>
        <v>0.3</v>
      </c>
      <c r="P256" s="80">
        <f t="shared" si="178"/>
        <v>0</v>
      </c>
      <c r="Q256" s="76">
        <f>VLOOKUP(C256,Others!$L$10:$M$61,2)</f>
        <v>0</v>
      </c>
      <c r="R256" s="11">
        <f t="shared" si="161"/>
        <v>0</v>
      </c>
      <c r="S256" s="80">
        <f t="shared" si="179"/>
        <v>0</v>
      </c>
      <c r="T256" s="78">
        <f t="shared" si="180"/>
        <v>4.2933333333333331E-5</v>
      </c>
      <c r="U256" s="81">
        <f t="shared" si="181"/>
        <v>0</v>
      </c>
      <c r="V256" s="81">
        <f t="shared" si="182"/>
        <v>0</v>
      </c>
      <c r="W256" s="77">
        <f t="shared" si="162"/>
        <v>0</v>
      </c>
      <c r="X256" s="82">
        <f t="shared" si="183"/>
        <v>0</v>
      </c>
      <c r="Y256" s="82">
        <f t="shared" si="184"/>
        <v>0</v>
      </c>
      <c r="Z256" s="82">
        <f t="shared" si="185"/>
        <v>0</v>
      </c>
      <c r="AA256" s="82">
        <f t="shared" si="186"/>
        <v>0</v>
      </c>
      <c r="AC256" s="46">
        <f t="shared" si="163"/>
        <v>0</v>
      </c>
      <c r="AD256" s="15">
        <f t="shared" si="187"/>
        <v>0</v>
      </c>
      <c r="AE256" s="46">
        <f t="shared" si="188"/>
        <v>0</v>
      </c>
      <c r="AF256" s="15">
        <f t="shared" si="189"/>
        <v>0</v>
      </c>
      <c r="AG256" s="46">
        <f>SUMPRODUCT(AE257:AE$605, $I256:$I$604) / $I256</f>
        <v>0</v>
      </c>
      <c r="AI256" s="46">
        <f t="shared" si="164"/>
        <v>0</v>
      </c>
      <c r="AJ256" s="46">
        <f>IF(E256&gt;Mat_Year,0,  -SUM($AD$5:AD256))</f>
        <v>0</v>
      </c>
      <c r="AK256" s="24">
        <f t="shared" si="190"/>
        <v>0</v>
      </c>
      <c r="AL256" s="79">
        <f t="shared" si="191"/>
        <v>0</v>
      </c>
      <c r="AM256" s="24">
        <f t="shared" si="192"/>
        <v>0</v>
      </c>
      <c r="AN256" s="79">
        <f t="shared" si="193"/>
        <v>0</v>
      </c>
      <c r="AO256" s="15">
        <f t="shared" si="194"/>
        <v>0</v>
      </c>
      <c r="AP256" s="46">
        <f>SUMPRODUCT(AN257:AN$605, $I257:$I$605) / $I256</f>
        <v>0</v>
      </c>
      <c r="AR256" s="46">
        <v>0</v>
      </c>
      <c r="AS256" s="46">
        <v>0</v>
      </c>
      <c r="AT256" s="46">
        <v>0</v>
      </c>
      <c r="AU256" s="95">
        <f t="shared" si="165"/>
        <v>0</v>
      </c>
      <c r="AV256" s="47">
        <f t="shared" si="166"/>
        <v>0.1</v>
      </c>
      <c r="AW256" s="96">
        <f t="shared" si="195"/>
        <v>0</v>
      </c>
      <c r="AX256" s="95">
        <f t="shared" si="167"/>
        <v>0</v>
      </c>
      <c r="AY256" s="11">
        <f t="shared" si="168"/>
        <v>0.1</v>
      </c>
      <c r="AZ256" s="96">
        <f t="shared" si="196"/>
        <v>0</v>
      </c>
      <c r="BA256" s="95">
        <f t="shared" si="197"/>
        <v>0</v>
      </c>
      <c r="BB256" s="64">
        <f t="shared" si="198"/>
        <v>0</v>
      </c>
      <c r="BC256" s="95">
        <f t="shared" si="210"/>
        <v>0</v>
      </c>
      <c r="BD256" s="96">
        <f t="shared" si="210"/>
        <v>0</v>
      </c>
      <c r="BE256" s="96">
        <f t="shared" si="199"/>
        <v>0</v>
      </c>
      <c r="BF256" s="96">
        <f t="shared" si="200"/>
        <v>0</v>
      </c>
      <c r="BG256" s="15">
        <f t="shared" si="201"/>
        <v>0</v>
      </c>
      <c r="BH256" s="46">
        <f>(SUMPRODUCT(BE257:BE$605,$I256:$I$604)+SUMPRODUCT(BF257:BF$605,$I257:$I$605)) / $I256</f>
        <v>0</v>
      </c>
      <c r="BJ256" s="46">
        <f t="shared" si="202"/>
        <v>0</v>
      </c>
      <c r="BK256" s="46">
        <f t="shared" si="203"/>
        <v>0</v>
      </c>
      <c r="BM256" s="49">
        <f t="shared" si="169"/>
        <v>0</v>
      </c>
      <c r="BN256" s="50">
        <f t="shared" si="204"/>
        <v>0</v>
      </c>
      <c r="BP256" s="68">
        <f>INDEX(Others!$H$11:$I$60, MATCH(C256, Others!$A$11:$A$60, 0), MATCH(BP$3, Others!$H$10:$I$10, 0))</f>
        <v>3.0518181818181833E-2</v>
      </c>
      <c r="BQ256" s="16">
        <f t="shared" si="205"/>
        <v>2.5082875760633616E-3</v>
      </c>
      <c r="BR256" s="69">
        <f t="shared" si="206"/>
        <v>0.53319401996200066</v>
      </c>
      <c r="BT256" s="46">
        <f t="shared" si="207"/>
        <v>0</v>
      </c>
      <c r="BU256" s="49">
        <f t="shared" si="170"/>
        <v>0</v>
      </c>
      <c r="BV256" s="46">
        <f t="shared" si="208"/>
        <v>0</v>
      </c>
      <c r="BX256" s="46">
        <f t="shared" si="209"/>
        <v>0</v>
      </c>
    </row>
    <row r="257" spans="1:76" x14ac:dyDescent="0.25">
      <c r="A257" s="61">
        <f t="shared" si="159"/>
        <v>20.999999999999972</v>
      </c>
      <c r="B257" s="32">
        <f t="shared" si="171"/>
        <v>12</v>
      </c>
      <c r="C257" s="62">
        <f t="shared" si="172"/>
        <v>21</v>
      </c>
      <c r="D257" s="64">
        <f t="shared" si="173"/>
        <v>21.499999999999972</v>
      </c>
      <c r="E257" s="28">
        <f t="shared" si="174"/>
        <v>21</v>
      </c>
      <c r="G257" s="68">
        <f>INDEX(Others!$D$11:$E$60, MATCH(C257, Others!$A$11:$A$60, 0), MATCH(G$3, Others!$D$10:$E$10, 0))</f>
        <v>4.0690909090909111E-2</v>
      </c>
      <c r="H257" s="16">
        <f t="shared" si="175"/>
        <v>3.329265421250005E-3</v>
      </c>
      <c r="I257" s="69">
        <f t="shared" si="176"/>
        <v>0.43275592516449218</v>
      </c>
      <c r="J257" s="64"/>
      <c r="K257" s="80">
        <f>INDEX(Mortality!$B$7:$F$32, MATCH( E257,Mortality!$A$7:$A$32, 0), MATCH( K$3,Mortality!$B$6:$F$6,0))</f>
        <v>0.44800000000000001</v>
      </c>
      <c r="L257" s="11" cm="1">
        <f t="array" ref="L257">PAD_Res_Mort</f>
        <v>0.15</v>
      </c>
      <c r="M257" s="80">
        <f t="shared" si="177"/>
        <v>0.51519999999999999</v>
      </c>
      <c r="N257" s="76" t="e">
        <f>INDEX('Myopia_(Reserve)'!$H:$H, MATCH(E257, 'Myopia_(Reserve)'!$A:$A, 0)) * Trend_Factor_Reserve^(A257)</f>
        <v>#N/A</v>
      </c>
      <c r="O257" s="11">
        <f t="shared" si="160"/>
        <v>0.3</v>
      </c>
      <c r="P257" s="80">
        <f t="shared" si="178"/>
        <v>0</v>
      </c>
      <c r="Q257" s="76">
        <f>VLOOKUP(C257,Others!$L$10:$M$61,2)</f>
        <v>0</v>
      </c>
      <c r="R257" s="11">
        <f t="shared" si="161"/>
        <v>0</v>
      </c>
      <c r="S257" s="80">
        <f t="shared" si="179"/>
        <v>0</v>
      </c>
      <c r="T257" s="78">
        <f t="shared" si="180"/>
        <v>4.2933333333333331E-5</v>
      </c>
      <c r="U257" s="81">
        <f t="shared" si="181"/>
        <v>0</v>
      </c>
      <c r="V257" s="81">
        <f t="shared" si="182"/>
        <v>0</v>
      </c>
      <c r="W257" s="77">
        <f t="shared" si="162"/>
        <v>0</v>
      </c>
      <c r="X257" s="82">
        <f t="shared" si="183"/>
        <v>0</v>
      </c>
      <c r="Y257" s="82">
        <f t="shared" si="184"/>
        <v>0</v>
      </c>
      <c r="Z257" s="82">
        <f t="shared" si="185"/>
        <v>0</v>
      </c>
      <c r="AA257" s="82">
        <f t="shared" si="186"/>
        <v>0</v>
      </c>
      <c r="AC257" s="46">
        <f t="shared" si="163"/>
        <v>0</v>
      </c>
      <c r="AD257" s="15">
        <f t="shared" si="187"/>
        <v>0</v>
      </c>
      <c r="AE257" s="46">
        <f t="shared" si="188"/>
        <v>0</v>
      </c>
      <c r="AF257" s="15">
        <f t="shared" si="189"/>
        <v>0</v>
      </c>
      <c r="AG257" s="46">
        <f>SUMPRODUCT(AE258:AE$605, $I257:$I$604) / $I257</f>
        <v>0</v>
      </c>
      <c r="AI257" s="46">
        <f t="shared" si="164"/>
        <v>0</v>
      </c>
      <c r="AJ257" s="46">
        <f>IF(E257&gt;Mat_Year,0,  -SUM($AD$5:AD257))</f>
        <v>0</v>
      </c>
      <c r="AK257" s="24">
        <f t="shared" si="190"/>
        <v>0</v>
      </c>
      <c r="AL257" s="79">
        <f t="shared" si="191"/>
        <v>0</v>
      </c>
      <c r="AM257" s="24">
        <f t="shared" si="192"/>
        <v>0</v>
      </c>
      <c r="AN257" s="79">
        <f t="shared" si="193"/>
        <v>0</v>
      </c>
      <c r="AO257" s="15">
        <f t="shared" si="194"/>
        <v>0</v>
      </c>
      <c r="AP257" s="46">
        <f>SUMPRODUCT(AN258:AN$605, $I258:$I$605) / $I257</f>
        <v>0</v>
      </c>
      <c r="AR257" s="46">
        <v>0</v>
      </c>
      <c r="AS257" s="46">
        <v>0</v>
      </c>
      <c r="AT257" s="46">
        <v>0</v>
      </c>
      <c r="AU257" s="95">
        <f t="shared" si="165"/>
        <v>0</v>
      </c>
      <c r="AV257" s="47">
        <f t="shared" si="166"/>
        <v>0.1</v>
      </c>
      <c r="AW257" s="96">
        <f t="shared" si="195"/>
        <v>0</v>
      </c>
      <c r="AX257" s="95">
        <f t="shared" si="167"/>
        <v>0</v>
      </c>
      <c r="AY257" s="11">
        <f t="shared" si="168"/>
        <v>0.1</v>
      </c>
      <c r="AZ257" s="96">
        <f t="shared" si="196"/>
        <v>0</v>
      </c>
      <c r="BA257" s="95">
        <f t="shared" si="197"/>
        <v>0</v>
      </c>
      <c r="BB257" s="64">
        <f t="shared" si="198"/>
        <v>0</v>
      </c>
      <c r="BC257" s="95">
        <f t="shared" si="210"/>
        <v>0</v>
      </c>
      <c r="BD257" s="96">
        <f t="shared" si="210"/>
        <v>0</v>
      </c>
      <c r="BE257" s="96">
        <f t="shared" si="199"/>
        <v>0</v>
      </c>
      <c r="BF257" s="96">
        <f t="shared" si="200"/>
        <v>0</v>
      </c>
      <c r="BG257" s="15">
        <f t="shared" si="201"/>
        <v>0</v>
      </c>
      <c r="BH257" s="46">
        <f>(SUMPRODUCT(BE258:BE$605,$I257:$I$604)+SUMPRODUCT(BF258:BF$605,$I258:$I$605)) / $I257</f>
        <v>0</v>
      </c>
      <c r="BJ257" s="46">
        <f t="shared" si="202"/>
        <v>0</v>
      </c>
      <c r="BK257" s="46">
        <f t="shared" si="203"/>
        <v>0</v>
      </c>
      <c r="BM257" s="49">
        <f t="shared" si="169"/>
        <v>0</v>
      </c>
      <c r="BN257" s="50">
        <f t="shared" si="204"/>
        <v>0</v>
      </c>
      <c r="BP257" s="68">
        <f>INDEX(Others!$H$11:$I$60, MATCH(C257, Others!$A$11:$A$60, 0), MATCH(BP$3, Others!$H$10:$I$10, 0))</f>
        <v>3.0518181818181833E-2</v>
      </c>
      <c r="BQ257" s="16">
        <f t="shared" si="205"/>
        <v>2.5082875760633616E-3</v>
      </c>
      <c r="BR257" s="69">
        <f t="shared" si="206"/>
        <v>0.5318599622265423</v>
      </c>
      <c r="BT257" s="46">
        <f t="shared" si="207"/>
        <v>0</v>
      </c>
      <c r="BU257" s="49">
        <f t="shared" si="170"/>
        <v>0</v>
      </c>
      <c r="BV257" s="46">
        <f t="shared" si="208"/>
        <v>0</v>
      </c>
      <c r="BX257" s="46">
        <f t="shared" si="209"/>
        <v>0</v>
      </c>
    </row>
    <row r="258" spans="1:76" x14ac:dyDescent="0.25">
      <c r="A258" s="61">
        <f t="shared" si="159"/>
        <v>21.083333333333304</v>
      </c>
      <c r="B258" s="32">
        <f t="shared" si="171"/>
        <v>1</v>
      </c>
      <c r="C258" s="62">
        <f t="shared" si="172"/>
        <v>22</v>
      </c>
      <c r="D258" s="64">
        <f t="shared" si="173"/>
        <v>21.583333333333304</v>
      </c>
      <c r="E258" s="28">
        <f t="shared" si="174"/>
        <v>21</v>
      </c>
      <c r="G258" s="68">
        <f>INDEX(Others!$D$11:$E$60, MATCH(C258, Others!$A$11:$A$60, 0), MATCH(G$3, Others!$D$10:$E$10, 0))</f>
        <v>4.0690909090909333E-2</v>
      </c>
      <c r="H258" s="16">
        <f t="shared" si="175"/>
        <v>3.329265421250005E-3</v>
      </c>
      <c r="I258" s="69">
        <f t="shared" si="176"/>
        <v>0.43131994658084516</v>
      </c>
      <c r="K258" s="80">
        <f>INDEX(Mortality!$B$7:$F$32, MATCH( E258,Mortality!$A$7:$A$32, 0), MATCH( K$3,Mortality!$B$6:$F$6,0))</f>
        <v>0.44800000000000001</v>
      </c>
      <c r="L258" s="11" cm="1">
        <f t="array" ref="L258">PAD_Res_Mort</f>
        <v>0.15</v>
      </c>
      <c r="M258" s="80">
        <f t="shared" si="177"/>
        <v>0.51519999999999999</v>
      </c>
      <c r="N258" s="76" t="e">
        <f>INDEX('Myopia_(Reserve)'!$H:$H, MATCH(E258, 'Myopia_(Reserve)'!$A:$A, 0)) * Trend_Factor_Reserve^(A258)</f>
        <v>#N/A</v>
      </c>
      <c r="O258" s="11">
        <f t="shared" si="160"/>
        <v>0.3</v>
      </c>
      <c r="P258" s="80">
        <f t="shared" si="178"/>
        <v>0</v>
      </c>
      <c r="Q258" s="76">
        <f>VLOOKUP(C258,Others!$L$10:$M$61,2)</f>
        <v>0</v>
      </c>
      <c r="R258" s="11">
        <f t="shared" si="161"/>
        <v>0</v>
      </c>
      <c r="S258" s="80">
        <f t="shared" si="179"/>
        <v>0</v>
      </c>
      <c r="T258" s="78">
        <f t="shared" si="180"/>
        <v>4.2933333333333331E-5</v>
      </c>
      <c r="U258" s="81">
        <f t="shared" si="181"/>
        <v>0</v>
      </c>
      <c r="V258" s="81">
        <f t="shared" si="182"/>
        <v>0</v>
      </c>
      <c r="W258" s="77">
        <f t="shared" si="162"/>
        <v>0</v>
      </c>
      <c r="X258" s="82">
        <f t="shared" si="183"/>
        <v>0</v>
      </c>
      <c r="Y258" s="82">
        <f t="shared" si="184"/>
        <v>0</v>
      </c>
      <c r="Z258" s="82">
        <f t="shared" si="185"/>
        <v>0</v>
      </c>
      <c r="AA258" s="82">
        <f t="shared" si="186"/>
        <v>0</v>
      </c>
      <c r="AC258" s="46">
        <f t="shared" si="163"/>
        <v>0</v>
      </c>
      <c r="AD258" s="15">
        <f t="shared" si="187"/>
        <v>0</v>
      </c>
      <c r="AE258" s="46">
        <f t="shared" si="188"/>
        <v>0</v>
      </c>
      <c r="AF258" s="15">
        <f t="shared" si="189"/>
        <v>0</v>
      </c>
      <c r="AG258" s="46">
        <f>SUMPRODUCT(AE259:AE$605, $I258:$I$604) / $I258</f>
        <v>0</v>
      </c>
      <c r="AI258" s="46">
        <f t="shared" si="164"/>
        <v>0</v>
      </c>
      <c r="AJ258" s="46">
        <f>IF(E258&gt;Mat_Year,0,  -SUM($AD$5:AD258))</f>
        <v>0</v>
      </c>
      <c r="AK258" s="24">
        <f t="shared" si="190"/>
        <v>0</v>
      </c>
      <c r="AL258" s="79">
        <f t="shared" si="191"/>
        <v>0</v>
      </c>
      <c r="AM258" s="24">
        <f t="shared" si="192"/>
        <v>0</v>
      </c>
      <c r="AN258" s="79">
        <f t="shared" si="193"/>
        <v>0</v>
      </c>
      <c r="AO258" s="15">
        <f t="shared" si="194"/>
        <v>0</v>
      </c>
      <c r="AP258" s="46">
        <f>SUMPRODUCT(AN259:AN$605, $I259:$I$605) / $I258</f>
        <v>0</v>
      </c>
      <c r="AR258" s="46">
        <v>0</v>
      </c>
      <c r="AS258" s="46">
        <v>0</v>
      </c>
      <c r="AT258" s="46">
        <v>0</v>
      </c>
      <c r="AU258" s="95">
        <f t="shared" si="165"/>
        <v>0</v>
      </c>
      <c r="AV258" s="47">
        <f t="shared" si="166"/>
        <v>0.1</v>
      </c>
      <c r="AW258" s="96">
        <f t="shared" si="195"/>
        <v>0</v>
      </c>
      <c r="AX258" s="95">
        <f t="shared" si="167"/>
        <v>0</v>
      </c>
      <c r="AY258" s="11">
        <f t="shared" si="168"/>
        <v>0.1</v>
      </c>
      <c r="AZ258" s="96">
        <f t="shared" si="196"/>
        <v>0</v>
      </c>
      <c r="BA258" s="95">
        <f t="shared" si="197"/>
        <v>0</v>
      </c>
      <c r="BB258" s="64">
        <f t="shared" si="198"/>
        <v>0</v>
      </c>
      <c r="BC258" s="95">
        <f t="shared" si="210"/>
        <v>0</v>
      </c>
      <c r="BD258" s="96">
        <f t="shared" si="210"/>
        <v>0</v>
      </c>
      <c r="BE258" s="96">
        <f t="shared" si="199"/>
        <v>0</v>
      </c>
      <c r="BF258" s="96">
        <f t="shared" si="200"/>
        <v>0</v>
      </c>
      <c r="BG258" s="15">
        <f t="shared" si="201"/>
        <v>0</v>
      </c>
      <c r="BH258" s="46">
        <f>(SUMPRODUCT(BE259:BE$605,$I258:$I$604)+SUMPRODUCT(BF259:BF$605,$I259:$I$605)) / $I258</f>
        <v>0</v>
      </c>
      <c r="BJ258" s="46">
        <f t="shared" si="202"/>
        <v>0</v>
      </c>
      <c r="BK258" s="46">
        <f t="shared" si="203"/>
        <v>0</v>
      </c>
      <c r="BM258" s="49">
        <f t="shared" si="169"/>
        <v>0</v>
      </c>
      <c r="BN258" s="50">
        <f t="shared" si="204"/>
        <v>0</v>
      </c>
      <c r="BP258" s="68">
        <f>INDEX(Others!$H$11:$I$60, MATCH(C258, Others!$A$11:$A$60, 0), MATCH(BP$3, Others!$H$10:$I$10, 0))</f>
        <v>3.0518181818182E-2</v>
      </c>
      <c r="BQ258" s="16">
        <f t="shared" si="205"/>
        <v>2.5082875760633616E-3</v>
      </c>
      <c r="BR258" s="69">
        <f t="shared" si="206"/>
        <v>0.53052924231929455</v>
      </c>
      <c r="BT258" s="46">
        <f t="shared" si="207"/>
        <v>0</v>
      </c>
      <c r="BU258" s="49">
        <f t="shared" si="170"/>
        <v>0</v>
      </c>
      <c r="BV258" s="46">
        <f t="shared" si="208"/>
        <v>0</v>
      </c>
      <c r="BX258" s="46">
        <f t="shared" si="209"/>
        <v>0</v>
      </c>
    </row>
    <row r="259" spans="1:76" x14ac:dyDescent="0.25">
      <c r="A259" s="61">
        <f t="shared" si="159"/>
        <v>21.166666666666636</v>
      </c>
      <c r="B259" s="32">
        <f t="shared" si="171"/>
        <v>2</v>
      </c>
      <c r="C259" s="62">
        <f t="shared" si="172"/>
        <v>22</v>
      </c>
      <c r="D259" s="64">
        <f t="shared" si="173"/>
        <v>21.666666666666636</v>
      </c>
      <c r="E259" s="28">
        <f t="shared" si="174"/>
        <v>21</v>
      </c>
      <c r="G259" s="68">
        <f>INDEX(Others!$D$11:$E$60, MATCH(C259, Others!$A$11:$A$60, 0), MATCH(G$3, Others!$D$10:$E$10, 0))</f>
        <v>4.0690909090909333E-2</v>
      </c>
      <c r="H259" s="16">
        <f t="shared" si="175"/>
        <v>3.329265421250005E-3</v>
      </c>
      <c r="I259" s="69">
        <f t="shared" si="176"/>
        <v>0.42988873288745799</v>
      </c>
      <c r="K259" s="80">
        <f>INDEX(Mortality!$B$7:$F$32, MATCH( E259,Mortality!$A$7:$A$32, 0), MATCH( K$3,Mortality!$B$6:$F$6,0))</f>
        <v>0.44800000000000001</v>
      </c>
      <c r="L259" s="11" cm="1">
        <f t="array" ref="L259">PAD_Res_Mort</f>
        <v>0.15</v>
      </c>
      <c r="M259" s="80">
        <f t="shared" si="177"/>
        <v>0.51519999999999999</v>
      </c>
      <c r="N259" s="76" t="e">
        <f>INDEX('Myopia_(Reserve)'!$H:$H, MATCH(E259, 'Myopia_(Reserve)'!$A:$A, 0)) * Trend_Factor_Reserve^(A259)</f>
        <v>#N/A</v>
      </c>
      <c r="O259" s="11">
        <f t="shared" si="160"/>
        <v>0.3</v>
      </c>
      <c r="P259" s="80">
        <f t="shared" si="178"/>
        <v>0</v>
      </c>
      <c r="Q259" s="76">
        <f>VLOOKUP(C259,Others!$L$10:$M$61,2)</f>
        <v>0</v>
      </c>
      <c r="R259" s="11">
        <f t="shared" si="161"/>
        <v>0</v>
      </c>
      <c r="S259" s="80">
        <f t="shared" si="179"/>
        <v>0</v>
      </c>
      <c r="T259" s="78">
        <f t="shared" si="180"/>
        <v>4.2933333333333331E-5</v>
      </c>
      <c r="U259" s="81">
        <f t="shared" si="181"/>
        <v>0</v>
      </c>
      <c r="V259" s="81">
        <f t="shared" si="182"/>
        <v>0</v>
      </c>
      <c r="W259" s="77">
        <f t="shared" si="162"/>
        <v>0</v>
      </c>
      <c r="X259" s="82">
        <f t="shared" si="183"/>
        <v>0</v>
      </c>
      <c r="Y259" s="82">
        <f t="shared" si="184"/>
        <v>0</v>
      </c>
      <c r="Z259" s="82">
        <f t="shared" si="185"/>
        <v>0</v>
      </c>
      <c r="AA259" s="82">
        <f t="shared" si="186"/>
        <v>0</v>
      </c>
      <c r="AC259" s="46">
        <f t="shared" si="163"/>
        <v>0</v>
      </c>
      <c r="AD259" s="15">
        <f t="shared" si="187"/>
        <v>0</v>
      </c>
      <c r="AE259" s="46">
        <f t="shared" si="188"/>
        <v>0</v>
      </c>
      <c r="AF259" s="15">
        <f t="shared" si="189"/>
        <v>0</v>
      </c>
      <c r="AG259" s="46">
        <f>SUMPRODUCT(AE260:AE$605, $I259:$I$604) / $I259</f>
        <v>0</v>
      </c>
      <c r="AI259" s="46">
        <f t="shared" si="164"/>
        <v>0</v>
      </c>
      <c r="AJ259" s="46">
        <f>IF(E259&gt;Mat_Year,0,  -SUM($AD$5:AD259))</f>
        <v>0</v>
      </c>
      <c r="AK259" s="24">
        <f t="shared" si="190"/>
        <v>0</v>
      </c>
      <c r="AL259" s="79">
        <f t="shared" si="191"/>
        <v>0</v>
      </c>
      <c r="AM259" s="24">
        <f t="shared" si="192"/>
        <v>0</v>
      </c>
      <c r="AN259" s="79">
        <f t="shared" si="193"/>
        <v>0</v>
      </c>
      <c r="AO259" s="15">
        <f t="shared" si="194"/>
        <v>0</v>
      </c>
      <c r="AP259" s="46">
        <f>SUMPRODUCT(AN260:AN$605, $I260:$I$605) / $I259</f>
        <v>0</v>
      </c>
      <c r="AR259" s="46">
        <v>0</v>
      </c>
      <c r="AS259" s="46">
        <v>0</v>
      </c>
      <c r="AT259" s="46">
        <v>0</v>
      </c>
      <c r="AU259" s="95">
        <f t="shared" si="165"/>
        <v>0</v>
      </c>
      <c r="AV259" s="47">
        <f t="shared" si="166"/>
        <v>0.1</v>
      </c>
      <c r="AW259" s="96">
        <f t="shared" si="195"/>
        <v>0</v>
      </c>
      <c r="AX259" s="95">
        <f t="shared" si="167"/>
        <v>0</v>
      </c>
      <c r="AY259" s="11">
        <f t="shared" si="168"/>
        <v>0.1</v>
      </c>
      <c r="AZ259" s="96">
        <f t="shared" si="196"/>
        <v>0</v>
      </c>
      <c r="BA259" s="95">
        <f t="shared" si="197"/>
        <v>0</v>
      </c>
      <c r="BB259" s="64">
        <f t="shared" si="198"/>
        <v>0</v>
      </c>
      <c r="BC259" s="95">
        <f t="shared" si="210"/>
        <v>0</v>
      </c>
      <c r="BD259" s="96">
        <f t="shared" si="210"/>
        <v>0</v>
      </c>
      <c r="BE259" s="96">
        <f t="shared" si="199"/>
        <v>0</v>
      </c>
      <c r="BF259" s="96">
        <f t="shared" si="200"/>
        <v>0</v>
      </c>
      <c r="BG259" s="15">
        <f t="shared" si="201"/>
        <v>0</v>
      </c>
      <c r="BH259" s="46">
        <f>(SUMPRODUCT(BE260:BE$605,$I259:$I$604)+SUMPRODUCT(BF260:BF$605,$I260:$I$605)) / $I259</f>
        <v>0</v>
      </c>
      <c r="BJ259" s="46">
        <f t="shared" si="202"/>
        <v>0</v>
      </c>
      <c r="BK259" s="46">
        <f t="shared" si="203"/>
        <v>0</v>
      </c>
      <c r="BM259" s="49">
        <f t="shared" si="169"/>
        <v>0</v>
      </c>
      <c r="BN259" s="50">
        <f t="shared" si="204"/>
        <v>0</v>
      </c>
      <c r="BP259" s="68">
        <f>INDEX(Others!$H$11:$I$60, MATCH(C259, Others!$A$11:$A$60, 0), MATCH(BP$3, Others!$H$10:$I$10, 0))</f>
        <v>3.0518181818182E-2</v>
      </c>
      <c r="BQ259" s="16">
        <f t="shared" si="205"/>
        <v>2.5082875760633616E-3</v>
      </c>
      <c r="BR259" s="69">
        <f t="shared" si="206"/>
        <v>0.52920185188897173</v>
      </c>
      <c r="BT259" s="46">
        <f t="shared" si="207"/>
        <v>0</v>
      </c>
      <c r="BU259" s="49">
        <f t="shared" si="170"/>
        <v>0</v>
      </c>
      <c r="BV259" s="46">
        <f t="shared" si="208"/>
        <v>0</v>
      </c>
      <c r="BX259" s="46">
        <f t="shared" si="209"/>
        <v>0</v>
      </c>
    </row>
    <row r="260" spans="1:76" x14ac:dyDescent="0.25">
      <c r="A260" s="61">
        <f t="shared" si="159"/>
        <v>21.249999999999968</v>
      </c>
      <c r="B260" s="32">
        <f t="shared" si="171"/>
        <v>3</v>
      </c>
      <c r="C260" s="62">
        <f t="shared" si="172"/>
        <v>22</v>
      </c>
      <c r="D260" s="64">
        <f t="shared" si="173"/>
        <v>21.749999999999968</v>
      </c>
      <c r="E260" s="28">
        <f t="shared" si="174"/>
        <v>21</v>
      </c>
      <c r="G260" s="68">
        <f>INDEX(Others!$D$11:$E$60, MATCH(C260, Others!$A$11:$A$60, 0), MATCH(G$3, Others!$D$10:$E$10, 0))</f>
        <v>4.0690909090909333E-2</v>
      </c>
      <c r="H260" s="16">
        <f t="shared" si="175"/>
        <v>3.329265421250005E-3</v>
      </c>
      <c r="I260" s="69">
        <f t="shared" si="176"/>
        <v>0.42846226827338507</v>
      </c>
      <c r="K260" s="80">
        <f>INDEX(Mortality!$B$7:$F$32, MATCH( E260,Mortality!$A$7:$A$32, 0), MATCH( K$3,Mortality!$B$6:$F$6,0))</f>
        <v>0.44800000000000001</v>
      </c>
      <c r="L260" s="11" cm="1">
        <f t="array" ref="L260">PAD_Res_Mort</f>
        <v>0.15</v>
      </c>
      <c r="M260" s="80">
        <f t="shared" si="177"/>
        <v>0.51519999999999999</v>
      </c>
      <c r="N260" s="76" t="e">
        <f>INDEX('Myopia_(Reserve)'!$H:$H, MATCH(E260, 'Myopia_(Reserve)'!$A:$A, 0)) * Trend_Factor_Reserve^(A260)</f>
        <v>#N/A</v>
      </c>
      <c r="O260" s="11">
        <f t="shared" si="160"/>
        <v>0.3</v>
      </c>
      <c r="P260" s="80">
        <f t="shared" si="178"/>
        <v>0</v>
      </c>
      <c r="Q260" s="76">
        <f>VLOOKUP(C260,Others!$L$10:$M$61,2)</f>
        <v>0</v>
      </c>
      <c r="R260" s="11">
        <f t="shared" si="161"/>
        <v>0</v>
      </c>
      <c r="S260" s="80">
        <f t="shared" si="179"/>
        <v>0</v>
      </c>
      <c r="T260" s="78">
        <f t="shared" si="180"/>
        <v>4.2933333333333331E-5</v>
      </c>
      <c r="U260" s="81">
        <f t="shared" si="181"/>
        <v>0</v>
      </c>
      <c r="V260" s="81">
        <f t="shared" si="182"/>
        <v>0</v>
      </c>
      <c r="W260" s="77">
        <f t="shared" si="162"/>
        <v>0</v>
      </c>
      <c r="X260" s="82">
        <f t="shared" si="183"/>
        <v>0</v>
      </c>
      <c r="Y260" s="82">
        <f t="shared" si="184"/>
        <v>0</v>
      </c>
      <c r="Z260" s="82">
        <f t="shared" si="185"/>
        <v>0</v>
      </c>
      <c r="AA260" s="82">
        <f t="shared" si="186"/>
        <v>0</v>
      </c>
      <c r="AC260" s="46">
        <f t="shared" si="163"/>
        <v>0</v>
      </c>
      <c r="AD260" s="15">
        <f t="shared" si="187"/>
        <v>0</v>
      </c>
      <c r="AE260" s="46">
        <f t="shared" si="188"/>
        <v>0</v>
      </c>
      <c r="AF260" s="15">
        <f t="shared" si="189"/>
        <v>0</v>
      </c>
      <c r="AG260" s="46">
        <f>SUMPRODUCT(AE261:AE$605, $I260:$I$604) / $I260</f>
        <v>0</v>
      </c>
      <c r="AI260" s="46">
        <f t="shared" si="164"/>
        <v>0</v>
      </c>
      <c r="AJ260" s="46">
        <f>IF(E260&gt;Mat_Year,0,  -SUM($AD$5:AD260))</f>
        <v>0</v>
      </c>
      <c r="AK260" s="24">
        <f t="shared" si="190"/>
        <v>0</v>
      </c>
      <c r="AL260" s="79">
        <f t="shared" si="191"/>
        <v>0</v>
      </c>
      <c r="AM260" s="24">
        <f t="shared" si="192"/>
        <v>0</v>
      </c>
      <c r="AN260" s="79">
        <f t="shared" si="193"/>
        <v>0</v>
      </c>
      <c r="AO260" s="15">
        <f t="shared" si="194"/>
        <v>0</v>
      </c>
      <c r="AP260" s="46">
        <f>SUMPRODUCT(AN261:AN$605, $I261:$I$605) / $I260</f>
        <v>0</v>
      </c>
      <c r="AR260" s="46">
        <v>0</v>
      </c>
      <c r="AS260" s="46">
        <v>0</v>
      </c>
      <c r="AT260" s="46">
        <v>0</v>
      </c>
      <c r="AU260" s="95">
        <f t="shared" si="165"/>
        <v>0</v>
      </c>
      <c r="AV260" s="47">
        <f t="shared" si="166"/>
        <v>0.1</v>
      </c>
      <c r="AW260" s="96">
        <f t="shared" si="195"/>
        <v>0</v>
      </c>
      <c r="AX260" s="95">
        <f t="shared" si="167"/>
        <v>0</v>
      </c>
      <c r="AY260" s="11">
        <f t="shared" si="168"/>
        <v>0.1</v>
      </c>
      <c r="AZ260" s="96">
        <f t="shared" si="196"/>
        <v>0</v>
      </c>
      <c r="BA260" s="95">
        <f t="shared" si="197"/>
        <v>0</v>
      </c>
      <c r="BB260" s="64">
        <f t="shared" si="198"/>
        <v>0</v>
      </c>
      <c r="BC260" s="95">
        <f t="shared" si="210"/>
        <v>0</v>
      </c>
      <c r="BD260" s="96">
        <f t="shared" si="210"/>
        <v>0</v>
      </c>
      <c r="BE260" s="96">
        <f t="shared" si="199"/>
        <v>0</v>
      </c>
      <c r="BF260" s="96">
        <f t="shared" si="200"/>
        <v>0</v>
      </c>
      <c r="BG260" s="15">
        <f t="shared" si="201"/>
        <v>0</v>
      </c>
      <c r="BH260" s="46">
        <f>(SUMPRODUCT(BE261:BE$605,$I260:$I$604)+SUMPRODUCT(BF261:BF$605,$I261:$I$605)) / $I260</f>
        <v>0</v>
      </c>
      <c r="BJ260" s="46">
        <f t="shared" si="202"/>
        <v>0</v>
      </c>
      <c r="BK260" s="46">
        <f t="shared" si="203"/>
        <v>0</v>
      </c>
      <c r="BM260" s="49">
        <f t="shared" si="169"/>
        <v>0</v>
      </c>
      <c r="BN260" s="50">
        <f t="shared" si="204"/>
        <v>0</v>
      </c>
      <c r="BP260" s="68">
        <f>INDEX(Others!$H$11:$I$60, MATCH(C260, Others!$A$11:$A$60, 0), MATCH(BP$3, Others!$H$10:$I$10, 0))</f>
        <v>3.0518181818182E-2</v>
      </c>
      <c r="BQ260" s="16">
        <f t="shared" si="205"/>
        <v>2.5082875760633616E-3</v>
      </c>
      <c r="BR260" s="69">
        <f t="shared" si="206"/>
        <v>0.52787778260518325</v>
      </c>
      <c r="BT260" s="46">
        <f t="shared" si="207"/>
        <v>0</v>
      </c>
      <c r="BU260" s="49">
        <f t="shared" si="170"/>
        <v>0</v>
      </c>
      <c r="BV260" s="46">
        <f t="shared" si="208"/>
        <v>0</v>
      </c>
      <c r="BX260" s="46">
        <f t="shared" si="209"/>
        <v>0</v>
      </c>
    </row>
    <row r="261" spans="1:76" x14ac:dyDescent="0.25">
      <c r="A261" s="61">
        <f t="shared" si="159"/>
        <v>21.3333333333333</v>
      </c>
      <c r="B261" s="32">
        <f t="shared" si="171"/>
        <v>4</v>
      </c>
      <c r="C261" s="62">
        <f t="shared" si="172"/>
        <v>22</v>
      </c>
      <c r="D261" s="64">
        <f t="shared" si="173"/>
        <v>21.8333333333333</v>
      </c>
      <c r="E261" s="28">
        <f t="shared" si="174"/>
        <v>21</v>
      </c>
      <c r="G261" s="68">
        <f>INDEX(Others!$D$11:$E$60, MATCH(C261, Others!$A$11:$A$60, 0), MATCH(G$3, Others!$D$10:$E$10, 0))</f>
        <v>4.0690909090909333E-2</v>
      </c>
      <c r="H261" s="16">
        <f t="shared" si="175"/>
        <v>3.329265421250005E-3</v>
      </c>
      <c r="I261" s="69">
        <f t="shared" si="176"/>
        <v>0.42704053698014505</v>
      </c>
      <c r="K261" s="80">
        <f>INDEX(Mortality!$B$7:$F$32, MATCH( E261,Mortality!$A$7:$A$32, 0), MATCH( K$3,Mortality!$B$6:$F$6,0))</f>
        <v>0.44800000000000001</v>
      </c>
      <c r="L261" s="11" cm="1">
        <f t="array" ref="L261">PAD_Res_Mort</f>
        <v>0.15</v>
      </c>
      <c r="M261" s="80">
        <f t="shared" si="177"/>
        <v>0.51519999999999999</v>
      </c>
      <c r="N261" s="76" t="e">
        <f>INDEX('Myopia_(Reserve)'!$H:$H, MATCH(E261, 'Myopia_(Reserve)'!$A:$A, 0)) * Trend_Factor_Reserve^(A261)</f>
        <v>#N/A</v>
      </c>
      <c r="O261" s="11">
        <f t="shared" si="160"/>
        <v>0.3</v>
      </c>
      <c r="P261" s="80">
        <f t="shared" si="178"/>
        <v>0</v>
      </c>
      <c r="Q261" s="76">
        <f>VLOOKUP(C261,Others!$L$10:$M$61,2)</f>
        <v>0</v>
      </c>
      <c r="R261" s="11">
        <f t="shared" si="161"/>
        <v>0</v>
      </c>
      <c r="S261" s="80">
        <f t="shared" si="179"/>
        <v>0</v>
      </c>
      <c r="T261" s="78">
        <f t="shared" si="180"/>
        <v>4.2933333333333331E-5</v>
      </c>
      <c r="U261" s="81">
        <f t="shared" si="181"/>
        <v>0</v>
      </c>
      <c r="V261" s="81">
        <f t="shared" si="182"/>
        <v>0</v>
      </c>
      <c r="W261" s="77">
        <f t="shared" si="162"/>
        <v>0</v>
      </c>
      <c r="X261" s="82">
        <f t="shared" si="183"/>
        <v>0</v>
      </c>
      <c r="Y261" s="82">
        <f t="shared" si="184"/>
        <v>0</v>
      </c>
      <c r="Z261" s="82">
        <f t="shared" si="185"/>
        <v>0</v>
      </c>
      <c r="AA261" s="82">
        <f t="shared" si="186"/>
        <v>0</v>
      </c>
      <c r="AC261" s="46">
        <f t="shared" si="163"/>
        <v>0</v>
      </c>
      <c r="AD261" s="15">
        <f t="shared" si="187"/>
        <v>0</v>
      </c>
      <c r="AE261" s="46">
        <f t="shared" si="188"/>
        <v>0</v>
      </c>
      <c r="AF261" s="15">
        <f t="shared" si="189"/>
        <v>0</v>
      </c>
      <c r="AG261" s="46">
        <f>SUMPRODUCT(AE262:AE$605, $I261:$I$604) / $I261</f>
        <v>0</v>
      </c>
      <c r="AI261" s="46">
        <f t="shared" si="164"/>
        <v>0</v>
      </c>
      <c r="AJ261" s="46">
        <f>IF(E261&gt;Mat_Year,0,  -SUM($AD$5:AD261))</f>
        <v>0</v>
      </c>
      <c r="AK261" s="24">
        <f t="shared" si="190"/>
        <v>0</v>
      </c>
      <c r="AL261" s="79">
        <f t="shared" si="191"/>
        <v>0</v>
      </c>
      <c r="AM261" s="24">
        <f t="shared" si="192"/>
        <v>0</v>
      </c>
      <c r="AN261" s="79">
        <f t="shared" si="193"/>
        <v>0</v>
      </c>
      <c r="AO261" s="15">
        <f t="shared" si="194"/>
        <v>0</v>
      </c>
      <c r="AP261" s="46">
        <f>SUMPRODUCT(AN262:AN$605, $I262:$I$605) / $I261</f>
        <v>0</v>
      </c>
      <c r="AR261" s="46">
        <v>0</v>
      </c>
      <c r="AS261" s="46">
        <v>0</v>
      </c>
      <c r="AT261" s="46">
        <v>0</v>
      </c>
      <c r="AU261" s="95">
        <f t="shared" si="165"/>
        <v>0</v>
      </c>
      <c r="AV261" s="47">
        <f t="shared" si="166"/>
        <v>0.1</v>
      </c>
      <c r="AW261" s="96">
        <f t="shared" si="195"/>
        <v>0</v>
      </c>
      <c r="AX261" s="95">
        <f t="shared" si="167"/>
        <v>0</v>
      </c>
      <c r="AY261" s="11">
        <f t="shared" si="168"/>
        <v>0.1</v>
      </c>
      <c r="AZ261" s="96">
        <f t="shared" si="196"/>
        <v>0</v>
      </c>
      <c r="BA261" s="95">
        <f t="shared" si="197"/>
        <v>0</v>
      </c>
      <c r="BB261" s="64">
        <f t="shared" si="198"/>
        <v>0</v>
      </c>
      <c r="BC261" s="95">
        <f t="shared" si="210"/>
        <v>0</v>
      </c>
      <c r="BD261" s="96">
        <f t="shared" si="210"/>
        <v>0</v>
      </c>
      <c r="BE261" s="96">
        <f t="shared" si="199"/>
        <v>0</v>
      </c>
      <c r="BF261" s="96">
        <f t="shared" si="200"/>
        <v>0</v>
      </c>
      <c r="BG261" s="15">
        <f t="shared" si="201"/>
        <v>0</v>
      </c>
      <c r="BH261" s="46">
        <f>(SUMPRODUCT(BE262:BE$605,$I261:$I$604)+SUMPRODUCT(BF262:BF$605,$I262:$I$605)) / $I261</f>
        <v>0</v>
      </c>
      <c r="BJ261" s="46">
        <f t="shared" si="202"/>
        <v>0</v>
      </c>
      <c r="BK261" s="46">
        <f t="shared" si="203"/>
        <v>0</v>
      </c>
      <c r="BM261" s="49">
        <f t="shared" si="169"/>
        <v>0</v>
      </c>
      <c r="BN261" s="50">
        <f t="shared" si="204"/>
        <v>0</v>
      </c>
      <c r="BP261" s="68">
        <f>INDEX(Others!$H$11:$I$60, MATCH(C261, Others!$A$11:$A$60, 0), MATCH(BP$3, Others!$H$10:$I$10, 0))</f>
        <v>3.0518181818182E-2</v>
      </c>
      <c r="BQ261" s="16">
        <f t="shared" si="205"/>
        <v>2.5082875760633616E-3</v>
      </c>
      <c r="BR261" s="69">
        <f t="shared" si="206"/>
        <v>0.52655702615838129</v>
      </c>
      <c r="BT261" s="46">
        <f t="shared" si="207"/>
        <v>0</v>
      </c>
      <c r="BU261" s="49">
        <f t="shared" si="170"/>
        <v>0</v>
      </c>
      <c r="BV261" s="46">
        <f t="shared" si="208"/>
        <v>0</v>
      </c>
      <c r="BX261" s="46">
        <f t="shared" si="209"/>
        <v>0</v>
      </c>
    </row>
    <row r="262" spans="1:76" x14ac:dyDescent="0.25">
      <c r="A262" s="61">
        <f t="shared" ref="A262:A317" si="211">A261+1/12</f>
        <v>21.416666666666632</v>
      </c>
      <c r="B262" s="32">
        <f t="shared" si="171"/>
        <v>5</v>
      </c>
      <c r="C262" s="62">
        <f t="shared" si="172"/>
        <v>22</v>
      </c>
      <c r="D262" s="64">
        <f t="shared" si="173"/>
        <v>21.916666666666632</v>
      </c>
      <c r="E262" s="28">
        <f t="shared" si="174"/>
        <v>21</v>
      </c>
      <c r="G262" s="68">
        <f>INDEX(Others!$D$11:$E$60, MATCH(C262, Others!$A$11:$A$60, 0), MATCH(G$3, Others!$D$10:$E$10, 0))</f>
        <v>4.0690909090909333E-2</v>
      </c>
      <c r="H262" s="16">
        <f t="shared" si="175"/>
        <v>3.329265421250005E-3</v>
      </c>
      <c r="I262" s="69">
        <f t="shared" si="176"/>
        <v>0.42562352330154662</v>
      </c>
      <c r="K262" s="80">
        <f>INDEX(Mortality!$B$7:$F$32, MATCH( E262,Mortality!$A$7:$A$32, 0), MATCH( K$3,Mortality!$B$6:$F$6,0))</f>
        <v>0.44800000000000001</v>
      </c>
      <c r="L262" s="11" cm="1">
        <f t="array" ref="L262">PAD_Res_Mort</f>
        <v>0.15</v>
      </c>
      <c r="M262" s="80">
        <f t="shared" si="177"/>
        <v>0.51519999999999999</v>
      </c>
      <c r="N262" s="76" t="e">
        <f>INDEX('Myopia_(Reserve)'!$H:$H, MATCH(E262, 'Myopia_(Reserve)'!$A:$A, 0)) * Trend_Factor_Reserve^(A262)</f>
        <v>#N/A</v>
      </c>
      <c r="O262" s="11">
        <f t="shared" ref="O262:O317" si="212">PAD_Res_Incid</f>
        <v>0.3</v>
      </c>
      <c r="P262" s="80">
        <f t="shared" si="178"/>
        <v>0</v>
      </c>
      <c r="Q262" s="76">
        <f>VLOOKUP(C262,Others!$L$10:$M$61,2)</f>
        <v>0</v>
      </c>
      <c r="R262" s="11">
        <f t="shared" ref="R262:R317" si="213">PAD_Res_Laspe</f>
        <v>0</v>
      </c>
      <c r="S262" s="80">
        <f t="shared" si="179"/>
        <v>0</v>
      </c>
      <c r="T262" s="78">
        <f t="shared" si="180"/>
        <v>4.2933333333333331E-5</v>
      </c>
      <c r="U262" s="81">
        <f t="shared" si="181"/>
        <v>0</v>
      </c>
      <c r="V262" s="81">
        <f t="shared" si="182"/>
        <v>0</v>
      </c>
      <c r="W262" s="77">
        <f t="shared" ref="W262:W317" si="214">IF(E262&gt;Mat_Year, 0, AA261)</f>
        <v>0</v>
      </c>
      <c r="X262" s="82">
        <f t="shared" si="183"/>
        <v>0</v>
      </c>
      <c r="Y262" s="82">
        <f t="shared" si="184"/>
        <v>0</v>
      </c>
      <c r="Z262" s="82">
        <f t="shared" si="185"/>
        <v>0</v>
      </c>
      <c r="AA262" s="82">
        <f t="shared" si="186"/>
        <v>0</v>
      </c>
      <c r="AC262" s="46">
        <f t="shared" ref="AC262:AC317" si="215">IF(C262&gt;Prem_Term,0,Ann_Prem)</f>
        <v>0</v>
      </c>
      <c r="AD262" s="15">
        <f t="shared" si="187"/>
        <v>0</v>
      </c>
      <c r="AE262" s="46">
        <f t="shared" si="188"/>
        <v>0</v>
      </c>
      <c r="AF262" s="15">
        <f t="shared" si="189"/>
        <v>0</v>
      </c>
      <c r="AG262" s="46">
        <f>SUMPRODUCT(AE263:AE$605, $I262:$I$604) / $I262</f>
        <v>0</v>
      </c>
      <c r="AI262" s="46">
        <f t="shared" ref="AI262:AI317" si="216">IF(E262&gt;Mat_Year,0, -Sum_Assured)</f>
        <v>0</v>
      </c>
      <c r="AJ262" s="46">
        <f>IF(E262&gt;Mat_Year,0,  -SUM($AD$5:AD262))</f>
        <v>0</v>
      </c>
      <c r="AK262" s="24">
        <f t="shared" si="190"/>
        <v>0</v>
      </c>
      <c r="AL262" s="79">
        <f t="shared" si="191"/>
        <v>0</v>
      </c>
      <c r="AM262" s="24">
        <f t="shared" si="192"/>
        <v>0</v>
      </c>
      <c r="AN262" s="79">
        <f t="shared" si="193"/>
        <v>0</v>
      </c>
      <c r="AO262" s="15">
        <f t="shared" si="194"/>
        <v>0</v>
      </c>
      <c r="AP262" s="46">
        <f>SUMPRODUCT(AN263:AN$605, $I263:$I$605) / $I262</f>
        <v>0</v>
      </c>
      <c r="AR262" s="46">
        <v>0</v>
      </c>
      <c r="AS262" s="46">
        <v>0</v>
      </c>
      <c r="AT262" s="46">
        <v>0</v>
      </c>
      <c r="AU262" s="95">
        <f t="shared" ref="AU262:AU317" si="217">IF(E262&gt;Mat_Year,0,
-Exp_Main/12 * (1+Exp_Main_Infl_Reserve)^(A261))</f>
        <v>0</v>
      </c>
      <c r="AV262" s="47">
        <f t="shared" ref="AV262:AV317" si="218">PAD_Res_Exp_Main</f>
        <v>0.1</v>
      </c>
      <c r="AW262" s="96">
        <f t="shared" si="195"/>
        <v>0</v>
      </c>
      <c r="AX262" s="95">
        <f t="shared" ref="AX262:AX317" si="219">IF(E262&gt;Mat_Year,0,
-Exp_Claim* (1+Exp_Main_Infl_Reserve)^(A261))</f>
        <v>0</v>
      </c>
      <c r="AY262" s="11">
        <f t="shared" ref="AY262:AY317" si="220">PAD_Res_Exp_Claim</f>
        <v>0.1</v>
      </c>
      <c r="AZ262" s="96">
        <f t="shared" si="196"/>
        <v>0</v>
      </c>
      <c r="BA262" s="95">
        <f t="shared" si="197"/>
        <v>0</v>
      </c>
      <c r="BB262" s="64">
        <f t="shared" si="198"/>
        <v>0</v>
      </c>
      <c r="BC262" s="95">
        <f t="shared" si="210"/>
        <v>0</v>
      </c>
      <c r="BD262" s="96">
        <f t="shared" si="210"/>
        <v>0</v>
      </c>
      <c r="BE262" s="96">
        <f t="shared" si="199"/>
        <v>0</v>
      </c>
      <c r="BF262" s="96">
        <f t="shared" si="200"/>
        <v>0</v>
      </c>
      <c r="BG262" s="15">
        <f t="shared" si="201"/>
        <v>0</v>
      </c>
      <c r="BH262" s="46">
        <f>(SUMPRODUCT(BE263:BE$605,$I262:$I$604)+SUMPRODUCT(BF263:BF$605,$I263:$I$605)) / $I262</f>
        <v>0</v>
      </c>
      <c r="BJ262" s="46">
        <f t="shared" si="202"/>
        <v>0</v>
      </c>
      <c r="BK262" s="46">
        <f t="shared" si="203"/>
        <v>0</v>
      </c>
      <c r="BM262" s="49">
        <f t="shared" ref="BM262:BM317" si="221">IF($AA262 = 0, 0, BN262/$AA262)</f>
        <v>0</v>
      </c>
      <c r="BN262" s="50">
        <f t="shared" si="204"/>
        <v>0</v>
      </c>
      <c r="BP262" s="68">
        <f>INDEX(Others!$H$11:$I$60, MATCH(C262, Others!$A$11:$A$60, 0), MATCH(BP$3, Others!$H$10:$I$10, 0))</f>
        <v>3.0518181818182E-2</v>
      </c>
      <c r="BQ262" s="16">
        <f t="shared" si="205"/>
        <v>2.5082875760633616E-3</v>
      </c>
      <c r="BR262" s="69">
        <f t="shared" si="206"/>
        <v>0.52523957425980861</v>
      </c>
      <c r="BT262" s="46">
        <f t="shared" si="207"/>
        <v>0</v>
      </c>
      <c r="BU262" s="49">
        <f t="shared" ref="BU262:BU317" si="222">IF($AA262 = 0, 0, BV262/$AA262)</f>
        <v>0</v>
      </c>
      <c r="BV262" s="46">
        <f t="shared" si="208"/>
        <v>0</v>
      </c>
      <c r="BX262" s="46">
        <f t="shared" si="209"/>
        <v>0</v>
      </c>
    </row>
    <row r="263" spans="1:76" x14ac:dyDescent="0.25">
      <c r="A263" s="61">
        <f t="shared" si="211"/>
        <v>21.499999999999964</v>
      </c>
      <c r="B263" s="32">
        <f t="shared" ref="B263:B317" si="223">IF(B262=12,1,B262+1)</f>
        <v>6</v>
      </c>
      <c r="C263" s="62">
        <f t="shared" ref="C263:C317" si="224">IF(B262=12,C262+1,C262)</f>
        <v>22</v>
      </c>
      <c r="D263" s="64">
        <f t="shared" ref="D263:D317" si="225">$D$5+A263</f>
        <v>21.999999999999964</v>
      </c>
      <c r="E263" s="28">
        <f t="shared" ref="E263:E317" si="226">INT(D263+0.001)</f>
        <v>22</v>
      </c>
      <c r="G263" s="68">
        <f>INDEX(Others!$D$11:$E$60, MATCH(C263, Others!$A$11:$A$60, 0), MATCH(G$3, Others!$D$10:$E$10, 0))</f>
        <v>4.0690909090909333E-2</v>
      </c>
      <c r="H263" s="16">
        <f t="shared" ref="H263:H317" si="227">(1+G263)^(1/12) - 1</f>
        <v>3.329265421250005E-3</v>
      </c>
      <c r="I263" s="69">
        <f t="shared" ref="I263:I317" si="228">I262/(1+H263)</f>
        <v>0.42421121158351505</v>
      </c>
      <c r="K263" s="80">
        <f>INDEX(Mortality!$B$7:$F$32, MATCH( E263,Mortality!$A$7:$A$32, 0), MATCH( K$3,Mortality!$B$6:$F$6,0))</f>
        <v>0.46299999999999997</v>
      </c>
      <c r="L263" s="11" cm="1">
        <f t="array" ref="L263">PAD_Res_Mort</f>
        <v>0.15</v>
      </c>
      <c r="M263" s="80">
        <f t="shared" ref="M263:M317" si="229">IFERROR( K263*(1+L263), 0)</f>
        <v>0.53244999999999987</v>
      </c>
      <c r="N263" s="76" t="e">
        <f>INDEX('Myopia_(Reserve)'!$H:$H, MATCH(E263, 'Myopia_(Reserve)'!$A:$A, 0)) * Trend_Factor_Reserve^(A263)</f>
        <v>#N/A</v>
      </c>
      <c r="O263" s="11">
        <f t="shared" si="212"/>
        <v>0.3</v>
      </c>
      <c r="P263" s="80">
        <f t="shared" ref="P263:P317" si="230">IFERROR( N263*(1+O263), 0)</f>
        <v>0</v>
      </c>
      <c r="Q263" s="76">
        <f>VLOOKUP(C263,Others!$L$10:$M$61,2)</f>
        <v>0</v>
      </c>
      <c r="R263" s="11">
        <f t="shared" si="213"/>
        <v>0</v>
      </c>
      <c r="S263" s="80">
        <f t="shared" ref="S263:S317" si="231">IFERROR( Q263*(1+R263), 0)</f>
        <v>0</v>
      </c>
      <c r="T263" s="78">
        <f t="shared" ref="T263:T317" si="232">(M263/1000)/12</f>
        <v>4.4370833333333319E-5</v>
      </c>
      <c r="U263" s="81">
        <f t="shared" ref="U263:U317" si="233">(P263/1000)/12</f>
        <v>0</v>
      </c>
      <c r="V263" s="81">
        <f t="shared" ref="V263:V317" si="234">(S263/1000)/12</f>
        <v>0</v>
      </c>
      <c r="W263" s="77">
        <f t="shared" si="214"/>
        <v>0</v>
      </c>
      <c r="X263" s="82">
        <f t="shared" ref="X263:X317" si="235">W263 * (T263)*(1-U263/2)</f>
        <v>0</v>
      </c>
      <c r="Y263" s="82">
        <f t="shared" ref="Y263:Y317" si="236">W263 * (1-T263/2)*(U263)</f>
        <v>0</v>
      </c>
      <c r="Z263" s="82">
        <f t="shared" ref="Z263:Z317" si="237">W263 * (1-T263)*(1-U263)*(V263)</f>
        <v>0</v>
      </c>
      <c r="AA263" s="82">
        <f t="shared" ref="AA263:AA317" si="238">W263-SUM(X263:Z263)</f>
        <v>0</v>
      </c>
      <c r="AC263" s="46">
        <f t="shared" si="215"/>
        <v>0</v>
      </c>
      <c r="AD263" s="15">
        <f t="shared" ref="AD263:AD317" si="239">IF(Prem_Mode="Mth",AC263/12,
IF(B263=1, AC263, 0))</f>
        <v>0</v>
      </c>
      <c r="AE263" s="46">
        <f t="shared" ref="AE263:AE317" si="240">AD263*$W263</f>
        <v>0</v>
      </c>
      <c r="AF263" s="15">
        <f t="shared" ref="AF263:AF317" si="241">IF($W263 = 0, 0, AG263/$W263)</f>
        <v>0</v>
      </c>
      <c r="AG263" s="46">
        <f>SUMPRODUCT(AE264:AE$605, $I263:$I$604) / $I263</f>
        <v>0</v>
      </c>
      <c r="AI263" s="46">
        <f t="shared" si="216"/>
        <v>0</v>
      </c>
      <c r="AJ263" s="46">
        <f>IF(E263&gt;Mat_Year,0,  -SUM($AD$5:AD263))</f>
        <v>0</v>
      </c>
      <c r="AK263" s="24">
        <f t="shared" ref="AK263:AK317" si="242">AJ263*X263</f>
        <v>0</v>
      </c>
      <c r="AL263" s="79">
        <f t="shared" ref="AL263:AL317" si="243">AI263*Y263</f>
        <v>0</v>
      </c>
      <c r="AM263" s="24">
        <f t="shared" ref="AM263:AM317" si="244">IF($W263 = 0, 0, AN263/$W263)</f>
        <v>0</v>
      </c>
      <c r="AN263" s="79">
        <f t="shared" ref="AN263:AN317" si="245">SUM(AK263:AL263)</f>
        <v>0</v>
      </c>
      <c r="AO263" s="15">
        <f t="shared" ref="AO263:AO317" si="246">IF($W263 = 0, 0, AP263/$W263)</f>
        <v>0</v>
      </c>
      <c r="AP263" s="46">
        <f>SUMPRODUCT(AN264:AN$605, $I264:$I$605) / $I263</f>
        <v>0</v>
      </c>
      <c r="AR263" s="46">
        <v>0</v>
      </c>
      <c r="AS263" s="46">
        <v>0</v>
      </c>
      <c r="AT263" s="46">
        <v>0</v>
      </c>
      <c r="AU263" s="95">
        <f t="shared" si="217"/>
        <v>0</v>
      </c>
      <c r="AV263" s="47">
        <f t="shared" si="218"/>
        <v>0.1</v>
      </c>
      <c r="AW263" s="96">
        <f t="shared" ref="AW263:AW317" si="247">AU263*(1+AV263)</f>
        <v>0</v>
      </c>
      <c r="AX263" s="95">
        <f t="shared" si="219"/>
        <v>0</v>
      </c>
      <c r="AY263" s="11">
        <f t="shared" si="220"/>
        <v>0.1</v>
      </c>
      <c r="AZ263" s="96">
        <f t="shared" ref="AZ263:AZ317" si="248">AX263*(1+AY263)</f>
        <v>0</v>
      </c>
      <c r="BA263" s="95">
        <f t="shared" ref="BA263:BA317" si="249">AW263*$W263</f>
        <v>0</v>
      </c>
      <c r="BB263" s="64">
        <f t="shared" ref="BB263:BB317" si="250">AZ263*SUM(X263:Y263)</f>
        <v>0</v>
      </c>
      <c r="BC263" s="95">
        <f t="shared" si="210"/>
        <v>0</v>
      </c>
      <c r="BD263" s="96">
        <f t="shared" si="210"/>
        <v>0</v>
      </c>
      <c r="BE263" s="96">
        <f t="shared" ref="BE263:BE317" si="251">SUM(AT263,BA263)</f>
        <v>0</v>
      </c>
      <c r="BF263" s="96">
        <f t="shared" ref="BF263:BF317" si="252">SUM(BB263)</f>
        <v>0</v>
      </c>
      <c r="BG263" s="15">
        <f t="shared" ref="BG263:BG317" si="253">IF($W263 = 0, 0, BH263/$W263)</f>
        <v>0</v>
      </c>
      <c r="BH263" s="46">
        <f>(SUMPRODUCT(BE264:BE$605,$I263:$I$604)+SUMPRODUCT(BF264:BF$605,$I264:$I$605)) / $I263</f>
        <v>0</v>
      </c>
      <c r="BJ263" s="46">
        <f t="shared" ref="BJ263:BJ317" si="254">SUM(AE263,BE263)</f>
        <v>0</v>
      </c>
      <c r="BK263" s="46">
        <f t="shared" ref="BK263:BK317" si="255">SUM(AN263,BF263)</f>
        <v>0</v>
      </c>
      <c r="BM263" s="49">
        <f t="shared" si="221"/>
        <v>0</v>
      </c>
      <c r="BN263" s="50">
        <f t="shared" ref="BN263:BN317" si="256">MAX(BN264/(1+H264) - (BJ264 + BK264/(1+H264)),0)</f>
        <v>0</v>
      </c>
      <c r="BP263" s="68">
        <f>INDEX(Others!$H$11:$I$60, MATCH(C263, Others!$A$11:$A$60, 0), MATCH(BP$3, Others!$H$10:$I$10, 0))</f>
        <v>3.0518181818182E-2</v>
      </c>
      <c r="BQ263" s="16">
        <f t="shared" ref="BQ263:BQ317" si="257">(1+BP263)^(1/12) - 1</f>
        <v>2.5082875760633616E-3</v>
      </c>
      <c r="BR263" s="69">
        <f t="shared" ref="BR263:BR317" si="258">BR262/(1+BQ263)</f>
        <v>0.52392541864144648</v>
      </c>
      <c r="BT263" s="46">
        <f t="shared" ref="BT263:BT317" si="259">MAX(BT264/(1+BQ264) - (BJ264 + BK264/(1+BQ264)),0)</f>
        <v>0</v>
      </c>
      <c r="BU263" s="49">
        <f t="shared" si="222"/>
        <v>0</v>
      </c>
      <c r="BV263" s="46">
        <f t="shared" si="208"/>
        <v>0</v>
      </c>
      <c r="BX263" s="46">
        <f t="shared" si="209"/>
        <v>0</v>
      </c>
    </row>
    <row r="264" spans="1:76" x14ac:dyDescent="0.25">
      <c r="A264" s="61">
        <f t="shared" si="211"/>
        <v>21.583333333333297</v>
      </c>
      <c r="B264" s="32">
        <f t="shared" si="223"/>
        <v>7</v>
      </c>
      <c r="C264" s="62">
        <f t="shared" si="224"/>
        <v>22</v>
      </c>
      <c r="D264" s="64">
        <f t="shared" si="225"/>
        <v>22.083333333333297</v>
      </c>
      <c r="E264" s="28">
        <f t="shared" si="226"/>
        <v>22</v>
      </c>
      <c r="G264" s="68">
        <f>INDEX(Others!$D$11:$E$60, MATCH(C264, Others!$A$11:$A$60, 0), MATCH(G$3, Others!$D$10:$E$10, 0))</f>
        <v>4.0690909090909333E-2</v>
      </c>
      <c r="H264" s="16">
        <f t="shared" si="227"/>
        <v>3.329265421250005E-3</v>
      </c>
      <c r="I264" s="69">
        <f t="shared" si="228"/>
        <v>0.42280358622391928</v>
      </c>
      <c r="K264" s="80">
        <f>INDEX(Mortality!$B$7:$F$32, MATCH( E264,Mortality!$A$7:$A$32, 0), MATCH( K$3,Mortality!$B$6:$F$6,0))</f>
        <v>0.46299999999999997</v>
      </c>
      <c r="L264" s="11" cm="1">
        <f t="array" ref="L264">PAD_Res_Mort</f>
        <v>0.15</v>
      </c>
      <c r="M264" s="80">
        <f t="shared" si="229"/>
        <v>0.53244999999999987</v>
      </c>
      <c r="N264" s="76" t="e">
        <f>INDEX('Myopia_(Reserve)'!$H:$H, MATCH(E264, 'Myopia_(Reserve)'!$A:$A, 0)) * Trend_Factor_Reserve^(A264)</f>
        <v>#N/A</v>
      </c>
      <c r="O264" s="11">
        <f t="shared" si="212"/>
        <v>0.3</v>
      </c>
      <c r="P264" s="80">
        <f t="shared" si="230"/>
        <v>0</v>
      </c>
      <c r="Q264" s="76">
        <f>VLOOKUP(C264,Others!$L$10:$M$61,2)</f>
        <v>0</v>
      </c>
      <c r="R264" s="11">
        <f t="shared" si="213"/>
        <v>0</v>
      </c>
      <c r="S264" s="80">
        <f t="shared" si="231"/>
        <v>0</v>
      </c>
      <c r="T264" s="78">
        <f t="shared" si="232"/>
        <v>4.4370833333333319E-5</v>
      </c>
      <c r="U264" s="81">
        <f t="shared" si="233"/>
        <v>0</v>
      </c>
      <c r="V264" s="81">
        <f t="shared" si="234"/>
        <v>0</v>
      </c>
      <c r="W264" s="77">
        <f t="shared" si="214"/>
        <v>0</v>
      </c>
      <c r="X264" s="82">
        <f t="shared" si="235"/>
        <v>0</v>
      </c>
      <c r="Y264" s="82">
        <f t="shared" si="236"/>
        <v>0</v>
      </c>
      <c r="Z264" s="82">
        <f t="shared" si="237"/>
        <v>0</v>
      </c>
      <c r="AA264" s="82">
        <f t="shared" si="238"/>
        <v>0</v>
      </c>
      <c r="AC264" s="46">
        <f t="shared" si="215"/>
        <v>0</v>
      </c>
      <c r="AD264" s="15">
        <f t="shared" si="239"/>
        <v>0</v>
      </c>
      <c r="AE264" s="46">
        <f t="shared" si="240"/>
        <v>0</v>
      </c>
      <c r="AF264" s="15">
        <f t="shared" si="241"/>
        <v>0</v>
      </c>
      <c r="AG264" s="46">
        <f>SUMPRODUCT(AE265:AE$605, $I264:$I$604) / $I264</f>
        <v>0</v>
      </c>
      <c r="AI264" s="46">
        <f t="shared" si="216"/>
        <v>0</v>
      </c>
      <c r="AJ264" s="46">
        <f>IF(E264&gt;Mat_Year,0,  -SUM($AD$5:AD264))</f>
        <v>0</v>
      </c>
      <c r="AK264" s="24">
        <f t="shared" si="242"/>
        <v>0</v>
      </c>
      <c r="AL264" s="79">
        <f t="shared" si="243"/>
        <v>0</v>
      </c>
      <c r="AM264" s="24">
        <f t="shared" si="244"/>
        <v>0</v>
      </c>
      <c r="AN264" s="79">
        <f t="shared" si="245"/>
        <v>0</v>
      </c>
      <c r="AO264" s="15">
        <f t="shared" si="246"/>
        <v>0</v>
      </c>
      <c r="AP264" s="46">
        <f>SUMPRODUCT(AN265:AN$605, $I265:$I$605) / $I264</f>
        <v>0</v>
      </c>
      <c r="AR264" s="46">
        <v>0</v>
      </c>
      <c r="AS264" s="46">
        <v>0</v>
      </c>
      <c r="AT264" s="46">
        <v>0</v>
      </c>
      <c r="AU264" s="95">
        <f t="shared" si="217"/>
        <v>0</v>
      </c>
      <c r="AV264" s="47">
        <f t="shared" si="218"/>
        <v>0.1</v>
      </c>
      <c r="AW264" s="96">
        <f t="shared" si="247"/>
        <v>0</v>
      </c>
      <c r="AX264" s="95">
        <f t="shared" si="219"/>
        <v>0</v>
      </c>
      <c r="AY264" s="11">
        <f t="shared" si="220"/>
        <v>0.1</v>
      </c>
      <c r="AZ264" s="96">
        <f t="shared" si="248"/>
        <v>0</v>
      </c>
      <c r="BA264" s="95">
        <f t="shared" si="249"/>
        <v>0</v>
      </c>
      <c r="BB264" s="64">
        <f t="shared" si="250"/>
        <v>0</v>
      </c>
      <c r="BC264" s="95">
        <f t="shared" si="210"/>
        <v>0</v>
      </c>
      <c r="BD264" s="96">
        <f t="shared" si="210"/>
        <v>0</v>
      </c>
      <c r="BE264" s="96">
        <f t="shared" si="251"/>
        <v>0</v>
      </c>
      <c r="BF264" s="96">
        <f t="shared" si="252"/>
        <v>0</v>
      </c>
      <c r="BG264" s="15">
        <f t="shared" si="253"/>
        <v>0</v>
      </c>
      <c r="BH264" s="46">
        <f>(SUMPRODUCT(BE265:BE$605,$I264:$I$604)+SUMPRODUCT(BF265:BF$605,$I265:$I$605)) / $I264</f>
        <v>0</v>
      </c>
      <c r="BJ264" s="46">
        <f t="shared" si="254"/>
        <v>0</v>
      </c>
      <c r="BK264" s="46">
        <f t="shared" si="255"/>
        <v>0</v>
      </c>
      <c r="BM264" s="49">
        <f t="shared" si="221"/>
        <v>0</v>
      </c>
      <c r="BN264" s="50">
        <f t="shared" si="256"/>
        <v>0</v>
      </c>
      <c r="BP264" s="68">
        <f>INDEX(Others!$H$11:$I$60, MATCH(C264, Others!$A$11:$A$60, 0), MATCH(BP$3, Others!$H$10:$I$10, 0))</f>
        <v>3.0518181818182E-2</v>
      </c>
      <c r="BQ264" s="16">
        <f t="shared" si="257"/>
        <v>2.5082875760633616E-3</v>
      </c>
      <c r="BR264" s="69">
        <f t="shared" si="258"/>
        <v>0.52261455105596288</v>
      </c>
      <c r="BT264" s="46">
        <f t="shared" si="259"/>
        <v>0</v>
      </c>
      <c r="BU264" s="49">
        <f t="shared" si="222"/>
        <v>0</v>
      </c>
      <c r="BV264" s="46">
        <f t="shared" ref="BV264:BV317" si="260">BT264-BN264</f>
        <v>0</v>
      </c>
      <c r="BX264" s="46">
        <f t="shared" ref="BX264:BX317" si="261">BM264+BU264</f>
        <v>0</v>
      </c>
    </row>
    <row r="265" spans="1:76" x14ac:dyDescent="0.25">
      <c r="A265" s="61">
        <f t="shared" si="211"/>
        <v>21.666666666666629</v>
      </c>
      <c r="B265" s="32">
        <f t="shared" si="223"/>
        <v>8</v>
      </c>
      <c r="C265" s="62">
        <f t="shared" si="224"/>
        <v>22</v>
      </c>
      <c r="D265" s="64">
        <f t="shared" si="225"/>
        <v>22.166666666666629</v>
      </c>
      <c r="E265" s="28">
        <f t="shared" si="226"/>
        <v>22</v>
      </c>
      <c r="G265" s="68">
        <f>INDEX(Others!$D$11:$E$60, MATCH(C265, Others!$A$11:$A$60, 0), MATCH(G$3, Others!$D$10:$E$10, 0))</f>
        <v>4.0690909090909333E-2</v>
      </c>
      <c r="H265" s="16">
        <f t="shared" si="227"/>
        <v>3.329265421250005E-3</v>
      </c>
      <c r="I265" s="69">
        <f t="shared" si="228"/>
        <v>0.42140063167239944</v>
      </c>
      <c r="K265" s="80">
        <f>INDEX(Mortality!$B$7:$F$32, MATCH( E265,Mortality!$A$7:$A$32, 0), MATCH( K$3,Mortality!$B$6:$F$6,0))</f>
        <v>0.46299999999999997</v>
      </c>
      <c r="L265" s="11" cm="1">
        <f t="array" ref="L265">PAD_Res_Mort</f>
        <v>0.15</v>
      </c>
      <c r="M265" s="80">
        <f t="shared" si="229"/>
        <v>0.53244999999999987</v>
      </c>
      <c r="N265" s="76" t="e">
        <f>INDEX('Myopia_(Reserve)'!$H:$H, MATCH(E265, 'Myopia_(Reserve)'!$A:$A, 0)) * Trend_Factor_Reserve^(A265)</f>
        <v>#N/A</v>
      </c>
      <c r="O265" s="11">
        <f t="shared" si="212"/>
        <v>0.3</v>
      </c>
      <c r="P265" s="80">
        <f t="shared" si="230"/>
        <v>0</v>
      </c>
      <c r="Q265" s="76">
        <f>VLOOKUP(C265,Others!$L$10:$M$61,2)</f>
        <v>0</v>
      </c>
      <c r="R265" s="11">
        <f t="shared" si="213"/>
        <v>0</v>
      </c>
      <c r="S265" s="80">
        <f t="shared" si="231"/>
        <v>0</v>
      </c>
      <c r="T265" s="78">
        <f t="shared" si="232"/>
        <v>4.4370833333333319E-5</v>
      </c>
      <c r="U265" s="81">
        <f t="shared" si="233"/>
        <v>0</v>
      </c>
      <c r="V265" s="81">
        <f t="shared" si="234"/>
        <v>0</v>
      </c>
      <c r="W265" s="77">
        <f t="shared" si="214"/>
        <v>0</v>
      </c>
      <c r="X265" s="82">
        <f t="shared" si="235"/>
        <v>0</v>
      </c>
      <c r="Y265" s="82">
        <f t="shared" si="236"/>
        <v>0</v>
      </c>
      <c r="Z265" s="82">
        <f t="shared" si="237"/>
        <v>0</v>
      </c>
      <c r="AA265" s="82">
        <f t="shared" si="238"/>
        <v>0</v>
      </c>
      <c r="AC265" s="46">
        <f t="shared" si="215"/>
        <v>0</v>
      </c>
      <c r="AD265" s="15">
        <f t="shared" si="239"/>
        <v>0</v>
      </c>
      <c r="AE265" s="46">
        <f t="shared" si="240"/>
        <v>0</v>
      </c>
      <c r="AF265" s="15">
        <f t="shared" si="241"/>
        <v>0</v>
      </c>
      <c r="AG265" s="46">
        <f>SUMPRODUCT(AE266:AE$605, $I265:$I$604) / $I265</f>
        <v>0</v>
      </c>
      <c r="AI265" s="46">
        <f t="shared" si="216"/>
        <v>0</v>
      </c>
      <c r="AJ265" s="46">
        <f>IF(E265&gt;Mat_Year,0,  -SUM($AD$5:AD265))</f>
        <v>0</v>
      </c>
      <c r="AK265" s="24">
        <f t="shared" si="242"/>
        <v>0</v>
      </c>
      <c r="AL265" s="79">
        <f t="shared" si="243"/>
        <v>0</v>
      </c>
      <c r="AM265" s="24">
        <f t="shared" si="244"/>
        <v>0</v>
      </c>
      <c r="AN265" s="79">
        <f t="shared" si="245"/>
        <v>0</v>
      </c>
      <c r="AO265" s="15">
        <f t="shared" si="246"/>
        <v>0</v>
      </c>
      <c r="AP265" s="46">
        <f>SUMPRODUCT(AN266:AN$605, $I266:$I$605) / $I265</f>
        <v>0</v>
      </c>
      <c r="AR265" s="46">
        <v>0</v>
      </c>
      <c r="AS265" s="46">
        <v>0</v>
      </c>
      <c r="AT265" s="46">
        <v>0</v>
      </c>
      <c r="AU265" s="95">
        <f t="shared" si="217"/>
        <v>0</v>
      </c>
      <c r="AV265" s="47">
        <f t="shared" si="218"/>
        <v>0.1</v>
      </c>
      <c r="AW265" s="96">
        <f t="shared" si="247"/>
        <v>0</v>
      </c>
      <c r="AX265" s="95">
        <f t="shared" si="219"/>
        <v>0</v>
      </c>
      <c r="AY265" s="11">
        <f t="shared" si="220"/>
        <v>0.1</v>
      </c>
      <c r="AZ265" s="96">
        <f t="shared" si="248"/>
        <v>0</v>
      </c>
      <c r="BA265" s="95">
        <f t="shared" si="249"/>
        <v>0</v>
      </c>
      <c r="BB265" s="64">
        <f t="shared" si="250"/>
        <v>0</v>
      </c>
      <c r="BC265" s="95">
        <f t="shared" si="210"/>
        <v>0</v>
      </c>
      <c r="BD265" s="96">
        <f t="shared" si="210"/>
        <v>0</v>
      </c>
      <c r="BE265" s="96">
        <f t="shared" si="251"/>
        <v>0</v>
      </c>
      <c r="BF265" s="96">
        <f t="shared" si="252"/>
        <v>0</v>
      </c>
      <c r="BG265" s="15">
        <f t="shared" si="253"/>
        <v>0</v>
      </c>
      <c r="BH265" s="46">
        <f>(SUMPRODUCT(BE266:BE$605,$I265:$I$604)+SUMPRODUCT(BF266:BF$605,$I266:$I$605)) / $I265</f>
        <v>0</v>
      </c>
      <c r="BJ265" s="46">
        <f t="shared" si="254"/>
        <v>0</v>
      </c>
      <c r="BK265" s="46">
        <f t="shared" si="255"/>
        <v>0</v>
      </c>
      <c r="BM265" s="49">
        <f t="shared" si="221"/>
        <v>0</v>
      </c>
      <c r="BN265" s="50">
        <f t="shared" si="256"/>
        <v>0</v>
      </c>
      <c r="BP265" s="68">
        <f>INDEX(Others!$H$11:$I$60, MATCH(C265, Others!$A$11:$A$60, 0), MATCH(BP$3, Others!$H$10:$I$10, 0))</f>
        <v>3.0518181818182E-2</v>
      </c>
      <c r="BQ265" s="16">
        <f t="shared" si="257"/>
        <v>2.5082875760633616E-3</v>
      </c>
      <c r="BR265" s="69">
        <f t="shared" si="258"/>
        <v>0.52130696327666071</v>
      </c>
      <c r="BT265" s="46">
        <f t="shared" si="259"/>
        <v>0</v>
      </c>
      <c r="BU265" s="49">
        <f t="shared" si="222"/>
        <v>0</v>
      </c>
      <c r="BV265" s="46">
        <f t="shared" si="260"/>
        <v>0</v>
      </c>
      <c r="BX265" s="46">
        <f t="shared" si="261"/>
        <v>0</v>
      </c>
    </row>
    <row r="266" spans="1:76" x14ac:dyDescent="0.25">
      <c r="A266" s="61">
        <f t="shared" si="211"/>
        <v>21.749999999999961</v>
      </c>
      <c r="B266" s="32">
        <f t="shared" si="223"/>
        <v>9</v>
      </c>
      <c r="C266" s="62">
        <f t="shared" si="224"/>
        <v>22</v>
      </c>
      <c r="D266" s="64">
        <f t="shared" si="225"/>
        <v>22.249999999999961</v>
      </c>
      <c r="E266" s="28">
        <f t="shared" si="226"/>
        <v>22</v>
      </c>
      <c r="G266" s="68">
        <f>INDEX(Others!$D$11:$E$60, MATCH(C266, Others!$A$11:$A$60, 0), MATCH(G$3, Others!$D$10:$E$10, 0))</f>
        <v>4.0690909090909333E-2</v>
      </c>
      <c r="H266" s="16">
        <f t="shared" si="227"/>
        <v>3.329265421250005E-3</v>
      </c>
      <c r="I266" s="69">
        <f t="shared" si="228"/>
        <v>0.42000233243019525</v>
      </c>
      <c r="K266" s="80">
        <f>INDEX(Mortality!$B$7:$F$32, MATCH( E266,Mortality!$A$7:$A$32, 0), MATCH( K$3,Mortality!$B$6:$F$6,0))</f>
        <v>0.46299999999999997</v>
      </c>
      <c r="L266" s="11" cm="1">
        <f t="array" ref="L266">PAD_Res_Mort</f>
        <v>0.15</v>
      </c>
      <c r="M266" s="80">
        <f t="shared" si="229"/>
        <v>0.53244999999999987</v>
      </c>
      <c r="N266" s="76" t="e">
        <f>INDEX('Myopia_(Reserve)'!$H:$H, MATCH(E266, 'Myopia_(Reserve)'!$A:$A, 0)) * Trend_Factor_Reserve^(A266)</f>
        <v>#N/A</v>
      </c>
      <c r="O266" s="11">
        <f t="shared" si="212"/>
        <v>0.3</v>
      </c>
      <c r="P266" s="80">
        <f t="shared" si="230"/>
        <v>0</v>
      </c>
      <c r="Q266" s="76">
        <f>VLOOKUP(C266,Others!$L$10:$M$61,2)</f>
        <v>0</v>
      </c>
      <c r="R266" s="11">
        <f t="shared" si="213"/>
        <v>0</v>
      </c>
      <c r="S266" s="80">
        <f t="shared" si="231"/>
        <v>0</v>
      </c>
      <c r="T266" s="78">
        <f t="shared" si="232"/>
        <v>4.4370833333333319E-5</v>
      </c>
      <c r="U266" s="81">
        <f t="shared" si="233"/>
        <v>0</v>
      </c>
      <c r="V266" s="81">
        <f t="shared" si="234"/>
        <v>0</v>
      </c>
      <c r="W266" s="77">
        <f t="shared" si="214"/>
        <v>0</v>
      </c>
      <c r="X266" s="82">
        <f t="shared" si="235"/>
        <v>0</v>
      </c>
      <c r="Y266" s="82">
        <f t="shared" si="236"/>
        <v>0</v>
      </c>
      <c r="Z266" s="82">
        <f t="shared" si="237"/>
        <v>0</v>
      </c>
      <c r="AA266" s="82">
        <f t="shared" si="238"/>
        <v>0</v>
      </c>
      <c r="AC266" s="46">
        <f t="shared" si="215"/>
        <v>0</v>
      </c>
      <c r="AD266" s="15">
        <f t="shared" si="239"/>
        <v>0</v>
      </c>
      <c r="AE266" s="46">
        <f t="shared" si="240"/>
        <v>0</v>
      </c>
      <c r="AF266" s="15">
        <f t="shared" si="241"/>
        <v>0</v>
      </c>
      <c r="AG266" s="46">
        <f>SUMPRODUCT(AE267:AE$605, $I266:$I$604) / $I266</f>
        <v>0</v>
      </c>
      <c r="AI266" s="46">
        <f t="shared" si="216"/>
        <v>0</v>
      </c>
      <c r="AJ266" s="46">
        <f>IF(E266&gt;Mat_Year,0,  -SUM($AD$5:AD266))</f>
        <v>0</v>
      </c>
      <c r="AK266" s="24">
        <f t="shared" si="242"/>
        <v>0</v>
      </c>
      <c r="AL266" s="79">
        <f t="shared" si="243"/>
        <v>0</v>
      </c>
      <c r="AM266" s="24">
        <f t="shared" si="244"/>
        <v>0</v>
      </c>
      <c r="AN266" s="79">
        <f t="shared" si="245"/>
        <v>0</v>
      </c>
      <c r="AO266" s="15">
        <f t="shared" si="246"/>
        <v>0</v>
      </c>
      <c r="AP266" s="46">
        <f>SUMPRODUCT(AN267:AN$605, $I267:$I$605) / $I266</f>
        <v>0</v>
      </c>
      <c r="AR266" s="46">
        <v>0</v>
      </c>
      <c r="AS266" s="46">
        <v>0</v>
      </c>
      <c r="AT266" s="46">
        <v>0</v>
      </c>
      <c r="AU266" s="95">
        <f t="shared" si="217"/>
        <v>0</v>
      </c>
      <c r="AV266" s="47">
        <f t="shared" si="218"/>
        <v>0.1</v>
      </c>
      <c r="AW266" s="96">
        <f t="shared" si="247"/>
        <v>0</v>
      </c>
      <c r="AX266" s="95">
        <f t="shared" si="219"/>
        <v>0</v>
      </c>
      <c r="AY266" s="11">
        <f t="shared" si="220"/>
        <v>0.1</v>
      </c>
      <c r="AZ266" s="96">
        <f t="shared" si="248"/>
        <v>0</v>
      </c>
      <c r="BA266" s="95">
        <f t="shared" si="249"/>
        <v>0</v>
      </c>
      <c r="BB266" s="64">
        <f t="shared" si="250"/>
        <v>0</v>
      </c>
      <c r="BC266" s="95">
        <f t="shared" si="210"/>
        <v>0</v>
      </c>
      <c r="BD266" s="96">
        <f t="shared" si="210"/>
        <v>0</v>
      </c>
      <c r="BE266" s="96">
        <f t="shared" si="251"/>
        <v>0</v>
      </c>
      <c r="BF266" s="96">
        <f t="shared" si="252"/>
        <v>0</v>
      </c>
      <c r="BG266" s="15">
        <f t="shared" si="253"/>
        <v>0</v>
      </c>
      <c r="BH266" s="46">
        <f>(SUMPRODUCT(BE267:BE$605,$I266:$I$604)+SUMPRODUCT(BF267:BF$605,$I267:$I$605)) / $I266</f>
        <v>0</v>
      </c>
      <c r="BJ266" s="46">
        <f t="shared" si="254"/>
        <v>0</v>
      </c>
      <c r="BK266" s="46">
        <f t="shared" si="255"/>
        <v>0</v>
      </c>
      <c r="BM266" s="49">
        <f t="shared" si="221"/>
        <v>0</v>
      </c>
      <c r="BN266" s="50">
        <f t="shared" si="256"/>
        <v>0</v>
      </c>
      <c r="BP266" s="68">
        <f>INDEX(Others!$H$11:$I$60, MATCH(C266, Others!$A$11:$A$60, 0), MATCH(BP$3, Others!$H$10:$I$10, 0))</f>
        <v>3.0518181818182E-2</v>
      </c>
      <c r="BQ266" s="16">
        <f t="shared" si="257"/>
        <v>2.5082875760633616E-3</v>
      </c>
      <c r="BR266" s="69">
        <f t="shared" si="258"/>
        <v>0.52000264709742616</v>
      </c>
      <c r="BT266" s="46">
        <f t="shared" si="259"/>
        <v>0</v>
      </c>
      <c r="BU266" s="49">
        <f t="shared" si="222"/>
        <v>0</v>
      </c>
      <c r="BV266" s="46">
        <f t="shared" si="260"/>
        <v>0</v>
      </c>
      <c r="BX266" s="46">
        <f t="shared" si="261"/>
        <v>0</v>
      </c>
    </row>
    <row r="267" spans="1:76" x14ac:dyDescent="0.25">
      <c r="A267" s="61">
        <f t="shared" si="211"/>
        <v>21.833333333333293</v>
      </c>
      <c r="B267" s="32">
        <f t="shared" si="223"/>
        <v>10</v>
      </c>
      <c r="C267" s="62">
        <f t="shared" si="224"/>
        <v>22</v>
      </c>
      <c r="D267" s="64">
        <f t="shared" si="225"/>
        <v>22.333333333333293</v>
      </c>
      <c r="E267" s="28">
        <f t="shared" si="226"/>
        <v>22</v>
      </c>
      <c r="G267" s="68">
        <f>INDEX(Others!$D$11:$E$60, MATCH(C267, Others!$A$11:$A$60, 0), MATCH(G$3, Others!$D$10:$E$10, 0))</f>
        <v>4.0690909090909333E-2</v>
      </c>
      <c r="H267" s="16">
        <f t="shared" si="227"/>
        <v>3.329265421250005E-3</v>
      </c>
      <c r="I267" s="69">
        <f t="shared" si="228"/>
        <v>0.41860867304997462</v>
      </c>
      <c r="K267" s="80">
        <f>INDEX(Mortality!$B$7:$F$32, MATCH( E267,Mortality!$A$7:$A$32, 0), MATCH( K$3,Mortality!$B$6:$F$6,0))</f>
        <v>0.46299999999999997</v>
      </c>
      <c r="L267" s="11" cm="1">
        <f t="array" ref="L267">PAD_Res_Mort</f>
        <v>0.15</v>
      </c>
      <c r="M267" s="80">
        <f t="shared" si="229"/>
        <v>0.53244999999999987</v>
      </c>
      <c r="N267" s="76" t="e">
        <f>INDEX('Myopia_(Reserve)'!$H:$H, MATCH(E267, 'Myopia_(Reserve)'!$A:$A, 0)) * Trend_Factor_Reserve^(A267)</f>
        <v>#N/A</v>
      </c>
      <c r="O267" s="11">
        <f t="shared" si="212"/>
        <v>0.3</v>
      </c>
      <c r="P267" s="80">
        <f t="shared" si="230"/>
        <v>0</v>
      </c>
      <c r="Q267" s="76">
        <f>VLOOKUP(C267,Others!$L$10:$M$61,2)</f>
        <v>0</v>
      </c>
      <c r="R267" s="11">
        <f t="shared" si="213"/>
        <v>0</v>
      </c>
      <c r="S267" s="80">
        <f t="shared" si="231"/>
        <v>0</v>
      </c>
      <c r="T267" s="78">
        <f t="shared" si="232"/>
        <v>4.4370833333333319E-5</v>
      </c>
      <c r="U267" s="81">
        <f t="shared" si="233"/>
        <v>0</v>
      </c>
      <c r="V267" s="81">
        <f t="shared" si="234"/>
        <v>0</v>
      </c>
      <c r="W267" s="77">
        <f t="shared" si="214"/>
        <v>0</v>
      </c>
      <c r="X267" s="82">
        <f t="shared" si="235"/>
        <v>0</v>
      </c>
      <c r="Y267" s="82">
        <f t="shared" si="236"/>
        <v>0</v>
      </c>
      <c r="Z267" s="82">
        <f t="shared" si="237"/>
        <v>0</v>
      </c>
      <c r="AA267" s="82">
        <f t="shared" si="238"/>
        <v>0</v>
      </c>
      <c r="AC267" s="46">
        <f t="shared" si="215"/>
        <v>0</v>
      </c>
      <c r="AD267" s="15">
        <f t="shared" si="239"/>
        <v>0</v>
      </c>
      <c r="AE267" s="46">
        <f t="shared" si="240"/>
        <v>0</v>
      </c>
      <c r="AF267" s="15">
        <f t="shared" si="241"/>
        <v>0</v>
      </c>
      <c r="AG267" s="46">
        <f>SUMPRODUCT(AE268:AE$605, $I267:$I$604) / $I267</f>
        <v>0</v>
      </c>
      <c r="AI267" s="46">
        <f t="shared" si="216"/>
        <v>0</v>
      </c>
      <c r="AJ267" s="46">
        <f>IF(E267&gt;Mat_Year,0,  -SUM($AD$5:AD267))</f>
        <v>0</v>
      </c>
      <c r="AK267" s="24">
        <f t="shared" si="242"/>
        <v>0</v>
      </c>
      <c r="AL267" s="79">
        <f t="shared" si="243"/>
        <v>0</v>
      </c>
      <c r="AM267" s="24">
        <f t="shared" si="244"/>
        <v>0</v>
      </c>
      <c r="AN267" s="79">
        <f t="shared" si="245"/>
        <v>0</v>
      </c>
      <c r="AO267" s="15">
        <f t="shared" si="246"/>
        <v>0</v>
      </c>
      <c r="AP267" s="46">
        <f>SUMPRODUCT(AN268:AN$605, $I268:$I$605) / $I267</f>
        <v>0</v>
      </c>
      <c r="AR267" s="46">
        <v>0</v>
      </c>
      <c r="AS267" s="46">
        <v>0</v>
      </c>
      <c r="AT267" s="46">
        <v>0</v>
      </c>
      <c r="AU267" s="95">
        <f t="shared" si="217"/>
        <v>0</v>
      </c>
      <c r="AV267" s="47">
        <f t="shared" si="218"/>
        <v>0.1</v>
      </c>
      <c r="AW267" s="96">
        <f t="shared" si="247"/>
        <v>0</v>
      </c>
      <c r="AX267" s="95">
        <f t="shared" si="219"/>
        <v>0</v>
      </c>
      <c r="AY267" s="11">
        <f t="shared" si="220"/>
        <v>0.1</v>
      </c>
      <c r="AZ267" s="96">
        <f t="shared" si="248"/>
        <v>0</v>
      </c>
      <c r="BA267" s="95">
        <f t="shared" si="249"/>
        <v>0</v>
      </c>
      <c r="BB267" s="64">
        <f t="shared" si="250"/>
        <v>0</v>
      </c>
      <c r="BC267" s="95">
        <f t="shared" si="210"/>
        <v>0</v>
      </c>
      <c r="BD267" s="96">
        <f t="shared" si="210"/>
        <v>0</v>
      </c>
      <c r="BE267" s="96">
        <f t="shared" si="251"/>
        <v>0</v>
      </c>
      <c r="BF267" s="96">
        <f t="shared" si="252"/>
        <v>0</v>
      </c>
      <c r="BG267" s="15">
        <f t="shared" si="253"/>
        <v>0</v>
      </c>
      <c r="BH267" s="46">
        <f>(SUMPRODUCT(BE268:BE$605,$I267:$I$604)+SUMPRODUCT(BF268:BF$605,$I268:$I$605)) / $I267</f>
        <v>0</v>
      </c>
      <c r="BJ267" s="46">
        <f t="shared" si="254"/>
        <v>0</v>
      </c>
      <c r="BK267" s="46">
        <f t="shared" si="255"/>
        <v>0</v>
      </c>
      <c r="BM267" s="49">
        <f t="shared" si="221"/>
        <v>0</v>
      </c>
      <c r="BN267" s="50">
        <f t="shared" si="256"/>
        <v>0</v>
      </c>
      <c r="BP267" s="68">
        <f>INDEX(Others!$H$11:$I$60, MATCH(C267, Others!$A$11:$A$60, 0), MATCH(BP$3, Others!$H$10:$I$10, 0))</f>
        <v>3.0518181818182E-2</v>
      </c>
      <c r="BQ267" s="16">
        <f t="shared" si="257"/>
        <v>2.5082875760633616E-3</v>
      </c>
      <c r="BR267" s="69">
        <f t="shared" si="258"/>
        <v>0.51870159433267726</v>
      </c>
      <c r="BT267" s="46">
        <f t="shared" si="259"/>
        <v>0</v>
      </c>
      <c r="BU267" s="49">
        <f t="shared" si="222"/>
        <v>0</v>
      </c>
      <c r="BV267" s="46">
        <f t="shared" si="260"/>
        <v>0</v>
      </c>
      <c r="BX267" s="46">
        <f t="shared" si="261"/>
        <v>0</v>
      </c>
    </row>
    <row r="268" spans="1:76" x14ac:dyDescent="0.25">
      <c r="A268" s="61">
        <f t="shared" si="211"/>
        <v>21.916666666666625</v>
      </c>
      <c r="B268" s="32">
        <f t="shared" si="223"/>
        <v>11</v>
      </c>
      <c r="C268" s="62">
        <f t="shared" si="224"/>
        <v>22</v>
      </c>
      <c r="D268" s="64">
        <f t="shared" si="225"/>
        <v>22.416666666666625</v>
      </c>
      <c r="E268" s="28">
        <f t="shared" si="226"/>
        <v>22</v>
      </c>
      <c r="G268" s="68">
        <f>INDEX(Others!$D$11:$E$60, MATCH(C268, Others!$A$11:$A$60, 0), MATCH(G$3, Others!$D$10:$E$10, 0))</f>
        <v>4.0690909090909333E-2</v>
      </c>
      <c r="H268" s="16">
        <f t="shared" si="227"/>
        <v>3.329265421250005E-3</v>
      </c>
      <c r="I268" s="69">
        <f t="shared" si="228"/>
        <v>0.4172196381356631</v>
      </c>
      <c r="K268" s="80">
        <f>INDEX(Mortality!$B$7:$F$32, MATCH( E268,Mortality!$A$7:$A$32, 0), MATCH( K$3,Mortality!$B$6:$F$6,0))</f>
        <v>0.46299999999999997</v>
      </c>
      <c r="L268" s="11" cm="1">
        <f t="array" ref="L268">PAD_Res_Mort</f>
        <v>0.15</v>
      </c>
      <c r="M268" s="80">
        <f t="shared" si="229"/>
        <v>0.53244999999999987</v>
      </c>
      <c r="N268" s="76" t="e">
        <f>INDEX('Myopia_(Reserve)'!$H:$H, MATCH(E268, 'Myopia_(Reserve)'!$A:$A, 0)) * Trend_Factor_Reserve^(A268)</f>
        <v>#N/A</v>
      </c>
      <c r="O268" s="11">
        <f t="shared" si="212"/>
        <v>0.3</v>
      </c>
      <c r="P268" s="80">
        <f t="shared" si="230"/>
        <v>0</v>
      </c>
      <c r="Q268" s="76">
        <f>VLOOKUP(C268,Others!$L$10:$M$61,2)</f>
        <v>0</v>
      </c>
      <c r="R268" s="11">
        <f t="shared" si="213"/>
        <v>0</v>
      </c>
      <c r="S268" s="80">
        <f t="shared" si="231"/>
        <v>0</v>
      </c>
      <c r="T268" s="78">
        <f t="shared" si="232"/>
        <v>4.4370833333333319E-5</v>
      </c>
      <c r="U268" s="81">
        <f t="shared" si="233"/>
        <v>0</v>
      </c>
      <c r="V268" s="81">
        <f t="shared" si="234"/>
        <v>0</v>
      </c>
      <c r="W268" s="77">
        <f t="shared" si="214"/>
        <v>0</v>
      </c>
      <c r="X268" s="82">
        <f t="shared" si="235"/>
        <v>0</v>
      </c>
      <c r="Y268" s="82">
        <f t="shared" si="236"/>
        <v>0</v>
      </c>
      <c r="Z268" s="82">
        <f t="shared" si="237"/>
        <v>0</v>
      </c>
      <c r="AA268" s="82">
        <f t="shared" si="238"/>
        <v>0</v>
      </c>
      <c r="AC268" s="46">
        <f t="shared" si="215"/>
        <v>0</v>
      </c>
      <c r="AD268" s="15">
        <f t="shared" si="239"/>
        <v>0</v>
      </c>
      <c r="AE268" s="46">
        <f t="shared" si="240"/>
        <v>0</v>
      </c>
      <c r="AF268" s="15">
        <f t="shared" si="241"/>
        <v>0</v>
      </c>
      <c r="AG268" s="46">
        <f>SUMPRODUCT(AE269:AE$605, $I268:$I$604) / $I268</f>
        <v>0</v>
      </c>
      <c r="AI268" s="46">
        <f t="shared" si="216"/>
        <v>0</v>
      </c>
      <c r="AJ268" s="46">
        <f>IF(E268&gt;Mat_Year,0,  -SUM($AD$5:AD268))</f>
        <v>0</v>
      </c>
      <c r="AK268" s="24">
        <f t="shared" si="242"/>
        <v>0</v>
      </c>
      <c r="AL268" s="79">
        <f t="shared" si="243"/>
        <v>0</v>
      </c>
      <c r="AM268" s="24">
        <f t="shared" si="244"/>
        <v>0</v>
      </c>
      <c r="AN268" s="79">
        <f t="shared" si="245"/>
        <v>0</v>
      </c>
      <c r="AO268" s="15">
        <f t="shared" si="246"/>
        <v>0</v>
      </c>
      <c r="AP268" s="46">
        <f>SUMPRODUCT(AN269:AN$605, $I269:$I$605) / $I268</f>
        <v>0</v>
      </c>
      <c r="AR268" s="46">
        <v>0</v>
      </c>
      <c r="AS268" s="46">
        <v>0</v>
      </c>
      <c r="AT268" s="46">
        <v>0</v>
      </c>
      <c r="AU268" s="95">
        <f t="shared" si="217"/>
        <v>0</v>
      </c>
      <c r="AV268" s="47">
        <f t="shared" si="218"/>
        <v>0.1</v>
      </c>
      <c r="AW268" s="96">
        <f t="shared" si="247"/>
        <v>0</v>
      </c>
      <c r="AX268" s="95">
        <f t="shared" si="219"/>
        <v>0</v>
      </c>
      <c r="AY268" s="11">
        <f t="shared" si="220"/>
        <v>0.1</v>
      </c>
      <c r="AZ268" s="96">
        <f t="shared" si="248"/>
        <v>0</v>
      </c>
      <c r="BA268" s="95">
        <f t="shared" si="249"/>
        <v>0</v>
      </c>
      <c r="BB268" s="64">
        <f t="shared" si="250"/>
        <v>0</v>
      </c>
      <c r="BC268" s="95">
        <f t="shared" si="210"/>
        <v>0</v>
      </c>
      <c r="BD268" s="96">
        <f t="shared" si="210"/>
        <v>0</v>
      </c>
      <c r="BE268" s="96">
        <f t="shared" si="251"/>
        <v>0</v>
      </c>
      <c r="BF268" s="96">
        <f t="shared" si="252"/>
        <v>0</v>
      </c>
      <c r="BG268" s="15">
        <f t="shared" si="253"/>
        <v>0</v>
      </c>
      <c r="BH268" s="46">
        <f>(SUMPRODUCT(BE269:BE$605,$I268:$I$604)+SUMPRODUCT(BF269:BF$605,$I269:$I$605)) / $I268</f>
        <v>0</v>
      </c>
      <c r="BJ268" s="46">
        <f t="shared" si="254"/>
        <v>0</v>
      </c>
      <c r="BK268" s="46">
        <f t="shared" si="255"/>
        <v>0</v>
      </c>
      <c r="BM268" s="49">
        <f t="shared" si="221"/>
        <v>0</v>
      </c>
      <c r="BN268" s="50">
        <f t="shared" si="256"/>
        <v>0</v>
      </c>
      <c r="BP268" s="68">
        <f>INDEX(Others!$H$11:$I$60, MATCH(C268, Others!$A$11:$A$60, 0), MATCH(BP$3, Others!$H$10:$I$10, 0))</f>
        <v>3.0518181818182E-2</v>
      </c>
      <c r="BQ268" s="16">
        <f t="shared" si="257"/>
        <v>2.5082875760633616E-3</v>
      </c>
      <c r="BR268" s="69">
        <f t="shared" si="258"/>
        <v>0.51740379681731241</v>
      </c>
      <c r="BT268" s="46">
        <f t="shared" si="259"/>
        <v>0</v>
      </c>
      <c r="BU268" s="49">
        <f t="shared" si="222"/>
        <v>0</v>
      </c>
      <c r="BV268" s="46">
        <f t="shared" si="260"/>
        <v>0</v>
      </c>
      <c r="BX268" s="46">
        <f t="shared" si="261"/>
        <v>0</v>
      </c>
    </row>
    <row r="269" spans="1:76" x14ac:dyDescent="0.25">
      <c r="A269" s="61">
        <f t="shared" si="211"/>
        <v>21.999999999999957</v>
      </c>
      <c r="B269" s="32">
        <f t="shared" si="223"/>
        <v>12</v>
      </c>
      <c r="C269" s="62">
        <f t="shared" si="224"/>
        <v>22</v>
      </c>
      <c r="D269" s="64">
        <f t="shared" si="225"/>
        <v>22.499999999999957</v>
      </c>
      <c r="E269" s="28">
        <f t="shared" si="226"/>
        <v>22</v>
      </c>
      <c r="G269" s="68">
        <f>INDEX(Others!$D$11:$E$60, MATCH(C269, Others!$A$11:$A$60, 0), MATCH(G$3, Others!$D$10:$E$10, 0))</f>
        <v>4.0690909090909333E-2</v>
      </c>
      <c r="H269" s="16">
        <f t="shared" si="227"/>
        <v>3.329265421250005E-3</v>
      </c>
      <c r="I269" s="69">
        <f t="shared" si="228"/>
        <v>0.41583521234227383</v>
      </c>
      <c r="K269" s="80">
        <f>INDEX(Mortality!$B$7:$F$32, MATCH( E269,Mortality!$A$7:$A$32, 0), MATCH( K$3,Mortality!$B$6:$F$6,0))</f>
        <v>0.46299999999999997</v>
      </c>
      <c r="L269" s="11" cm="1">
        <f t="array" ref="L269">PAD_Res_Mort</f>
        <v>0.15</v>
      </c>
      <c r="M269" s="80">
        <f t="shared" si="229"/>
        <v>0.53244999999999987</v>
      </c>
      <c r="N269" s="76" t="e">
        <f>INDEX('Myopia_(Reserve)'!$H:$H, MATCH(E269, 'Myopia_(Reserve)'!$A:$A, 0)) * Trend_Factor_Reserve^(A269)</f>
        <v>#N/A</v>
      </c>
      <c r="O269" s="11">
        <f t="shared" si="212"/>
        <v>0.3</v>
      </c>
      <c r="P269" s="80">
        <f t="shared" si="230"/>
        <v>0</v>
      </c>
      <c r="Q269" s="76">
        <f>VLOOKUP(C269,Others!$L$10:$M$61,2)</f>
        <v>0</v>
      </c>
      <c r="R269" s="11">
        <f t="shared" si="213"/>
        <v>0</v>
      </c>
      <c r="S269" s="80">
        <f t="shared" si="231"/>
        <v>0</v>
      </c>
      <c r="T269" s="78">
        <f t="shared" si="232"/>
        <v>4.4370833333333319E-5</v>
      </c>
      <c r="U269" s="81">
        <f t="shared" si="233"/>
        <v>0</v>
      </c>
      <c r="V269" s="81">
        <f t="shared" si="234"/>
        <v>0</v>
      </c>
      <c r="W269" s="77">
        <f t="shared" si="214"/>
        <v>0</v>
      </c>
      <c r="X269" s="82">
        <f t="shared" si="235"/>
        <v>0</v>
      </c>
      <c r="Y269" s="82">
        <f t="shared" si="236"/>
        <v>0</v>
      </c>
      <c r="Z269" s="82">
        <f t="shared" si="237"/>
        <v>0</v>
      </c>
      <c r="AA269" s="82">
        <f t="shared" si="238"/>
        <v>0</v>
      </c>
      <c r="AC269" s="46">
        <f t="shared" si="215"/>
        <v>0</v>
      </c>
      <c r="AD269" s="15">
        <f t="shared" si="239"/>
        <v>0</v>
      </c>
      <c r="AE269" s="46">
        <f t="shared" si="240"/>
        <v>0</v>
      </c>
      <c r="AF269" s="15">
        <f t="shared" si="241"/>
        <v>0</v>
      </c>
      <c r="AG269" s="46">
        <f>SUMPRODUCT(AE270:AE$605, $I269:$I$604) / $I269</f>
        <v>0</v>
      </c>
      <c r="AI269" s="46">
        <f t="shared" si="216"/>
        <v>0</v>
      </c>
      <c r="AJ269" s="46">
        <f>IF(E269&gt;Mat_Year,0,  -SUM($AD$5:AD269))</f>
        <v>0</v>
      </c>
      <c r="AK269" s="24">
        <f t="shared" si="242"/>
        <v>0</v>
      </c>
      <c r="AL269" s="79">
        <f t="shared" si="243"/>
        <v>0</v>
      </c>
      <c r="AM269" s="24">
        <f t="shared" si="244"/>
        <v>0</v>
      </c>
      <c r="AN269" s="79">
        <f t="shared" si="245"/>
        <v>0</v>
      </c>
      <c r="AO269" s="15">
        <f t="shared" si="246"/>
        <v>0</v>
      </c>
      <c r="AP269" s="46">
        <f>SUMPRODUCT(AN270:AN$605, $I270:$I$605) / $I269</f>
        <v>0</v>
      </c>
      <c r="AR269" s="46">
        <v>0</v>
      </c>
      <c r="AS269" s="46">
        <v>0</v>
      </c>
      <c r="AT269" s="46">
        <v>0</v>
      </c>
      <c r="AU269" s="95">
        <f t="shared" si="217"/>
        <v>0</v>
      </c>
      <c r="AV269" s="47">
        <f t="shared" si="218"/>
        <v>0.1</v>
      </c>
      <c r="AW269" s="96">
        <f t="shared" si="247"/>
        <v>0</v>
      </c>
      <c r="AX269" s="95">
        <f t="shared" si="219"/>
        <v>0</v>
      </c>
      <c r="AY269" s="11">
        <f t="shared" si="220"/>
        <v>0.1</v>
      </c>
      <c r="AZ269" s="96">
        <f t="shared" si="248"/>
        <v>0</v>
      </c>
      <c r="BA269" s="95">
        <f t="shared" si="249"/>
        <v>0</v>
      </c>
      <c r="BB269" s="64">
        <f t="shared" si="250"/>
        <v>0</v>
      </c>
      <c r="BC269" s="95">
        <f t="shared" si="210"/>
        <v>0</v>
      </c>
      <c r="BD269" s="96">
        <f t="shared" si="210"/>
        <v>0</v>
      </c>
      <c r="BE269" s="96">
        <f t="shared" si="251"/>
        <v>0</v>
      </c>
      <c r="BF269" s="96">
        <f t="shared" si="252"/>
        <v>0</v>
      </c>
      <c r="BG269" s="15">
        <f t="shared" si="253"/>
        <v>0</v>
      </c>
      <c r="BH269" s="46">
        <f>(SUMPRODUCT(BE270:BE$605,$I269:$I$604)+SUMPRODUCT(BF270:BF$605,$I270:$I$605)) / $I269</f>
        <v>0</v>
      </c>
      <c r="BJ269" s="46">
        <f t="shared" si="254"/>
        <v>0</v>
      </c>
      <c r="BK269" s="46">
        <f t="shared" si="255"/>
        <v>0</v>
      </c>
      <c r="BM269" s="49">
        <f t="shared" si="221"/>
        <v>0</v>
      </c>
      <c r="BN269" s="50">
        <f t="shared" si="256"/>
        <v>0</v>
      </c>
      <c r="BP269" s="68">
        <f>INDEX(Others!$H$11:$I$60, MATCH(C269, Others!$A$11:$A$60, 0), MATCH(BP$3, Others!$H$10:$I$10, 0))</f>
        <v>3.0518181818182E-2</v>
      </c>
      <c r="BQ269" s="16">
        <f t="shared" si="257"/>
        <v>2.5082875760633616E-3</v>
      </c>
      <c r="BR269" s="69">
        <f t="shared" si="258"/>
        <v>0.51610924640665912</v>
      </c>
      <c r="BT269" s="46">
        <f t="shared" si="259"/>
        <v>0</v>
      </c>
      <c r="BU269" s="49">
        <f t="shared" si="222"/>
        <v>0</v>
      </c>
      <c r="BV269" s="46">
        <f t="shared" si="260"/>
        <v>0</v>
      </c>
      <c r="BX269" s="46">
        <f t="shared" si="261"/>
        <v>0</v>
      </c>
    </row>
    <row r="270" spans="1:76" x14ac:dyDescent="0.25">
      <c r="A270" s="61">
        <f t="shared" si="211"/>
        <v>22.08333333333329</v>
      </c>
      <c r="B270" s="32">
        <f t="shared" si="223"/>
        <v>1</v>
      </c>
      <c r="C270" s="62">
        <f t="shared" si="224"/>
        <v>23</v>
      </c>
      <c r="D270" s="64">
        <f t="shared" si="225"/>
        <v>22.58333333333329</v>
      </c>
      <c r="E270" s="28">
        <f t="shared" si="226"/>
        <v>22</v>
      </c>
      <c r="G270" s="68">
        <f>INDEX(Others!$D$11:$E$60, MATCH(C270, Others!$A$11:$A$60, 0), MATCH(G$3, Others!$D$10:$E$10, 0))</f>
        <v>4.0690909090908889E-2</v>
      </c>
      <c r="H270" s="16">
        <f t="shared" si="227"/>
        <v>3.329265421250005E-3</v>
      </c>
      <c r="I270" s="69">
        <f t="shared" si="228"/>
        <v>0.41445538037573787</v>
      </c>
      <c r="K270" s="80">
        <f>INDEX(Mortality!$B$7:$F$32, MATCH( E270,Mortality!$A$7:$A$32, 0), MATCH( K$3,Mortality!$B$6:$F$6,0))</f>
        <v>0.46299999999999997</v>
      </c>
      <c r="L270" s="11" cm="1">
        <f t="array" ref="L270">PAD_Res_Mort</f>
        <v>0.15</v>
      </c>
      <c r="M270" s="80">
        <f t="shared" si="229"/>
        <v>0.53244999999999987</v>
      </c>
      <c r="N270" s="76" t="e">
        <f>INDEX('Myopia_(Reserve)'!$H:$H, MATCH(E270, 'Myopia_(Reserve)'!$A:$A, 0)) * Trend_Factor_Reserve^(A270)</f>
        <v>#N/A</v>
      </c>
      <c r="O270" s="11">
        <f t="shared" si="212"/>
        <v>0.3</v>
      </c>
      <c r="P270" s="80">
        <f t="shared" si="230"/>
        <v>0</v>
      </c>
      <c r="Q270" s="76">
        <f>VLOOKUP(C270,Others!$L$10:$M$61,2)</f>
        <v>0</v>
      </c>
      <c r="R270" s="11">
        <f t="shared" si="213"/>
        <v>0</v>
      </c>
      <c r="S270" s="80">
        <f t="shared" si="231"/>
        <v>0</v>
      </c>
      <c r="T270" s="78">
        <f t="shared" si="232"/>
        <v>4.4370833333333319E-5</v>
      </c>
      <c r="U270" s="81">
        <f t="shared" si="233"/>
        <v>0</v>
      </c>
      <c r="V270" s="81">
        <f t="shared" si="234"/>
        <v>0</v>
      </c>
      <c r="W270" s="77">
        <f t="shared" si="214"/>
        <v>0</v>
      </c>
      <c r="X270" s="82">
        <f t="shared" si="235"/>
        <v>0</v>
      </c>
      <c r="Y270" s="82">
        <f t="shared" si="236"/>
        <v>0</v>
      </c>
      <c r="Z270" s="82">
        <f t="shared" si="237"/>
        <v>0</v>
      </c>
      <c r="AA270" s="82">
        <f t="shared" si="238"/>
        <v>0</v>
      </c>
      <c r="AC270" s="46">
        <f t="shared" si="215"/>
        <v>0</v>
      </c>
      <c r="AD270" s="15">
        <f t="shared" si="239"/>
        <v>0</v>
      </c>
      <c r="AE270" s="46">
        <f t="shared" si="240"/>
        <v>0</v>
      </c>
      <c r="AF270" s="15">
        <f t="shared" si="241"/>
        <v>0</v>
      </c>
      <c r="AG270" s="46">
        <f>SUMPRODUCT(AE271:AE$605, $I270:$I$604) / $I270</f>
        <v>0</v>
      </c>
      <c r="AI270" s="46">
        <f t="shared" si="216"/>
        <v>0</v>
      </c>
      <c r="AJ270" s="46">
        <f>IF(E270&gt;Mat_Year,0,  -SUM($AD$5:AD270))</f>
        <v>0</v>
      </c>
      <c r="AK270" s="24">
        <f t="shared" si="242"/>
        <v>0</v>
      </c>
      <c r="AL270" s="79">
        <f t="shared" si="243"/>
        <v>0</v>
      </c>
      <c r="AM270" s="24">
        <f t="shared" si="244"/>
        <v>0</v>
      </c>
      <c r="AN270" s="79">
        <f t="shared" si="245"/>
        <v>0</v>
      </c>
      <c r="AO270" s="15">
        <f t="shared" si="246"/>
        <v>0</v>
      </c>
      <c r="AP270" s="46">
        <f>SUMPRODUCT(AN271:AN$605, $I271:$I$605) / $I270</f>
        <v>0</v>
      </c>
      <c r="AR270" s="46">
        <v>0</v>
      </c>
      <c r="AS270" s="46">
        <v>0</v>
      </c>
      <c r="AT270" s="46">
        <v>0</v>
      </c>
      <c r="AU270" s="95">
        <f t="shared" si="217"/>
        <v>0</v>
      </c>
      <c r="AV270" s="47">
        <f t="shared" si="218"/>
        <v>0.1</v>
      </c>
      <c r="AW270" s="96">
        <f t="shared" si="247"/>
        <v>0</v>
      </c>
      <c r="AX270" s="95">
        <f t="shared" si="219"/>
        <v>0</v>
      </c>
      <c r="AY270" s="11">
        <f t="shared" si="220"/>
        <v>0.1</v>
      </c>
      <c r="AZ270" s="96">
        <f t="shared" si="248"/>
        <v>0</v>
      </c>
      <c r="BA270" s="95">
        <f t="shared" si="249"/>
        <v>0</v>
      </c>
      <c r="BB270" s="64">
        <f t="shared" si="250"/>
        <v>0</v>
      </c>
      <c r="BC270" s="95">
        <f t="shared" si="210"/>
        <v>0</v>
      </c>
      <c r="BD270" s="96">
        <f t="shared" si="210"/>
        <v>0</v>
      </c>
      <c r="BE270" s="96">
        <f t="shared" si="251"/>
        <v>0</v>
      </c>
      <c r="BF270" s="96">
        <f t="shared" si="252"/>
        <v>0</v>
      </c>
      <c r="BG270" s="15">
        <f t="shared" si="253"/>
        <v>0</v>
      </c>
      <c r="BH270" s="46">
        <f>(SUMPRODUCT(BE271:BE$605,$I270:$I$604)+SUMPRODUCT(BF271:BF$605,$I271:$I$605)) / $I270</f>
        <v>0</v>
      </c>
      <c r="BJ270" s="46">
        <f t="shared" si="254"/>
        <v>0</v>
      </c>
      <c r="BK270" s="46">
        <f t="shared" si="255"/>
        <v>0</v>
      </c>
      <c r="BM270" s="49">
        <f t="shared" si="221"/>
        <v>0</v>
      </c>
      <c r="BN270" s="50">
        <f t="shared" si="256"/>
        <v>0</v>
      </c>
      <c r="BP270" s="68">
        <f>INDEX(Others!$H$11:$I$60, MATCH(C270, Others!$A$11:$A$60, 0), MATCH(BP$3, Others!$H$10:$I$10, 0))</f>
        <v>3.0518181818181667E-2</v>
      </c>
      <c r="BQ270" s="16">
        <f t="shared" si="257"/>
        <v>2.5082875760633616E-3</v>
      </c>
      <c r="BR270" s="69">
        <f t="shared" si="258"/>
        <v>0.51481793497642314</v>
      </c>
      <c r="BT270" s="46">
        <f t="shared" si="259"/>
        <v>0</v>
      </c>
      <c r="BU270" s="49">
        <f t="shared" si="222"/>
        <v>0</v>
      </c>
      <c r="BV270" s="46">
        <f t="shared" si="260"/>
        <v>0</v>
      </c>
      <c r="BX270" s="46">
        <f t="shared" si="261"/>
        <v>0</v>
      </c>
    </row>
    <row r="271" spans="1:76" x14ac:dyDescent="0.25">
      <c r="A271" s="61">
        <f t="shared" si="211"/>
        <v>22.166666666666622</v>
      </c>
      <c r="B271" s="32">
        <f t="shared" si="223"/>
        <v>2</v>
      </c>
      <c r="C271" s="62">
        <f t="shared" si="224"/>
        <v>23</v>
      </c>
      <c r="D271" s="64">
        <f t="shared" si="225"/>
        <v>22.666666666666622</v>
      </c>
      <c r="E271" s="28">
        <f t="shared" si="226"/>
        <v>22</v>
      </c>
      <c r="G271" s="68">
        <f>INDEX(Others!$D$11:$E$60, MATCH(C271, Others!$A$11:$A$60, 0), MATCH(G$3, Others!$D$10:$E$10, 0))</f>
        <v>4.0690909090908889E-2</v>
      </c>
      <c r="H271" s="16">
        <f t="shared" si="227"/>
        <v>3.329265421250005E-3</v>
      </c>
      <c r="I271" s="69">
        <f t="shared" si="228"/>
        <v>0.41308012699273539</v>
      </c>
      <c r="K271" s="80">
        <f>INDEX(Mortality!$B$7:$F$32, MATCH( E271,Mortality!$A$7:$A$32, 0), MATCH( K$3,Mortality!$B$6:$F$6,0))</f>
        <v>0.46299999999999997</v>
      </c>
      <c r="L271" s="11" cm="1">
        <f t="array" ref="L271">PAD_Res_Mort</f>
        <v>0.15</v>
      </c>
      <c r="M271" s="80">
        <f t="shared" si="229"/>
        <v>0.53244999999999987</v>
      </c>
      <c r="N271" s="76" t="e">
        <f>INDEX('Myopia_(Reserve)'!$H:$H, MATCH(E271, 'Myopia_(Reserve)'!$A:$A, 0)) * Trend_Factor_Reserve^(A271)</f>
        <v>#N/A</v>
      </c>
      <c r="O271" s="11">
        <f t="shared" si="212"/>
        <v>0.3</v>
      </c>
      <c r="P271" s="80">
        <f t="shared" si="230"/>
        <v>0</v>
      </c>
      <c r="Q271" s="76">
        <f>VLOOKUP(C271,Others!$L$10:$M$61,2)</f>
        <v>0</v>
      </c>
      <c r="R271" s="11">
        <f t="shared" si="213"/>
        <v>0</v>
      </c>
      <c r="S271" s="80">
        <f t="shared" si="231"/>
        <v>0</v>
      </c>
      <c r="T271" s="78">
        <f t="shared" si="232"/>
        <v>4.4370833333333319E-5</v>
      </c>
      <c r="U271" s="81">
        <f t="shared" si="233"/>
        <v>0</v>
      </c>
      <c r="V271" s="81">
        <f t="shared" si="234"/>
        <v>0</v>
      </c>
      <c r="W271" s="77">
        <f t="shared" si="214"/>
        <v>0</v>
      </c>
      <c r="X271" s="82">
        <f t="shared" si="235"/>
        <v>0</v>
      </c>
      <c r="Y271" s="82">
        <f t="shared" si="236"/>
        <v>0</v>
      </c>
      <c r="Z271" s="82">
        <f t="shared" si="237"/>
        <v>0</v>
      </c>
      <c r="AA271" s="82">
        <f t="shared" si="238"/>
        <v>0</v>
      </c>
      <c r="AC271" s="46">
        <f t="shared" si="215"/>
        <v>0</v>
      </c>
      <c r="AD271" s="15">
        <f t="shared" si="239"/>
        <v>0</v>
      </c>
      <c r="AE271" s="46">
        <f t="shared" si="240"/>
        <v>0</v>
      </c>
      <c r="AF271" s="15">
        <f t="shared" si="241"/>
        <v>0</v>
      </c>
      <c r="AG271" s="46">
        <f>SUMPRODUCT(AE272:AE$605, $I271:$I$604) / $I271</f>
        <v>0</v>
      </c>
      <c r="AI271" s="46">
        <f t="shared" si="216"/>
        <v>0</v>
      </c>
      <c r="AJ271" s="46">
        <f>IF(E271&gt;Mat_Year,0,  -SUM($AD$5:AD271))</f>
        <v>0</v>
      </c>
      <c r="AK271" s="24">
        <f t="shared" si="242"/>
        <v>0</v>
      </c>
      <c r="AL271" s="79">
        <f t="shared" si="243"/>
        <v>0</v>
      </c>
      <c r="AM271" s="24">
        <f t="shared" si="244"/>
        <v>0</v>
      </c>
      <c r="AN271" s="79">
        <f t="shared" si="245"/>
        <v>0</v>
      </c>
      <c r="AO271" s="15">
        <f t="shared" si="246"/>
        <v>0</v>
      </c>
      <c r="AP271" s="46">
        <f>SUMPRODUCT(AN272:AN$605, $I272:$I$605) / $I271</f>
        <v>0</v>
      </c>
      <c r="AR271" s="46">
        <v>0</v>
      </c>
      <c r="AS271" s="46">
        <v>0</v>
      </c>
      <c r="AT271" s="46">
        <v>0</v>
      </c>
      <c r="AU271" s="95">
        <f t="shared" si="217"/>
        <v>0</v>
      </c>
      <c r="AV271" s="47">
        <f t="shared" si="218"/>
        <v>0.1</v>
      </c>
      <c r="AW271" s="96">
        <f t="shared" si="247"/>
        <v>0</v>
      </c>
      <c r="AX271" s="95">
        <f t="shared" si="219"/>
        <v>0</v>
      </c>
      <c r="AY271" s="11">
        <f t="shared" si="220"/>
        <v>0.1</v>
      </c>
      <c r="AZ271" s="96">
        <f t="shared" si="248"/>
        <v>0</v>
      </c>
      <c r="BA271" s="95">
        <f t="shared" si="249"/>
        <v>0</v>
      </c>
      <c r="BB271" s="64">
        <f t="shared" si="250"/>
        <v>0</v>
      </c>
      <c r="BC271" s="95">
        <f t="shared" si="210"/>
        <v>0</v>
      </c>
      <c r="BD271" s="96">
        <f t="shared" si="210"/>
        <v>0</v>
      </c>
      <c r="BE271" s="96">
        <f t="shared" si="251"/>
        <v>0</v>
      </c>
      <c r="BF271" s="96">
        <f t="shared" si="252"/>
        <v>0</v>
      </c>
      <c r="BG271" s="15">
        <f t="shared" si="253"/>
        <v>0</v>
      </c>
      <c r="BH271" s="46">
        <f>(SUMPRODUCT(BE272:BE$605,$I271:$I$604)+SUMPRODUCT(BF272:BF$605,$I272:$I$605)) / $I271</f>
        <v>0</v>
      </c>
      <c r="BJ271" s="46">
        <f t="shared" si="254"/>
        <v>0</v>
      </c>
      <c r="BK271" s="46">
        <f t="shared" si="255"/>
        <v>0</v>
      </c>
      <c r="BM271" s="49">
        <f t="shared" si="221"/>
        <v>0</v>
      </c>
      <c r="BN271" s="50">
        <f t="shared" si="256"/>
        <v>0</v>
      </c>
      <c r="BP271" s="68">
        <f>INDEX(Others!$H$11:$I$60, MATCH(C271, Others!$A$11:$A$60, 0), MATCH(BP$3, Others!$H$10:$I$10, 0))</f>
        <v>3.0518181818181667E-2</v>
      </c>
      <c r="BQ271" s="16">
        <f t="shared" si="257"/>
        <v>2.5082875760633616E-3</v>
      </c>
      <c r="BR271" s="69">
        <f t="shared" si="258"/>
        <v>0.51352985442263721</v>
      </c>
      <c r="BT271" s="46">
        <f t="shared" si="259"/>
        <v>0</v>
      </c>
      <c r="BU271" s="49">
        <f t="shared" si="222"/>
        <v>0</v>
      </c>
      <c r="BV271" s="46">
        <f t="shared" si="260"/>
        <v>0</v>
      </c>
      <c r="BX271" s="46">
        <f t="shared" si="261"/>
        <v>0</v>
      </c>
    </row>
    <row r="272" spans="1:76" x14ac:dyDescent="0.25">
      <c r="A272" s="61">
        <f t="shared" si="211"/>
        <v>22.249999999999954</v>
      </c>
      <c r="B272" s="32">
        <f t="shared" si="223"/>
        <v>3</v>
      </c>
      <c r="C272" s="62">
        <f t="shared" si="224"/>
        <v>23</v>
      </c>
      <c r="D272" s="64">
        <f t="shared" si="225"/>
        <v>22.749999999999954</v>
      </c>
      <c r="E272" s="28">
        <f t="shared" si="226"/>
        <v>22</v>
      </c>
      <c r="G272" s="68">
        <f>INDEX(Others!$D$11:$E$60, MATCH(C272, Others!$A$11:$A$60, 0), MATCH(G$3, Others!$D$10:$E$10, 0))</f>
        <v>4.0690909090908889E-2</v>
      </c>
      <c r="H272" s="16">
        <f t="shared" si="227"/>
        <v>3.329265421250005E-3</v>
      </c>
      <c r="I272" s="69">
        <f t="shared" si="228"/>
        <v>0.4117094370005272</v>
      </c>
      <c r="K272" s="80">
        <f>INDEX(Mortality!$B$7:$F$32, MATCH( E272,Mortality!$A$7:$A$32, 0), MATCH( K$3,Mortality!$B$6:$F$6,0))</f>
        <v>0.46299999999999997</v>
      </c>
      <c r="L272" s="11" cm="1">
        <f t="array" ref="L272">PAD_Res_Mort</f>
        <v>0.15</v>
      </c>
      <c r="M272" s="80">
        <f t="shared" si="229"/>
        <v>0.53244999999999987</v>
      </c>
      <c r="N272" s="76" t="e">
        <f>INDEX('Myopia_(Reserve)'!$H:$H, MATCH(E272, 'Myopia_(Reserve)'!$A:$A, 0)) * Trend_Factor_Reserve^(A272)</f>
        <v>#N/A</v>
      </c>
      <c r="O272" s="11">
        <f t="shared" si="212"/>
        <v>0.3</v>
      </c>
      <c r="P272" s="80">
        <f t="shared" si="230"/>
        <v>0</v>
      </c>
      <c r="Q272" s="76">
        <f>VLOOKUP(C272,Others!$L$10:$M$61,2)</f>
        <v>0</v>
      </c>
      <c r="R272" s="11">
        <f t="shared" si="213"/>
        <v>0</v>
      </c>
      <c r="S272" s="80">
        <f t="shared" si="231"/>
        <v>0</v>
      </c>
      <c r="T272" s="78">
        <f t="shared" si="232"/>
        <v>4.4370833333333319E-5</v>
      </c>
      <c r="U272" s="81">
        <f t="shared" si="233"/>
        <v>0</v>
      </c>
      <c r="V272" s="81">
        <f t="shared" si="234"/>
        <v>0</v>
      </c>
      <c r="W272" s="77">
        <f t="shared" si="214"/>
        <v>0</v>
      </c>
      <c r="X272" s="82">
        <f t="shared" si="235"/>
        <v>0</v>
      </c>
      <c r="Y272" s="82">
        <f t="shared" si="236"/>
        <v>0</v>
      </c>
      <c r="Z272" s="82">
        <f t="shared" si="237"/>
        <v>0</v>
      </c>
      <c r="AA272" s="82">
        <f t="shared" si="238"/>
        <v>0</v>
      </c>
      <c r="AC272" s="46">
        <f t="shared" si="215"/>
        <v>0</v>
      </c>
      <c r="AD272" s="15">
        <f t="shared" si="239"/>
        <v>0</v>
      </c>
      <c r="AE272" s="46">
        <f t="shared" si="240"/>
        <v>0</v>
      </c>
      <c r="AF272" s="15">
        <f t="shared" si="241"/>
        <v>0</v>
      </c>
      <c r="AG272" s="46">
        <f>SUMPRODUCT(AE273:AE$605, $I272:$I$604) / $I272</f>
        <v>0</v>
      </c>
      <c r="AI272" s="46">
        <f t="shared" si="216"/>
        <v>0</v>
      </c>
      <c r="AJ272" s="46">
        <f>IF(E272&gt;Mat_Year,0,  -SUM($AD$5:AD272))</f>
        <v>0</v>
      </c>
      <c r="AK272" s="24">
        <f t="shared" si="242"/>
        <v>0</v>
      </c>
      <c r="AL272" s="79">
        <f t="shared" si="243"/>
        <v>0</v>
      </c>
      <c r="AM272" s="24">
        <f t="shared" si="244"/>
        <v>0</v>
      </c>
      <c r="AN272" s="79">
        <f t="shared" si="245"/>
        <v>0</v>
      </c>
      <c r="AO272" s="15">
        <f t="shared" si="246"/>
        <v>0</v>
      </c>
      <c r="AP272" s="46">
        <f>SUMPRODUCT(AN273:AN$605, $I273:$I$605) / $I272</f>
        <v>0</v>
      </c>
      <c r="AR272" s="46">
        <v>0</v>
      </c>
      <c r="AS272" s="46">
        <v>0</v>
      </c>
      <c r="AT272" s="46">
        <v>0</v>
      </c>
      <c r="AU272" s="95">
        <f t="shared" si="217"/>
        <v>0</v>
      </c>
      <c r="AV272" s="47">
        <f t="shared" si="218"/>
        <v>0.1</v>
      </c>
      <c r="AW272" s="96">
        <f t="shared" si="247"/>
        <v>0</v>
      </c>
      <c r="AX272" s="95">
        <f t="shared" si="219"/>
        <v>0</v>
      </c>
      <c r="AY272" s="11">
        <f t="shared" si="220"/>
        <v>0.1</v>
      </c>
      <c r="AZ272" s="96">
        <f t="shared" si="248"/>
        <v>0</v>
      </c>
      <c r="BA272" s="95">
        <f t="shared" si="249"/>
        <v>0</v>
      </c>
      <c r="BB272" s="64">
        <f t="shared" si="250"/>
        <v>0</v>
      </c>
      <c r="BC272" s="95">
        <f t="shared" si="210"/>
        <v>0</v>
      </c>
      <c r="BD272" s="96">
        <f t="shared" si="210"/>
        <v>0</v>
      </c>
      <c r="BE272" s="96">
        <f t="shared" si="251"/>
        <v>0</v>
      </c>
      <c r="BF272" s="96">
        <f t="shared" si="252"/>
        <v>0</v>
      </c>
      <c r="BG272" s="15">
        <f t="shared" si="253"/>
        <v>0</v>
      </c>
      <c r="BH272" s="46">
        <f>(SUMPRODUCT(BE273:BE$605,$I272:$I$604)+SUMPRODUCT(BF273:BF$605,$I273:$I$605)) / $I272</f>
        <v>0</v>
      </c>
      <c r="BJ272" s="46">
        <f t="shared" si="254"/>
        <v>0</v>
      </c>
      <c r="BK272" s="46">
        <f t="shared" si="255"/>
        <v>0</v>
      </c>
      <c r="BM272" s="49">
        <f t="shared" si="221"/>
        <v>0</v>
      </c>
      <c r="BN272" s="50">
        <f t="shared" si="256"/>
        <v>0</v>
      </c>
      <c r="BP272" s="68">
        <f>INDEX(Others!$H$11:$I$60, MATCH(C272, Others!$A$11:$A$60, 0), MATCH(BP$3, Others!$H$10:$I$10, 0))</f>
        <v>3.0518181818181667E-2</v>
      </c>
      <c r="BQ272" s="16">
        <f t="shared" si="257"/>
        <v>2.5082875760633616E-3</v>
      </c>
      <c r="BR272" s="69">
        <f t="shared" si="258"/>
        <v>0.51224499666161027</v>
      </c>
      <c r="BT272" s="46">
        <f t="shared" si="259"/>
        <v>0</v>
      </c>
      <c r="BU272" s="49">
        <f t="shared" si="222"/>
        <v>0</v>
      </c>
      <c r="BV272" s="46">
        <f t="shared" si="260"/>
        <v>0</v>
      </c>
      <c r="BX272" s="46">
        <f t="shared" si="261"/>
        <v>0</v>
      </c>
    </row>
    <row r="273" spans="1:76" x14ac:dyDescent="0.25">
      <c r="A273" s="61">
        <f t="shared" si="211"/>
        <v>22.333333333333286</v>
      </c>
      <c r="B273" s="32">
        <f t="shared" si="223"/>
        <v>4</v>
      </c>
      <c r="C273" s="62">
        <f t="shared" si="224"/>
        <v>23</v>
      </c>
      <c r="D273" s="64">
        <f t="shared" si="225"/>
        <v>22.833333333333286</v>
      </c>
      <c r="E273" s="28">
        <f t="shared" si="226"/>
        <v>22</v>
      </c>
      <c r="G273" s="68">
        <f>INDEX(Others!$D$11:$E$60, MATCH(C273, Others!$A$11:$A$60, 0), MATCH(G$3, Others!$D$10:$E$10, 0))</f>
        <v>4.0690909090908889E-2</v>
      </c>
      <c r="H273" s="16">
        <f t="shared" si="227"/>
        <v>3.329265421250005E-3</v>
      </c>
      <c r="I273" s="69">
        <f t="shared" si="228"/>
        <v>0.41034329525678698</v>
      </c>
      <c r="K273" s="80">
        <f>INDEX(Mortality!$B$7:$F$32, MATCH( E273,Mortality!$A$7:$A$32, 0), MATCH( K$3,Mortality!$B$6:$F$6,0))</f>
        <v>0.46299999999999997</v>
      </c>
      <c r="L273" s="11" cm="1">
        <f t="array" ref="L273">PAD_Res_Mort</f>
        <v>0.15</v>
      </c>
      <c r="M273" s="80">
        <f t="shared" si="229"/>
        <v>0.53244999999999987</v>
      </c>
      <c r="N273" s="76" t="e">
        <f>INDEX('Myopia_(Reserve)'!$H:$H, MATCH(E273, 'Myopia_(Reserve)'!$A:$A, 0)) * Trend_Factor_Reserve^(A273)</f>
        <v>#N/A</v>
      </c>
      <c r="O273" s="11">
        <f t="shared" si="212"/>
        <v>0.3</v>
      </c>
      <c r="P273" s="80">
        <f t="shared" si="230"/>
        <v>0</v>
      </c>
      <c r="Q273" s="76">
        <f>VLOOKUP(C273,Others!$L$10:$M$61,2)</f>
        <v>0</v>
      </c>
      <c r="R273" s="11">
        <f t="shared" si="213"/>
        <v>0</v>
      </c>
      <c r="S273" s="80">
        <f t="shared" si="231"/>
        <v>0</v>
      </c>
      <c r="T273" s="78">
        <f t="shared" si="232"/>
        <v>4.4370833333333319E-5</v>
      </c>
      <c r="U273" s="81">
        <f t="shared" si="233"/>
        <v>0</v>
      </c>
      <c r="V273" s="81">
        <f t="shared" si="234"/>
        <v>0</v>
      </c>
      <c r="W273" s="77">
        <f t="shared" si="214"/>
        <v>0</v>
      </c>
      <c r="X273" s="82">
        <f t="shared" si="235"/>
        <v>0</v>
      </c>
      <c r="Y273" s="82">
        <f t="shared" si="236"/>
        <v>0</v>
      </c>
      <c r="Z273" s="82">
        <f t="shared" si="237"/>
        <v>0</v>
      </c>
      <c r="AA273" s="82">
        <f t="shared" si="238"/>
        <v>0</v>
      </c>
      <c r="AC273" s="46">
        <f t="shared" si="215"/>
        <v>0</v>
      </c>
      <c r="AD273" s="15">
        <f t="shared" si="239"/>
        <v>0</v>
      </c>
      <c r="AE273" s="46">
        <f t="shared" si="240"/>
        <v>0</v>
      </c>
      <c r="AF273" s="15">
        <f t="shared" si="241"/>
        <v>0</v>
      </c>
      <c r="AG273" s="46">
        <f>SUMPRODUCT(AE274:AE$605, $I273:$I$604) / $I273</f>
        <v>0</v>
      </c>
      <c r="AI273" s="46">
        <f t="shared" si="216"/>
        <v>0</v>
      </c>
      <c r="AJ273" s="46">
        <f>IF(E273&gt;Mat_Year,0,  -SUM($AD$5:AD273))</f>
        <v>0</v>
      </c>
      <c r="AK273" s="24">
        <f t="shared" si="242"/>
        <v>0</v>
      </c>
      <c r="AL273" s="79">
        <f t="shared" si="243"/>
        <v>0</v>
      </c>
      <c r="AM273" s="24">
        <f t="shared" si="244"/>
        <v>0</v>
      </c>
      <c r="AN273" s="79">
        <f t="shared" si="245"/>
        <v>0</v>
      </c>
      <c r="AO273" s="15">
        <f t="shared" si="246"/>
        <v>0</v>
      </c>
      <c r="AP273" s="46">
        <f>SUMPRODUCT(AN274:AN$605, $I274:$I$605) / $I273</f>
        <v>0</v>
      </c>
      <c r="AR273" s="46">
        <v>0</v>
      </c>
      <c r="AS273" s="46">
        <v>0</v>
      </c>
      <c r="AT273" s="46">
        <v>0</v>
      </c>
      <c r="AU273" s="95">
        <f t="shared" si="217"/>
        <v>0</v>
      </c>
      <c r="AV273" s="47">
        <f t="shared" si="218"/>
        <v>0.1</v>
      </c>
      <c r="AW273" s="96">
        <f t="shared" si="247"/>
        <v>0</v>
      </c>
      <c r="AX273" s="95">
        <f t="shared" si="219"/>
        <v>0</v>
      </c>
      <c r="AY273" s="11">
        <f t="shared" si="220"/>
        <v>0.1</v>
      </c>
      <c r="AZ273" s="96">
        <f t="shared" si="248"/>
        <v>0</v>
      </c>
      <c r="BA273" s="95">
        <f t="shared" si="249"/>
        <v>0</v>
      </c>
      <c r="BB273" s="64">
        <f t="shared" si="250"/>
        <v>0</v>
      </c>
      <c r="BC273" s="95">
        <f t="shared" si="210"/>
        <v>0</v>
      </c>
      <c r="BD273" s="96">
        <f t="shared" si="210"/>
        <v>0</v>
      </c>
      <c r="BE273" s="96">
        <f t="shared" si="251"/>
        <v>0</v>
      </c>
      <c r="BF273" s="96">
        <f t="shared" si="252"/>
        <v>0</v>
      </c>
      <c r="BG273" s="15">
        <f t="shared" si="253"/>
        <v>0</v>
      </c>
      <c r="BH273" s="46">
        <f>(SUMPRODUCT(BE274:BE$605,$I273:$I$604)+SUMPRODUCT(BF274:BF$605,$I274:$I$605)) / $I273</f>
        <v>0</v>
      </c>
      <c r="BJ273" s="46">
        <f t="shared" si="254"/>
        <v>0</v>
      </c>
      <c r="BK273" s="46">
        <f t="shared" si="255"/>
        <v>0</v>
      </c>
      <c r="BM273" s="49">
        <f t="shared" si="221"/>
        <v>0</v>
      </c>
      <c r="BN273" s="50">
        <f t="shared" si="256"/>
        <v>0</v>
      </c>
      <c r="BP273" s="68">
        <f>INDEX(Others!$H$11:$I$60, MATCH(C273, Others!$A$11:$A$60, 0), MATCH(BP$3, Others!$H$10:$I$10, 0))</f>
        <v>3.0518181818181667E-2</v>
      </c>
      <c r="BQ273" s="16">
        <f t="shared" si="257"/>
        <v>2.5082875760633616E-3</v>
      </c>
      <c r="BR273" s="69">
        <f t="shared" si="258"/>
        <v>0.51096335362987677</v>
      </c>
      <c r="BT273" s="46">
        <f t="shared" si="259"/>
        <v>0</v>
      </c>
      <c r="BU273" s="49">
        <f t="shared" si="222"/>
        <v>0</v>
      </c>
      <c r="BV273" s="46">
        <f t="shared" si="260"/>
        <v>0</v>
      </c>
      <c r="BX273" s="46">
        <f t="shared" si="261"/>
        <v>0</v>
      </c>
    </row>
    <row r="274" spans="1:76" x14ac:dyDescent="0.25">
      <c r="A274" s="61">
        <f t="shared" si="211"/>
        <v>22.416666666666618</v>
      </c>
      <c r="B274" s="32">
        <f t="shared" si="223"/>
        <v>5</v>
      </c>
      <c r="C274" s="62">
        <f t="shared" si="224"/>
        <v>23</v>
      </c>
      <c r="D274" s="64">
        <f t="shared" si="225"/>
        <v>22.916666666666618</v>
      </c>
      <c r="E274" s="28">
        <f t="shared" si="226"/>
        <v>22</v>
      </c>
      <c r="G274" s="68">
        <f>INDEX(Others!$D$11:$E$60, MATCH(C274, Others!$A$11:$A$60, 0), MATCH(G$3, Others!$D$10:$E$10, 0))</f>
        <v>4.0690909090908889E-2</v>
      </c>
      <c r="H274" s="16">
        <f t="shared" si="227"/>
        <v>3.329265421250005E-3</v>
      </c>
      <c r="I274" s="69">
        <f t="shared" si="228"/>
        <v>0.40898168666943391</v>
      </c>
      <c r="K274" s="80">
        <f>INDEX(Mortality!$B$7:$F$32, MATCH( E274,Mortality!$A$7:$A$32, 0), MATCH( K$3,Mortality!$B$6:$F$6,0))</f>
        <v>0.46299999999999997</v>
      </c>
      <c r="L274" s="11" cm="1">
        <f t="array" ref="L274">PAD_Res_Mort</f>
        <v>0.15</v>
      </c>
      <c r="M274" s="80">
        <f t="shared" si="229"/>
        <v>0.53244999999999987</v>
      </c>
      <c r="N274" s="76" t="e">
        <f>INDEX('Myopia_(Reserve)'!$H:$H, MATCH(E274, 'Myopia_(Reserve)'!$A:$A, 0)) * Trend_Factor_Reserve^(A274)</f>
        <v>#N/A</v>
      </c>
      <c r="O274" s="11">
        <f t="shared" si="212"/>
        <v>0.3</v>
      </c>
      <c r="P274" s="80">
        <f t="shared" si="230"/>
        <v>0</v>
      </c>
      <c r="Q274" s="76">
        <f>VLOOKUP(C274,Others!$L$10:$M$61,2)</f>
        <v>0</v>
      </c>
      <c r="R274" s="11">
        <f t="shared" si="213"/>
        <v>0</v>
      </c>
      <c r="S274" s="80">
        <f t="shared" si="231"/>
        <v>0</v>
      </c>
      <c r="T274" s="78">
        <f t="shared" si="232"/>
        <v>4.4370833333333319E-5</v>
      </c>
      <c r="U274" s="81">
        <f t="shared" si="233"/>
        <v>0</v>
      </c>
      <c r="V274" s="81">
        <f t="shared" si="234"/>
        <v>0</v>
      </c>
      <c r="W274" s="77">
        <f t="shared" si="214"/>
        <v>0</v>
      </c>
      <c r="X274" s="82">
        <f t="shared" si="235"/>
        <v>0</v>
      </c>
      <c r="Y274" s="82">
        <f t="shared" si="236"/>
        <v>0</v>
      </c>
      <c r="Z274" s="82">
        <f t="shared" si="237"/>
        <v>0</v>
      </c>
      <c r="AA274" s="82">
        <f t="shared" si="238"/>
        <v>0</v>
      </c>
      <c r="AC274" s="46">
        <f t="shared" si="215"/>
        <v>0</v>
      </c>
      <c r="AD274" s="15">
        <f t="shared" si="239"/>
        <v>0</v>
      </c>
      <c r="AE274" s="46">
        <f t="shared" si="240"/>
        <v>0</v>
      </c>
      <c r="AF274" s="15">
        <f t="shared" si="241"/>
        <v>0</v>
      </c>
      <c r="AG274" s="46">
        <f>SUMPRODUCT(AE275:AE$605, $I274:$I$604) / $I274</f>
        <v>0</v>
      </c>
      <c r="AI274" s="46">
        <f t="shared" si="216"/>
        <v>0</v>
      </c>
      <c r="AJ274" s="46">
        <f>IF(E274&gt;Mat_Year,0,  -SUM($AD$5:AD274))</f>
        <v>0</v>
      </c>
      <c r="AK274" s="24">
        <f t="shared" si="242"/>
        <v>0</v>
      </c>
      <c r="AL274" s="79">
        <f t="shared" si="243"/>
        <v>0</v>
      </c>
      <c r="AM274" s="24">
        <f t="shared" si="244"/>
        <v>0</v>
      </c>
      <c r="AN274" s="79">
        <f t="shared" si="245"/>
        <v>0</v>
      </c>
      <c r="AO274" s="15">
        <f t="shared" si="246"/>
        <v>0</v>
      </c>
      <c r="AP274" s="46">
        <f>SUMPRODUCT(AN275:AN$605, $I275:$I$605) / $I274</f>
        <v>0</v>
      </c>
      <c r="AR274" s="46">
        <v>0</v>
      </c>
      <c r="AS274" s="46">
        <v>0</v>
      </c>
      <c r="AT274" s="46">
        <v>0</v>
      </c>
      <c r="AU274" s="95">
        <f t="shared" si="217"/>
        <v>0</v>
      </c>
      <c r="AV274" s="47">
        <f t="shared" si="218"/>
        <v>0.1</v>
      </c>
      <c r="AW274" s="96">
        <f t="shared" si="247"/>
        <v>0</v>
      </c>
      <c r="AX274" s="95">
        <f t="shared" si="219"/>
        <v>0</v>
      </c>
      <c r="AY274" s="11">
        <f t="shared" si="220"/>
        <v>0.1</v>
      </c>
      <c r="AZ274" s="96">
        <f t="shared" si="248"/>
        <v>0</v>
      </c>
      <c r="BA274" s="95">
        <f t="shared" si="249"/>
        <v>0</v>
      </c>
      <c r="BB274" s="64">
        <f t="shared" si="250"/>
        <v>0</v>
      </c>
      <c r="BC274" s="95">
        <f t="shared" si="210"/>
        <v>0</v>
      </c>
      <c r="BD274" s="96">
        <f t="shared" si="210"/>
        <v>0</v>
      </c>
      <c r="BE274" s="96">
        <f t="shared" si="251"/>
        <v>0</v>
      </c>
      <c r="BF274" s="96">
        <f t="shared" si="252"/>
        <v>0</v>
      </c>
      <c r="BG274" s="15">
        <f t="shared" si="253"/>
        <v>0</v>
      </c>
      <c r="BH274" s="46">
        <f>(SUMPRODUCT(BE275:BE$605,$I274:$I$604)+SUMPRODUCT(BF275:BF$605,$I275:$I$605)) / $I274</f>
        <v>0</v>
      </c>
      <c r="BJ274" s="46">
        <f t="shared" si="254"/>
        <v>0</v>
      </c>
      <c r="BK274" s="46">
        <f t="shared" si="255"/>
        <v>0</v>
      </c>
      <c r="BM274" s="49">
        <f t="shared" si="221"/>
        <v>0</v>
      </c>
      <c r="BN274" s="50">
        <f t="shared" si="256"/>
        <v>0</v>
      </c>
      <c r="BP274" s="68">
        <f>INDEX(Others!$H$11:$I$60, MATCH(C274, Others!$A$11:$A$60, 0), MATCH(BP$3, Others!$H$10:$I$10, 0))</f>
        <v>3.0518181818181667E-2</v>
      </c>
      <c r="BQ274" s="16">
        <f t="shared" si="257"/>
        <v>2.5082875760633616E-3</v>
      </c>
      <c r="BR274" s="69">
        <f t="shared" si="258"/>
        <v>0.50968491728414611</v>
      </c>
      <c r="BT274" s="46">
        <f t="shared" si="259"/>
        <v>0</v>
      </c>
      <c r="BU274" s="49">
        <f t="shared" si="222"/>
        <v>0</v>
      </c>
      <c r="BV274" s="46">
        <f t="shared" si="260"/>
        <v>0</v>
      </c>
      <c r="BX274" s="46">
        <f t="shared" si="261"/>
        <v>0</v>
      </c>
    </row>
    <row r="275" spans="1:76" x14ac:dyDescent="0.25">
      <c r="A275" s="61">
        <f t="shared" si="211"/>
        <v>22.49999999999995</v>
      </c>
      <c r="B275" s="32">
        <f t="shared" si="223"/>
        <v>6</v>
      </c>
      <c r="C275" s="62">
        <f t="shared" si="224"/>
        <v>23</v>
      </c>
      <c r="D275" s="64">
        <f t="shared" si="225"/>
        <v>22.99999999999995</v>
      </c>
      <c r="E275" s="28">
        <f t="shared" si="226"/>
        <v>23</v>
      </c>
      <c r="G275" s="68">
        <f>INDEX(Others!$D$11:$E$60, MATCH(C275, Others!$A$11:$A$60, 0), MATCH(G$3, Others!$D$10:$E$10, 0))</f>
        <v>4.0690909090908889E-2</v>
      </c>
      <c r="H275" s="16">
        <f t="shared" si="227"/>
        <v>3.329265421250005E-3</v>
      </c>
      <c r="I275" s="69">
        <f t="shared" si="228"/>
        <v>0.40762459619646602</v>
      </c>
      <c r="K275" s="80" t="e">
        <f>INDEX(Mortality!$B$7:$F$32, MATCH( E275,Mortality!$A$7:$A$32, 0), MATCH( K$3,Mortality!$B$6:$F$6,0))</f>
        <v>#N/A</v>
      </c>
      <c r="L275" s="11" cm="1">
        <f t="array" ref="L275">PAD_Res_Mort</f>
        <v>0.15</v>
      </c>
      <c r="M275" s="80">
        <f t="shared" si="229"/>
        <v>0</v>
      </c>
      <c r="N275" s="76" t="e">
        <f>INDEX('Myopia_(Reserve)'!$H:$H, MATCH(E275, 'Myopia_(Reserve)'!$A:$A, 0)) * Trend_Factor_Reserve^(A275)</f>
        <v>#N/A</v>
      </c>
      <c r="O275" s="11">
        <f t="shared" si="212"/>
        <v>0.3</v>
      </c>
      <c r="P275" s="80">
        <f t="shared" si="230"/>
        <v>0</v>
      </c>
      <c r="Q275" s="76">
        <f>VLOOKUP(C275,Others!$L$10:$M$61,2)</f>
        <v>0</v>
      </c>
      <c r="R275" s="11">
        <f t="shared" si="213"/>
        <v>0</v>
      </c>
      <c r="S275" s="80">
        <f t="shared" si="231"/>
        <v>0</v>
      </c>
      <c r="T275" s="78">
        <f t="shared" si="232"/>
        <v>0</v>
      </c>
      <c r="U275" s="81">
        <f t="shared" si="233"/>
        <v>0</v>
      </c>
      <c r="V275" s="81">
        <f t="shared" si="234"/>
        <v>0</v>
      </c>
      <c r="W275" s="77">
        <f t="shared" si="214"/>
        <v>0</v>
      </c>
      <c r="X275" s="82">
        <f t="shared" si="235"/>
        <v>0</v>
      </c>
      <c r="Y275" s="82">
        <f t="shared" si="236"/>
        <v>0</v>
      </c>
      <c r="Z275" s="82">
        <f t="shared" si="237"/>
        <v>0</v>
      </c>
      <c r="AA275" s="82">
        <f t="shared" si="238"/>
        <v>0</v>
      </c>
      <c r="AC275" s="46">
        <f t="shared" si="215"/>
        <v>0</v>
      </c>
      <c r="AD275" s="15">
        <f t="shared" si="239"/>
        <v>0</v>
      </c>
      <c r="AE275" s="46">
        <f t="shared" si="240"/>
        <v>0</v>
      </c>
      <c r="AF275" s="15">
        <f t="shared" si="241"/>
        <v>0</v>
      </c>
      <c r="AG275" s="46">
        <f>SUMPRODUCT(AE276:AE$605, $I275:$I$604) / $I275</f>
        <v>0</v>
      </c>
      <c r="AI275" s="46">
        <f t="shared" si="216"/>
        <v>0</v>
      </c>
      <c r="AJ275" s="46">
        <f>IF(E275&gt;Mat_Year,0,  -SUM($AD$5:AD275))</f>
        <v>0</v>
      </c>
      <c r="AK275" s="24">
        <f t="shared" si="242"/>
        <v>0</v>
      </c>
      <c r="AL275" s="79">
        <f t="shared" si="243"/>
        <v>0</v>
      </c>
      <c r="AM275" s="24">
        <f t="shared" si="244"/>
        <v>0</v>
      </c>
      <c r="AN275" s="79">
        <f t="shared" si="245"/>
        <v>0</v>
      </c>
      <c r="AO275" s="15">
        <f t="shared" si="246"/>
        <v>0</v>
      </c>
      <c r="AP275" s="46">
        <f>SUMPRODUCT(AN276:AN$605, $I276:$I$605) / $I275</f>
        <v>0</v>
      </c>
      <c r="AR275" s="46">
        <v>0</v>
      </c>
      <c r="AS275" s="46">
        <v>0</v>
      </c>
      <c r="AT275" s="46">
        <v>0</v>
      </c>
      <c r="AU275" s="95">
        <f t="shared" si="217"/>
        <v>0</v>
      </c>
      <c r="AV275" s="47">
        <f t="shared" si="218"/>
        <v>0.1</v>
      </c>
      <c r="AW275" s="96">
        <f t="shared" si="247"/>
        <v>0</v>
      </c>
      <c r="AX275" s="95">
        <f t="shared" si="219"/>
        <v>0</v>
      </c>
      <c r="AY275" s="11">
        <f t="shared" si="220"/>
        <v>0.1</v>
      </c>
      <c r="AZ275" s="96">
        <f t="shared" si="248"/>
        <v>0</v>
      </c>
      <c r="BA275" s="95">
        <f t="shared" si="249"/>
        <v>0</v>
      </c>
      <c r="BB275" s="64">
        <f t="shared" si="250"/>
        <v>0</v>
      </c>
      <c r="BC275" s="95">
        <f t="shared" si="210"/>
        <v>0</v>
      </c>
      <c r="BD275" s="96">
        <f t="shared" si="210"/>
        <v>0</v>
      </c>
      <c r="BE275" s="96">
        <f t="shared" si="251"/>
        <v>0</v>
      </c>
      <c r="BF275" s="96">
        <f t="shared" si="252"/>
        <v>0</v>
      </c>
      <c r="BG275" s="15">
        <f t="shared" si="253"/>
        <v>0</v>
      </c>
      <c r="BH275" s="46">
        <f>(SUMPRODUCT(BE276:BE$605,$I275:$I$604)+SUMPRODUCT(BF276:BF$605,$I276:$I$605)) / $I275</f>
        <v>0</v>
      </c>
      <c r="BJ275" s="46">
        <f t="shared" si="254"/>
        <v>0</v>
      </c>
      <c r="BK275" s="46">
        <f t="shared" si="255"/>
        <v>0</v>
      </c>
      <c r="BM275" s="49">
        <f t="shared" si="221"/>
        <v>0</v>
      </c>
      <c r="BN275" s="50">
        <f t="shared" si="256"/>
        <v>0</v>
      </c>
      <c r="BP275" s="68">
        <f>INDEX(Others!$H$11:$I$60, MATCH(C275, Others!$A$11:$A$60, 0), MATCH(BP$3, Others!$H$10:$I$10, 0))</f>
        <v>3.0518181818181667E-2</v>
      </c>
      <c r="BQ275" s="16">
        <f t="shared" si="257"/>
        <v>2.5082875760633616E-3</v>
      </c>
      <c r="BR275" s="69">
        <f t="shared" si="258"/>
        <v>0.50840967960125194</v>
      </c>
      <c r="BT275" s="46">
        <f t="shared" si="259"/>
        <v>0</v>
      </c>
      <c r="BU275" s="49">
        <f t="shared" si="222"/>
        <v>0</v>
      </c>
      <c r="BV275" s="46">
        <f t="shared" si="260"/>
        <v>0</v>
      </c>
      <c r="BX275" s="46">
        <f t="shared" si="261"/>
        <v>0</v>
      </c>
    </row>
    <row r="276" spans="1:76" x14ac:dyDescent="0.25">
      <c r="A276" s="61">
        <f t="shared" si="211"/>
        <v>22.583333333333282</v>
      </c>
      <c r="B276" s="32">
        <f t="shared" si="223"/>
        <v>7</v>
      </c>
      <c r="C276" s="62">
        <f t="shared" si="224"/>
        <v>23</v>
      </c>
      <c r="D276" s="64">
        <f t="shared" si="225"/>
        <v>23.083333333333282</v>
      </c>
      <c r="E276" s="28">
        <f t="shared" si="226"/>
        <v>23</v>
      </c>
      <c r="G276" s="68">
        <f>INDEX(Others!$D$11:$E$60, MATCH(C276, Others!$A$11:$A$60, 0), MATCH(G$3, Others!$D$10:$E$10, 0))</f>
        <v>4.0690909090908889E-2</v>
      </c>
      <c r="H276" s="16">
        <f t="shared" si="227"/>
        <v>3.329265421250005E-3</v>
      </c>
      <c r="I276" s="69">
        <f t="shared" si="228"/>
        <v>0.40627200884579395</v>
      </c>
      <c r="K276" s="80" t="e">
        <f>INDEX(Mortality!$B$7:$F$32, MATCH( E276,Mortality!$A$7:$A$32, 0), MATCH( K$3,Mortality!$B$6:$F$6,0))</f>
        <v>#N/A</v>
      </c>
      <c r="L276" s="11" cm="1">
        <f t="array" ref="L276">PAD_Res_Mort</f>
        <v>0.15</v>
      </c>
      <c r="M276" s="80">
        <f t="shared" si="229"/>
        <v>0</v>
      </c>
      <c r="N276" s="76" t="e">
        <f>INDEX('Myopia_(Reserve)'!$H:$H, MATCH(E276, 'Myopia_(Reserve)'!$A:$A, 0)) * Trend_Factor_Reserve^(A276)</f>
        <v>#N/A</v>
      </c>
      <c r="O276" s="11">
        <f t="shared" si="212"/>
        <v>0.3</v>
      </c>
      <c r="P276" s="80">
        <f t="shared" si="230"/>
        <v>0</v>
      </c>
      <c r="Q276" s="76">
        <f>VLOOKUP(C276,Others!$L$10:$M$61,2)</f>
        <v>0</v>
      </c>
      <c r="R276" s="11">
        <f t="shared" si="213"/>
        <v>0</v>
      </c>
      <c r="S276" s="80">
        <f t="shared" si="231"/>
        <v>0</v>
      </c>
      <c r="T276" s="78">
        <f t="shared" si="232"/>
        <v>0</v>
      </c>
      <c r="U276" s="81">
        <f t="shared" si="233"/>
        <v>0</v>
      </c>
      <c r="V276" s="81">
        <f t="shared" si="234"/>
        <v>0</v>
      </c>
      <c r="W276" s="77">
        <f t="shared" si="214"/>
        <v>0</v>
      </c>
      <c r="X276" s="82">
        <f t="shared" si="235"/>
        <v>0</v>
      </c>
      <c r="Y276" s="82">
        <f t="shared" si="236"/>
        <v>0</v>
      </c>
      <c r="Z276" s="82">
        <f t="shared" si="237"/>
        <v>0</v>
      </c>
      <c r="AA276" s="82">
        <f t="shared" si="238"/>
        <v>0</v>
      </c>
      <c r="AC276" s="46">
        <f t="shared" si="215"/>
        <v>0</v>
      </c>
      <c r="AD276" s="15">
        <f t="shared" si="239"/>
        <v>0</v>
      </c>
      <c r="AE276" s="46">
        <f t="shared" si="240"/>
        <v>0</v>
      </c>
      <c r="AF276" s="15">
        <f t="shared" si="241"/>
        <v>0</v>
      </c>
      <c r="AG276" s="46">
        <f>SUMPRODUCT(AE277:AE$605, $I276:$I$604) / $I276</f>
        <v>0</v>
      </c>
      <c r="AI276" s="46">
        <f t="shared" si="216"/>
        <v>0</v>
      </c>
      <c r="AJ276" s="46">
        <f>IF(E276&gt;Mat_Year,0,  -SUM($AD$5:AD276))</f>
        <v>0</v>
      </c>
      <c r="AK276" s="24">
        <f t="shared" si="242"/>
        <v>0</v>
      </c>
      <c r="AL276" s="79">
        <f t="shared" si="243"/>
        <v>0</v>
      </c>
      <c r="AM276" s="24">
        <f t="shared" si="244"/>
        <v>0</v>
      </c>
      <c r="AN276" s="79">
        <f t="shared" si="245"/>
        <v>0</v>
      </c>
      <c r="AO276" s="15">
        <f t="shared" si="246"/>
        <v>0</v>
      </c>
      <c r="AP276" s="46">
        <f>SUMPRODUCT(AN277:AN$605, $I277:$I$605) / $I276</f>
        <v>0</v>
      </c>
      <c r="AR276" s="46">
        <v>0</v>
      </c>
      <c r="AS276" s="46">
        <v>0</v>
      </c>
      <c r="AT276" s="46">
        <v>0</v>
      </c>
      <c r="AU276" s="95">
        <f t="shared" si="217"/>
        <v>0</v>
      </c>
      <c r="AV276" s="47">
        <f t="shared" si="218"/>
        <v>0.1</v>
      </c>
      <c r="AW276" s="96">
        <f t="shared" si="247"/>
        <v>0</v>
      </c>
      <c r="AX276" s="95">
        <f t="shared" si="219"/>
        <v>0</v>
      </c>
      <c r="AY276" s="11">
        <f t="shared" si="220"/>
        <v>0.1</v>
      </c>
      <c r="AZ276" s="96">
        <f t="shared" si="248"/>
        <v>0</v>
      </c>
      <c r="BA276" s="95">
        <f t="shared" si="249"/>
        <v>0</v>
      </c>
      <c r="BB276" s="64">
        <f t="shared" si="250"/>
        <v>0</v>
      </c>
      <c r="BC276" s="95">
        <f t="shared" si="210"/>
        <v>0</v>
      </c>
      <c r="BD276" s="96">
        <f t="shared" si="210"/>
        <v>0</v>
      </c>
      <c r="BE276" s="96">
        <f t="shared" si="251"/>
        <v>0</v>
      </c>
      <c r="BF276" s="96">
        <f t="shared" si="252"/>
        <v>0</v>
      </c>
      <c r="BG276" s="15">
        <f t="shared" si="253"/>
        <v>0</v>
      </c>
      <c r="BH276" s="46">
        <f>(SUMPRODUCT(BE277:BE$605,$I276:$I$604)+SUMPRODUCT(BF277:BF$605,$I277:$I$605)) / $I276</f>
        <v>0</v>
      </c>
      <c r="BJ276" s="46">
        <f t="shared" si="254"/>
        <v>0</v>
      </c>
      <c r="BK276" s="46">
        <f t="shared" si="255"/>
        <v>0</v>
      </c>
      <c r="BM276" s="49">
        <f t="shared" si="221"/>
        <v>0</v>
      </c>
      <c r="BN276" s="50">
        <f t="shared" si="256"/>
        <v>0</v>
      </c>
      <c r="BP276" s="68">
        <f>INDEX(Others!$H$11:$I$60, MATCH(C276, Others!$A$11:$A$60, 0), MATCH(BP$3, Others!$H$10:$I$10, 0))</f>
        <v>3.0518181818181667E-2</v>
      </c>
      <c r="BQ276" s="16">
        <f t="shared" si="257"/>
        <v>2.5082875760633616E-3</v>
      </c>
      <c r="BR276" s="69">
        <f t="shared" si="258"/>
        <v>0.50713763257810207</v>
      </c>
      <c r="BT276" s="46">
        <f t="shared" si="259"/>
        <v>0</v>
      </c>
      <c r="BU276" s="49">
        <f t="shared" si="222"/>
        <v>0</v>
      </c>
      <c r="BV276" s="46">
        <f t="shared" si="260"/>
        <v>0</v>
      </c>
      <c r="BX276" s="46">
        <f t="shared" si="261"/>
        <v>0</v>
      </c>
    </row>
    <row r="277" spans="1:76" x14ac:dyDescent="0.25">
      <c r="A277" s="61">
        <f t="shared" si="211"/>
        <v>22.666666666666615</v>
      </c>
      <c r="B277" s="32">
        <f t="shared" si="223"/>
        <v>8</v>
      </c>
      <c r="C277" s="62">
        <f t="shared" si="224"/>
        <v>23</v>
      </c>
      <c r="D277" s="64">
        <f t="shared" si="225"/>
        <v>23.166666666666615</v>
      </c>
      <c r="E277" s="28">
        <f t="shared" si="226"/>
        <v>23</v>
      </c>
      <c r="G277" s="68">
        <f>INDEX(Others!$D$11:$E$60, MATCH(C277, Others!$A$11:$A$60, 0), MATCH(G$3, Others!$D$10:$E$10, 0))</f>
        <v>4.0690909090908889E-2</v>
      </c>
      <c r="H277" s="16">
        <f t="shared" si="227"/>
        <v>3.329265421250005E-3</v>
      </c>
      <c r="I277" s="69">
        <f t="shared" si="228"/>
        <v>0.40492390967507536</v>
      </c>
      <c r="K277" s="80" t="e">
        <f>INDEX(Mortality!$B$7:$F$32, MATCH( E277,Mortality!$A$7:$A$32, 0), MATCH( K$3,Mortality!$B$6:$F$6,0))</f>
        <v>#N/A</v>
      </c>
      <c r="L277" s="11" cm="1">
        <f t="array" ref="L277">PAD_Res_Mort</f>
        <v>0.15</v>
      </c>
      <c r="M277" s="80">
        <f t="shared" si="229"/>
        <v>0</v>
      </c>
      <c r="N277" s="76" t="e">
        <f>INDEX('Myopia_(Reserve)'!$H:$H, MATCH(E277, 'Myopia_(Reserve)'!$A:$A, 0)) * Trend_Factor_Reserve^(A277)</f>
        <v>#N/A</v>
      </c>
      <c r="O277" s="11">
        <f t="shared" si="212"/>
        <v>0.3</v>
      </c>
      <c r="P277" s="80">
        <f t="shared" si="230"/>
        <v>0</v>
      </c>
      <c r="Q277" s="76">
        <f>VLOOKUP(C277,Others!$L$10:$M$61,2)</f>
        <v>0</v>
      </c>
      <c r="R277" s="11">
        <f t="shared" si="213"/>
        <v>0</v>
      </c>
      <c r="S277" s="80">
        <f t="shared" si="231"/>
        <v>0</v>
      </c>
      <c r="T277" s="78">
        <f t="shared" si="232"/>
        <v>0</v>
      </c>
      <c r="U277" s="81">
        <f t="shared" si="233"/>
        <v>0</v>
      </c>
      <c r="V277" s="81">
        <f t="shared" si="234"/>
        <v>0</v>
      </c>
      <c r="W277" s="77">
        <f t="shared" si="214"/>
        <v>0</v>
      </c>
      <c r="X277" s="82">
        <f t="shared" si="235"/>
        <v>0</v>
      </c>
      <c r="Y277" s="82">
        <f t="shared" si="236"/>
        <v>0</v>
      </c>
      <c r="Z277" s="82">
        <f t="shared" si="237"/>
        <v>0</v>
      </c>
      <c r="AA277" s="82">
        <f t="shared" si="238"/>
        <v>0</v>
      </c>
      <c r="AC277" s="46">
        <f t="shared" si="215"/>
        <v>0</v>
      </c>
      <c r="AD277" s="15">
        <f t="shared" si="239"/>
        <v>0</v>
      </c>
      <c r="AE277" s="46">
        <f t="shared" si="240"/>
        <v>0</v>
      </c>
      <c r="AF277" s="15">
        <f t="shared" si="241"/>
        <v>0</v>
      </c>
      <c r="AG277" s="46">
        <f>SUMPRODUCT(AE278:AE$605, $I277:$I$604) / $I277</f>
        <v>0</v>
      </c>
      <c r="AI277" s="46">
        <f t="shared" si="216"/>
        <v>0</v>
      </c>
      <c r="AJ277" s="46">
        <f>IF(E277&gt;Mat_Year,0,  -SUM($AD$5:AD277))</f>
        <v>0</v>
      </c>
      <c r="AK277" s="24">
        <f t="shared" si="242"/>
        <v>0</v>
      </c>
      <c r="AL277" s="79">
        <f t="shared" si="243"/>
        <v>0</v>
      </c>
      <c r="AM277" s="24">
        <f t="shared" si="244"/>
        <v>0</v>
      </c>
      <c r="AN277" s="79">
        <f t="shared" si="245"/>
        <v>0</v>
      </c>
      <c r="AO277" s="15">
        <f t="shared" si="246"/>
        <v>0</v>
      </c>
      <c r="AP277" s="46">
        <f>SUMPRODUCT(AN278:AN$605, $I278:$I$605) / $I277</f>
        <v>0</v>
      </c>
      <c r="AR277" s="46">
        <v>0</v>
      </c>
      <c r="AS277" s="46">
        <v>0</v>
      </c>
      <c r="AT277" s="46">
        <v>0</v>
      </c>
      <c r="AU277" s="95">
        <f t="shared" si="217"/>
        <v>0</v>
      </c>
      <c r="AV277" s="47">
        <f t="shared" si="218"/>
        <v>0.1</v>
      </c>
      <c r="AW277" s="96">
        <f t="shared" si="247"/>
        <v>0</v>
      </c>
      <c r="AX277" s="95">
        <f t="shared" si="219"/>
        <v>0</v>
      </c>
      <c r="AY277" s="11">
        <f t="shared" si="220"/>
        <v>0.1</v>
      </c>
      <c r="AZ277" s="96">
        <f t="shared" si="248"/>
        <v>0</v>
      </c>
      <c r="BA277" s="95">
        <f t="shared" si="249"/>
        <v>0</v>
      </c>
      <c r="BB277" s="64">
        <f t="shared" si="250"/>
        <v>0</v>
      </c>
      <c r="BC277" s="95">
        <f t="shared" si="210"/>
        <v>0</v>
      </c>
      <c r="BD277" s="96">
        <f t="shared" si="210"/>
        <v>0</v>
      </c>
      <c r="BE277" s="96">
        <f t="shared" si="251"/>
        <v>0</v>
      </c>
      <c r="BF277" s="96">
        <f t="shared" si="252"/>
        <v>0</v>
      </c>
      <c r="BG277" s="15">
        <f t="shared" si="253"/>
        <v>0</v>
      </c>
      <c r="BH277" s="46">
        <f>(SUMPRODUCT(BE278:BE$605,$I277:$I$604)+SUMPRODUCT(BF278:BF$605,$I278:$I$605)) / $I277</f>
        <v>0</v>
      </c>
      <c r="BJ277" s="46">
        <f t="shared" si="254"/>
        <v>0</v>
      </c>
      <c r="BK277" s="46">
        <f t="shared" si="255"/>
        <v>0</v>
      </c>
      <c r="BM277" s="49">
        <f t="shared" si="221"/>
        <v>0</v>
      </c>
      <c r="BN277" s="50">
        <f t="shared" si="256"/>
        <v>0</v>
      </c>
      <c r="BP277" s="68">
        <f>INDEX(Others!$H$11:$I$60, MATCH(C277, Others!$A$11:$A$60, 0), MATCH(BP$3, Others!$H$10:$I$10, 0))</f>
        <v>3.0518181818181667E-2</v>
      </c>
      <c r="BQ277" s="16">
        <f t="shared" si="257"/>
        <v>2.5082875760633616E-3</v>
      </c>
      <c r="BR277" s="69">
        <f t="shared" si="258"/>
        <v>0.50586876823162819</v>
      </c>
      <c r="BT277" s="46">
        <f t="shared" si="259"/>
        <v>0</v>
      </c>
      <c r="BU277" s="49">
        <f t="shared" si="222"/>
        <v>0</v>
      </c>
      <c r="BV277" s="46">
        <f t="shared" si="260"/>
        <v>0</v>
      </c>
      <c r="BX277" s="46">
        <f t="shared" si="261"/>
        <v>0</v>
      </c>
    </row>
    <row r="278" spans="1:76" x14ac:dyDescent="0.25">
      <c r="A278" s="61">
        <f t="shared" si="211"/>
        <v>22.749999999999947</v>
      </c>
      <c r="B278" s="32">
        <f t="shared" si="223"/>
        <v>9</v>
      </c>
      <c r="C278" s="62">
        <f t="shared" si="224"/>
        <v>23</v>
      </c>
      <c r="D278" s="64">
        <f t="shared" si="225"/>
        <v>23.249999999999947</v>
      </c>
      <c r="E278" s="28">
        <f t="shared" si="226"/>
        <v>23</v>
      </c>
      <c r="G278" s="68">
        <f>INDEX(Others!$D$11:$E$60, MATCH(C278, Others!$A$11:$A$60, 0), MATCH(G$3, Others!$D$10:$E$10, 0))</f>
        <v>4.0690909090908889E-2</v>
      </c>
      <c r="H278" s="16">
        <f t="shared" si="227"/>
        <v>3.329265421250005E-3</v>
      </c>
      <c r="I278" s="69">
        <f t="shared" si="228"/>
        <v>0.40358028379154987</v>
      </c>
      <c r="K278" s="80" t="e">
        <f>INDEX(Mortality!$B$7:$F$32, MATCH( E278,Mortality!$A$7:$A$32, 0), MATCH( K$3,Mortality!$B$6:$F$6,0))</f>
        <v>#N/A</v>
      </c>
      <c r="L278" s="11" cm="1">
        <f t="array" ref="L278">PAD_Res_Mort</f>
        <v>0.15</v>
      </c>
      <c r="M278" s="80">
        <f t="shared" si="229"/>
        <v>0</v>
      </c>
      <c r="N278" s="76" t="e">
        <f>INDEX('Myopia_(Reserve)'!$H:$H, MATCH(E278, 'Myopia_(Reserve)'!$A:$A, 0)) * Trend_Factor_Reserve^(A278)</f>
        <v>#N/A</v>
      </c>
      <c r="O278" s="11">
        <f t="shared" si="212"/>
        <v>0.3</v>
      </c>
      <c r="P278" s="80">
        <f t="shared" si="230"/>
        <v>0</v>
      </c>
      <c r="Q278" s="76">
        <f>VLOOKUP(C278,Others!$L$10:$M$61,2)</f>
        <v>0</v>
      </c>
      <c r="R278" s="11">
        <f t="shared" si="213"/>
        <v>0</v>
      </c>
      <c r="S278" s="80">
        <f t="shared" si="231"/>
        <v>0</v>
      </c>
      <c r="T278" s="78">
        <f t="shared" si="232"/>
        <v>0</v>
      </c>
      <c r="U278" s="81">
        <f t="shared" si="233"/>
        <v>0</v>
      </c>
      <c r="V278" s="81">
        <f t="shared" si="234"/>
        <v>0</v>
      </c>
      <c r="W278" s="77">
        <f t="shared" si="214"/>
        <v>0</v>
      </c>
      <c r="X278" s="82">
        <f t="shared" si="235"/>
        <v>0</v>
      </c>
      <c r="Y278" s="82">
        <f t="shared" si="236"/>
        <v>0</v>
      </c>
      <c r="Z278" s="82">
        <f t="shared" si="237"/>
        <v>0</v>
      </c>
      <c r="AA278" s="82">
        <f t="shared" si="238"/>
        <v>0</v>
      </c>
      <c r="AC278" s="46">
        <f t="shared" si="215"/>
        <v>0</v>
      </c>
      <c r="AD278" s="15">
        <f t="shared" si="239"/>
        <v>0</v>
      </c>
      <c r="AE278" s="46">
        <f t="shared" si="240"/>
        <v>0</v>
      </c>
      <c r="AF278" s="15">
        <f t="shared" si="241"/>
        <v>0</v>
      </c>
      <c r="AG278" s="46">
        <f>SUMPRODUCT(AE279:AE$605, $I278:$I$604) / $I278</f>
        <v>0</v>
      </c>
      <c r="AI278" s="46">
        <f t="shared" si="216"/>
        <v>0</v>
      </c>
      <c r="AJ278" s="46">
        <f>IF(E278&gt;Mat_Year,0,  -SUM($AD$5:AD278))</f>
        <v>0</v>
      </c>
      <c r="AK278" s="24">
        <f t="shared" si="242"/>
        <v>0</v>
      </c>
      <c r="AL278" s="79">
        <f t="shared" si="243"/>
        <v>0</v>
      </c>
      <c r="AM278" s="24">
        <f t="shared" si="244"/>
        <v>0</v>
      </c>
      <c r="AN278" s="79">
        <f t="shared" si="245"/>
        <v>0</v>
      </c>
      <c r="AO278" s="15">
        <f t="shared" si="246"/>
        <v>0</v>
      </c>
      <c r="AP278" s="46">
        <f>SUMPRODUCT(AN279:AN$605, $I279:$I$605) / $I278</f>
        <v>0</v>
      </c>
      <c r="AR278" s="46">
        <v>0</v>
      </c>
      <c r="AS278" s="46">
        <v>0</v>
      </c>
      <c r="AT278" s="46">
        <v>0</v>
      </c>
      <c r="AU278" s="95">
        <f t="shared" si="217"/>
        <v>0</v>
      </c>
      <c r="AV278" s="47">
        <f t="shared" si="218"/>
        <v>0.1</v>
      </c>
      <c r="AW278" s="96">
        <f t="shared" si="247"/>
        <v>0</v>
      </c>
      <c r="AX278" s="95">
        <f t="shared" si="219"/>
        <v>0</v>
      </c>
      <c r="AY278" s="11">
        <f t="shared" si="220"/>
        <v>0.1</v>
      </c>
      <c r="AZ278" s="96">
        <f t="shared" si="248"/>
        <v>0</v>
      </c>
      <c r="BA278" s="95">
        <f t="shared" si="249"/>
        <v>0</v>
      </c>
      <c r="BB278" s="64">
        <f t="shared" si="250"/>
        <v>0</v>
      </c>
      <c r="BC278" s="95">
        <f t="shared" si="210"/>
        <v>0</v>
      </c>
      <c r="BD278" s="96">
        <f t="shared" si="210"/>
        <v>0</v>
      </c>
      <c r="BE278" s="96">
        <f t="shared" si="251"/>
        <v>0</v>
      </c>
      <c r="BF278" s="96">
        <f t="shared" si="252"/>
        <v>0</v>
      </c>
      <c r="BG278" s="15">
        <f t="shared" si="253"/>
        <v>0</v>
      </c>
      <c r="BH278" s="46">
        <f>(SUMPRODUCT(BE279:BE$605,$I278:$I$604)+SUMPRODUCT(BF279:BF$605,$I279:$I$605)) / $I278</f>
        <v>0</v>
      </c>
      <c r="BJ278" s="46">
        <f t="shared" si="254"/>
        <v>0</v>
      </c>
      <c r="BK278" s="46">
        <f t="shared" si="255"/>
        <v>0</v>
      </c>
      <c r="BM278" s="49">
        <f t="shared" si="221"/>
        <v>0</v>
      </c>
      <c r="BN278" s="50">
        <f t="shared" si="256"/>
        <v>0</v>
      </c>
      <c r="BP278" s="68">
        <f>INDEX(Others!$H$11:$I$60, MATCH(C278, Others!$A$11:$A$60, 0), MATCH(BP$3, Others!$H$10:$I$10, 0))</f>
        <v>3.0518181818181667E-2</v>
      </c>
      <c r="BQ278" s="16">
        <f t="shared" si="257"/>
        <v>2.5082875760633616E-3</v>
      </c>
      <c r="BR278" s="69">
        <f t="shared" si="258"/>
        <v>0.50460307859873565</v>
      </c>
      <c r="BT278" s="46">
        <f t="shared" si="259"/>
        <v>0</v>
      </c>
      <c r="BU278" s="49">
        <f t="shared" si="222"/>
        <v>0</v>
      </c>
      <c r="BV278" s="46">
        <f t="shared" si="260"/>
        <v>0</v>
      </c>
      <c r="BX278" s="46">
        <f t="shared" si="261"/>
        <v>0</v>
      </c>
    </row>
    <row r="279" spans="1:76" x14ac:dyDescent="0.25">
      <c r="A279" s="61">
        <f t="shared" si="211"/>
        <v>22.833333333333279</v>
      </c>
      <c r="B279" s="32">
        <f t="shared" si="223"/>
        <v>10</v>
      </c>
      <c r="C279" s="62">
        <f t="shared" si="224"/>
        <v>23</v>
      </c>
      <c r="D279" s="64">
        <f t="shared" si="225"/>
        <v>23.333333333333279</v>
      </c>
      <c r="E279" s="28">
        <f t="shared" si="226"/>
        <v>23</v>
      </c>
      <c r="G279" s="68">
        <f>INDEX(Others!$D$11:$E$60, MATCH(C279, Others!$A$11:$A$60, 0), MATCH(G$3, Others!$D$10:$E$10, 0))</f>
        <v>4.0690909090908889E-2</v>
      </c>
      <c r="H279" s="16">
        <f t="shared" si="227"/>
        <v>3.329265421250005E-3</v>
      </c>
      <c r="I279" s="69">
        <f t="shared" si="228"/>
        <v>0.40224111635187459</v>
      </c>
      <c r="K279" s="80" t="e">
        <f>INDEX(Mortality!$B$7:$F$32, MATCH( E279,Mortality!$A$7:$A$32, 0), MATCH( K$3,Mortality!$B$6:$F$6,0))</f>
        <v>#N/A</v>
      </c>
      <c r="L279" s="11" cm="1">
        <f t="array" ref="L279">PAD_Res_Mort</f>
        <v>0.15</v>
      </c>
      <c r="M279" s="80">
        <f t="shared" si="229"/>
        <v>0</v>
      </c>
      <c r="N279" s="76" t="e">
        <f>INDEX('Myopia_(Reserve)'!$H:$H, MATCH(E279, 'Myopia_(Reserve)'!$A:$A, 0)) * Trend_Factor_Reserve^(A279)</f>
        <v>#N/A</v>
      </c>
      <c r="O279" s="11">
        <f t="shared" si="212"/>
        <v>0.3</v>
      </c>
      <c r="P279" s="80">
        <f t="shared" si="230"/>
        <v>0</v>
      </c>
      <c r="Q279" s="76">
        <f>VLOOKUP(C279,Others!$L$10:$M$61,2)</f>
        <v>0</v>
      </c>
      <c r="R279" s="11">
        <f t="shared" si="213"/>
        <v>0</v>
      </c>
      <c r="S279" s="80">
        <f t="shared" si="231"/>
        <v>0</v>
      </c>
      <c r="T279" s="78">
        <f t="shared" si="232"/>
        <v>0</v>
      </c>
      <c r="U279" s="81">
        <f t="shared" si="233"/>
        <v>0</v>
      </c>
      <c r="V279" s="81">
        <f t="shared" si="234"/>
        <v>0</v>
      </c>
      <c r="W279" s="77">
        <f t="shared" si="214"/>
        <v>0</v>
      </c>
      <c r="X279" s="82">
        <f t="shared" si="235"/>
        <v>0</v>
      </c>
      <c r="Y279" s="82">
        <f t="shared" si="236"/>
        <v>0</v>
      </c>
      <c r="Z279" s="82">
        <f t="shared" si="237"/>
        <v>0</v>
      </c>
      <c r="AA279" s="82">
        <f t="shared" si="238"/>
        <v>0</v>
      </c>
      <c r="AC279" s="46">
        <f t="shared" si="215"/>
        <v>0</v>
      </c>
      <c r="AD279" s="15">
        <f t="shared" si="239"/>
        <v>0</v>
      </c>
      <c r="AE279" s="46">
        <f t="shared" si="240"/>
        <v>0</v>
      </c>
      <c r="AF279" s="15">
        <f t="shared" si="241"/>
        <v>0</v>
      </c>
      <c r="AG279" s="46">
        <f>SUMPRODUCT(AE280:AE$605, $I279:$I$604) / $I279</f>
        <v>0</v>
      </c>
      <c r="AI279" s="46">
        <f t="shared" si="216"/>
        <v>0</v>
      </c>
      <c r="AJ279" s="46">
        <f>IF(E279&gt;Mat_Year,0,  -SUM($AD$5:AD279))</f>
        <v>0</v>
      </c>
      <c r="AK279" s="24">
        <f t="shared" si="242"/>
        <v>0</v>
      </c>
      <c r="AL279" s="79">
        <f t="shared" si="243"/>
        <v>0</v>
      </c>
      <c r="AM279" s="24">
        <f t="shared" si="244"/>
        <v>0</v>
      </c>
      <c r="AN279" s="79">
        <f t="shared" si="245"/>
        <v>0</v>
      </c>
      <c r="AO279" s="15">
        <f t="shared" si="246"/>
        <v>0</v>
      </c>
      <c r="AP279" s="46">
        <f>SUMPRODUCT(AN280:AN$605, $I280:$I$605) / $I279</f>
        <v>0</v>
      </c>
      <c r="AR279" s="46">
        <v>0</v>
      </c>
      <c r="AS279" s="46">
        <v>0</v>
      </c>
      <c r="AT279" s="46">
        <v>0</v>
      </c>
      <c r="AU279" s="95">
        <f t="shared" si="217"/>
        <v>0</v>
      </c>
      <c r="AV279" s="47">
        <f t="shared" si="218"/>
        <v>0.1</v>
      </c>
      <c r="AW279" s="96">
        <f t="shared" si="247"/>
        <v>0</v>
      </c>
      <c r="AX279" s="95">
        <f t="shared" si="219"/>
        <v>0</v>
      </c>
      <c r="AY279" s="11">
        <f t="shared" si="220"/>
        <v>0.1</v>
      </c>
      <c r="AZ279" s="96">
        <f t="shared" si="248"/>
        <v>0</v>
      </c>
      <c r="BA279" s="95">
        <f t="shared" si="249"/>
        <v>0</v>
      </c>
      <c r="BB279" s="64">
        <f t="shared" si="250"/>
        <v>0</v>
      </c>
      <c r="BC279" s="95">
        <f t="shared" ref="BC279:BD317" si="262">IF($W279 = 0, 0, BE279/$W279)</f>
        <v>0</v>
      </c>
      <c r="BD279" s="96">
        <f t="shared" si="262"/>
        <v>0</v>
      </c>
      <c r="BE279" s="96">
        <f t="shared" si="251"/>
        <v>0</v>
      </c>
      <c r="BF279" s="96">
        <f t="shared" si="252"/>
        <v>0</v>
      </c>
      <c r="BG279" s="15">
        <f t="shared" si="253"/>
        <v>0</v>
      </c>
      <c r="BH279" s="46">
        <f>(SUMPRODUCT(BE280:BE$605,$I279:$I$604)+SUMPRODUCT(BF280:BF$605,$I280:$I$605)) / $I279</f>
        <v>0</v>
      </c>
      <c r="BJ279" s="46">
        <f t="shared" si="254"/>
        <v>0</v>
      </c>
      <c r="BK279" s="46">
        <f t="shared" si="255"/>
        <v>0</v>
      </c>
      <c r="BM279" s="49">
        <f t="shared" si="221"/>
        <v>0</v>
      </c>
      <c r="BN279" s="50">
        <f t="shared" si="256"/>
        <v>0</v>
      </c>
      <c r="BP279" s="68">
        <f>INDEX(Others!$H$11:$I$60, MATCH(C279, Others!$A$11:$A$60, 0), MATCH(BP$3, Others!$H$10:$I$10, 0))</f>
        <v>3.0518181818181667E-2</v>
      </c>
      <c r="BQ279" s="16">
        <f t="shared" si="257"/>
        <v>2.5082875760633616E-3</v>
      </c>
      <c r="BR279" s="69">
        <f t="shared" si="258"/>
        <v>0.50334055573625358</v>
      </c>
      <c r="BT279" s="46">
        <f t="shared" si="259"/>
        <v>0</v>
      </c>
      <c r="BU279" s="49">
        <f t="shared" si="222"/>
        <v>0</v>
      </c>
      <c r="BV279" s="46">
        <f t="shared" si="260"/>
        <v>0</v>
      </c>
      <c r="BX279" s="46">
        <f t="shared" si="261"/>
        <v>0</v>
      </c>
    </row>
    <row r="280" spans="1:76" x14ac:dyDescent="0.25">
      <c r="A280" s="61">
        <f t="shared" si="211"/>
        <v>22.916666666666611</v>
      </c>
      <c r="B280" s="32">
        <f t="shared" si="223"/>
        <v>11</v>
      </c>
      <c r="C280" s="62">
        <f t="shared" si="224"/>
        <v>23</v>
      </c>
      <c r="D280" s="64">
        <f t="shared" si="225"/>
        <v>23.416666666666611</v>
      </c>
      <c r="E280" s="28">
        <f t="shared" si="226"/>
        <v>23</v>
      </c>
      <c r="G280" s="68">
        <f>INDEX(Others!$D$11:$E$60, MATCH(C280, Others!$A$11:$A$60, 0), MATCH(G$3, Others!$D$10:$E$10, 0))</f>
        <v>4.0690909090908889E-2</v>
      </c>
      <c r="H280" s="16">
        <f t="shared" si="227"/>
        <v>3.329265421250005E-3</v>
      </c>
      <c r="I280" s="69">
        <f t="shared" si="228"/>
        <v>0.40090639256195998</v>
      </c>
      <c r="K280" s="80" t="e">
        <f>INDEX(Mortality!$B$7:$F$32, MATCH( E280,Mortality!$A$7:$A$32, 0), MATCH( K$3,Mortality!$B$6:$F$6,0))</f>
        <v>#N/A</v>
      </c>
      <c r="L280" s="11" cm="1">
        <f t="array" ref="L280">PAD_Res_Mort</f>
        <v>0.15</v>
      </c>
      <c r="M280" s="80">
        <f t="shared" si="229"/>
        <v>0</v>
      </c>
      <c r="N280" s="76" t="e">
        <f>INDEX('Myopia_(Reserve)'!$H:$H, MATCH(E280, 'Myopia_(Reserve)'!$A:$A, 0)) * Trend_Factor_Reserve^(A280)</f>
        <v>#N/A</v>
      </c>
      <c r="O280" s="11">
        <f t="shared" si="212"/>
        <v>0.3</v>
      </c>
      <c r="P280" s="80">
        <f t="shared" si="230"/>
        <v>0</v>
      </c>
      <c r="Q280" s="76">
        <f>VLOOKUP(C280,Others!$L$10:$M$61,2)</f>
        <v>0</v>
      </c>
      <c r="R280" s="11">
        <f t="shared" si="213"/>
        <v>0</v>
      </c>
      <c r="S280" s="80">
        <f t="shared" si="231"/>
        <v>0</v>
      </c>
      <c r="T280" s="78">
        <f t="shared" si="232"/>
        <v>0</v>
      </c>
      <c r="U280" s="81">
        <f t="shared" si="233"/>
        <v>0</v>
      </c>
      <c r="V280" s="81">
        <f t="shared" si="234"/>
        <v>0</v>
      </c>
      <c r="W280" s="77">
        <f t="shared" si="214"/>
        <v>0</v>
      </c>
      <c r="X280" s="82">
        <f t="shared" si="235"/>
        <v>0</v>
      </c>
      <c r="Y280" s="82">
        <f t="shared" si="236"/>
        <v>0</v>
      </c>
      <c r="Z280" s="82">
        <f t="shared" si="237"/>
        <v>0</v>
      </c>
      <c r="AA280" s="82">
        <f t="shared" si="238"/>
        <v>0</v>
      </c>
      <c r="AC280" s="46">
        <f t="shared" si="215"/>
        <v>0</v>
      </c>
      <c r="AD280" s="15">
        <f t="shared" si="239"/>
        <v>0</v>
      </c>
      <c r="AE280" s="46">
        <f t="shared" si="240"/>
        <v>0</v>
      </c>
      <c r="AF280" s="15">
        <f t="shared" si="241"/>
        <v>0</v>
      </c>
      <c r="AG280" s="46">
        <f>SUMPRODUCT(AE281:AE$605, $I280:$I$604) / $I280</f>
        <v>0</v>
      </c>
      <c r="AI280" s="46">
        <f t="shared" si="216"/>
        <v>0</v>
      </c>
      <c r="AJ280" s="46">
        <f>IF(E280&gt;Mat_Year,0,  -SUM($AD$5:AD280))</f>
        <v>0</v>
      </c>
      <c r="AK280" s="24">
        <f t="shared" si="242"/>
        <v>0</v>
      </c>
      <c r="AL280" s="79">
        <f t="shared" si="243"/>
        <v>0</v>
      </c>
      <c r="AM280" s="24">
        <f t="shared" si="244"/>
        <v>0</v>
      </c>
      <c r="AN280" s="79">
        <f t="shared" si="245"/>
        <v>0</v>
      </c>
      <c r="AO280" s="15">
        <f t="shared" si="246"/>
        <v>0</v>
      </c>
      <c r="AP280" s="46">
        <f>SUMPRODUCT(AN281:AN$605, $I281:$I$605) / $I280</f>
        <v>0</v>
      </c>
      <c r="AR280" s="46">
        <v>0</v>
      </c>
      <c r="AS280" s="46">
        <v>0</v>
      </c>
      <c r="AT280" s="46">
        <v>0</v>
      </c>
      <c r="AU280" s="95">
        <f t="shared" si="217"/>
        <v>0</v>
      </c>
      <c r="AV280" s="47">
        <f t="shared" si="218"/>
        <v>0.1</v>
      </c>
      <c r="AW280" s="96">
        <f t="shared" si="247"/>
        <v>0</v>
      </c>
      <c r="AX280" s="95">
        <f t="shared" si="219"/>
        <v>0</v>
      </c>
      <c r="AY280" s="11">
        <f t="shared" si="220"/>
        <v>0.1</v>
      </c>
      <c r="AZ280" s="96">
        <f t="shared" si="248"/>
        <v>0</v>
      </c>
      <c r="BA280" s="95">
        <f t="shared" si="249"/>
        <v>0</v>
      </c>
      <c r="BB280" s="64">
        <f t="shared" si="250"/>
        <v>0</v>
      </c>
      <c r="BC280" s="95">
        <f t="shared" si="262"/>
        <v>0</v>
      </c>
      <c r="BD280" s="96">
        <f t="shared" si="262"/>
        <v>0</v>
      </c>
      <c r="BE280" s="96">
        <f t="shared" si="251"/>
        <v>0</v>
      </c>
      <c r="BF280" s="96">
        <f t="shared" si="252"/>
        <v>0</v>
      </c>
      <c r="BG280" s="15">
        <f t="shared" si="253"/>
        <v>0</v>
      </c>
      <c r="BH280" s="46">
        <f>(SUMPRODUCT(BE281:BE$605,$I280:$I$604)+SUMPRODUCT(BF281:BF$605,$I281:$I$605)) / $I280</f>
        <v>0</v>
      </c>
      <c r="BJ280" s="46">
        <f t="shared" si="254"/>
        <v>0</v>
      </c>
      <c r="BK280" s="46">
        <f t="shared" si="255"/>
        <v>0</v>
      </c>
      <c r="BM280" s="49">
        <f t="shared" si="221"/>
        <v>0</v>
      </c>
      <c r="BN280" s="50">
        <f t="shared" si="256"/>
        <v>0</v>
      </c>
      <c r="BP280" s="68">
        <f>INDEX(Others!$H$11:$I$60, MATCH(C280, Others!$A$11:$A$60, 0), MATCH(BP$3, Others!$H$10:$I$10, 0))</f>
        <v>3.0518181818181667E-2</v>
      </c>
      <c r="BQ280" s="16">
        <f t="shared" si="257"/>
        <v>2.5082875760633616E-3</v>
      </c>
      <c r="BR280" s="69">
        <f t="shared" si="258"/>
        <v>0.50208119172088495</v>
      </c>
      <c r="BT280" s="46">
        <f t="shared" si="259"/>
        <v>0</v>
      </c>
      <c r="BU280" s="49">
        <f t="shared" si="222"/>
        <v>0</v>
      </c>
      <c r="BV280" s="46">
        <f t="shared" si="260"/>
        <v>0</v>
      </c>
      <c r="BX280" s="46">
        <f t="shared" si="261"/>
        <v>0</v>
      </c>
    </row>
    <row r="281" spans="1:76" x14ac:dyDescent="0.25">
      <c r="A281" s="61">
        <f t="shared" si="211"/>
        <v>22.999999999999943</v>
      </c>
      <c r="B281" s="32">
        <f t="shared" si="223"/>
        <v>12</v>
      </c>
      <c r="C281" s="62">
        <f t="shared" si="224"/>
        <v>23</v>
      </c>
      <c r="D281" s="64">
        <f t="shared" si="225"/>
        <v>23.499999999999943</v>
      </c>
      <c r="E281" s="28">
        <f t="shared" si="226"/>
        <v>23</v>
      </c>
      <c r="G281" s="68">
        <f>INDEX(Others!$D$11:$E$60, MATCH(C281, Others!$A$11:$A$60, 0), MATCH(G$3, Others!$D$10:$E$10, 0))</f>
        <v>4.0690909090908889E-2</v>
      </c>
      <c r="H281" s="16">
        <f t="shared" si="227"/>
        <v>3.329265421250005E-3</v>
      </c>
      <c r="I281" s="69">
        <f t="shared" si="228"/>
        <v>0.39957609767680657</v>
      </c>
      <c r="K281" s="80" t="e">
        <f>INDEX(Mortality!$B$7:$F$32, MATCH( E281,Mortality!$A$7:$A$32, 0), MATCH( K$3,Mortality!$B$6:$F$6,0))</f>
        <v>#N/A</v>
      </c>
      <c r="L281" s="11" cm="1">
        <f t="array" ref="L281">PAD_Res_Mort</f>
        <v>0.15</v>
      </c>
      <c r="M281" s="80">
        <f t="shared" si="229"/>
        <v>0</v>
      </c>
      <c r="N281" s="76" t="e">
        <f>INDEX('Myopia_(Reserve)'!$H:$H, MATCH(E281, 'Myopia_(Reserve)'!$A:$A, 0)) * Trend_Factor_Reserve^(A281)</f>
        <v>#N/A</v>
      </c>
      <c r="O281" s="11">
        <f t="shared" si="212"/>
        <v>0.3</v>
      </c>
      <c r="P281" s="80">
        <f t="shared" si="230"/>
        <v>0</v>
      </c>
      <c r="Q281" s="76">
        <f>VLOOKUP(C281,Others!$L$10:$M$61,2)</f>
        <v>0</v>
      </c>
      <c r="R281" s="11">
        <f t="shared" si="213"/>
        <v>0</v>
      </c>
      <c r="S281" s="80">
        <f t="shared" si="231"/>
        <v>0</v>
      </c>
      <c r="T281" s="78">
        <f t="shared" si="232"/>
        <v>0</v>
      </c>
      <c r="U281" s="81">
        <f t="shared" si="233"/>
        <v>0</v>
      </c>
      <c r="V281" s="81">
        <f t="shared" si="234"/>
        <v>0</v>
      </c>
      <c r="W281" s="77">
        <f t="shared" si="214"/>
        <v>0</v>
      </c>
      <c r="X281" s="82">
        <f t="shared" si="235"/>
        <v>0</v>
      </c>
      <c r="Y281" s="82">
        <f t="shared" si="236"/>
        <v>0</v>
      </c>
      <c r="Z281" s="82">
        <f t="shared" si="237"/>
        <v>0</v>
      </c>
      <c r="AA281" s="82">
        <f t="shared" si="238"/>
        <v>0</v>
      </c>
      <c r="AC281" s="46">
        <f t="shared" si="215"/>
        <v>0</v>
      </c>
      <c r="AD281" s="15">
        <f t="shared" si="239"/>
        <v>0</v>
      </c>
      <c r="AE281" s="46">
        <f t="shared" si="240"/>
        <v>0</v>
      </c>
      <c r="AF281" s="15">
        <f t="shared" si="241"/>
        <v>0</v>
      </c>
      <c r="AG281" s="46">
        <f>SUMPRODUCT(AE282:AE$605, $I281:$I$604) / $I281</f>
        <v>0</v>
      </c>
      <c r="AI281" s="46">
        <f t="shared" si="216"/>
        <v>0</v>
      </c>
      <c r="AJ281" s="46">
        <f>IF(E281&gt;Mat_Year,0,  -SUM($AD$5:AD281))</f>
        <v>0</v>
      </c>
      <c r="AK281" s="24">
        <f t="shared" si="242"/>
        <v>0</v>
      </c>
      <c r="AL281" s="79">
        <f t="shared" si="243"/>
        <v>0</v>
      </c>
      <c r="AM281" s="24">
        <f t="shared" si="244"/>
        <v>0</v>
      </c>
      <c r="AN281" s="79">
        <f t="shared" si="245"/>
        <v>0</v>
      </c>
      <c r="AO281" s="15">
        <f t="shared" si="246"/>
        <v>0</v>
      </c>
      <c r="AP281" s="46">
        <f>SUMPRODUCT(AN282:AN$605, $I282:$I$605) / $I281</f>
        <v>0</v>
      </c>
      <c r="AR281" s="46">
        <v>0</v>
      </c>
      <c r="AS281" s="46">
        <v>0</v>
      </c>
      <c r="AT281" s="46">
        <v>0</v>
      </c>
      <c r="AU281" s="95">
        <f t="shared" si="217"/>
        <v>0</v>
      </c>
      <c r="AV281" s="47">
        <f t="shared" si="218"/>
        <v>0.1</v>
      </c>
      <c r="AW281" s="96">
        <f t="shared" si="247"/>
        <v>0</v>
      </c>
      <c r="AX281" s="95">
        <f t="shared" si="219"/>
        <v>0</v>
      </c>
      <c r="AY281" s="11">
        <f t="shared" si="220"/>
        <v>0.1</v>
      </c>
      <c r="AZ281" s="96">
        <f t="shared" si="248"/>
        <v>0</v>
      </c>
      <c r="BA281" s="95">
        <f t="shared" si="249"/>
        <v>0</v>
      </c>
      <c r="BB281" s="64">
        <f t="shared" si="250"/>
        <v>0</v>
      </c>
      <c r="BC281" s="95">
        <f t="shared" si="262"/>
        <v>0</v>
      </c>
      <c r="BD281" s="96">
        <f t="shared" si="262"/>
        <v>0</v>
      </c>
      <c r="BE281" s="96">
        <f t="shared" si="251"/>
        <v>0</v>
      </c>
      <c r="BF281" s="96">
        <f t="shared" si="252"/>
        <v>0</v>
      </c>
      <c r="BG281" s="15">
        <f t="shared" si="253"/>
        <v>0</v>
      </c>
      <c r="BH281" s="46">
        <f>(SUMPRODUCT(BE282:BE$605,$I281:$I$604)+SUMPRODUCT(BF282:BF$605,$I282:$I$605)) / $I281</f>
        <v>0</v>
      </c>
      <c r="BJ281" s="46">
        <f t="shared" si="254"/>
        <v>0</v>
      </c>
      <c r="BK281" s="46">
        <f t="shared" si="255"/>
        <v>0</v>
      </c>
      <c r="BM281" s="49">
        <f t="shared" si="221"/>
        <v>0</v>
      </c>
      <c r="BN281" s="50">
        <f t="shared" si="256"/>
        <v>0</v>
      </c>
      <c r="BP281" s="68">
        <f>INDEX(Others!$H$11:$I$60, MATCH(C281, Others!$A$11:$A$60, 0), MATCH(BP$3, Others!$H$10:$I$10, 0))</f>
        <v>3.0518181818181667E-2</v>
      </c>
      <c r="BQ281" s="16">
        <f t="shared" si="257"/>
        <v>2.5082875760633616E-3</v>
      </c>
      <c r="BR281" s="69">
        <f t="shared" si="258"/>
        <v>0.50082497864915709</v>
      </c>
      <c r="BT281" s="46">
        <f t="shared" si="259"/>
        <v>0</v>
      </c>
      <c r="BU281" s="49">
        <f t="shared" si="222"/>
        <v>0</v>
      </c>
      <c r="BV281" s="46">
        <f t="shared" si="260"/>
        <v>0</v>
      </c>
      <c r="BX281" s="46">
        <f t="shared" si="261"/>
        <v>0</v>
      </c>
    </row>
    <row r="282" spans="1:76" x14ac:dyDescent="0.25">
      <c r="A282" s="61">
        <f t="shared" si="211"/>
        <v>23.083333333333275</v>
      </c>
      <c r="B282" s="32">
        <f t="shared" si="223"/>
        <v>1</v>
      </c>
      <c r="C282" s="62">
        <f t="shared" si="224"/>
        <v>24</v>
      </c>
      <c r="D282" s="64">
        <f t="shared" si="225"/>
        <v>23.583333333333275</v>
      </c>
      <c r="E282" s="28">
        <f t="shared" si="226"/>
        <v>23</v>
      </c>
      <c r="G282" s="68">
        <f>INDEX(Others!$D$11:$E$60, MATCH(C282, Others!$A$11:$A$60, 0), MATCH(G$3, Others!$D$10:$E$10, 0))</f>
        <v>4.0690909090909333E-2</v>
      </c>
      <c r="H282" s="16">
        <f t="shared" si="227"/>
        <v>3.329265421250005E-3</v>
      </c>
      <c r="I282" s="69">
        <f t="shared" si="228"/>
        <v>0.39825021700034202</v>
      </c>
      <c r="K282" s="80" t="e">
        <f>INDEX(Mortality!$B$7:$F$32, MATCH( E282,Mortality!$A$7:$A$32, 0), MATCH( K$3,Mortality!$B$6:$F$6,0))</f>
        <v>#N/A</v>
      </c>
      <c r="L282" s="11" cm="1">
        <f t="array" ref="L282">PAD_Res_Mort</f>
        <v>0.15</v>
      </c>
      <c r="M282" s="80">
        <f t="shared" si="229"/>
        <v>0</v>
      </c>
      <c r="N282" s="76" t="e">
        <f>INDEX('Myopia_(Reserve)'!$H:$H, MATCH(E282, 'Myopia_(Reserve)'!$A:$A, 0)) * Trend_Factor_Reserve^(A282)</f>
        <v>#N/A</v>
      </c>
      <c r="O282" s="11">
        <f t="shared" si="212"/>
        <v>0.3</v>
      </c>
      <c r="P282" s="80">
        <f t="shared" si="230"/>
        <v>0</v>
      </c>
      <c r="Q282" s="76">
        <f>VLOOKUP(C282,Others!$L$10:$M$61,2)</f>
        <v>0</v>
      </c>
      <c r="R282" s="11">
        <f t="shared" si="213"/>
        <v>0</v>
      </c>
      <c r="S282" s="80">
        <f t="shared" si="231"/>
        <v>0</v>
      </c>
      <c r="T282" s="78">
        <f t="shared" si="232"/>
        <v>0</v>
      </c>
      <c r="U282" s="81">
        <f t="shared" si="233"/>
        <v>0</v>
      </c>
      <c r="V282" s="81">
        <f t="shared" si="234"/>
        <v>0</v>
      </c>
      <c r="W282" s="77">
        <f t="shared" si="214"/>
        <v>0</v>
      </c>
      <c r="X282" s="82">
        <f t="shared" si="235"/>
        <v>0</v>
      </c>
      <c r="Y282" s="82">
        <f t="shared" si="236"/>
        <v>0</v>
      </c>
      <c r="Z282" s="82">
        <f t="shared" si="237"/>
        <v>0</v>
      </c>
      <c r="AA282" s="82">
        <f t="shared" si="238"/>
        <v>0</v>
      </c>
      <c r="AC282" s="46">
        <f t="shared" si="215"/>
        <v>0</v>
      </c>
      <c r="AD282" s="15">
        <f t="shared" si="239"/>
        <v>0</v>
      </c>
      <c r="AE282" s="46">
        <f t="shared" si="240"/>
        <v>0</v>
      </c>
      <c r="AF282" s="15">
        <f t="shared" si="241"/>
        <v>0</v>
      </c>
      <c r="AG282" s="46">
        <f>SUMPRODUCT(AE283:AE$605, $I282:$I$604) / $I282</f>
        <v>0</v>
      </c>
      <c r="AI282" s="46">
        <f t="shared" si="216"/>
        <v>0</v>
      </c>
      <c r="AJ282" s="46">
        <f>IF(E282&gt;Mat_Year,0,  -SUM($AD$5:AD282))</f>
        <v>0</v>
      </c>
      <c r="AK282" s="24">
        <f t="shared" si="242"/>
        <v>0</v>
      </c>
      <c r="AL282" s="79">
        <f t="shared" si="243"/>
        <v>0</v>
      </c>
      <c r="AM282" s="24">
        <f t="shared" si="244"/>
        <v>0</v>
      </c>
      <c r="AN282" s="79">
        <f t="shared" si="245"/>
        <v>0</v>
      </c>
      <c r="AO282" s="15">
        <f t="shared" si="246"/>
        <v>0</v>
      </c>
      <c r="AP282" s="46">
        <f>SUMPRODUCT(AN283:AN$605, $I283:$I$605) / $I282</f>
        <v>0</v>
      </c>
      <c r="AR282" s="46">
        <v>0</v>
      </c>
      <c r="AS282" s="46">
        <v>0</v>
      </c>
      <c r="AT282" s="46">
        <v>0</v>
      </c>
      <c r="AU282" s="95">
        <f t="shared" si="217"/>
        <v>0</v>
      </c>
      <c r="AV282" s="47">
        <f t="shared" si="218"/>
        <v>0.1</v>
      </c>
      <c r="AW282" s="96">
        <f t="shared" si="247"/>
        <v>0</v>
      </c>
      <c r="AX282" s="95">
        <f t="shared" si="219"/>
        <v>0</v>
      </c>
      <c r="AY282" s="11">
        <f t="shared" si="220"/>
        <v>0.1</v>
      </c>
      <c r="AZ282" s="96">
        <f t="shared" si="248"/>
        <v>0</v>
      </c>
      <c r="BA282" s="95">
        <f t="shared" si="249"/>
        <v>0</v>
      </c>
      <c r="BB282" s="64">
        <f t="shared" si="250"/>
        <v>0</v>
      </c>
      <c r="BC282" s="95">
        <f t="shared" si="262"/>
        <v>0</v>
      </c>
      <c r="BD282" s="96">
        <f t="shared" si="262"/>
        <v>0</v>
      </c>
      <c r="BE282" s="96">
        <f t="shared" si="251"/>
        <v>0</v>
      </c>
      <c r="BF282" s="96">
        <f t="shared" si="252"/>
        <v>0</v>
      </c>
      <c r="BG282" s="15">
        <f t="shared" si="253"/>
        <v>0</v>
      </c>
      <c r="BH282" s="46">
        <f>(SUMPRODUCT(BE283:BE$605,$I282:$I$604)+SUMPRODUCT(BF283:BF$605,$I283:$I$605)) / $I282</f>
        <v>0</v>
      </c>
      <c r="BJ282" s="46">
        <f t="shared" si="254"/>
        <v>0</v>
      </c>
      <c r="BK282" s="46">
        <f t="shared" si="255"/>
        <v>0</v>
      </c>
      <c r="BM282" s="49">
        <f t="shared" si="221"/>
        <v>0</v>
      </c>
      <c r="BN282" s="50">
        <f t="shared" si="256"/>
        <v>0</v>
      </c>
      <c r="BP282" s="68">
        <f>INDEX(Others!$H$11:$I$60, MATCH(C282, Others!$A$11:$A$60, 0), MATCH(BP$3, Others!$H$10:$I$10, 0))</f>
        <v>3.0518181818182E-2</v>
      </c>
      <c r="BQ282" s="16">
        <f t="shared" si="257"/>
        <v>2.5082875760633616E-3</v>
      </c>
      <c r="BR282" s="69">
        <f t="shared" si="258"/>
        <v>0.49957190863737172</v>
      </c>
      <c r="BT282" s="46">
        <f t="shared" si="259"/>
        <v>0</v>
      </c>
      <c r="BU282" s="49">
        <f t="shared" si="222"/>
        <v>0</v>
      </c>
      <c r="BV282" s="46">
        <f t="shared" si="260"/>
        <v>0</v>
      </c>
      <c r="BX282" s="46">
        <f t="shared" si="261"/>
        <v>0</v>
      </c>
    </row>
    <row r="283" spans="1:76" x14ac:dyDescent="0.25">
      <c r="A283" s="61">
        <f t="shared" si="211"/>
        <v>23.166666666666607</v>
      </c>
      <c r="B283" s="32">
        <f t="shared" si="223"/>
        <v>2</v>
      </c>
      <c r="C283" s="62">
        <f t="shared" si="224"/>
        <v>24</v>
      </c>
      <c r="D283" s="64">
        <f t="shared" si="225"/>
        <v>23.666666666666607</v>
      </c>
      <c r="E283" s="28">
        <f t="shared" si="226"/>
        <v>23</v>
      </c>
      <c r="G283" s="68">
        <f>INDEX(Others!$D$11:$E$60, MATCH(C283, Others!$A$11:$A$60, 0), MATCH(G$3, Others!$D$10:$E$10, 0))</f>
        <v>4.0690909090909333E-2</v>
      </c>
      <c r="H283" s="16">
        <f t="shared" si="227"/>
        <v>3.329265421250005E-3</v>
      </c>
      <c r="I283" s="69">
        <f t="shared" si="228"/>
        <v>0.39692873588525873</v>
      </c>
      <c r="K283" s="80" t="e">
        <f>INDEX(Mortality!$B$7:$F$32, MATCH( E283,Mortality!$A$7:$A$32, 0), MATCH( K$3,Mortality!$B$6:$F$6,0))</f>
        <v>#N/A</v>
      </c>
      <c r="L283" s="11" cm="1">
        <f t="array" ref="L283">PAD_Res_Mort</f>
        <v>0.15</v>
      </c>
      <c r="M283" s="80">
        <f t="shared" si="229"/>
        <v>0</v>
      </c>
      <c r="N283" s="76" t="e">
        <f>INDEX('Myopia_(Reserve)'!$H:$H, MATCH(E283, 'Myopia_(Reserve)'!$A:$A, 0)) * Trend_Factor_Reserve^(A283)</f>
        <v>#N/A</v>
      </c>
      <c r="O283" s="11">
        <f t="shared" si="212"/>
        <v>0.3</v>
      </c>
      <c r="P283" s="80">
        <f t="shared" si="230"/>
        <v>0</v>
      </c>
      <c r="Q283" s="76">
        <f>VLOOKUP(C283,Others!$L$10:$M$61,2)</f>
        <v>0</v>
      </c>
      <c r="R283" s="11">
        <f t="shared" si="213"/>
        <v>0</v>
      </c>
      <c r="S283" s="80">
        <f t="shared" si="231"/>
        <v>0</v>
      </c>
      <c r="T283" s="78">
        <f t="shared" si="232"/>
        <v>0</v>
      </c>
      <c r="U283" s="81">
        <f t="shared" si="233"/>
        <v>0</v>
      </c>
      <c r="V283" s="81">
        <f t="shared" si="234"/>
        <v>0</v>
      </c>
      <c r="W283" s="77">
        <f t="shared" si="214"/>
        <v>0</v>
      </c>
      <c r="X283" s="82">
        <f t="shared" si="235"/>
        <v>0</v>
      </c>
      <c r="Y283" s="82">
        <f t="shared" si="236"/>
        <v>0</v>
      </c>
      <c r="Z283" s="82">
        <f t="shared" si="237"/>
        <v>0</v>
      </c>
      <c r="AA283" s="82">
        <f t="shared" si="238"/>
        <v>0</v>
      </c>
      <c r="AC283" s="46">
        <f t="shared" si="215"/>
        <v>0</v>
      </c>
      <c r="AD283" s="15">
        <f t="shared" si="239"/>
        <v>0</v>
      </c>
      <c r="AE283" s="46">
        <f t="shared" si="240"/>
        <v>0</v>
      </c>
      <c r="AF283" s="15">
        <f t="shared" si="241"/>
        <v>0</v>
      </c>
      <c r="AG283" s="46">
        <f>SUMPRODUCT(AE284:AE$605, $I283:$I$604) / $I283</f>
        <v>0</v>
      </c>
      <c r="AI283" s="46">
        <f t="shared" si="216"/>
        <v>0</v>
      </c>
      <c r="AJ283" s="46">
        <f>IF(E283&gt;Mat_Year,0,  -SUM($AD$5:AD283))</f>
        <v>0</v>
      </c>
      <c r="AK283" s="24">
        <f t="shared" si="242"/>
        <v>0</v>
      </c>
      <c r="AL283" s="79">
        <f t="shared" si="243"/>
        <v>0</v>
      </c>
      <c r="AM283" s="24">
        <f t="shared" si="244"/>
        <v>0</v>
      </c>
      <c r="AN283" s="79">
        <f t="shared" si="245"/>
        <v>0</v>
      </c>
      <c r="AO283" s="15">
        <f t="shared" si="246"/>
        <v>0</v>
      </c>
      <c r="AP283" s="46">
        <f>SUMPRODUCT(AN284:AN$605, $I284:$I$605) / $I283</f>
        <v>0</v>
      </c>
      <c r="AR283" s="46">
        <v>0</v>
      </c>
      <c r="AS283" s="46">
        <v>0</v>
      </c>
      <c r="AT283" s="46">
        <v>0</v>
      </c>
      <c r="AU283" s="95">
        <f t="shared" si="217"/>
        <v>0</v>
      </c>
      <c r="AV283" s="47">
        <f t="shared" si="218"/>
        <v>0.1</v>
      </c>
      <c r="AW283" s="96">
        <f t="shared" si="247"/>
        <v>0</v>
      </c>
      <c r="AX283" s="95">
        <f t="shared" si="219"/>
        <v>0</v>
      </c>
      <c r="AY283" s="11">
        <f t="shared" si="220"/>
        <v>0.1</v>
      </c>
      <c r="AZ283" s="96">
        <f t="shared" si="248"/>
        <v>0</v>
      </c>
      <c r="BA283" s="95">
        <f t="shared" si="249"/>
        <v>0</v>
      </c>
      <c r="BB283" s="64">
        <f t="shared" si="250"/>
        <v>0</v>
      </c>
      <c r="BC283" s="95">
        <f t="shared" si="262"/>
        <v>0</v>
      </c>
      <c r="BD283" s="96">
        <f t="shared" si="262"/>
        <v>0</v>
      </c>
      <c r="BE283" s="96">
        <f t="shared" si="251"/>
        <v>0</v>
      </c>
      <c r="BF283" s="96">
        <f t="shared" si="252"/>
        <v>0</v>
      </c>
      <c r="BG283" s="15">
        <f t="shared" si="253"/>
        <v>0</v>
      </c>
      <c r="BH283" s="46">
        <f>(SUMPRODUCT(BE284:BE$605,$I283:$I$604)+SUMPRODUCT(BF284:BF$605,$I284:$I$605)) / $I283</f>
        <v>0</v>
      </c>
      <c r="BJ283" s="46">
        <f t="shared" si="254"/>
        <v>0</v>
      </c>
      <c r="BK283" s="46">
        <f t="shared" si="255"/>
        <v>0</v>
      </c>
      <c r="BM283" s="49">
        <f t="shared" si="221"/>
        <v>0</v>
      </c>
      <c r="BN283" s="50">
        <f t="shared" si="256"/>
        <v>0</v>
      </c>
      <c r="BP283" s="68">
        <f>INDEX(Others!$H$11:$I$60, MATCH(C283, Others!$A$11:$A$60, 0), MATCH(BP$3, Others!$H$10:$I$10, 0))</f>
        <v>3.0518181818182E-2</v>
      </c>
      <c r="BQ283" s="16">
        <f t="shared" si="257"/>
        <v>2.5082875760633616E-3</v>
      </c>
      <c r="BR283" s="69">
        <f t="shared" si="258"/>
        <v>0.49832197382155574</v>
      </c>
      <c r="BT283" s="46">
        <f t="shared" si="259"/>
        <v>0</v>
      </c>
      <c r="BU283" s="49">
        <f t="shared" si="222"/>
        <v>0</v>
      </c>
      <c r="BV283" s="46">
        <f t="shared" si="260"/>
        <v>0</v>
      </c>
      <c r="BX283" s="46">
        <f t="shared" si="261"/>
        <v>0</v>
      </c>
    </row>
    <row r="284" spans="1:76" x14ac:dyDescent="0.25">
      <c r="A284" s="61">
        <f t="shared" si="211"/>
        <v>23.24999999999994</v>
      </c>
      <c r="B284" s="32">
        <f t="shared" si="223"/>
        <v>3</v>
      </c>
      <c r="C284" s="62">
        <f t="shared" si="224"/>
        <v>24</v>
      </c>
      <c r="D284" s="64">
        <f t="shared" si="225"/>
        <v>23.74999999999994</v>
      </c>
      <c r="E284" s="28">
        <f t="shared" si="226"/>
        <v>23</v>
      </c>
      <c r="G284" s="68">
        <f>INDEX(Others!$D$11:$E$60, MATCH(C284, Others!$A$11:$A$60, 0), MATCH(G$3, Others!$D$10:$E$10, 0))</f>
        <v>4.0690909090909333E-2</v>
      </c>
      <c r="H284" s="16">
        <f t="shared" si="227"/>
        <v>3.329265421250005E-3</v>
      </c>
      <c r="I284" s="69">
        <f t="shared" si="228"/>
        <v>0.39561163973285213</v>
      </c>
      <c r="K284" s="80" t="e">
        <f>INDEX(Mortality!$B$7:$F$32, MATCH( E284,Mortality!$A$7:$A$32, 0), MATCH( K$3,Mortality!$B$6:$F$6,0))</f>
        <v>#N/A</v>
      </c>
      <c r="L284" s="11" cm="1">
        <f t="array" ref="L284">PAD_Res_Mort</f>
        <v>0.15</v>
      </c>
      <c r="M284" s="80">
        <f t="shared" si="229"/>
        <v>0</v>
      </c>
      <c r="N284" s="76" t="e">
        <f>INDEX('Myopia_(Reserve)'!$H:$H, MATCH(E284, 'Myopia_(Reserve)'!$A:$A, 0)) * Trend_Factor_Reserve^(A284)</f>
        <v>#N/A</v>
      </c>
      <c r="O284" s="11">
        <f t="shared" si="212"/>
        <v>0.3</v>
      </c>
      <c r="P284" s="80">
        <f t="shared" si="230"/>
        <v>0</v>
      </c>
      <c r="Q284" s="76">
        <f>VLOOKUP(C284,Others!$L$10:$M$61,2)</f>
        <v>0</v>
      </c>
      <c r="R284" s="11">
        <f t="shared" si="213"/>
        <v>0</v>
      </c>
      <c r="S284" s="80">
        <f t="shared" si="231"/>
        <v>0</v>
      </c>
      <c r="T284" s="78">
        <f t="shared" si="232"/>
        <v>0</v>
      </c>
      <c r="U284" s="81">
        <f t="shared" si="233"/>
        <v>0</v>
      </c>
      <c r="V284" s="81">
        <f t="shared" si="234"/>
        <v>0</v>
      </c>
      <c r="W284" s="77">
        <f t="shared" si="214"/>
        <v>0</v>
      </c>
      <c r="X284" s="82">
        <f t="shared" si="235"/>
        <v>0</v>
      </c>
      <c r="Y284" s="82">
        <f t="shared" si="236"/>
        <v>0</v>
      </c>
      <c r="Z284" s="82">
        <f t="shared" si="237"/>
        <v>0</v>
      </c>
      <c r="AA284" s="82">
        <f t="shared" si="238"/>
        <v>0</v>
      </c>
      <c r="AC284" s="46">
        <f t="shared" si="215"/>
        <v>0</v>
      </c>
      <c r="AD284" s="15">
        <f t="shared" si="239"/>
        <v>0</v>
      </c>
      <c r="AE284" s="46">
        <f t="shared" si="240"/>
        <v>0</v>
      </c>
      <c r="AF284" s="15">
        <f t="shared" si="241"/>
        <v>0</v>
      </c>
      <c r="AG284" s="46">
        <f>SUMPRODUCT(AE285:AE$605, $I284:$I$604) / $I284</f>
        <v>0</v>
      </c>
      <c r="AI284" s="46">
        <f t="shared" si="216"/>
        <v>0</v>
      </c>
      <c r="AJ284" s="46">
        <f>IF(E284&gt;Mat_Year,0,  -SUM($AD$5:AD284))</f>
        <v>0</v>
      </c>
      <c r="AK284" s="24">
        <f t="shared" si="242"/>
        <v>0</v>
      </c>
      <c r="AL284" s="79">
        <f t="shared" si="243"/>
        <v>0</v>
      </c>
      <c r="AM284" s="24">
        <f t="shared" si="244"/>
        <v>0</v>
      </c>
      <c r="AN284" s="79">
        <f t="shared" si="245"/>
        <v>0</v>
      </c>
      <c r="AO284" s="15">
        <f t="shared" si="246"/>
        <v>0</v>
      </c>
      <c r="AP284" s="46">
        <f>SUMPRODUCT(AN285:AN$605, $I285:$I$605) / $I284</f>
        <v>0</v>
      </c>
      <c r="AR284" s="46">
        <v>0</v>
      </c>
      <c r="AS284" s="46">
        <v>0</v>
      </c>
      <c r="AT284" s="46">
        <v>0</v>
      </c>
      <c r="AU284" s="95">
        <f t="shared" si="217"/>
        <v>0</v>
      </c>
      <c r="AV284" s="47">
        <f t="shared" si="218"/>
        <v>0.1</v>
      </c>
      <c r="AW284" s="96">
        <f t="shared" si="247"/>
        <v>0</v>
      </c>
      <c r="AX284" s="95">
        <f t="shared" si="219"/>
        <v>0</v>
      </c>
      <c r="AY284" s="11">
        <f t="shared" si="220"/>
        <v>0.1</v>
      </c>
      <c r="AZ284" s="96">
        <f t="shared" si="248"/>
        <v>0</v>
      </c>
      <c r="BA284" s="95">
        <f t="shared" si="249"/>
        <v>0</v>
      </c>
      <c r="BB284" s="64">
        <f t="shared" si="250"/>
        <v>0</v>
      </c>
      <c r="BC284" s="95">
        <f t="shared" si="262"/>
        <v>0</v>
      </c>
      <c r="BD284" s="96">
        <f t="shared" si="262"/>
        <v>0</v>
      </c>
      <c r="BE284" s="96">
        <f t="shared" si="251"/>
        <v>0</v>
      </c>
      <c r="BF284" s="96">
        <f t="shared" si="252"/>
        <v>0</v>
      </c>
      <c r="BG284" s="15">
        <f t="shared" si="253"/>
        <v>0</v>
      </c>
      <c r="BH284" s="46">
        <f>(SUMPRODUCT(BE285:BE$605,$I284:$I$604)+SUMPRODUCT(BF285:BF$605,$I285:$I$605)) / $I284</f>
        <v>0</v>
      </c>
      <c r="BJ284" s="46">
        <f t="shared" si="254"/>
        <v>0</v>
      </c>
      <c r="BK284" s="46">
        <f t="shared" si="255"/>
        <v>0</v>
      </c>
      <c r="BM284" s="49">
        <f t="shared" si="221"/>
        <v>0</v>
      </c>
      <c r="BN284" s="50">
        <f t="shared" si="256"/>
        <v>0</v>
      </c>
      <c r="BP284" s="68">
        <f>INDEX(Others!$H$11:$I$60, MATCH(C284, Others!$A$11:$A$60, 0), MATCH(BP$3, Others!$H$10:$I$10, 0))</f>
        <v>3.0518181818182E-2</v>
      </c>
      <c r="BQ284" s="16">
        <f t="shared" si="257"/>
        <v>2.5082875760633616E-3</v>
      </c>
      <c r="BR284" s="69">
        <f t="shared" si="258"/>
        <v>0.49707516635741184</v>
      </c>
      <c r="BT284" s="46">
        <f t="shared" si="259"/>
        <v>0</v>
      </c>
      <c r="BU284" s="49">
        <f t="shared" si="222"/>
        <v>0</v>
      </c>
      <c r="BV284" s="46">
        <f t="shared" si="260"/>
        <v>0</v>
      </c>
      <c r="BX284" s="46">
        <f t="shared" si="261"/>
        <v>0</v>
      </c>
    </row>
    <row r="285" spans="1:76" x14ac:dyDescent="0.25">
      <c r="A285" s="61">
        <f t="shared" si="211"/>
        <v>23.333333333333272</v>
      </c>
      <c r="B285" s="32">
        <f t="shared" si="223"/>
        <v>4</v>
      </c>
      <c r="C285" s="62">
        <f t="shared" si="224"/>
        <v>24</v>
      </c>
      <c r="D285" s="64">
        <f t="shared" si="225"/>
        <v>23.833333333333272</v>
      </c>
      <c r="E285" s="28">
        <f t="shared" si="226"/>
        <v>23</v>
      </c>
      <c r="G285" s="68">
        <f>INDEX(Others!$D$11:$E$60, MATCH(C285, Others!$A$11:$A$60, 0), MATCH(G$3, Others!$D$10:$E$10, 0))</f>
        <v>4.0690909090909333E-2</v>
      </c>
      <c r="H285" s="16">
        <f t="shared" si="227"/>
        <v>3.329265421250005E-3</v>
      </c>
      <c r="I285" s="69">
        <f t="shared" si="228"/>
        <v>0.39429891399285927</v>
      </c>
      <c r="K285" s="80" t="e">
        <f>INDEX(Mortality!$B$7:$F$32, MATCH( E285,Mortality!$A$7:$A$32, 0), MATCH( K$3,Mortality!$B$6:$F$6,0))</f>
        <v>#N/A</v>
      </c>
      <c r="L285" s="11" cm="1">
        <f t="array" ref="L285">PAD_Res_Mort</f>
        <v>0.15</v>
      </c>
      <c r="M285" s="80">
        <f t="shared" si="229"/>
        <v>0</v>
      </c>
      <c r="N285" s="76" t="e">
        <f>INDEX('Myopia_(Reserve)'!$H:$H, MATCH(E285, 'Myopia_(Reserve)'!$A:$A, 0)) * Trend_Factor_Reserve^(A285)</f>
        <v>#N/A</v>
      </c>
      <c r="O285" s="11">
        <f t="shared" si="212"/>
        <v>0.3</v>
      </c>
      <c r="P285" s="80">
        <f t="shared" si="230"/>
        <v>0</v>
      </c>
      <c r="Q285" s="76">
        <f>VLOOKUP(C285,Others!$L$10:$M$61,2)</f>
        <v>0</v>
      </c>
      <c r="R285" s="11">
        <f t="shared" si="213"/>
        <v>0</v>
      </c>
      <c r="S285" s="80">
        <f t="shared" si="231"/>
        <v>0</v>
      </c>
      <c r="T285" s="78">
        <f t="shared" si="232"/>
        <v>0</v>
      </c>
      <c r="U285" s="81">
        <f t="shared" si="233"/>
        <v>0</v>
      </c>
      <c r="V285" s="81">
        <f t="shared" si="234"/>
        <v>0</v>
      </c>
      <c r="W285" s="77">
        <f t="shared" si="214"/>
        <v>0</v>
      </c>
      <c r="X285" s="82">
        <f t="shared" si="235"/>
        <v>0</v>
      </c>
      <c r="Y285" s="82">
        <f t="shared" si="236"/>
        <v>0</v>
      </c>
      <c r="Z285" s="82">
        <f t="shared" si="237"/>
        <v>0</v>
      </c>
      <c r="AA285" s="82">
        <f t="shared" si="238"/>
        <v>0</v>
      </c>
      <c r="AC285" s="46">
        <f t="shared" si="215"/>
        <v>0</v>
      </c>
      <c r="AD285" s="15">
        <f t="shared" si="239"/>
        <v>0</v>
      </c>
      <c r="AE285" s="46">
        <f t="shared" si="240"/>
        <v>0</v>
      </c>
      <c r="AF285" s="15">
        <f t="shared" si="241"/>
        <v>0</v>
      </c>
      <c r="AG285" s="46">
        <f>SUMPRODUCT(AE286:AE$605, $I285:$I$604) / $I285</f>
        <v>0</v>
      </c>
      <c r="AI285" s="46">
        <f t="shared" si="216"/>
        <v>0</v>
      </c>
      <c r="AJ285" s="46">
        <f>IF(E285&gt;Mat_Year,0,  -SUM($AD$5:AD285))</f>
        <v>0</v>
      </c>
      <c r="AK285" s="24">
        <f t="shared" si="242"/>
        <v>0</v>
      </c>
      <c r="AL285" s="79">
        <f t="shared" si="243"/>
        <v>0</v>
      </c>
      <c r="AM285" s="24">
        <f t="shared" si="244"/>
        <v>0</v>
      </c>
      <c r="AN285" s="79">
        <f t="shared" si="245"/>
        <v>0</v>
      </c>
      <c r="AO285" s="15">
        <f t="shared" si="246"/>
        <v>0</v>
      </c>
      <c r="AP285" s="46">
        <f>SUMPRODUCT(AN286:AN$605, $I286:$I$605) / $I285</f>
        <v>0</v>
      </c>
      <c r="AR285" s="46">
        <v>0</v>
      </c>
      <c r="AS285" s="46">
        <v>0</v>
      </c>
      <c r="AT285" s="46">
        <v>0</v>
      </c>
      <c r="AU285" s="95">
        <f t="shared" si="217"/>
        <v>0</v>
      </c>
      <c r="AV285" s="47">
        <f t="shared" si="218"/>
        <v>0.1</v>
      </c>
      <c r="AW285" s="96">
        <f t="shared" si="247"/>
        <v>0</v>
      </c>
      <c r="AX285" s="95">
        <f t="shared" si="219"/>
        <v>0</v>
      </c>
      <c r="AY285" s="11">
        <f t="shared" si="220"/>
        <v>0.1</v>
      </c>
      <c r="AZ285" s="96">
        <f t="shared" si="248"/>
        <v>0</v>
      </c>
      <c r="BA285" s="95">
        <f t="shared" si="249"/>
        <v>0</v>
      </c>
      <c r="BB285" s="64">
        <f t="shared" si="250"/>
        <v>0</v>
      </c>
      <c r="BC285" s="95">
        <f t="shared" si="262"/>
        <v>0</v>
      </c>
      <c r="BD285" s="96">
        <f t="shared" si="262"/>
        <v>0</v>
      </c>
      <c r="BE285" s="96">
        <f t="shared" si="251"/>
        <v>0</v>
      </c>
      <c r="BF285" s="96">
        <f t="shared" si="252"/>
        <v>0</v>
      </c>
      <c r="BG285" s="15">
        <f t="shared" si="253"/>
        <v>0</v>
      </c>
      <c r="BH285" s="46">
        <f>(SUMPRODUCT(BE286:BE$605,$I285:$I$604)+SUMPRODUCT(BF286:BF$605,$I286:$I$605)) / $I285</f>
        <v>0</v>
      </c>
      <c r="BJ285" s="46">
        <f t="shared" si="254"/>
        <v>0</v>
      </c>
      <c r="BK285" s="46">
        <f t="shared" si="255"/>
        <v>0</v>
      </c>
      <c r="BM285" s="49">
        <f t="shared" si="221"/>
        <v>0</v>
      </c>
      <c r="BN285" s="50">
        <f t="shared" si="256"/>
        <v>0</v>
      </c>
      <c r="BP285" s="68">
        <f>INDEX(Others!$H$11:$I$60, MATCH(C285, Others!$A$11:$A$60, 0), MATCH(BP$3, Others!$H$10:$I$10, 0))</f>
        <v>3.0518181818182E-2</v>
      </c>
      <c r="BQ285" s="16">
        <f t="shared" si="257"/>
        <v>2.5082875760633616E-3</v>
      </c>
      <c r="BR285" s="69">
        <f t="shared" si="258"/>
        <v>0.49583147842026914</v>
      </c>
      <c r="BT285" s="46">
        <f t="shared" si="259"/>
        <v>0</v>
      </c>
      <c r="BU285" s="49">
        <f t="shared" si="222"/>
        <v>0</v>
      </c>
      <c r="BV285" s="46">
        <f t="shared" si="260"/>
        <v>0</v>
      </c>
      <c r="BX285" s="46">
        <f t="shared" si="261"/>
        <v>0</v>
      </c>
    </row>
    <row r="286" spans="1:76" x14ac:dyDescent="0.25">
      <c r="A286" s="61">
        <f t="shared" si="211"/>
        <v>23.416666666666604</v>
      </c>
      <c r="B286" s="32">
        <f t="shared" si="223"/>
        <v>5</v>
      </c>
      <c r="C286" s="62">
        <f t="shared" si="224"/>
        <v>24</v>
      </c>
      <c r="D286" s="64">
        <f t="shared" si="225"/>
        <v>23.916666666666604</v>
      </c>
      <c r="E286" s="28">
        <f t="shared" si="226"/>
        <v>23</v>
      </c>
      <c r="G286" s="68">
        <f>INDEX(Others!$D$11:$E$60, MATCH(C286, Others!$A$11:$A$60, 0), MATCH(G$3, Others!$D$10:$E$10, 0))</f>
        <v>4.0690909090909333E-2</v>
      </c>
      <c r="H286" s="16">
        <f t="shared" si="227"/>
        <v>3.329265421250005E-3</v>
      </c>
      <c r="I286" s="69">
        <f t="shared" si="228"/>
        <v>0.39299054416329815</v>
      </c>
      <c r="K286" s="80" t="e">
        <f>INDEX(Mortality!$B$7:$F$32, MATCH( E286,Mortality!$A$7:$A$32, 0), MATCH( K$3,Mortality!$B$6:$F$6,0))</f>
        <v>#N/A</v>
      </c>
      <c r="L286" s="11" cm="1">
        <f t="array" ref="L286">PAD_Res_Mort</f>
        <v>0.15</v>
      </c>
      <c r="M286" s="80">
        <f t="shared" si="229"/>
        <v>0</v>
      </c>
      <c r="N286" s="76" t="e">
        <f>INDEX('Myopia_(Reserve)'!$H:$H, MATCH(E286, 'Myopia_(Reserve)'!$A:$A, 0)) * Trend_Factor_Reserve^(A286)</f>
        <v>#N/A</v>
      </c>
      <c r="O286" s="11">
        <f t="shared" si="212"/>
        <v>0.3</v>
      </c>
      <c r="P286" s="80">
        <f t="shared" si="230"/>
        <v>0</v>
      </c>
      <c r="Q286" s="76">
        <f>VLOOKUP(C286,Others!$L$10:$M$61,2)</f>
        <v>0</v>
      </c>
      <c r="R286" s="11">
        <f t="shared" si="213"/>
        <v>0</v>
      </c>
      <c r="S286" s="80">
        <f t="shared" si="231"/>
        <v>0</v>
      </c>
      <c r="T286" s="78">
        <f t="shared" si="232"/>
        <v>0</v>
      </c>
      <c r="U286" s="81">
        <f t="shared" si="233"/>
        <v>0</v>
      </c>
      <c r="V286" s="81">
        <f t="shared" si="234"/>
        <v>0</v>
      </c>
      <c r="W286" s="77">
        <f t="shared" si="214"/>
        <v>0</v>
      </c>
      <c r="X286" s="82">
        <f t="shared" si="235"/>
        <v>0</v>
      </c>
      <c r="Y286" s="82">
        <f t="shared" si="236"/>
        <v>0</v>
      </c>
      <c r="Z286" s="82">
        <f t="shared" si="237"/>
        <v>0</v>
      </c>
      <c r="AA286" s="82">
        <f t="shared" si="238"/>
        <v>0</v>
      </c>
      <c r="AC286" s="46">
        <f t="shared" si="215"/>
        <v>0</v>
      </c>
      <c r="AD286" s="15">
        <f t="shared" si="239"/>
        <v>0</v>
      </c>
      <c r="AE286" s="46">
        <f t="shared" si="240"/>
        <v>0</v>
      </c>
      <c r="AF286" s="15">
        <f t="shared" si="241"/>
        <v>0</v>
      </c>
      <c r="AG286" s="46">
        <f>SUMPRODUCT(AE287:AE$605, $I286:$I$604) / $I286</f>
        <v>0</v>
      </c>
      <c r="AI286" s="46">
        <f t="shared" si="216"/>
        <v>0</v>
      </c>
      <c r="AJ286" s="46">
        <f>IF(E286&gt;Mat_Year,0,  -SUM($AD$5:AD286))</f>
        <v>0</v>
      </c>
      <c r="AK286" s="24">
        <f t="shared" si="242"/>
        <v>0</v>
      </c>
      <c r="AL286" s="79">
        <f t="shared" si="243"/>
        <v>0</v>
      </c>
      <c r="AM286" s="24">
        <f t="shared" si="244"/>
        <v>0</v>
      </c>
      <c r="AN286" s="79">
        <f t="shared" si="245"/>
        <v>0</v>
      </c>
      <c r="AO286" s="15">
        <f t="shared" si="246"/>
        <v>0</v>
      </c>
      <c r="AP286" s="46">
        <f>SUMPRODUCT(AN287:AN$605, $I287:$I$605) / $I286</f>
        <v>0</v>
      </c>
      <c r="AR286" s="46">
        <v>0</v>
      </c>
      <c r="AS286" s="46">
        <v>0</v>
      </c>
      <c r="AT286" s="46">
        <v>0</v>
      </c>
      <c r="AU286" s="95">
        <f t="shared" si="217"/>
        <v>0</v>
      </c>
      <c r="AV286" s="47">
        <f t="shared" si="218"/>
        <v>0.1</v>
      </c>
      <c r="AW286" s="96">
        <f t="shared" si="247"/>
        <v>0</v>
      </c>
      <c r="AX286" s="95">
        <f t="shared" si="219"/>
        <v>0</v>
      </c>
      <c r="AY286" s="11">
        <f t="shared" si="220"/>
        <v>0.1</v>
      </c>
      <c r="AZ286" s="96">
        <f t="shared" si="248"/>
        <v>0</v>
      </c>
      <c r="BA286" s="95">
        <f t="shared" si="249"/>
        <v>0</v>
      </c>
      <c r="BB286" s="64">
        <f t="shared" si="250"/>
        <v>0</v>
      </c>
      <c r="BC286" s="95">
        <f t="shared" si="262"/>
        <v>0</v>
      </c>
      <c r="BD286" s="96">
        <f t="shared" si="262"/>
        <v>0</v>
      </c>
      <c r="BE286" s="96">
        <f t="shared" si="251"/>
        <v>0</v>
      </c>
      <c r="BF286" s="96">
        <f t="shared" si="252"/>
        <v>0</v>
      </c>
      <c r="BG286" s="15">
        <f t="shared" si="253"/>
        <v>0</v>
      </c>
      <c r="BH286" s="46">
        <f>(SUMPRODUCT(BE287:BE$605,$I286:$I$604)+SUMPRODUCT(BF287:BF$605,$I287:$I$605)) / $I286</f>
        <v>0</v>
      </c>
      <c r="BJ286" s="46">
        <f t="shared" si="254"/>
        <v>0</v>
      </c>
      <c r="BK286" s="46">
        <f t="shared" si="255"/>
        <v>0</v>
      </c>
      <c r="BM286" s="49">
        <f t="shared" si="221"/>
        <v>0</v>
      </c>
      <c r="BN286" s="50">
        <f t="shared" si="256"/>
        <v>0</v>
      </c>
      <c r="BP286" s="68">
        <f>INDEX(Others!$H$11:$I$60, MATCH(C286, Others!$A$11:$A$60, 0), MATCH(BP$3, Others!$H$10:$I$10, 0))</f>
        <v>3.0518181818182E-2</v>
      </c>
      <c r="BQ286" s="16">
        <f t="shared" si="257"/>
        <v>2.5082875760633616E-3</v>
      </c>
      <c r="BR286" s="69">
        <f t="shared" si="258"/>
        <v>0.49459090220503427</v>
      </c>
      <c r="BT286" s="46">
        <f t="shared" si="259"/>
        <v>0</v>
      </c>
      <c r="BU286" s="49">
        <f t="shared" si="222"/>
        <v>0</v>
      </c>
      <c r="BV286" s="46">
        <f t="shared" si="260"/>
        <v>0</v>
      </c>
      <c r="BX286" s="46">
        <f t="shared" si="261"/>
        <v>0</v>
      </c>
    </row>
    <row r="287" spans="1:76" x14ac:dyDescent="0.25">
      <c r="A287" s="61">
        <f t="shared" si="211"/>
        <v>23.499999999999936</v>
      </c>
      <c r="B287" s="32">
        <f t="shared" si="223"/>
        <v>6</v>
      </c>
      <c r="C287" s="62">
        <f t="shared" si="224"/>
        <v>24</v>
      </c>
      <c r="D287" s="64">
        <f t="shared" si="225"/>
        <v>23.999999999999936</v>
      </c>
      <c r="E287" s="28">
        <f t="shared" si="226"/>
        <v>24</v>
      </c>
      <c r="G287" s="68">
        <f>INDEX(Others!$D$11:$E$60, MATCH(C287, Others!$A$11:$A$60, 0), MATCH(G$3, Others!$D$10:$E$10, 0))</f>
        <v>4.0690909090909333E-2</v>
      </c>
      <c r="H287" s="16">
        <f t="shared" si="227"/>
        <v>3.329265421250005E-3</v>
      </c>
      <c r="I287" s="69">
        <f t="shared" si="228"/>
        <v>0.39168651579030761</v>
      </c>
      <c r="K287" s="80" t="e">
        <f>INDEX(Mortality!$B$7:$F$32, MATCH( E287,Mortality!$A$7:$A$32, 0), MATCH( K$3,Mortality!$B$6:$F$6,0))</f>
        <v>#N/A</v>
      </c>
      <c r="L287" s="11" cm="1">
        <f t="array" ref="L287">PAD_Res_Mort</f>
        <v>0.15</v>
      </c>
      <c r="M287" s="80">
        <f t="shared" si="229"/>
        <v>0</v>
      </c>
      <c r="N287" s="76" t="e">
        <f>INDEX('Myopia_(Reserve)'!$H:$H, MATCH(E287, 'Myopia_(Reserve)'!$A:$A, 0)) * Trend_Factor_Reserve^(A287)</f>
        <v>#N/A</v>
      </c>
      <c r="O287" s="11">
        <f t="shared" si="212"/>
        <v>0.3</v>
      </c>
      <c r="P287" s="80">
        <f t="shared" si="230"/>
        <v>0</v>
      </c>
      <c r="Q287" s="76">
        <f>VLOOKUP(C287,Others!$L$10:$M$61,2)</f>
        <v>0</v>
      </c>
      <c r="R287" s="11">
        <f t="shared" si="213"/>
        <v>0</v>
      </c>
      <c r="S287" s="80">
        <f t="shared" si="231"/>
        <v>0</v>
      </c>
      <c r="T287" s="78">
        <f t="shared" si="232"/>
        <v>0</v>
      </c>
      <c r="U287" s="81">
        <f t="shared" si="233"/>
        <v>0</v>
      </c>
      <c r="V287" s="81">
        <f t="shared" si="234"/>
        <v>0</v>
      </c>
      <c r="W287" s="77">
        <f t="shared" si="214"/>
        <v>0</v>
      </c>
      <c r="X287" s="82">
        <f t="shared" si="235"/>
        <v>0</v>
      </c>
      <c r="Y287" s="82">
        <f t="shared" si="236"/>
        <v>0</v>
      </c>
      <c r="Z287" s="82">
        <f t="shared" si="237"/>
        <v>0</v>
      </c>
      <c r="AA287" s="82">
        <f t="shared" si="238"/>
        <v>0</v>
      </c>
      <c r="AC287" s="46">
        <f t="shared" si="215"/>
        <v>0</v>
      </c>
      <c r="AD287" s="15">
        <f t="shared" si="239"/>
        <v>0</v>
      </c>
      <c r="AE287" s="46">
        <f t="shared" si="240"/>
        <v>0</v>
      </c>
      <c r="AF287" s="15">
        <f t="shared" si="241"/>
        <v>0</v>
      </c>
      <c r="AG287" s="46">
        <f>SUMPRODUCT(AE288:AE$605, $I287:$I$604) / $I287</f>
        <v>0</v>
      </c>
      <c r="AI287" s="46">
        <f t="shared" si="216"/>
        <v>0</v>
      </c>
      <c r="AJ287" s="46">
        <f>IF(E287&gt;Mat_Year,0,  -SUM($AD$5:AD287))</f>
        <v>0</v>
      </c>
      <c r="AK287" s="24">
        <f t="shared" si="242"/>
        <v>0</v>
      </c>
      <c r="AL287" s="79">
        <f t="shared" si="243"/>
        <v>0</v>
      </c>
      <c r="AM287" s="24">
        <f t="shared" si="244"/>
        <v>0</v>
      </c>
      <c r="AN287" s="79">
        <f t="shared" si="245"/>
        <v>0</v>
      </c>
      <c r="AO287" s="15">
        <f t="shared" si="246"/>
        <v>0</v>
      </c>
      <c r="AP287" s="46">
        <f>SUMPRODUCT(AN288:AN$605, $I288:$I$605) / $I287</f>
        <v>0</v>
      </c>
      <c r="AR287" s="46">
        <v>0</v>
      </c>
      <c r="AS287" s="46">
        <v>0</v>
      </c>
      <c r="AT287" s="46">
        <v>0</v>
      </c>
      <c r="AU287" s="95">
        <f t="shared" si="217"/>
        <v>0</v>
      </c>
      <c r="AV287" s="47">
        <f t="shared" si="218"/>
        <v>0.1</v>
      </c>
      <c r="AW287" s="96">
        <f t="shared" si="247"/>
        <v>0</v>
      </c>
      <c r="AX287" s="95">
        <f t="shared" si="219"/>
        <v>0</v>
      </c>
      <c r="AY287" s="11">
        <f t="shared" si="220"/>
        <v>0.1</v>
      </c>
      <c r="AZ287" s="96">
        <f t="shared" si="248"/>
        <v>0</v>
      </c>
      <c r="BA287" s="95">
        <f t="shared" si="249"/>
        <v>0</v>
      </c>
      <c r="BB287" s="64">
        <f t="shared" si="250"/>
        <v>0</v>
      </c>
      <c r="BC287" s="95">
        <f t="shared" si="262"/>
        <v>0</v>
      </c>
      <c r="BD287" s="96">
        <f t="shared" si="262"/>
        <v>0</v>
      </c>
      <c r="BE287" s="96">
        <f t="shared" si="251"/>
        <v>0</v>
      </c>
      <c r="BF287" s="96">
        <f t="shared" si="252"/>
        <v>0</v>
      </c>
      <c r="BG287" s="15">
        <f t="shared" si="253"/>
        <v>0</v>
      </c>
      <c r="BH287" s="46">
        <f>(SUMPRODUCT(BE288:BE$605,$I287:$I$604)+SUMPRODUCT(BF288:BF$605,$I288:$I$605)) / $I287</f>
        <v>0</v>
      </c>
      <c r="BJ287" s="46">
        <f t="shared" si="254"/>
        <v>0</v>
      </c>
      <c r="BK287" s="46">
        <f t="shared" si="255"/>
        <v>0</v>
      </c>
      <c r="BM287" s="49">
        <f t="shared" si="221"/>
        <v>0</v>
      </c>
      <c r="BN287" s="50">
        <f t="shared" si="256"/>
        <v>0</v>
      </c>
      <c r="BP287" s="68">
        <f>INDEX(Others!$H$11:$I$60, MATCH(C287, Others!$A$11:$A$60, 0), MATCH(BP$3, Others!$H$10:$I$10, 0))</f>
        <v>3.0518181818182E-2</v>
      </c>
      <c r="BQ287" s="16">
        <f t="shared" si="257"/>
        <v>2.5082875760633616E-3</v>
      </c>
      <c r="BR287" s="69">
        <f t="shared" si="258"/>
        <v>0.49335342992614228</v>
      </c>
      <c r="BT287" s="46">
        <f t="shared" si="259"/>
        <v>0</v>
      </c>
      <c r="BU287" s="49">
        <f t="shared" si="222"/>
        <v>0</v>
      </c>
      <c r="BV287" s="46">
        <f t="shared" si="260"/>
        <v>0</v>
      </c>
      <c r="BX287" s="46">
        <f t="shared" si="261"/>
        <v>0</v>
      </c>
    </row>
    <row r="288" spans="1:76" x14ac:dyDescent="0.25">
      <c r="A288" s="61">
        <f t="shared" si="211"/>
        <v>23.583333333333268</v>
      </c>
      <c r="B288" s="32">
        <f t="shared" si="223"/>
        <v>7</v>
      </c>
      <c r="C288" s="62">
        <f t="shared" si="224"/>
        <v>24</v>
      </c>
      <c r="D288" s="64">
        <f t="shared" si="225"/>
        <v>24.083333333333268</v>
      </c>
      <c r="E288" s="28">
        <f t="shared" si="226"/>
        <v>24</v>
      </c>
      <c r="G288" s="68">
        <f>INDEX(Others!$D$11:$E$60, MATCH(C288, Others!$A$11:$A$60, 0), MATCH(G$3, Others!$D$10:$E$10, 0))</f>
        <v>4.0690909090909333E-2</v>
      </c>
      <c r="H288" s="16">
        <f t="shared" si="227"/>
        <v>3.329265421250005E-3</v>
      </c>
      <c r="I288" s="69">
        <f t="shared" si="228"/>
        <v>0.3903868144679874</v>
      </c>
      <c r="K288" s="80" t="e">
        <f>INDEX(Mortality!$B$7:$F$32, MATCH( E288,Mortality!$A$7:$A$32, 0), MATCH( K$3,Mortality!$B$6:$F$6,0))</f>
        <v>#N/A</v>
      </c>
      <c r="L288" s="11" cm="1">
        <f t="array" ref="L288">PAD_Res_Mort</f>
        <v>0.15</v>
      </c>
      <c r="M288" s="80">
        <f t="shared" si="229"/>
        <v>0</v>
      </c>
      <c r="N288" s="76" t="e">
        <f>INDEX('Myopia_(Reserve)'!$H:$H, MATCH(E288, 'Myopia_(Reserve)'!$A:$A, 0)) * Trend_Factor_Reserve^(A288)</f>
        <v>#N/A</v>
      </c>
      <c r="O288" s="11">
        <f t="shared" si="212"/>
        <v>0.3</v>
      </c>
      <c r="P288" s="80">
        <f t="shared" si="230"/>
        <v>0</v>
      </c>
      <c r="Q288" s="76">
        <f>VLOOKUP(C288,Others!$L$10:$M$61,2)</f>
        <v>0</v>
      </c>
      <c r="R288" s="11">
        <f t="shared" si="213"/>
        <v>0</v>
      </c>
      <c r="S288" s="80">
        <f t="shared" si="231"/>
        <v>0</v>
      </c>
      <c r="T288" s="78">
        <f t="shared" si="232"/>
        <v>0</v>
      </c>
      <c r="U288" s="81">
        <f t="shared" si="233"/>
        <v>0</v>
      </c>
      <c r="V288" s="81">
        <f t="shared" si="234"/>
        <v>0</v>
      </c>
      <c r="W288" s="77">
        <f t="shared" si="214"/>
        <v>0</v>
      </c>
      <c r="X288" s="82">
        <f t="shared" si="235"/>
        <v>0</v>
      </c>
      <c r="Y288" s="82">
        <f t="shared" si="236"/>
        <v>0</v>
      </c>
      <c r="Z288" s="82">
        <f t="shared" si="237"/>
        <v>0</v>
      </c>
      <c r="AA288" s="82">
        <f t="shared" si="238"/>
        <v>0</v>
      </c>
      <c r="AC288" s="46">
        <f t="shared" si="215"/>
        <v>0</v>
      </c>
      <c r="AD288" s="15">
        <f t="shared" si="239"/>
        <v>0</v>
      </c>
      <c r="AE288" s="46">
        <f t="shared" si="240"/>
        <v>0</v>
      </c>
      <c r="AF288" s="15">
        <f t="shared" si="241"/>
        <v>0</v>
      </c>
      <c r="AG288" s="46">
        <f>SUMPRODUCT(AE289:AE$605, $I288:$I$604) / $I288</f>
        <v>0</v>
      </c>
      <c r="AI288" s="46">
        <f t="shared" si="216"/>
        <v>0</v>
      </c>
      <c r="AJ288" s="46">
        <f>IF(E288&gt;Mat_Year,0,  -SUM($AD$5:AD288))</f>
        <v>0</v>
      </c>
      <c r="AK288" s="24">
        <f t="shared" si="242"/>
        <v>0</v>
      </c>
      <c r="AL288" s="79">
        <f t="shared" si="243"/>
        <v>0</v>
      </c>
      <c r="AM288" s="24">
        <f t="shared" si="244"/>
        <v>0</v>
      </c>
      <c r="AN288" s="79">
        <f t="shared" si="245"/>
        <v>0</v>
      </c>
      <c r="AO288" s="15">
        <f t="shared" si="246"/>
        <v>0</v>
      </c>
      <c r="AP288" s="46">
        <f>SUMPRODUCT(AN289:AN$605, $I289:$I$605) / $I288</f>
        <v>0</v>
      </c>
      <c r="AR288" s="46">
        <v>0</v>
      </c>
      <c r="AS288" s="46">
        <v>0</v>
      </c>
      <c r="AT288" s="46">
        <v>0</v>
      </c>
      <c r="AU288" s="95">
        <f t="shared" si="217"/>
        <v>0</v>
      </c>
      <c r="AV288" s="47">
        <f t="shared" si="218"/>
        <v>0.1</v>
      </c>
      <c r="AW288" s="96">
        <f t="shared" si="247"/>
        <v>0</v>
      </c>
      <c r="AX288" s="95">
        <f t="shared" si="219"/>
        <v>0</v>
      </c>
      <c r="AY288" s="11">
        <f t="shared" si="220"/>
        <v>0.1</v>
      </c>
      <c r="AZ288" s="96">
        <f t="shared" si="248"/>
        <v>0</v>
      </c>
      <c r="BA288" s="95">
        <f t="shared" si="249"/>
        <v>0</v>
      </c>
      <c r="BB288" s="64">
        <f t="shared" si="250"/>
        <v>0</v>
      </c>
      <c r="BC288" s="95">
        <f t="shared" si="262"/>
        <v>0</v>
      </c>
      <c r="BD288" s="96">
        <f t="shared" si="262"/>
        <v>0</v>
      </c>
      <c r="BE288" s="96">
        <f t="shared" si="251"/>
        <v>0</v>
      </c>
      <c r="BF288" s="96">
        <f t="shared" si="252"/>
        <v>0</v>
      </c>
      <c r="BG288" s="15">
        <f t="shared" si="253"/>
        <v>0</v>
      </c>
      <c r="BH288" s="46">
        <f>(SUMPRODUCT(BE289:BE$605,$I288:$I$604)+SUMPRODUCT(BF289:BF$605,$I289:$I$605)) / $I288</f>
        <v>0</v>
      </c>
      <c r="BJ288" s="46">
        <f t="shared" si="254"/>
        <v>0</v>
      </c>
      <c r="BK288" s="46">
        <f t="shared" si="255"/>
        <v>0</v>
      </c>
      <c r="BM288" s="49">
        <f t="shared" si="221"/>
        <v>0</v>
      </c>
      <c r="BN288" s="50">
        <f t="shared" si="256"/>
        <v>0</v>
      </c>
      <c r="BP288" s="68">
        <f>INDEX(Others!$H$11:$I$60, MATCH(C288, Others!$A$11:$A$60, 0), MATCH(BP$3, Others!$H$10:$I$10, 0))</f>
        <v>3.0518181818182E-2</v>
      </c>
      <c r="BQ288" s="16">
        <f t="shared" si="257"/>
        <v>2.5082875760633616E-3</v>
      </c>
      <c r="BR288" s="69">
        <f t="shared" si="258"/>
        <v>0.49211905381750776</v>
      </c>
      <c r="BT288" s="46">
        <f t="shared" si="259"/>
        <v>0</v>
      </c>
      <c r="BU288" s="49">
        <f t="shared" si="222"/>
        <v>0</v>
      </c>
      <c r="BV288" s="46">
        <f t="shared" si="260"/>
        <v>0</v>
      </c>
      <c r="BX288" s="46">
        <f t="shared" si="261"/>
        <v>0</v>
      </c>
    </row>
    <row r="289" spans="1:76" x14ac:dyDescent="0.25">
      <c r="A289" s="61">
        <f t="shared" si="211"/>
        <v>23.6666666666666</v>
      </c>
      <c r="B289" s="32">
        <f t="shared" si="223"/>
        <v>8</v>
      </c>
      <c r="C289" s="62">
        <f t="shared" si="224"/>
        <v>24</v>
      </c>
      <c r="D289" s="64">
        <f t="shared" si="225"/>
        <v>24.1666666666666</v>
      </c>
      <c r="E289" s="28">
        <f t="shared" si="226"/>
        <v>24</v>
      </c>
      <c r="G289" s="68">
        <f>INDEX(Others!$D$11:$E$60, MATCH(C289, Others!$A$11:$A$60, 0), MATCH(G$3, Others!$D$10:$E$10, 0))</f>
        <v>4.0690909090909333E-2</v>
      </c>
      <c r="H289" s="16">
        <f t="shared" si="227"/>
        <v>3.329265421250005E-3</v>
      </c>
      <c r="I289" s="69">
        <f t="shared" si="228"/>
        <v>0.3890914258382393</v>
      </c>
      <c r="K289" s="80" t="e">
        <f>INDEX(Mortality!$B$7:$F$32, MATCH( E289,Mortality!$A$7:$A$32, 0), MATCH( K$3,Mortality!$B$6:$F$6,0))</f>
        <v>#N/A</v>
      </c>
      <c r="L289" s="11" cm="1">
        <f t="array" ref="L289">PAD_Res_Mort</f>
        <v>0.15</v>
      </c>
      <c r="M289" s="80">
        <f t="shared" si="229"/>
        <v>0</v>
      </c>
      <c r="N289" s="76" t="e">
        <f>INDEX('Myopia_(Reserve)'!$H:$H, MATCH(E289, 'Myopia_(Reserve)'!$A:$A, 0)) * Trend_Factor_Reserve^(A289)</f>
        <v>#N/A</v>
      </c>
      <c r="O289" s="11">
        <f t="shared" si="212"/>
        <v>0.3</v>
      </c>
      <c r="P289" s="80">
        <f t="shared" si="230"/>
        <v>0</v>
      </c>
      <c r="Q289" s="76">
        <f>VLOOKUP(C289,Others!$L$10:$M$61,2)</f>
        <v>0</v>
      </c>
      <c r="R289" s="11">
        <f t="shared" si="213"/>
        <v>0</v>
      </c>
      <c r="S289" s="80">
        <f t="shared" si="231"/>
        <v>0</v>
      </c>
      <c r="T289" s="78">
        <f t="shared" si="232"/>
        <v>0</v>
      </c>
      <c r="U289" s="81">
        <f t="shared" si="233"/>
        <v>0</v>
      </c>
      <c r="V289" s="81">
        <f t="shared" si="234"/>
        <v>0</v>
      </c>
      <c r="W289" s="77">
        <f t="shared" si="214"/>
        <v>0</v>
      </c>
      <c r="X289" s="82">
        <f t="shared" si="235"/>
        <v>0</v>
      </c>
      <c r="Y289" s="82">
        <f t="shared" si="236"/>
        <v>0</v>
      </c>
      <c r="Z289" s="82">
        <f t="shared" si="237"/>
        <v>0</v>
      </c>
      <c r="AA289" s="82">
        <f t="shared" si="238"/>
        <v>0</v>
      </c>
      <c r="AC289" s="46">
        <f t="shared" si="215"/>
        <v>0</v>
      </c>
      <c r="AD289" s="15">
        <f t="shared" si="239"/>
        <v>0</v>
      </c>
      <c r="AE289" s="46">
        <f t="shared" si="240"/>
        <v>0</v>
      </c>
      <c r="AF289" s="15">
        <f t="shared" si="241"/>
        <v>0</v>
      </c>
      <c r="AG289" s="46">
        <f>SUMPRODUCT(AE290:AE$605, $I289:$I$604) / $I289</f>
        <v>0</v>
      </c>
      <c r="AI289" s="46">
        <f t="shared" si="216"/>
        <v>0</v>
      </c>
      <c r="AJ289" s="46">
        <f>IF(E289&gt;Mat_Year,0,  -SUM($AD$5:AD289))</f>
        <v>0</v>
      </c>
      <c r="AK289" s="24">
        <f t="shared" si="242"/>
        <v>0</v>
      </c>
      <c r="AL289" s="79">
        <f t="shared" si="243"/>
        <v>0</v>
      </c>
      <c r="AM289" s="24">
        <f t="shared" si="244"/>
        <v>0</v>
      </c>
      <c r="AN289" s="79">
        <f t="shared" si="245"/>
        <v>0</v>
      </c>
      <c r="AO289" s="15">
        <f t="shared" si="246"/>
        <v>0</v>
      </c>
      <c r="AP289" s="46">
        <f>SUMPRODUCT(AN290:AN$605, $I290:$I$605) / $I289</f>
        <v>0</v>
      </c>
      <c r="AR289" s="46">
        <v>0</v>
      </c>
      <c r="AS289" s="46">
        <v>0</v>
      </c>
      <c r="AT289" s="46">
        <v>0</v>
      </c>
      <c r="AU289" s="95">
        <f t="shared" si="217"/>
        <v>0</v>
      </c>
      <c r="AV289" s="47">
        <f t="shared" si="218"/>
        <v>0.1</v>
      </c>
      <c r="AW289" s="96">
        <f t="shared" si="247"/>
        <v>0</v>
      </c>
      <c r="AX289" s="95">
        <f t="shared" si="219"/>
        <v>0</v>
      </c>
      <c r="AY289" s="11">
        <f t="shared" si="220"/>
        <v>0.1</v>
      </c>
      <c r="AZ289" s="96">
        <f t="shared" si="248"/>
        <v>0</v>
      </c>
      <c r="BA289" s="95">
        <f t="shared" si="249"/>
        <v>0</v>
      </c>
      <c r="BB289" s="64">
        <f t="shared" si="250"/>
        <v>0</v>
      </c>
      <c r="BC289" s="95">
        <f t="shared" si="262"/>
        <v>0</v>
      </c>
      <c r="BD289" s="96">
        <f t="shared" si="262"/>
        <v>0</v>
      </c>
      <c r="BE289" s="96">
        <f t="shared" si="251"/>
        <v>0</v>
      </c>
      <c r="BF289" s="96">
        <f t="shared" si="252"/>
        <v>0</v>
      </c>
      <c r="BG289" s="15">
        <f t="shared" si="253"/>
        <v>0</v>
      </c>
      <c r="BH289" s="46">
        <f>(SUMPRODUCT(BE290:BE$605,$I289:$I$604)+SUMPRODUCT(BF290:BF$605,$I290:$I$605)) / $I289</f>
        <v>0</v>
      </c>
      <c r="BJ289" s="46">
        <f t="shared" si="254"/>
        <v>0</v>
      </c>
      <c r="BK289" s="46">
        <f t="shared" si="255"/>
        <v>0</v>
      </c>
      <c r="BM289" s="49">
        <f t="shared" si="221"/>
        <v>0</v>
      </c>
      <c r="BN289" s="50">
        <f t="shared" si="256"/>
        <v>0</v>
      </c>
      <c r="BP289" s="68">
        <f>INDEX(Others!$H$11:$I$60, MATCH(C289, Others!$A$11:$A$60, 0), MATCH(BP$3, Others!$H$10:$I$10, 0))</f>
        <v>3.0518181818182E-2</v>
      </c>
      <c r="BQ289" s="16">
        <f t="shared" si="257"/>
        <v>2.5082875760633616E-3</v>
      </c>
      <c r="BR289" s="69">
        <f t="shared" si="258"/>
        <v>0.49088776613247614</v>
      </c>
      <c r="BT289" s="46">
        <f t="shared" si="259"/>
        <v>0</v>
      </c>
      <c r="BU289" s="49">
        <f t="shared" si="222"/>
        <v>0</v>
      </c>
      <c r="BV289" s="46">
        <f t="shared" si="260"/>
        <v>0</v>
      </c>
      <c r="BX289" s="46">
        <f t="shared" si="261"/>
        <v>0</v>
      </c>
    </row>
    <row r="290" spans="1:76" x14ac:dyDescent="0.25">
      <c r="A290" s="61">
        <f t="shared" si="211"/>
        <v>23.749999999999932</v>
      </c>
      <c r="B290" s="32">
        <f t="shared" si="223"/>
        <v>9</v>
      </c>
      <c r="C290" s="62">
        <f t="shared" si="224"/>
        <v>24</v>
      </c>
      <c r="D290" s="64">
        <f t="shared" si="225"/>
        <v>24.249999999999932</v>
      </c>
      <c r="E290" s="28">
        <f t="shared" si="226"/>
        <v>24</v>
      </c>
      <c r="G290" s="68">
        <f>INDEX(Others!$D$11:$E$60, MATCH(C290, Others!$A$11:$A$60, 0), MATCH(G$3, Others!$D$10:$E$10, 0))</f>
        <v>4.0690909090909333E-2</v>
      </c>
      <c r="H290" s="16">
        <f t="shared" si="227"/>
        <v>3.329265421250005E-3</v>
      </c>
      <c r="I290" s="69">
        <f t="shared" si="228"/>
        <v>0.38780033559060834</v>
      </c>
      <c r="K290" s="80" t="e">
        <f>INDEX(Mortality!$B$7:$F$32, MATCH( E290,Mortality!$A$7:$A$32, 0), MATCH( K$3,Mortality!$B$6:$F$6,0))</f>
        <v>#N/A</v>
      </c>
      <c r="L290" s="11" cm="1">
        <f t="array" ref="L290">PAD_Res_Mort</f>
        <v>0.15</v>
      </c>
      <c r="M290" s="80">
        <f t="shared" si="229"/>
        <v>0</v>
      </c>
      <c r="N290" s="76" t="e">
        <f>INDEX('Myopia_(Reserve)'!$H:$H, MATCH(E290, 'Myopia_(Reserve)'!$A:$A, 0)) * Trend_Factor_Reserve^(A290)</f>
        <v>#N/A</v>
      </c>
      <c r="O290" s="11">
        <f t="shared" si="212"/>
        <v>0.3</v>
      </c>
      <c r="P290" s="80">
        <f t="shared" si="230"/>
        <v>0</v>
      </c>
      <c r="Q290" s="76">
        <f>VLOOKUP(C290,Others!$L$10:$M$61,2)</f>
        <v>0</v>
      </c>
      <c r="R290" s="11">
        <f t="shared" si="213"/>
        <v>0</v>
      </c>
      <c r="S290" s="80">
        <f t="shared" si="231"/>
        <v>0</v>
      </c>
      <c r="T290" s="78">
        <f t="shared" si="232"/>
        <v>0</v>
      </c>
      <c r="U290" s="81">
        <f t="shared" si="233"/>
        <v>0</v>
      </c>
      <c r="V290" s="81">
        <f t="shared" si="234"/>
        <v>0</v>
      </c>
      <c r="W290" s="77">
        <f t="shared" si="214"/>
        <v>0</v>
      </c>
      <c r="X290" s="82">
        <f t="shared" si="235"/>
        <v>0</v>
      </c>
      <c r="Y290" s="82">
        <f t="shared" si="236"/>
        <v>0</v>
      </c>
      <c r="Z290" s="82">
        <f t="shared" si="237"/>
        <v>0</v>
      </c>
      <c r="AA290" s="82">
        <f t="shared" si="238"/>
        <v>0</v>
      </c>
      <c r="AC290" s="46">
        <f t="shared" si="215"/>
        <v>0</v>
      </c>
      <c r="AD290" s="15">
        <f t="shared" si="239"/>
        <v>0</v>
      </c>
      <c r="AE290" s="46">
        <f t="shared" si="240"/>
        <v>0</v>
      </c>
      <c r="AF290" s="15">
        <f t="shared" si="241"/>
        <v>0</v>
      </c>
      <c r="AG290" s="46">
        <f>SUMPRODUCT(AE291:AE$605, $I290:$I$604) / $I290</f>
        <v>0</v>
      </c>
      <c r="AI290" s="46">
        <f t="shared" si="216"/>
        <v>0</v>
      </c>
      <c r="AJ290" s="46">
        <f>IF(E290&gt;Mat_Year,0,  -SUM($AD$5:AD290))</f>
        <v>0</v>
      </c>
      <c r="AK290" s="24">
        <f t="shared" si="242"/>
        <v>0</v>
      </c>
      <c r="AL290" s="79">
        <f t="shared" si="243"/>
        <v>0</v>
      </c>
      <c r="AM290" s="24">
        <f t="shared" si="244"/>
        <v>0</v>
      </c>
      <c r="AN290" s="79">
        <f t="shared" si="245"/>
        <v>0</v>
      </c>
      <c r="AO290" s="15">
        <f t="shared" si="246"/>
        <v>0</v>
      </c>
      <c r="AP290" s="46">
        <f>SUMPRODUCT(AN291:AN$605, $I291:$I$605) / $I290</f>
        <v>0</v>
      </c>
      <c r="AR290" s="46">
        <v>0</v>
      </c>
      <c r="AS290" s="46">
        <v>0</v>
      </c>
      <c r="AT290" s="46">
        <v>0</v>
      </c>
      <c r="AU290" s="95">
        <f t="shared" si="217"/>
        <v>0</v>
      </c>
      <c r="AV290" s="47">
        <f t="shared" si="218"/>
        <v>0.1</v>
      </c>
      <c r="AW290" s="96">
        <f t="shared" si="247"/>
        <v>0</v>
      </c>
      <c r="AX290" s="95">
        <f t="shared" si="219"/>
        <v>0</v>
      </c>
      <c r="AY290" s="11">
        <f t="shared" si="220"/>
        <v>0.1</v>
      </c>
      <c r="AZ290" s="96">
        <f t="shared" si="248"/>
        <v>0</v>
      </c>
      <c r="BA290" s="95">
        <f t="shared" si="249"/>
        <v>0</v>
      </c>
      <c r="BB290" s="64">
        <f t="shared" si="250"/>
        <v>0</v>
      </c>
      <c r="BC290" s="95">
        <f t="shared" si="262"/>
        <v>0</v>
      </c>
      <c r="BD290" s="96">
        <f t="shared" si="262"/>
        <v>0</v>
      </c>
      <c r="BE290" s="96">
        <f t="shared" si="251"/>
        <v>0</v>
      </c>
      <c r="BF290" s="96">
        <f t="shared" si="252"/>
        <v>0</v>
      </c>
      <c r="BG290" s="15">
        <f t="shared" si="253"/>
        <v>0</v>
      </c>
      <c r="BH290" s="46">
        <f>(SUMPRODUCT(BE291:BE$605,$I290:$I$604)+SUMPRODUCT(BF291:BF$605,$I291:$I$605)) / $I290</f>
        <v>0</v>
      </c>
      <c r="BJ290" s="46">
        <f t="shared" si="254"/>
        <v>0</v>
      </c>
      <c r="BK290" s="46">
        <f t="shared" si="255"/>
        <v>0</v>
      </c>
      <c r="BM290" s="49">
        <f t="shared" si="221"/>
        <v>0</v>
      </c>
      <c r="BN290" s="50">
        <f t="shared" si="256"/>
        <v>0</v>
      </c>
      <c r="BP290" s="68">
        <f>INDEX(Others!$H$11:$I$60, MATCH(C290, Others!$A$11:$A$60, 0), MATCH(BP$3, Others!$H$10:$I$10, 0))</f>
        <v>3.0518181818182E-2</v>
      </c>
      <c r="BQ290" s="16">
        <f t="shared" si="257"/>
        <v>2.5082875760633616E-3</v>
      </c>
      <c r="BR290" s="69">
        <f t="shared" si="258"/>
        <v>0.48965955914377512</v>
      </c>
      <c r="BT290" s="46">
        <f t="shared" si="259"/>
        <v>0</v>
      </c>
      <c r="BU290" s="49">
        <f t="shared" si="222"/>
        <v>0</v>
      </c>
      <c r="BV290" s="46">
        <f t="shared" si="260"/>
        <v>0</v>
      </c>
      <c r="BX290" s="46">
        <f t="shared" si="261"/>
        <v>0</v>
      </c>
    </row>
    <row r="291" spans="1:76" x14ac:dyDescent="0.25">
      <c r="A291" s="61">
        <f t="shared" si="211"/>
        <v>23.833333333333265</v>
      </c>
      <c r="B291" s="32">
        <f t="shared" si="223"/>
        <v>10</v>
      </c>
      <c r="C291" s="62">
        <f t="shared" si="224"/>
        <v>24</v>
      </c>
      <c r="D291" s="64">
        <f t="shared" si="225"/>
        <v>24.333333333333265</v>
      </c>
      <c r="E291" s="28">
        <f t="shared" si="226"/>
        <v>24</v>
      </c>
      <c r="G291" s="68">
        <f>INDEX(Others!$D$11:$E$60, MATCH(C291, Others!$A$11:$A$60, 0), MATCH(G$3, Others!$D$10:$E$10, 0))</f>
        <v>4.0690909090909333E-2</v>
      </c>
      <c r="H291" s="16">
        <f t="shared" si="227"/>
        <v>3.329265421250005E-3</v>
      </c>
      <c r="I291" s="69">
        <f t="shared" si="228"/>
        <v>0.38651352946212481</v>
      </c>
      <c r="K291" s="80" t="e">
        <f>INDEX(Mortality!$B$7:$F$32, MATCH( E291,Mortality!$A$7:$A$32, 0), MATCH( K$3,Mortality!$B$6:$F$6,0))</f>
        <v>#N/A</v>
      </c>
      <c r="L291" s="11" cm="1">
        <f t="array" ref="L291">PAD_Res_Mort</f>
        <v>0.15</v>
      </c>
      <c r="M291" s="80">
        <f t="shared" si="229"/>
        <v>0</v>
      </c>
      <c r="N291" s="76" t="e">
        <f>INDEX('Myopia_(Reserve)'!$H:$H, MATCH(E291, 'Myopia_(Reserve)'!$A:$A, 0)) * Trend_Factor_Reserve^(A291)</f>
        <v>#N/A</v>
      </c>
      <c r="O291" s="11">
        <f t="shared" si="212"/>
        <v>0.3</v>
      </c>
      <c r="P291" s="80">
        <f t="shared" si="230"/>
        <v>0</v>
      </c>
      <c r="Q291" s="76">
        <f>VLOOKUP(C291,Others!$L$10:$M$61,2)</f>
        <v>0</v>
      </c>
      <c r="R291" s="11">
        <f t="shared" si="213"/>
        <v>0</v>
      </c>
      <c r="S291" s="80">
        <f t="shared" si="231"/>
        <v>0</v>
      </c>
      <c r="T291" s="78">
        <f t="shared" si="232"/>
        <v>0</v>
      </c>
      <c r="U291" s="81">
        <f t="shared" si="233"/>
        <v>0</v>
      </c>
      <c r="V291" s="81">
        <f t="shared" si="234"/>
        <v>0</v>
      </c>
      <c r="W291" s="77">
        <f t="shared" si="214"/>
        <v>0</v>
      </c>
      <c r="X291" s="82">
        <f t="shared" si="235"/>
        <v>0</v>
      </c>
      <c r="Y291" s="82">
        <f t="shared" si="236"/>
        <v>0</v>
      </c>
      <c r="Z291" s="82">
        <f t="shared" si="237"/>
        <v>0</v>
      </c>
      <c r="AA291" s="82">
        <f t="shared" si="238"/>
        <v>0</v>
      </c>
      <c r="AC291" s="46">
        <f t="shared" si="215"/>
        <v>0</v>
      </c>
      <c r="AD291" s="15">
        <f t="shared" si="239"/>
        <v>0</v>
      </c>
      <c r="AE291" s="46">
        <f t="shared" si="240"/>
        <v>0</v>
      </c>
      <c r="AF291" s="15">
        <f t="shared" si="241"/>
        <v>0</v>
      </c>
      <c r="AG291" s="46">
        <f>SUMPRODUCT(AE292:AE$605, $I291:$I$604) / $I291</f>
        <v>0</v>
      </c>
      <c r="AI291" s="46">
        <f t="shared" si="216"/>
        <v>0</v>
      </c>
      <c r="AJ291" s="46">
        <f>IF(E291&gt;Mat_Year,0,  -SUM($AD$5:AD291))</f>
        <v>0</v>
      </c>
      <c r="AK291" s="24">
        <f t="shared" si="242"/>
        <v>0</v>
      </c>
      <c r="AL291" s="79">
        <f t="shared" si="243"/>
        <v>0</v>
      </c>
      <c r="AM291" s="24">
        <f t="shared" si="244"/>
        <v>0</v>
      </c>
      <c r="AN291" s="79">
        <f t="shared" si="245"/>
        <v>0</v>
      </c>
      <c r="AO291" s="15">
        <f t="shared" si="246"/>
        <v>0</v>
      </c>
      <c r="AP291" s="46">
        <f>SUMPRODUCT(AN292:AN$605, $I292:$I$605) / $I291</f>
        <v>0</v>
      </c>
      <c r="AR291" s="46">
        <v>0</v>
      </c>
      <c r="AS291" s="46">
        <v>0</v>
      </c>
      <c r="AT291" s="46">
        <v>0</v>
      </c>
      <c r="AU291" s="95">
        <f t="shared" si="217"/>
        <v>0</v>
      </c>
      <c r="AV291" s="47">
        <f t="shared" si="218"/>
        <v>0.1</v>
      </c>
      <c r="AW291" s="96">
        <f t="shared" si="247"/>
        <v>0</v>
      </c>
      <c r="AX291" s="95">
        <f t="shared" si="219"/>
        <v>0</v>
      </c>
      <c r="AY291" s="11">
        <f t="shared" si="220"/>
        <v>0.1</v>
      </c>
      <c r="AZ291" s="96">
        <f t="shared" si="248"/>
        <v>0</v>
      </c>
      <c r="BA291" s="95">
        <f t="shared" si="249"/>
        <v>0</v>
      </c>
      <c r="BB291" s="64">
        <f t="shared" si="250"/>
        <v>0</v>
      </c>
      <c r="BC291" s="95">
        <f t="shared" si="262"/>
        <v>0</v>
      </c>
      <c r="BD291" s="96">
        <f t="shared" si="262"/>
        <v>0</v>
      </c>
      <c r="BE291" s="96">
        <f t="shared" si="251"/>
        <v>0</v>
      </c>
      <c r="BF291" s="96">
        <f t="shared" si="252"/>
        <v>0</v>
      </c>
      <c r="BG291" s="15">
        <f t="shared" si="253"/>
        <v>0</v>
      </c>
      <c r="BH291" s="46">
        <f>(SUMPRODUCT(BE292:BE$605,$I291:$I$604)+SUMPRODUCT(BF292:BF$605,$I292:$I$605)) / $I291</f>
        <v>0</v>
      </c>
      <c r="BJ291" s="46">
        <f t="shared" si="254"/>
        <v>0</v>
      </c>
      <c r="BK291" s="46">
        <f t="shared" si="255"/>
        <v>0</v>
      </c>
      <c r="BM291" s="49">
        <f t="shared" si="221"/>
        <v>0</v>
      </c>
      <c r="BN291" s="50">
        <f t="shared" si="256"/>
        <v>0</v>
      </c>
      <c r="BP291" s="68">
        <f>INDEX(Others!$H$11:$I$60, MATCH(C291, Others!$A$11:$A$60, 0), MATCH(BP$3, Others!$H$10:$I$10, 0))</f>
        <v>3.0518181818182E-2</v>
      </c>
      <c r="BQ291" s="16">
        <f t="shared" si="257"/>
        <v>2.5082875760633616E-3</v>
      </c>
      <c r="BR291" s="69">
        <f t="shared" si="258"/>
        <v>0.48843442514346613</v>
      </c>
      <c r="BT291" s="46">
        <f t="shared" si="259"/>
        <v>0</v>
      </c>
      <c r="BU291" s="49">
        <f t="shared" si="222"/>
        <v>0</v>
      </c>
      <c r="BV291" s="46">
        <f t="shared" si="260"/>
        <v>0</v>
      </c>
      <c r="BX291" s="46">
        <f t="shared" si="261"/>
        <v>0</v>
      </c>
    </row>
    <row r="292" spans="1:76" x14ac:dyDescent="0.25">
      <c r="A292" s="61">
        <f t="shared" si="211"/>
        <v>23.916666666666597</v>
      </c>
      <c r="B292" s="32">
        <f t="shared" si="223"/>
        <v>11</v>
      </c>
      <c r="C292" s="62">
        <f t="shared" si="224"/>
        <v>24</v>
      </c>
      <c r="D292" s="64">
        <f t="shared" si="225"/>
        <v>24.416666666666597</v>
      </c>
      <c r="E292" s="28">
        <f t="shared" si="226"/>
        <v>24</v>
      </c>
      <c r="G292" s="68">
        <f>INDEX(Others!$D$11:$E$60, MATCH(C292, Others!$A$11:$A$60, 0), MATCH(G$3, Others!$D$10:$E$10, 0))</f>
        <v>4.0690909090909333E-2</v>
      </c>
      <c r="H292" s="16">
        <f t="shared" si="227"/>
        <v>3.329265421250005E-3</v>
      </c>
      <c r="I292" s="69">
        <f t="shared" si="228"/>
        <v>0.3852309932371466</v>
      </c>
      <c r="K292" s="80" t="e">
        <f>INDEX(Mortality!$B$7:$F$32, MATCH( E292,Mortality!$A$7:$A$32, 0), MATCH( K$3,Mortality!$B$6:$F$6,0))</f>
        <v>#N/A</v>
      </c>
      <c r="L292" s="11" cm="1">
        <f t="array" ref="L292">PAD_Res_Mort</f>
        <v>0.15</v>
      </c>
      <c r="M292" s="80">
        <f t="shared" si="229"/>
        <v>0</v>
      </c>
      <c r="N292" s="76" t="e">
        <f>INDEX('Myopia_(Reserve)'!$H:$H, MATCH(E292, 'Myopia_(Reserve)'!$A:$A, 0)) * Trend_Factor_Reserve^(A292)</f>
        <v>#N/A</v>
      </c>
      <c r="O292" s="11">
        <f t="shared" si="212"/>
        <v>0.3</v>
      </c>
      <c r="P292" s="80">
        <f t="shared" si="230"/>
        <v>0</v>
      </c>
      <c r="Q292" s="76">
        <f>VLOOKUP(C292,Others!$L$10:$M$61,2)</f>
        <v>0</v>
      </c>
      <c r="R292" s="11">
        <f t="shared" si="213"/>
        <v>0</v>
      </c>
      <c r="S292" s="80">
        <f t="shared" si="231"/>
        <v>0</v>
      </c>
      <c r="T292" s="78">
        <f t="shared" si="232"/>
        <v>0</v>
      </c>
      <c r="U292" s="81">
        <f t="shared" si="233"/>
        <v>0</v>
      </c>
      <c r="V292" s="81">
        <f t="shared" si="234"/>
        <v>0</v>
      </c>
      <c r="W292" s="77">
        <f t="shared" si="214"/>
        <v>0</v>
      </c>
      <c r="X292" s="82">
        <f t="shared" si="235"/>
        <v>0</v>
      </c>
      <c r="Y292" s="82">
        <f t="shared" si="236"/>
        <v>0</v>
      </c>
      <c r="Z292" s="82">
        <f t="shared" si="237"/>
        <v>0</v>
      </c>
      <c r="AA292" s="82">
        <f t="shared" si="238"/>
        <v>0</v>
      </c>
      <c r="AC292" s="46">
        <f t="shared" si="215"/>
        <v>0</v>
      </c>
      <c r="AD292" s="15">
        <f t="shared" si="239"/>
        <v>0</v>
      </c>
      <c r="AE292" s="46">
        <f t="shared" si="240"/>
        <v>0</v>
      </c>
      <c r="AF292" s="15">
        <f t="shared" si="241"/>
        <v>0</v>
      </c>
      <c r="AG292" s="46">
        <f>SUMPRODUCT(AE293:AE$605, $I292:$I$604) / $I292</f>
        <v>0</v>
      </c>
      <c r="AI292" s="46">
        <f t="shared" si="216"/>
        <v>0</v>
      </c>
      <c r="AJ292" s="46">
        <f>IF(E292&gt;Mat_Year,0,  -SUM($AD$5:AD292))</f>
        <v>0</v>
      </c>
      <c r="AK292" s="24">
        <f t="shared" si="242"/>
        <v>0</v>
      </c>
      <c r="AL292" s="79">
        <f t="shared" si="243"/>
        <v>0</v>
      </c>
      <c r="AM292" s="24">
        <f t="shared" si="244"/>
        <v>0</v>
      </c>
      <c r="AN292" s="79">
        <f t="shared" si="245"/>
        <v>0</v>
      </c>
      <c r="AO292" s="15">
        <f t="shared" si="246"/>
        <v>0</v>
      </c>
      <c r="AP292" s="46">
        <f>SUMPRODUCT(AN293:AN$605, $I293:$I$605) / $I292</f>
        <v>0</v>
      </c>
      <c r="AR292" s="46">
        <v>0</v>
      </c>
      <c r="AS292" s="46">
        <v>0</v>
      </c>
      <c r="AT292" s="46">
        <v>0</v>
      </c>
      <c r="AU292" s="95">
        <f t="shared" si="217"/>
        <v>0</v>
      </c>
      <c r="AV292" s="47">
        <f t="shared" si="218"/>
        <v>0.1</v>
      </c>
      <c r="AW292" s="96">
        <f t="shared" si="247"/>
        <v>0</v>
      </c>
      <c r="AX292" s="95">
        <f t="shared" si="219"/>
        <v>0</v>
      </c>
      <c r="AY292" s="11">
        <f t="shared" si="220"/>
        <v>0.1</v>
      </c>
      <c r="AZ292" s="96">
        <f t="shared" si="248"/>
        <v>0</v>
      </c>
      <c r="BA292" s="95">
        <f t="shared" si="249"/>
        <v>0</v>
      </c>
      <c r="BB292" s="64">
        <f t="shared" si="250"/>
        <v>0</v>
      </c>
      <c r="BC292" s="95">
        <f t="shared" si="262"/>
        <v>0</v>
      </c>
      <c r="BD292" s="96">
        <f t="shared" si="262"/>
        <v>0</v>
      </c>
      <c r="BE292" s="96">
        <f t="shared" si="251"/>
        <v>0</v>
      </c>
      <c r="BF292" s="96">
        <f t="shared" si="252"/>
        <v>0</v>
      </c>
      <c r="BG292" s="15">
        <f t="shared" si="253"/>
        <v>0</v>
      </c>
      <c r="BH292" s="46">
        <f>(SUMPRODUCT(BE293:BE$605,$I292:$I$604)+SUMPRODUCT(BF293:BF$605,$I293:$I$605)) / $I292</f>
        <v>0</v>
      </c>
      <c r="BJ292" s="46">
        <f t="shared" si="254"/>
        <v>0</v>
      </c>
      <c r="BK292" s="46">
        <f t="shared" si="255"/>
        <v>0</v>
      </c>
      <c r="BM292" s="49">
        <f t="shared" si="221"/>
        <v>0</v>
      </c>
      <c r="BN292" s="50">
        <f t="shared" si="256"/>
        <v>0</v>
      </c>
      <c r="BP292" s="68">
        <f>INDEX(Others!$H$11:$I$60, MATCH(C292, Others!$A$11:$A$60, 0), MATCH(BP$3, Others!$H$10:$I$10, 0))</f>
        <v>3.0518181818182E-2</v>
      </c>
      <c r="BQ292" s="16">
        <f t="shared" si="257"/>
        <v>2.5082875760633616E-3</v>
      </c>
      <c r="BR292" s="69">
        <f t="shared" si="258"/>
        <v>0.48721235644289584</v>
      </c>
      <c r="BT292" s="46">
        <f t="shared" si="259"/>
        <v>0</v>
      </c>
      <c r="BU292" s="49">
        <f t="shared" si="222"/>
        <v>0</v>
      </c>
      <c r="BV292" s="46">
        <f t="shared" si="260"/>
        <v>0</v>
      </c>
      <c r="BX292" s="46">
        <f t="shared" si="261"/>
        <v>0</v>
      </c>
    </row>
    <row r="293" spans="1:76" x14ac:dyDescent="0.25">
      <c r="A293" s="61">
        <f t="shared" si="211"/>
        <v>23.999999999999929</v>
      </c>
      <c r="B293" s="32">
        <f t="shared" si="223"/>
        <v>12</v>
      </c>
      <c r="C293" s="62">
        <f t="shared" si="224"/>
        <v>24</v>
      </c>
      <c r="D293" s="64">
        <f t="shared" si="225"/>
        <v>24.499999999999929</v>
      </c>
      <c r="E293" s="28">
        <f t="shared" si="226"/>
        <v>24</v>
      </c>
      <c r="G293" s="68">
        <f>INDEX(Others!$D$11:$E$60, MATCH(C293, Others!$A$11:$A$60, 0), MATCH(G$3, Others!$D$10:$E$10, 0))</f>
        <v>4.0690909090909333E-2</v>
      </c>
      <c r="H293" s="16">
        <f t="shared" si="227"/>
        <v>3.329265421250005E-3</v>
      </c>
      <c r="I293" s="69">
        <f t="shared" si="228"/>
        <v>0.38395271274720222</v>
      </c>
      <c r="K293" s="80" t="e">
        <f>INDEX(Mortality!$B$7:$F$32, MATCH( E293,Mortality!$A$7:$A$32, 0), MATCH( K$3,Mortality!$B$6:$F$6,0))</f>
        <v>#N/A</v>
      </c>
      <c r="L293" s="11" cm="1">
        <f t="array" ref="L293">PAD_Res_Mort</f>
        <v>0.15</v>
      </c>
      <c r="M293" s="80">
        <f t="shared" si="229"/>
        <v>0</v>
      </c>
      <c r="N293" s="76" t="e">
        <f>INDEX('Myopia_(Reserve)'!$H:$H, MATCH(E293, 'Myopia_(Reserve)'!$A:$A, 0)) * Trend_Factor_Reserve^(A293)</f>
        <v>#N/A</v>
      </c>
      <c r="O293" s="11">
        <f t="shared" si="212"/>
        <v>0.3</v>
      </c>
      <c r="P293" s="80">
        <f t="shared" si="230"/>
        <v>0</v>
      </c>
      <c r="Q293" s="76">
        <f>VLOOKUP(C293,Others!$L$10:$M$61,2)</f>
        <v>0</v>
      </c>
      <c r="R293" s="11">
        <f t="shared" si="213"/>
        <v>0</v>
      </c>
      <c r="S293" s="80">
        <f t="shared" si="231"/>
        <v>0</v>
      </c>
      <c r="T293" s="78">
        <f t="shared" si="232"/>
        <v>0</v>
      </c>
      <c r="U293" s="81">
        <f t="shared" si="233"/>
        <v>0</v>
      </c>
      <c r="V293" s="81">
        <f t="shared" si="234"/>
        <v>0</v>
      </c>
      <c r="W293" s="77">
        <f t="shared" si="214"/>
        <v>0</v>
      </c>
      <c r="X293" s="82">
        <f t="shared" si="235"/>
        <v>0</v>
      </c>
      <c r="Y293" s="82">
        <f t="shared" si="236"/>
        <v>0</v>
      </c>
      <c r="Z293" s="82">
        <f t="shared" si="237"/>
        <v>0</v>
      </c>
      <c r="AA293" s="82">
        <f t="shared" si="238"/>
        <v>0</v>
      </c>
      <c r="AC293" s="46">
        <f t="shared" si="215"/>
        <v>0</v>
      </c>
      <c r="AD293" s="15">
        <f t="shared" si="239"/>
        <v>0</v>
      </c>
      <c r="AE293" s="46">
        <f t="shared" si="240"/>
        <v>0</v>
      </c>
      <c r="AF293" s="15">
        <f t="shared" si="241"/>
        <v>0</v>
      </c>
      <c r="AG293" s="46">
        <f>SUMPRODUCT(AE294:AE$605, $I293:$I$604) / $I293</f>
        <v>0</v>
      </c>
      <c r="AI293" s="46">
        <f t="shared" si="216"/>
        <v>0</v>
      </c>
      <c r="AJ293" s="46">
        <f>IF(E293&gt;Mat_Year,0,  -SUM($AD$5:AD293))</f>
        <v>0</v>
      </c>
      <c r="AK293" s="24">
        <f t="shared" si="242"/>
        <v>0</v>
      </c>
      <c r="AL293" s="79">
        <f t="shared" si="243"/>
        <v>0</v>
      </c>
      <c r="AM293" s="24">
        <f t="shared" si="244"/>
        <v>0</v>
      </c>
      <c r="AN293" s="79">
        <f t="shared" si="245"/>
        <v>0</v>
      </c>
      <c r="AO293" s="15">
        <f t="shared" si="246"/>
        <v>0</v>
      </c>
      <c r="AP293" s="46">
        <f>SUMPRODUCT(AN294:AN$605, $I294:$I$605) / $I293</f>
        <v>0</v>
      </c>
      <c r="AR293" s="46">
        <v>0</v>
      </c>
      <c r="AS293" s="46">
        <v>0</v>
      </c>
      <c r="AT293" s="46">
        <v>0</v>
      </c>
      <c r="AU293" s="95">
        <f t="shared" si="217"/>
        <v>0</v>
      </c>
      <c r="AV293" s="47">
        <f t="shared" si="218"/>
        <v>0.1</v>
      </c>
      <c r="AW293" s="96">
        <f t="shared" si="247"/>
        <v>0</v>
      </c>
      <c r="AX293" s="95">
        <f t="shared" si="219"/>
        <v>0</v>
      </c>
      <c r="AY293" s="11">
        <f t="shared" si="220"/>
        <v>0.1</v>
      </c>
      <c r="AZ293" s="96">
        <f t="shared" si="248"/>
        <v>0</v>
      </c>
      <c r="BA293" s="95">
        <f t="shared" si="249"/>
        <v>0</v>
      </c>
      <c r="BB293" s="64">
        <f t="shared" si="250"/>
        <v>0</v>
      </c>
      <c r="BC293" s="95">
        <f t="shared" si="262"/>
        <v>0</v>
      </c>
      <c r="BD293" s="96">
        <f t="shared" si="262"/>
        <v>0</v>
      </c>
      <c r="BE293" s="96">
        <f t="shared" si="251"/>
        <v>0</v>
      </c>
      <c r="BF293" s="96">
        <f t="shared" si="252"/>
        <v>0</v>
      </c>
      <c r="BG293" s="15">
        <f t="shared" si="253"/>
        <v>0</v>
      </c>
      <c r="BH293" s="46">
        <f>(SUMPRODUCT(BE294:BE$605,$I293:$I$604)+SUMPRODUCT(BF294:BF$605,$I294:$I$605)) / $I293</f>
        <v>0</v>
      </c>
      <c r="BJ293" s="46">
        <f t="shared" si="254"/>
        <v>0</v>
      </c>
      <c r="BK293" s="46">
        <f t="shared" si="255"/>
        <v>0</v>
      </c>
      <c r="BM293" s="49">
        <f t="shared" si="221"/>
        <v>0</v>
      </c>
      <c r="BN293" s="50">
        <f t="shared" si="256"/>
        <v>0</v>
      </c>
      <c r="BP293" s="68">
        <f>INDEX(Others!$H$11:$I$60, MATCH(C293, Others!$A$11:$A$60, 0), MATCH(BP$3, Others!$H$10:$I$10, 0))</f>
        <v>3.0518181818182E-2</v>
      </c>
      <c r="BQ293" s="16">
        <f t="shared" si="257"/>
        <v>2.5082875760633616E-3</v>
      </c>
      <c r="BR293" s="69">
        <f t="shared" si="258"/>
        <v>0.48599334537264816</v>
      </c>
      <c r="BT293" s="46">
        <f t="shared" si="259"/>
        <v>0</v>
      </c>
      <c r="BU293" s="49">
        <f t="shared" si="222"/>
        <v>0</v>
      </c>
      <c r="BV293" s="46">
        <f t="shared" si="260"/>
        <v>0</v>
      </c>
      <c r="BX293" s="46">
        <f t="shared" si="261"/>
        <v>0</v>
      </c>
    </row>
    <row r="294" spans="1:76" x14ac:dyDescent="0.25">
      <c r="A294" s="61">
        <f t="shared" si="211"/>
        <v>24.083333333333261</v>
      </c>
      <c r="B294" s="32">
        <f t="shared" si="223"/>
        <v>1</v>
      </c>
      <c r="C294" s="62">
        <f t="shared" si="224"/>
        <v>25</v>
      </c>
      <c r="D294" s="64">
        <f t="shared" si="225"/>
        <v>24.583333333333261</v>
      </c>
      <c r="E294" s="28">
        <f t="shared" si="226"/>
        <v>24</v>
      </c>
      <c r="G294" s="68">
        <f>INDEX(Others!$D$11:$E$60, MATCH(C294, Others!$A$11:$A$60, 0), MATCH(G$3, Others!$D$10:$E$10, 0))</f>
        <v>4.0690909090909111E-2</v>
      </c>
      <c r="H294" s="16">
        <f t="shared" si="227"/>
        <v>3.329265421250005E-3</v>
      </c>
      <c r="I294" s="69">
        <f t="shared" si="228"/>
        <v>0.38267867387083426</v>
      </c>
      <c r="K294" s="80" t="e">
        <f>INDEX(Mortality!$B$7:$F$32, MATCH( E294,Mortality!$A$7:$A$32, 0), MATCH( K$3,Mortality!$B$6:$F$6,0))</f>
        <v>#N/A</v>
      </c>
      <c r="L294" s="11" cm="1">
        <f t="array" ref="L294">PAD_Res_Mort</f>
        <v>0.15</v>
      </c>
      <c r="M294" s="80">
        <f t="shared" si="229"/>
        <v>0</v>
      </c>
      <c r="N294" s="76" t="e">
        <f>INDEX('Myopia_(Reserve)'!$H:$H, MATCH(E294, 'Myopia_(Reserve)'!$A:$A, 0)) * Trend_Factor_Reserve^(A294)</f>
        <v>#N/A</v>
      </c>
      <c r="O294" s="11">
        <f t="shared" si="212"/>
        <v>0.3</v>
      </c>
      <c r="P294" s="80">
        <f t="shared" si="230"/>
        <v>0</v>
      </c>
      <c r="Q294" s="76">
        <f>VLOOKUP(C294,Others!$L$10:$M$61,2)</f>
        <v>0</v>
      </c>
      <c r="R294" s="11">
        <f t="shared" si="213"/>
        <v>0</v>
      </c>
      <c r="S294" s="80">
        <f t="shared" si="231"/>
        <v>0</v>
      </c>
      <c r="T294" s="78">
        <f t="shared" si="232"/>
        <v>0</v>
      </c>
      <c r="U294" s="81">
        <f t="shared" si="233"/>
        <v>0</v>
      </c>
      <c r="V294" s="81">
        <f t="shared" si="234"/>
        <v>0</v>
      </c>
      <c r="W294" s="77">
        <f t="shared" si="214"/>
        <v>0</v>
      </c>
      <c r="X294" s="82">
        <f t="shared" si="235"/>
        <v>0</v>
      </c>
      <c r="Y294" s="82">
        <f t="shared" si="236"/>
        <v>0</v>
      </c>
      <c r="Z294" s="82">
        <f t="shared" si="237"/>
        <v>0</v>
      </c>
      <c r="AA294" s="82">
        <f t="shared" si="238"/>
        <v>0</v>
      </c>
      <c r="AC294" s="46">
        <f t="shared" si="215"/>
        <v>0</v>
      </c>
      <c r="AD294" s="15">
        <f t="shared" si="239"/>
        <v>0</v>
      </c>
      <c r="AE294" s="46">
        <f t="shared" si="240"/>
        <v>0</v>
      </c>
      <c r="AF294" s="15">
        <f t="shared" si="241"/>
        <v>0</v>
      </c>
      <c r="AG294" s="46">
        <f>SUMPRODUCT(AE295:AE$605, $I294:$I$604) / $I294</f>
        <v>0</v>
      </c>
      <c r="AI294" s="46">
        <f t="shared" si="216"/>
        <v>0</v>
      </c>
      <c r="AJ294" s="46">
        <f>IF(E294&gt;Mat_Year,0,  -SUM($AD$5:AD294))</f>
        <v>0</v>
      </c>
      <c r="AK294" s="24">
        <f t="shared" si="242"/>
        <v>0</v>
      </c>
      <c r="AL294" s="79">
        <f t="shared" si="243"/>
        <v>0</v>
      </c>
      <c r="AM294" s="24">
        <f t="shared" si="244"/>
        <v>0</v>
      </c>
      <c r="AN294" s="79">
        <f t="shared" si="245"/>
        <v>0</v>
      </c>
      <c r="AO294" s="15">
        <f t="shared" si="246"/>
        <v>0</v>
      </c>
      <c r="AP294" s="46">
        <f>SUMPRODUCT(AN295:AN$605, $I295:$I$605) / $I294</f>
        <v>0</v>
      </c>
      <c r="AR294" s="46">
        <v>0</v>
      </c>
      <c r="AS294" s="46">
        <v>0</v>
      </c>
      <c r="AT294" s="46">
        <v>0</v>
      </c>
      <c r="AU294" s="95">
        <f t="shared" si="217"/>
        <v>0</v>
      </c>
      <c r="AV294" s="47">
        <f t="shared" si="218"/>
        <v>0.1</v>
      </c>
      <c r="AW294" s="96">
        <f t="shared" si="247"/>
        <v>0</v>
      </c>
      <c r="AX294" s="95">
        <f t="shared" si="219"/>
        <v>0</v>
      </c>
      <c r="AY294" s="11">
        <f t="shared" si="220"/>
        <v>0.1</v>
      </c>
      <c r="AZ294" s="96">
        <f t="shared" si="248"/>
        <v>0</v>
      </c>
      <c r="BA294" s="95">
        <f t="shared" si="249"/>
        <v>0</v>
      </c>
      <c r="BB294" s="64">
        <f t="shared" si="250"/>
        <v>0</v>
      </c>
      <c r="BC294" s="95">
        <f t="shared" si="262"/>
        <v>0</v>
      </c>
      <c r="BD294" s="96">
        <f t="shared" si="262"/>
        <v>0</v>
      </c>
      <c r="BE294" s="96">
        <f t="shared" si="251"/>
        <v>0</v>
      </c>
      <c r="BF294" s="96">
        <f t="shared" si="252"/>
        <v>0</v>
      </c>
      <c r="BG294" s="15">
        <f t="shared" si="253"/>
        <v>0</v>
      </c>
      <c r="BH294" s="46">
        <f>(SUMPRODUCT(BE295:BE$605,$I294:$I$604)+SUMPRODUCT(BF295:BF$605,$I295:$I$605)) / $I294</f>
        <v>0</v>
      </c>
      <c r="BJ294" s="46">
        <f t="shared" si="254"/>
        <v>0</v>
      </c>
      <c r="BK294" s="46">
        <f t="shared" si="255"/>
        <v>0</v>
      </c>
      <c r="BM294" s="49">
        <f t="shared" si="221"/>
        <v>0</v>
      </c>
      <c r="BN294" s="50">
        <f t="shared" si="256"/>
        <v>0</v>
      </c>
      <c r="BP294" s="68">
        <f>INDEX(Others!$H$11:$I$60, MATCH(C294, Others!$A$11:$A$60, 0), MATCH(BP$3, Others!$H$10:$I$10, 0))</f>
        <v>3.0518181818181833E-2</v>
      </c>
      <c r="BQ294" s="16">
        <f t="shared" si="257"/>
        <v>2.5082875760633616E-3</v>
      </c>
      <c r="BR294" s="69">
        <f t="shared" si="258"/>
        <v>0.48477738428249589</v>
      </c>
      <c r="BT294" s="46">
        <f t="shared" si="259"/>
        <v>0</v>
      </c>
      <c r="BU294" s="49">
        <f t="shared" si="222"/>
        <v>0</v>
      </c>
      <c r="BV294" s="46">
        <f t="shared" si="260"/>
        <v>0</v>
      </c>
      <c r="BX294" s="46">
        <f t="shared" si="261"/>
        <v>0</v>
      </c>
    </row>
    <row r="295" spans="1:76" x14ac:dyDescent="0.25">
      <c r="A295" s="61">
        <f t="shared" si="211"/>
        <v>24.166666666666593</v>
      </c>
      <c r="B295" s="32">
        <f t="shared" si="223"/>
        <v>2</v>
      </c>
      <c r="C295" s="62">
        <f t="shared" si="224"/>
        <v>25</v>
      </c>
      <c r="D295" s="64">
        <f t="shared" si="225"/>
        <v>24.666666666666593</v>
      </c>
      <c r="E295" s="28">
        <f t="shared" si="226"/>
        <v>24</v>
      </c>
      <c r="G295" s="68">
        <f>INDEX(Others!$D$11:$E$60, MATCH(C295, Others!$A$11:$A$60, 0), MATCH(G$3, Others!$D$10:$E$10, 0))</f>
        <v>4.0690909090909111E-2</v>
      </c>
      <c r="H295" s="16">
        <f t="shared" si="227"/>
        <v>3.329265421250005E-3</v>
      </c>
      <c r="I295" s="69">
        <f t="shared" si="228"/>
        <v>0.38140886253344336</v>
      </c>
      <c r="K295" s="80" t="e">
        <f>INDEX(Mortality!$B$7:$F$32, MATCH( E295,Mortality!$A$7:$A$32, 0), MATCH( K$3,Mortality!$B$6:$F$6,0))</f>
        <v>#N/A</v>
      </c>
      <c r="L295" s="11" cm="1">
        <f t="array" ref="L295">PAD_Res_Mort</f>
        <v>0.15</v>
      </c>
      <c r="M295" s="80">
        <f t="shared" si="229"/>
        <v>0</v>
      </c>
      <c r="N295" s="76" t="e">
        <f>INDEX('Myopia_(Reserve)'!$H:$H, MATCH(E295, 'Myopia_(Reserve)'!$A:$A, 0)) * Trend_Factor_Reserve^(A295)</f>
        <v>#N/A</v>
      </c>
      <c r="O295" s="11">
        <f t="shared" si="212"/>
        <v>0.3</v>
      </c>
      <c r="P295" s="80">
        <f t="shared" si="230"/>
        <v>0</v>
      </c>
      <c r="Q295" s="76">
        <f>VLOOKUP(C295,Others!$L$10:$M$61,2)</f>
        <v>0</v>
      </c>
      <c r="R295" s="11">
        <f t="shared" si="213"/>
        <v>0</v>
      </c>
      <c r="S295" s="80">
        <f t="shared" si="231"/>
        <v>0</v>
      </c>
      <c r="T295" s="78">
        <f t="shared" si="232"/>
        <v>0</v>
      </c>
      <c r="U295" s="81">
        <f t="shared" si="233"/>
        <v>0</v>
      </c>
      <c r="V295" s="81">
        <f t="shared" si="234"/>
        <v>0</v>
      </c>
      <c r="W295" s="77">
        <f t="shared" si="214"/>
        <v>0</v>
      </c>
      <c r="X295" s="82">
        <f t="shared" si="235"/>
        <v>0</v>
      </c>
      <c r="Y295" s="82">
        <f t="shared" si="236"/>
        <v>0</v>
      </c>
      <c r="Z295" s="82">
        <f t="shared" si="237"/>
        <v>0</v>
      </c>
      <c r="AA295" s="82">
        <f t="shared" si="238"/>
        <v>0</v>
      </c>
      <c r="AC295" s="46">
        <f t="shared" si="215"/>
        <v>0</v>
      </c>
      <c r="AD295" s="15">
        <f t="shared" si="239"/>
        <v>0</v>
      </c>
      <c r="AE295" s="46">
        <f t="shared" si="240"/>
        <v>0</v>
      </c>
      <c r="AF295" s="15">
        <f t="shared" si="241"/>
        <v>0</v>
      </c>
      <c r="AG295" s="46">
        <f>SUMPRODUCT(AE296:AE$605, $I295:$I$604) / $I295</f>
        <v>0</v>
      </c>
      <c r="AI295" s="46">
        <f t="shared" si="216"/>
        <v>0</v>
      </c>
      <c r="AJ295" s="46">
        <f>IF(E295&gt;Mat_Year,0,  -SUM($AD$5:AD295))</f>
        <v>0</v>
      </c>
      <c r="AK295" s="24">
        <f t="shared" si="242"/>
        <v>0</v>
      </c>
      <c r="AL295" s="79">
        <f t="shared" si="243"/>
        <v>0</v>
      </c>
      <c r="AM295" s="24">
        <f t="shared" si="244"/>
        <v>0</v>
      </c>
      <c r="AN295" s="79">
        <f t="shared" si="245"/>
        <v>0</v>
      </c>
      <c r="AO295" s="15">
        <f t="shared" si="246"/>
        <v>0</v>
      </c>
      <c r="AP295" s="46">
        <f>SUMPRODUCT(AN296:AN$605, $I296:$I$605) / $I295</f>
        <v>0</v>
      </c>
      <c r="AR295" s="46">
        <v>0</v>
      </c>
      <c r="AS295" s="46">
        <v>0</v>
      </c>
      <c r="AT295" s="46">
        <v>0</v>
      </c>
      <c r="AU295" s="95">
        <f t="shared" si="217"/>
        <v>0</v>
      </c>
      <c r="AV295" s="47">
        <f t="shared" si="218"/>
        <v>0.1</v>
      </c>
      <c r="AW295" s="96">
        <f t="shared" si="247"/>
        <v>0</v>
      </c>
      <c r="AX295" s="95">
        <f t="shared" si="219"/>
        <v>0</v>
      </c>
      <c r="AY295" s="11">
        <f t="shared" si="220"/>
        <v>0.1</v>
      </c>
      <c r="AZ295" s="96">
        <f t="shared" si="248"/>
        <v>0</v>
      </c>
      <c r="BA295" s="95">
        <f t="shared" si="249"/>
        <v>0</v>
      </c>
      <c r="BB295" s="64">
        <f t="shared" si="250"/>
        <v>0</v>
      </c>
      <c r="BC295" s="95">
        <f t="shared" si="262"/>
        <v>0</v>
      </c>
      <c r="BD295" s="96">
        <f t="shared" si="262"/>
        <v>0</v>
      </c>
      <c r="BE295" s="96">
        <f t="shared" si="251"/>
        <v>0</v>
      </c>
      <c r="BF295" s="96">
        <f t="shared" si="252"/>
        <v>0</v>
      </c>
      <c r="BG295" s="15">
        <f t="shared" si="253"/>
        <v>0</v>
      </c>
      <c r="BH295" s="46">
        <f>(SUMPRODUCT(BE296:BE$605,$I295:$I$604)+SUMPRODUCT(BF296:BF$605,$I296:$I$605)) / $I295</f>
        <v>0</v>
      </c>
      <c r="BJ295" s="46">
        <f t="shared" si="254"/>
        <v>0</v>
      </c>
      <c r="BK295" s="46">
        <f t="shared" si="255"/>
        <v>0</v>
      </c>
      <c r="BM295" s="49">
        <f t="shared" si="221"/>
        <v>0</v>
      </c>
      <c r="BN295" s="50">
        <f t="shared" si="256"/>
        <v>0</v>
      </c>
      <c r="BP295" s="68">
        <f>INDEX(Others!$H$11:$I$60, MATCH(C295, Others!$A$11:$A$60, 0), MATCH(BP$3, Others!$H$10:$I$10, 0))</f>
        <v>3.0518181818181833E-2</v>
      </c>
      <c r="BQ295" s="16">
        <f t="shared" si="257"/>
        <v>2.5082875760633616E-3</v>
      </c>
      <c r="BR295" s="69">
        <f t="shared" si="258"/>
        <v>0.48356446554135279</v>
      </c>
      <c r="BT295" s="46">
        <f t="shared" si="259"/>
        <v>0</v>
      </c>
      <c r="BU295" s="49">
        <f t="shared" si="222"/>
        <v>0</v>
      </c>
      <c r="BV295" s="46">
        <f t="shared" si="260"/>
        <v>0</v>
      </c>
      <c r="BX295" s="46">
        <f t="shared" si="261"/>
        <v>0</v>
      </c>
    </row>
    <row r="296" spans="1:76" x14ac:dyDescent="0.25">
      <c r="A296" s="61">
        <f t="shared" si="211"/>
        <v>24.249999999999925</v>
      </c>
      <c r="B296" s="32">
        <f t="shared" si="223"/>
        <v>3</v>
      </c>
      <c r="C296" s="62">
        <f t="shared" si="224"/>
        <v>25</v>
      </c>
      <c r="D296" s="64">
        <f t="shared" si="225"/>
        <v>24.749999999999925</v>
      </c>
      <c r="E296" s="28">
        <f t="shared" si="226"/>
        <v>24</v>
      </c>
      <c r="G296" s="68">
        <f>INDEX(Others!$D$11:$E$60, MATCH(C296, Others!$A$11:$A$60, 0), MATCH(G$3, Others!$D$10:$E$10, 0))</f>
        <v>4.0690909090909111E-2</v>
      </c>
      <c r="H296" s="16">
        <f t="shared" si="227"/>
        <v>3.329265421250005E-3</v>
      </c>
      <c r="I296" s="69">
        <f t="shared" si="228"/>
        <v>0.38014326470713283</v>
      </c>
      <c r="K296" s="80" t="e">
        <f>INDEX(Mortality!$B$7:$F$32, MATCH( E296,Mortality!$A$7:$A$32, 0), MATCH( K$3,Mortality!$B$6:$F$6,0))</f>
        <v>#N/A</v>
      </c>
      <c r="L296" s="11" cm="1">
        <f t="array" ref="L296">PAD_Res_Mort</f>
        <v>0.15</v>
      </c>
      <c r="M296" s="80">
        <f t="shared" si="229"/>
        <v>0</v>
      </c>
      <c r="N296" s="76" t="e">
        <f>INDEX('Myopia_(Reserve)'!$H:$H, MATCH(E296, 'Myopia_(Reserve)'!$A:$A, 0)) * Trend_Factor_Reserve^(A296)</f>
        <v>#N/A</v>
      </c>
      <c r="O296" s="11">
        <f t="shared" si="212"/>
        <v>0.3</v>
      </c>
      <c r="P296" s="80">
        <f t="shared" si="230"/>
        <v>0</v>
      </c>
      <c r="Q296" s="76">
        <f>VLOOKUP(C296,Others!$L$10:$M$61,2)</f>
        <v>0</v>
      </c>
      <c r="R296" s="11">
        <f t="shared" si="213"/>
        <v>0</v>
      </c>
      <c r="S296" s="80">
        <f t="shared" si="231"/>
        <v>0</v>
      </c>
      <c r="T296" s="78">
        <f t="shared" si="232"/>
        <v>0</v>
      </c>
      <c r="U296" s="81">
        <f t="shared" si="233"/>
        <v>0</v>
      </c>
      <c r="V296" s="81">
        <f t="shared" si="234"/>
        <v>0</v>
      </c>
      <c r="W296" s="77">
        <f t="shared" si="214"/>
        <v>0</v>
      </c>
      <c r="X296" s="82">
        <f t="shared" si="235"/>
        <v>0</v>
      </c>
      <c r="Y296" s="82">
        <f t="shared" si="236"/>
        <v>0</v>
      </c>
      <c r="Z296" s="82">
        <f t="shared" si="237"/>
        <v>0</v>
      </c>
      <c r="AA296" s="82">
        <f t="shared" si="238"/>
        <v>0</v>
      </c>
      <c r="AC296" s="46">
        <f t="shared" si="215"/>
        <v>0</v>
      </c>
      <c r="AD296" s="15">
        <f t="shared" si="239"/>
        <v>0</v>
      </c>
      <c r="AE296" s="46">
        <f t="shared" si="240"/>
        <v>0</v>
      </c>
      <c r="AF296" s="15">
        <f t="shared" si="241"/>
        <v>0</v>
      </c>
      <c r="AG296" s="46">
        <f>SUMPRODUCT(AE297:AE$605, $I296:$I$604) / $I296</f>
        <v>0</v>
      </c>
      <c r="AI296" s="46">
        <f t="shared" si="216"/>
        <v>0</v>
      </c>
      <c r="AJ296" s="46">
        <f>IF(E296&gt;Mat_Year,0,  -SUM($AD$5:AD296))</f>
        <v>0</v>
      </c>
      <c r="AK296" s="24">
        <f t="shared" si="242"/>
        <v>0</v>
      </c>
      <c r="AL296" s="79">
        <f t="shared" si="243"/>
        <v>0</v>
      </c>
      <c r="AM296" s="24">
        <f t="shared" si="244"/>
        <v>0</v>
      </c>
      <c r="AN296" s="79">
        <f t="shared" si="245"/>
        <v>0</v>
      </c>
      <c r="AO296" s="15">
        <f t="shared" si="246"/>
        <v>0</v>
      </c>
      <c r="AP296" s="46">
        <f>SUMPRODUCT(AN297:AN$605, $I297:$I$605) / $I296</f>
        <v>0</v>
      </c>
      <c r="AR296" s="46">
        <v>0</v>
      </c>
      <c r="AS296" s="46">
        <v>0</v>
      </c>
      <c r="AT296" s="46">
        <v>0</v>
      </c>
      <c r="AU296" s="95">
        <f t="shared" si="217"/>
        <v>0</v>
      </c>
      <c r="AV296" s="47">
        <f t="shared" si="218"/>
        <v>0.1</v>
      </c>
      <c r="AW296" s="96">
        <f t="shared" si="247"/>
        <v>0</v>
      </c>
      <c r="AX296" s="95">
        <f t="shared" si="219"/>
        <v>0</v>
      </c>
      <c r="AY296" s="11">
        <f t="shared" si="220"/>
        <v>0.1</v>
      </c>
      <c r="AZ296" s="96">
        <f t="shared" si="248"/>
        <v>0</v>
      </c>
      <c r="BA296" s="95">
        <f t="shared" si="249"/>
        <v>0</v>
      </c>
      <c r="BB296" s="64">
        <f t="shared" si="250"/>
        <v>0</v>
      </c>
      <c r="BC296" s="95">
        <f t="shared" si="262"/>
        <v>0</v>
      </c>
      <c r="BD296" s="96">
        <f t="shared" si="262"/>
        <v>0</v>
      </c>
      <c r="BE296" s="96">
        <f t="shared" si="251"/>
        <v>0</v>
      </c>
      <c r="BF296" s="96">
        <f t="shared" si="252"/>
        <v>0</v>
      </c>
      <c r="BG296" s="15">
        <f t="shared" si="253"/>
        <v>0</v>
      </c>
      <c r="BH296" s="46">
        <f>(SUMPRODUCT(BE297:BE$605,$I296:$I$604)+SUMPRODUCT(BF297:BF$605,$I297:$I$605)) / $I296</f>
        <v>0</v>
      </c>
      <c r="BJ296" s="46">
        <f t="shared" si="254"/>
        <v>0</v>
      </c>
      <c r="BK296" s="46">
        <f t="shared" si="255"/>
        <v>0</v>
      </c>
      <c r="BM296" s="49">
        <f t="shared" si="221"/>
        <v>0</v>
      </c>
      <c r="BN296" s="50">
        <f t="shared" si="256"/>
        <v>0</v>
      </c>
      <c r="BP296" s="68">
        <f>INDEX(Others!$H$11:$I$60, MATCH(C296, Others!$A$11:$A$60, 0), MATCH(BP$3, Others!$H$10:$I$10, 0))</f>
        <v>3.0518181818181833E-2</v>
      </c>
      <c r="BQ296" s="16">
        <f t="shared" si="257"/>
        <v>2.5082875760633616E-3</v>
      </c>
      <c r="BR296" s="69">
        <f t="shared" si="258"/>
        <v>0.48235458153722571</v>
      </c>
      <c r="BT296" s="46">
        <f t="shared" si="259"/>
        <v>0</v>
      </c>
      <c r="BU296" s="49">
        <f t="shared" si="222"/>
        <v>0</v>
      </c>
      <c r="BV296" s="46">
        <f t="shared" si="260"/>
        <v>0</v>
      </c>
      <c r="BX296" s="46">
        <f t="shared" si="261"/>
        <v>0</v>
      </c>
    </row>
    <row r="297" spans="1:76" x14ac:dyDescent="0.25">
      <c r="A297" s="61">
        <f t="shared" si="211"/>
        <v>24.333333333333258</v>
      </c>
      <c r="B297" s="32">
        <f t="shared" si="223"/>
        <v>4</v>
      </c>
      <c r="C297" s="62">
        <f t="shared" si="224"/>
        <v>25</v>
      </c>
      <c r="D297" s="64">
        <f t="shared" si="225"/>
        <v>24.833333333333258</v>
      </c>
      <c r="E297" s="28">
        <f t="shared" si="226"/>
        <v>24</v>
      </c>
      <c r="G297" s="68">
        <f>INDEX(Others!$D$11:$E$60, MATCH(C297, Others!$A$11:$A$60, 0), MATCH(G$3, Others!$D$10:$E$10, 0))</f>
        <v>4.0690909090909111E-2</v>
      </c>
      <c r="H297" s="16">
        <f t="shared" si="227"/>
        <v>3.329265421250005E-3</v>
      </c>
      <c r="I297" s="69">
        <f t="shared" si="228"/>
        <v>0.37888186641055349</v>
      </c>
      <c r="K297" s="80" t="e">
        <f>INDEX(Mortality!$B$7:$F$32, MATCH( E297,Mortality!$A$7:$A$32, 0), MATCH( K$3,Mortality!$B$6:$F$6,0))</f>
        <v>#N/A</v>
      </c>
      <c r="L297" s="11" cm="1">
        <f t="array" ref="L297">PAD_Res_Mort</f>
        <v>0.15</v>
      </c>
      <c r="M297" s="80">
        <f t="shared" si="229"/>
        <v>0</v>
      </c>
      <c r="N297" s="76" t="e">
        <f>INDEX('Myopia_(Reserve)'!$H:$H, MATCH(E297, 'Myopia_(Reserve)'!$A:$A, 0)) * Trend_Factor_Reserve^(A297)</f>
        <v>#N/A</v>
      </c>
      <c r="O297" s="11">
        <f t="shared" si="212"/>
        <v>0.3</v>
      </c>
      <c r="P297" s="80">
        <f t="shared" si="230"/>
        <v>0</v>
      </c>
      <c r="Q297" s="76">
        <f>VLOOKUP(C297,Others!$L$10:$M$61,2)</f>
        <v>0</v>
      </c>
      <c r="R297" s="11">
        <f t="shared" si="213"/>
        <v>0</v>
      </c>
      <c r="S297" s="80">
        <f t="shared" si="231"/>
        <v>0</v>
      </c>
      <c r="T297" s="78">
        <f t="shared" si="232"/>
        <v>0</v>
      </c>
      <c r="U297" s="81">
        <f t="shared" si="233"/>
        <v>0</v>
      </c>
      <c r="V297" s="81">
        <f t="shared" si="234"/>
        <v>0</v>
      </c>
      <c r="W297" s="77">
        <f t="shared" si="214"/>
        <v>0</v>
      </c>
      <c r="X297" s="82">
        <f t="shared" si="235"/>
        <v>0</v>
      </c>
      <c r="Y297" s="82">
        <f t="shared" si="236"/>
        <v>0</v>
      </c>
      <c r="Z297" s="82">
        <f t="shared" si="237"/>
        <v>0</v>
      </c>
      <c r="AA297" s="82">
        <f t="shared" si="238"/>
        <v>0</v>
      </c>
      <c r="AC297" s="46">
        <f t="shared" si="215"/>
        <v>0</v>
      </c>
      <c r="AD297" s="15">
        <f t="shared" si="239"/>
        <v>0</v>
      </c>
      <c r="AE297" s="46">
        <f t="shared" si="240"/>
        <v>0</v>
      </c>
      <c r="AF297" s="15">
        <f t="shared" si="241"/>
        <v>0</v>
      </c>
      <c r="AG297" s="46">
        <f>SUMPRODUCT(AE298:AE$605, $I297:$I$604) / $I297</f>
        <v>0</v>
      </c>
      <c r="AI297" s="46">
        <f t="shared" si="216"/>
        <v>0</v>
      </c>
      <c r="AJ297" s="46">
        <f>IF(E297&gt;Mat_Year,0,  -SUM($AD$5:AD297))</f>
        <v>0</v>
      </c>
      <c r="AK297" s="24">
        <f t="shared" si="242"/>
        <v>0</v>
      </c>
      <c r="AL297" s="79">
        <f t="shared" si="243"/>
        <v>0</v>
      </c>
      <c r="AM297" s="24">
        <f t="shared" si="244"/>
        <v>0</v>
      </c>
      <c r="AN297" s="79">
        <f t="shared" si="245"/>
        <v>0</v>
      </c>
      <c r="AO297" s="15">
        <f t="shared" si="246"/>
        <v>0</v>
      </c>
      <c r="AP297" s="46">
        <f>SUMPRODUCT(AN298:AN$605, $I298:$I$605) / $I297</f>
        <v>0</v>
      </c>
      <c r="AR297" s="46">
        <v>0</v>
      </c>
      <c r="AS297" s="46">
        <v>0</v>
      </c>
      <c r="AT297" s="46">
        <v>0</v>
      </c>
      <c r="AU297" s="95">
        <f t="shared" si="217"/>
        <v>0</v>
      </c>
      <c r="AV297" s="47">
        <f t="shared" si="218"/>
        <v>0.1</v>
      </c>
      <c r="AW297" s="96">
        <f t="shared" si="247"/>
        <v>0</v>
      </c>
      <c r="AX297" s="95">
        <f t="shared" si="219"/>
        <v>0</v>
      </c>
      <c r="AY297" s="11">
        <f t="shared" si="220"/>
        <v>0.1</v>
      </c>
      <c r="AZ297" s="96">
        <f t="shared" si="248"/>
        <v>0</v>
      </c>
      <c r="BA297" s="95">
        <f t="shared" si="249"/>
        <v>0</v>
      </c>
      <c r="BB297" s="64">
        <f t="shared" si="250"/>
        <v>0</v>
      </c>
      <c r="BC297" s="95">
        <f t="shared" si="262"/>
        <v>0</v>
      </c>
      <c r="BD297" s="96">
        <f t="shared" si="262"/>
        <v>0</v>
      </c>
      <c r="BE297" s="96">
        <f t="shared" si="251"/>
        <v>0</v>
      </c>
      <c r="BF297" s="96">
        <f t="shared" si="252"/>
        <v>0</v>
      </c>
      <c r="BG297" s="15">
        <f t="shared" si="253"/>
        <v>0</v>
      </c>
      <c r="BH297" s="46">
        <f>(SUMPRODUCT(BE298:BE$605,$I297:$I$604)+SUMPRODUCT(BF298:BF$605,$I298:$I$605)) / $I297</f>
        <v>0</v>
      </c>
      <c r="BJ297" s="46">
        <f t="shared" si="254"/>
        <v>0</v>
      </c>
      <c r="BK297" s="46">
        <f t="shared" si="255"/>
        <v>0</v>
      </c>
      <c r="BM297" s="49">
        <f t="shared" si="221"/>
        <v>0</v>
      </c>
      <c r="BN297" s="50">
        <f t="shared" si="256"/>
        <v>0</v>
      </c>
      <c r="BP297" s="68">
        <f>INDEX(Others!$H$11:$I$60, MATCH(C297, Others!$A$11:$A$60, 0), MATCH(BP$3, Others!$H$10:$I$10, 0))</f>
        <v>3.0518181818181833E-2</v>
      </c>
      <c r="BQ297" s="16">
        <f t="shared" si="257"/>
        <v>2.5082875760633616E-3</v>
      </c>
      <c r="BR297" s="69">
        <f t="shared" si="258"/>
        <v>0.48114772467716682</v>
      </c>
      <c r="BT297" s="46">
        <f t="shared" si="259"/>
        <v>0</v>
      </c>
      <c r="BU297" s="49">
        <f t="shared" si="222"/>
        <v>0</v>
      </c>
      <c r="BV297" s="46">
        <f t="shared" si="260"/>
        <v>0</v>
      </c>
      <c r="BX297" s="46">
        <f t="shared" si="261"/>
        <v>0</v>
      </c>
    </row>
    <row r="298" spans="1:76" x14ac:dyDescent="0.25">
      <c r="A298" s="61">
        <f t="shared" si="211"/>
        <v>24.41666666666659</v>
      </c>
      <c r="B298" s="32">
        <f t="shared" si="223"/>
        <v>5</v>
      </c>
      <c r="C298" s="62">
        <f t="shared" si="224"/>
        <v>25</v>
      </c>
      <c r="D298" s="64">
        <f t="shared" si="225"/>
        <v>24.91666666666659</v>
      </c>
      <c r="E298" s="28">
        <f t="shared" si="226"/>
        <v>24</v>
      </c>
      <c r="G298" s="68">
        <f>INDEX(Others!$D$11:$E$60, MATCH(C298, Others!$A$11:$A$60, 0), MATCH(G$3, Others!$D$10:$E$10, 0))</f>
        <v>4.0690909090909111E-2</v>
      </c>
      <c r="H298" s="16">
        <f t="shared" si="227"/>
        <v>3.329265421250005E-3</v>
      </c>
      <c r="I298" s="69">
        <f t="shared" si="228"/>
        <v>0.37762465370874942</v>
      </c>
      <c r="K298" s="80" t="e">
        <f>INDEX(Mortality!$B$7:$F$32, MATCH( E298,Mortality!$A$7:$A$32, 0), MATCH( K$3,Mortality!$B$6:$F$6,0))</f>
        <v>#N/A</v>
      </c>
      <c r="L298" s="11" cm="1">
        <f t="array" ref="L298">PAD_Res_Mort</f>
        <v>0.15</v>
      </c>
      <c r="M298" s="80">
        <f t="shared" si="229"/>
        <v>0</v>
      </c>
      <c r="N298" s="76" t="e">
        <f>INDEX('Myopia_(Reserve)'!$H:$H, MATCH(E298, 'Myopia_(Reserve)'!$A:$A, 0)) * Trend_Factor_Reserve^(A298)</f>
        <v>#N/A</v>
      </c>
      <c r="O298" s="11">
        <f t="shared" si="212"/>
        <v>0.3</v>
      </c>
      <c r="P298" s="80">
        <f t="shared" si="230"/>
        <v>0</v>
      </c>
      <c r="Q298" s="76">
        <f>VLOOKUP(C298,Others!$L$10:$M$61,2)</f>
        <v>0</v>
      </c>
      <c r="R298" s="11">
        <f t="shared" si="213"/>
        <v>0</v>
      </c>
      <c r="S298" s="80">
        <f t="shared" si="231"/>
        <v>0</v>
      </c>
      <c r="T298" s="78">
        <f t="shared" si="232"/>
        <v>0</v>
      </c>
      <c r="U298" s="81">
        <f t="shared" si="233"/>
        <v>0</v>
      </c>
      <c r="V298" s="81">
        <f t="shared" si="234"/>
        <v>0</v>
      </c>
      <c r="W298" s="77">
        <f t="shared" si="214"/>
        <v>0</v>
      </c>
      <c r="X298" s="82">
        <f t="shared" si="235"/>
        <v>0</v>
      </c>
      <c r="Y298" s="82">
        <f t="shared" si="236"/>
        <v>0</v>
      </c>
      <c r="Z298" s="82">
        <f t="shared" si="237"/>
        <v>0</v>
      </c>
      <c r="AA298" s="82">
        <f t="shared" si="238"/>
        <v>0</v>
      </c>
      <c r="AC298" s="46">
        <f t="shared" si="215"/>
        <v>0</v>
      </c>
      <c r="AD298" s="15">
        <f t="shared" si="239"/>
        <v>0</v>
      </c>
      <c r="AE298" s="46">
        <f t="shared" si="240"/>
        <v>0</v>
      </c>
      <c r="AF298" s="15">
        <f t="shared" si="241"/>
        <v>0</v>
      </c>
      <c r="AG298" s="46">
        <f>SUMPRODUCT(AE299:AE$605, $I298:$I$604) / $I298</f>
        <v>0</v>
      </c>
      <c r="AI298" s="46">
        <f t="shared" si="216"/>
        <v>0</v>
      </c>
      <c r="AJ298" s="46">
        <f>IF(E298&gt;Mat_Year,0,  -SUM($AD$5:AD298))</f>
        <v>0</v>
      </c>
      <c r="AK298" s="24">
        <f t="shared" si="242"/>
        <v>0</v>
      </c>
      <c r="AL298" s="79">
        <f t="shared" si="243"/>
        <v>0</v>
      </c>
      <c r="AM298" s="24">
        <f t="shared" si="244"/>
        <v>0</v>
      </c>
      <c r="AN298" s="79">
        <f t="shared" si="245"/>
        <v>0</v>
      </c>
      <c r="AO298" s="15">
        <f t="shared" si="246"/>
        <v>0</v>
      </c>
      <c r="AP298" s="46">
        <f>SUMPRODUCT(AN299:AN$605, $I299:$I$605) / $I298</f>
        <v>0</v>
      </c>
      <c r="AR298" s="46">
        <v>0</v>
      </c>
      <c r="AS298" s="46">
        <v>0</v>
      </c>
      <c r="AT298" s="46">
        <v>0</v>
      </c>
      <c r="AU298" s="95">
        <f t="shared" si="217"/>
        <v>0</v>
      </c>
      <c r="AV298" s="47">
        <f t="shared" si="218"/>
        <v>0.1</v>
      </c>
      <c r="AW298" s="96">
        <f t="shared" si="247"/>
        <v>0</v>
      </c>
      <c r="AX298" s="95">
        <f t="shared" si="219"/>
        <v>0</v>
      </c>
      <c r="AY298" s="11">
        <f t="shared" si="220"/>
        <v>0.1</v>
      </c>
      <c r="AZ298" s="96">
        <f t="shared" si="248"/>
        <v>0</v>
      </c>
      <c r="BA298" s="95">
        <f t="shared" si="249"/>
        <v>0</v>
      </c>
      <c r="BB298" s="64">
        <f t="shared" si="250"/>
        <v>0</v>
      </c>
      <c r="BC298" s="95">
        <f t="shared" si="262"/>
        <v>0</v>
      </c>
      <c r="BD298" s="96">
        <f t="shared" si="262"/>
        <v>0</v>
      </c>
      <c r="BE298" s="96">
        <f t="shared" si="251"/>
        <v>0</v>
      </c>
      <c r="BF298" s="96">
        <f t="shared" si="252"/>
        <v>0</v>
      </c>
      <c r="BG298" s="15">
        <f t="shared" si="253"/>
        <v>0</v>
      </c>
      <c r="BH298" s="46">
        <f>(SUMPRODUCT(BE299:BE$605,$I298:$I$604)+SUMPRODUCT(BF299:BF$605,$I299:$I$605)) / $I298</f>
        <v>0</v>
      </c>
      <c r="BJ298" s="46">
        <f t="shared" si="254"/>
        <v>0</v>
      </c>
      <c r="BK298" s="46">
        <f t="shared" si="255"/>
        <v>0</v>
      </c>
      <c r="BM298" s="49">
        <f t="shared" si="221"/>
        <v>0</v>
      </c>
      <c r="BN298" s="50">
        <f t="shared" si="256"/>
        <v>0</v>
      </c>
      <c r="BP298" s="68">
        <f>INDEX(Others!$H$11:$I$60, MATCH(C298, Others!$A$11:$A$60, 0), MATCH(BP$3, Others!$H$10:$I$10, 0))</f>
        <v>3.0518181818181833E-2</v>
      </c>
      <c r="BQ298" s="16">
        <f t="shared" si="257"/>
        <v>2.5082875760633616E-3</v>
      </c>
      <c r="BR298" s="69">
        <f t="shared" si="258"/>
        <v>0.47994388738722588</v>
      </c>
      <c r="BT298" s="46">
        <f t="shared" si="259"/>
        <v>0</v>
      </c>
      <c r="BU298" s="49">
        <f t="shared" si="222"/>
        <v>0</v>
      </c>
      <c r="BV298" s="46">
        <f t="shared" si="260"/>
        <v>0</v>
      </c>
      <c r="BX298" s="46">
        <f t="shared" si="261"/>
        <v>0</v>
      </c>
    </row>
    <row r="299" spans="1:76" x14ac:dyDescent="0.25">
      <c r="A299" s="61">
        <f t="shared" si="211"/>
        <v>24.499999999999922</v>
      </c>
      <c r="B299" s="32">
        <f t="shared" si="223"/>
        <v>6</v>
      </c>
      <c r="C299" s="62">
        <f t="shared" si="224"/>
        <v>25</v>
      </c>
      <c r="D299" s="64">
        <f t="shared" si="225"/>
        <v>24.999999999999922</v>
      </c>
      <c r="E299" s="28">
        <f t="shared" si="226"/>
        <v>25</v>
      </c>
      <c r="G299" s="68">
        <f>INDEX(Others!$D$11:$E$60, MATCH(C299, Others!$A$11:$A$60, 0), MATCH(G$3, Others!$D$10:$E$10, 0))</f>
        <v>4.0690909090909111E-2</v>
      </c>
      <c r="H299" s="16">
        <f t="shared" si="227"/>
        <v>3.329265421250005E-3</v>
      </c>
      <c r="I299" s="69">
        <f t="shared" si="228"/>
        <v>0.3763716127130039</v>
      </c>
      <c r="K299" s="80" t="e">
        <f>INDEX(Mortality!$B$7:$F$32, MATCH( E299,Mortality!$A$7:$A$32, 0), MATCH( K$3,Mortality!$B$6:$F$6,0))</f>
        <v>#N/A</v>
      </c>
      <c r="L299" s="11" cm="1">
        <f t="array" ref="L299">PAD_Res_Mort</f>
        <v>0.15</v>
      </c>
      <c r="M299" s="80">
        <f t="shared" si="229"/>
        <v>0</v>
      </c>
      <c r="N299" s="76" t="e">
        <f>INDEX('Myopia_(Reserve)'!$H:$H, MATCH(E299, 'Myopia_(Reserve)'!$A:$A, 0)) * Trend_Factor_Reserve^(A299)</f>
        <v>#N/A</v>
      </c>
      <c r="O299" s="11">
        <f t="shared" si="212"/>
        <v>0.3</v>
      </c>
      <c r="P299" s="80">
        <f t="shared" si="230"/>
        <v>0</v>
      </c>
      <c r="Q299" s="76">
        <f>VLOOKUP(C299,Others!$L$10:$M$61,2)</f>
        <v>0</v>
      </c>
      <c r="R299" s="11">
        <f t="shared" si="213"/>
        <v>0</v>
      </c>
      <c r="S299" s="80">
        <f t="shared" si="231"/>
        <v>0</v>
      </c>
      <c r="T299" s="78">
        <f t="shared" si="232"/>
        <v>0</v>
      </c>
      <c r="U299" s="81">
        <f t="shared" si="233"/>
        <v>0</v>
      </c>
      <c r="V299" s="81">
        <f t="shared" si="234"/>
        <v>0</v>
      </c>
      <c r="W299" s="77">
        <f t="shared" si="214"/>
        <v>0</v>
      </c>
      <c r="X299" s="82">
        <f t="shared" si="235"/>
        <v>0</v>
      </c>
      <c r="Y299" s="82">
        <f t="shared" si="236"/>
        <v>0</v>
      </c>
      <c r="Z299" s="82">
        <f t="shared" si="237"/>
        <v>0</v>
      </c>
      <c r="AA299" s="82">
        <f t="shared" si="238"/>
        <v>0</v>
      </c>
      <c r="AC299" s="46">
        <f t="shared" si="215"/>
        <v>0</v>
      </c>
      <c r="AD299" s="15">
        <f t="shared" si="239"/>
        <v>0</v>
      </c>
      <c r="AE299" s="46">
        <f t="shared" si="240"/>
        <v>0</v>
      </c>
      <c r="AF299" s="15">
        <f t="shared" si="241"/>
        <v>0</v>
      </c>
      <c r="AG299" s="46">
        <f>SUMPRODUCT(AE300:AE$605, $I299:$I$604) / $I299</f>
        <v>0</v>
      </c>
      <c r="AI299" s="46">
        <f t="shared" si="216"/>
        <v>0</v>
      </c>
      <c r="AJ299" s="46">
        <f>IF(E299&gt;Mat_Year,0,  -SUM($AD$5:AD299))</f>
        <v>0</v>
      </c>
      <c r="AK299" s="24">
        <f t="shared" si="242"/>
        <v>0</v>
      </c>
      <c r="AL299" s="79">
        <f t="shared" si="243"/>
        <v>0</v>
      </c>
      <c r="AM299" s="24">
        <f t="shared" si="244"/>
        <v>0</v>
      </c>
      <c r="AN299" s="79">
        <f t="shared" si="245"/>
        <v>0</v>
      </c>
      <c r="AO299" s="15">
        <f t="shared" si="246"/>
        <v>0</v>
      </c>
      <c r="AP299" s="46">
        <f>SUMPRODUCT(AN300:AN$605, $I300:$I$605) / $I299</f>
        <v>0</v>
      </c>
      <c r="AR299" s="46">
        <v>0</v>
      </c>
      <c r="AS299" s="46">
        <v>0</v>
      </c>
      <c r="AT299" s="46">
        <v>0</v>
      </c>
      <c r="AU299" s="95">
        <f t="shared" si="217"/>
        <v>0</v>
      </c>
      <c r="AV299" s="47">
        <f t="shared" si="218"/>
        <v>0.1</v>
      </c>
      <c r="AW299" s="96">
        <f t="shared" si="247"/>
        <v>0</v>
      </c>
      <c r="AX299" s="95">
        <f t="shared" si="219"/>
        <v>0</v>
      </c>
      <c r="AY299" s="11">
        <f t="shared" si="220"/>
        <v>0.1</v>
      </c>
      <c r="AZ299" s="96">
        <f t="shared" si="248"/>
        <v>0</v>
      </c>
      <c r="BA299" s="95">
        <f t="shared" si="249"/>
        <v>0</v>
      </c>
      <c r="BB299" s="64">
        <f t="shared" si="250"/>
        <v>0</v>
      </c>
      <c r="BC299" s="95">
        <f t="shared" si="262"/>
        <v>0</v>
      </c>
      <c r="BD299" s="96">
        <f t="shared" si="262"/>
        <v>0</v>
      </c>
      <c r="BE299" s="96">
        <f t="shared" si="251"/>
        <v>0</v>
      </c>
      <c r="BF299" s="96">
        <f t="shared" si="252"/>
        <v>0</v>
      </c>
      <c r="BG299" s="15">
        <f t="shared" si="253"/>
        <v>0</v>
      </c>
      <c r="BH299" s="46">
        <f>(SUMPRODUCT(BE300:BE$605,$I299:$I$604)+SUMPRODUCT(BF300:BF$605,$I300:$I$605)) / $I299</f>
        <v>0</v>
      </c>
      <c r="BJ299" s="46">
        <f t="shared" si="254"/>
        <v>0</v>
      </c>
      <c r="BK299" s="46">
        <f t="shared" si="255"/>
        <v>0</v>
      </c>
      <c r="BM299" s="49">
        <f t="shared" si="221"/>
        <v>0</v>
      </c>
      <c r="BN299" s="50">
        <f t="shared" si="256"/>
        <v>0</v>
      </c>
      <c r="BP299" s="68">
        <f>INDEX(Others!$H$11:$I$60, MATCH(C299, Others!$A$11:$A$60, 0), MATCH(BP$3, Others!$H$10:$I$10, 0))</f>
        <v>3.0518181818181833E-2</v>
      </c>
      <c r="BQ299" s="16">
        <f t="shared" si="257"/>
        <v>2.5082875760633616E-3</v>
      </c>
      <c r="BR299" s="69">
        <f t="shared" si="258"/>
        <v>0.47874306211240281</v>
      </c>
      <c r="BT299" s="46">
        <f t="shared" si="259"/>
        <v>0</v>
      </c>
      <c r="BU299" s="49">
        <f t="shared" si="222"/>
        <v>0</v>
      </c>
      <c r="BV299" s="46">
        <f t="shared" si="260"/>
        <v>0</v>
      </c>
      <c r="BX299" s="46">
        <f t="shared" si="261"/>
        <v>0</v>
      </c>
    </row>
    <row r="300" spans="1:76" x14ac:dyDescent="0.25">
      <c r="A300" s="61">
        <f t="shared" si="211"/>
        <v>24.583333333333254</v>
      </c>
      <c r="B300" s="32">
        <f t="shared" si="223"/>
        <v>7</v>
      </c>
      <c r="C300" s="62">
        <f t="shared" si="224"/>
        <v>25</v>
      </c>
      <c r="D300" s="64">
        <f t="shared" si="225"/>
        <v>25.083333333333254</v>
      </c>
      <c r="E300" s="28">
        <f t="shared" si="226"/>
        <v>25</v>
      </c>
      <c r="G300" s="68">
        <f>INDEX(Others!$D$11:$E$60, MATCH(C300, Others!$A$11:$A$60, 0), MATCH(G$3, Others!$D$10:$E$10, 0))</f>
        <v>4.0690909090909111E-2</v>
      </c>
      <c r="H300" s="16">
        <f t="shared" si="227"/>
        <v>3.329265421250005E-3</v>
      </c>
      <c r="I300" s="69">
        <f t="shared" si="228"/>
        <v>0.37512272958068599</v>
      </c>
      <c r="K300" s="80" t="e">
        <f>INDEX(Mortality!$B$7:$F$32, MATCH( E300,Mortality!$A$7:$A$32, 0), MATCH( K$3,Mortality!$B$6:$F$6,0))</f>
        <v>#N/A</v>
      </c>
      <c r="L300" s="11" cm="1">
        <f t="array" ref="L300">PAD_Res_Mort</f>
        <v>0.15</v>
      </c>
      <c r="M300" s="80">
        <f t="shared" si="229"/>
        <v>0</v>
      </c>
      <c r="N300" s="76" t="e">
        <f>INDEX('Myopia_(Reserve)'!$H:$H, MATCH(E300, 'Myopia_(Reserve)'!$A:$A, 0)) * Trend_Factor_Reserve^(A300)</f>
        <v>#N/A</v>
      </c>
      <c r="O300" s="11">
        <f t="shared" si="212"/>
        <v>0.3</v>
      </c>
      <c r="P300" s="80">
        <f t="shared" si="230"/>
        <v>0</v>
      </c>
      <c r="Q300" s="76">
        <f>VLOOKUP(C300,Others!$L$10:$M$61,2)</f>
        <v>0</v>
      </c>
      <c r="R300" s="11">
        <f t="shared" si="213"/>
        <v>0</v>
      </c>
      <c r="S300" s="80">
        <f t="shared" si="231"/>
        <v>0</v>
      </c>
      <c r="T300" s="78">
        <f t="shared" si="232"/>
        <v>0</v>
      </c>
      <c r="U300" s="81">
        <f t="shared" si="233"/>
        <v>0</v>
      </c>
      <c r="V300" s="81">
        <f t="shared" si="234"/>
        <v>0</v>
      </c>
      <c r="W300" s="77">
        <f t="shared" si="214"/>
        <v>0</v>
      </c>
      <c r="X300" s="82">
        <f t="shared" si="235"/>
        <v>0</v>
      </c>
      <c r="Y300" s="82">
        <f t="shared" si="236"/>
        <v>0</v>
      </c>
      <c r="Z300" s="82">
        <f t="shared" si="237"/>
        <v>0</v>
      </c>
      <c r="AA300" s="82">
        <f t="shared" si="238"/>
        <v>0</v>
      </c>
      <c r="AC300" s="46">
        <f t="shared" si="215"/>
        <v>0</v>
      </c>
      <c r="AD300" s="15">
        <f t="shared" si="239"/>
        <v>0</v>
      </c>
      <c r="AE300" s="46">
        <f t="shared" si="240"/>
        <v>0</v>
      </c>
      <c r="AF300" s="15">
        <f t="shared" si="241"/>
        <v>0</v>
      </c>
      <c r="AG300" s="46">
        <f>SUMPRODUCT(AE301:AE$605, $I300:$I$604) / $I300</f>
        <v>0</v>
      </c>
      <c r="AI300" s="46">
        <f t="shared" si="216"/>
        <v>0</v>
      </c>
      <c r="AJ300" s="46">
        <f>IF(E300&gt;Mat_Year,0,  -SUM($AD$5:AD300))</f>
        <v>0</v>
      </c>
      <c r="AK300" s="24">
        <f t="shared" si="242"/>
        <v>0</v>
      </c>
      <c r="AL300" s="79">
        <f t="shared" si="243"/>
        <v>0</v>
      </c>
      <c r="AM300" s="24">
        <f t="shared" si="244"/>
        <v>0</v>
      </c>
      <c r="AN300" s="79">
        <f t="shared" si="245"/>
        <v>0</v>
      </c>
      <c r="AO300" s="15">
        <f t="shared" si="246"/>
        <v>0</v>
      </c>
      <c r="AP300" s="46">
        <f>SUMPRODUCT(AN301:AN$605, $I301:$I$605) / $I300</f>
        <v>0</v>
      </c>
      <c r="AR300" s="46">
        <v>0</v>
      </c>
      <c r="AS300" s="46">
        <v>0</v>
      </c>
      <c r="AT300" s="46">
        <v>0</v>
      </c>
      <c r="AU300" s="95">
        <f t="shared" si="217"/>
        <v>0</v>
      </c>
      <c r="AV300" s="47">
        <f t="shared" si="218"/>
        <v>0.1</v>
      </c>
      <c r="AW300" s="96">
        <f t="shared" si="247"/>
        <v>0</v>
      </c>
      <c r="AX300" s="95">
        <f t="shared" si="219"/>
        <v>0</v>
      </c>
      <c r="AY300" s="11">
        <f t="shared" si="220"/>
        <v>0.1</v>
      </c>
      <c r="AZ300" s="96">
        <f t="shared" si="248"/>
        <v>0</v>
      </c>
      <c r="BA300" s="95">
        <f t="shared" si="249"/>
        <v>0</v>
      </c>
      <c r="BB300" s="64">
        <f t="shared" si="250"/>
        <v>0</v>
      </c>
      <c r="BC300" s="95">
        <f t="shared" si="262"/>
        <v>0</v>
      </c>
      <c r="BD300" s="96">
        <f t="shared" si="262"/>
        <v>0</v>
      </c>
      <c r="BE300" s="96">
        <f t="shared" si="251"/>
        <v>0</v>
      </c>
      <c r="BF300" s="96">
        <f t="shared" si="252"/>
        <v>0</v>
      </c>
      <c r="BG300" s="15">
        <f t="shared" si="253"/>
        <v>0</v>
      </c>
      <c r="BH300" s="46">
        <f>(SUMPRODUCT(BE301:BE$605,$I300:$I$604)+SUMPRODUCT(BF301:BF$605,$I301:$I$605)) / $I300</f>
        <v>0</v>
      </c>
      <c r="BJ300" s="46">
        <f t="shared" si="254"/>
        <v>0</v>
      </c>
      <c r="BK300" s="46">
        <f t="shared" si="255"/>
        <v>0</v>
      </c>
      <c r="BM300" s="49">
        <f t="shared" si="221"/>
        <v>0</v>
      </c>
      <c r="BN300" s="50">
        <f t="shared" si="256"/>
        <v>0</v>
      </c>
      <c r="BP300" s="68">
        <f>INDEX(Others!$H$11:$I$60, MATCH(C300, Others!$A$11:$A$60, 0), MATCH(BP$3, Others!$H$10:$I$10, 0))</f>
        <v>3.0518181818181833E-2</v>
      </c>
      <c r="BQ300" s="16">
        <f t="shared" si="257"/>
        <v>2.5082875760633616E-3</v>
      </c>
      <c r="BR300" s="69">
        <f t="shared" si="258"/>
        <v>0.4775452413166002</v>
      </c>
      <c r="BT300" s="46">
        <f t="shared" si="259"/>
        <v>0</v>
      </c>
      <c r="BU300" s="49">
        <f t="shared" si="222"/>
        <v>0</v>
      </c>
      <c r="BV300" s="46">
        <f t="shared" si="260"/>
        <v>0</v>
      </c>
      <c r="BX300" s="46">
        <f t="shared" si="261"/>
        <v>0</v>
      </c>
    </row>
    <row r="301" spans="1:76" x14ac:dyDescent="0.25">
      <c r="A301" s="61">
        <f t="shared" si="211"/>
        <v>24.666666666666586</v>
      </c>
      <c r="B301" s="32">
        <f t="shared" si="223"/>
        <v>8</v>
      </c>
      <c r="C301" s="62">
        <f t="shared" si="224"/>
        <v>25</v>
      </c>
      <c r="D301" s="64">
        <f t="shared" si="225"/>
        <v>25.166666666666586</v>
      </c>
      <c r="E301" s="28">
        <f t="shared" si="226"/>
        <v>25</v>
      </c>
      <c r="G301" s="68">
        <f>INDEX(Others!$D$11:$E$60, MATCH(C301, Others!$A$11:$A$60, 0), MATCH(G$3, Others!$D$10:$E$10, 0))</f>
        <v>4.0690909090909111E-2</v>
      </c>
      <c r="H301" s="16">
        <f t="shared" si="227"/>
        <v>3.329265421250005E-3</v>
      </c>
      <c r="I301" s="69">
        <f t="shared" si="228"/>
        <v>0.37387799051509762</v>
      </c>
      <c r="K301" s="80" t="e">
        <f>INDEX(Mortality!$B$7:$F$32, MATCH( E301,Mortality!$A$7:$A$32, 0), MATCH( K$3,Mortality!$B$6:$F$6,0))</f>
        <v>#N/A</v>
      </c>
      <c r="L301" s="11" cm="1">
        <f t="array" ref="L301">PAD_Res_Mort</f>
        <v>0.15</v>
      </c>
      <c r="M301" s="80">
        <f t="shared" si="229"/>
        <v>0</v>
      </c>
      <c r="N301" s="76" t="e">
        <f>INDEX('Myopia_(Reserve)'!$H:$H, MATCH(E301, 'Myopia_(Reserve)'!$A:$A, 0)) * Trend_Factor_Reserve^(A301)</f>
        <v>#N/A</v>
      </c>
      <c r="O301" s="11">
        <f t="shared" si="212"/>
        <v>0.3</v>
      </c>
      <c r="P301" s="80">
        <f t="shared" si="230"/>
        <v>0</v>
      </c>
      <c r="Q301" s="76">
        <f>VLOOKUP(C301,Others!$L$10:$M$61,2)</f>
        <v>0</v>
      </c>
      <c r="R301" s="11">
        <f t="shared" si="213"/>
        <v>0</v>
      </c>
      <c r="S301" s="80">
        <f t="shared" si="231"/>
        <v>0</v>
      </c>
      <c r="T301" s="78">
        <f t="shared" si="232"/>
        <v>0</v>
      </c>
      <c r="U301" s="81">
        <f t="shared" si="233"/>
        <v>0</v>
      </c>
      <c r="V301" s="81">
        <f t="shared" si="234"/>
        <v>0</v>
      </c>
      <c r="W301" s="77">
        <f t="shared" si="214"/>
        <v>0</v>
      </c>
      <c r="X301" s="82">
        <f t="shared" si="235"/>
        <v>0</v>
      </c>
      <c r="Y301" s="82">
        <f t="shared" si="236"/>
        <v>0</v>
      </c>
      <c r="Z301" s="82">
        <f t="shared" si="237"/>
        <v>0</v>
      </c>
      <c r="AA301" s="82">
        <f t="shared" si="238"/>
        <v>0</v>
      </c>
      <c r="AC301" s="46">
        <f t="shared" si="215"/>
        <v>0</v>
      </c>
      <c r="AD301" s="15">
        <f t="shared" si="239"/>
        <v>0</v>
      </c>
      <c r="AE301" s="46">
        <f t="shared" si="240"/>
        <v>0</v>
      </c>
      <c r="AF301" s="15">
        <f t="shared" si="241"/>
        <v>0</v>
      </c>
      <c r="AG301" s="46">
        <f>SUMPRODUCT(AE302:AE$605, $I301:$I$604) / $I301</f>
        <v>0</v>
      </c>
      <c r="AI301" s="46">
        <f t="shared" si="216"/>
        <v>0</v>
      </c>
      <c r="AJ301" s="46">
        <f>IF(E301&gt;Mat_Year,0,  -SUM($AD$5:AD301))</f>
        <v>0</v>
      </c>
      <c r="AK301" s="24">
        <f t="shared" si="242"/>
        <v>0</v>
      </c>
      <c r="AL301" s="79">
        <f t="shared" si="243"/>
        <v>0</v>
      </c>
      <c r="AM301" s="24">
        <f t="shared" si="244"/>
        <v>0</v>
      </c>
      <c r="AN301" s="79">
        <f t="shared" si="245"/>
        <v>0</v>
      </c>
      <c r="AO301" s="15">
        <f t="shared" si="246"/>
        <v>0</v>
      </c>
      <c r="AP301" s="46">
        <f>SUMPRODUCT(AN302:AN$605, $I302:$I$605) / $I301</f>
        <v>0</v>
      </c>
      <c r="AR301" s="46">
        <v>0</v>
      </c>
      <c r="AS301" s="46">
        <v>0</v>
      </c>
      <c r="AT301" s="46">
        <v>0</v>
      </c>
      <c r="AU301" s="95">
        <f t="shared" si="217"/>
        <v>0</v>
      </c>
      <c r="AV301" s="47">
        <f t="shared" si="218"/>
        <v>0.1</v>
      </c>
      <c r="AW301" s="96">
        <f t="shared" si="247"/>
        <v>0</v>
      </c>
      <c r="AX301" s="95">
        <f t="shared" si="219"/>
        <v>0</v>
      </c>
      <c r="AY301" s="11">
        <f t="shared" si="220"/>
        <v>0.1</v>
      </c>
      <c r="AZ301" s="96">
        <f t="shared" si="248"/>
        <v>0</v>
      </c>
      <c r="BA301" s="95">
        <f t="shared" si="249"/>
        <v>0</v>
      </c>
      <c r="BB301" s="64">
        <f t="shared" si="250"/>
        <v>0</v>
      </c>
      <c r="BC301" s="95">
        <f t="shared" si="262"/>
        <v>0</v>
      </c>
      <c r="BD301" s="96">
        <f t="shared" si="262"/>
        <v>0</v>
      </c>
      <c r="BE301" s="96">
        <f t="shared" si="251"/>
        <v>0</v>
      </c>
      <c r="BF301" s="96">
        <f t="shared" si="252"/>
        <v>0</v>
      </c>
      <c r="BG301" s="15">
        <f t="shared" si="253"/>
        <v>0</v>
      </c>
      <c r="BH301" s="46">
        <f>(SUMPRODUCT(BE302:BE$605,$I301:$I$604)+SUMPRODUCT(BF302:BF$605,$I302:$I$605)) / $I301</f>
        <v>0</v>
      </c>
      <c r="BJ301" s="46">
        <f t="shared" si="254"/>
        <v>0</v>
      </c>
      <c r="BK301" s="46">
        <f t="shared" si="255"/>
        <v>0</v>
      </c>
      <c r="BM301" s="49">
        <f t="shared" si="221"/>
        <v>0</v>
      </c>
      <c r="BN301" s="50">
        <f t="shared" si="256"/>
        <v>0</v>
      </c>
      <c r="BP301" s="68">
        <f>INDEX(Others!$H$11:$I$60, MATCH(C301, Others!$A$11:$A$60, 0), MATCH(BP$3, Others!$H$10:$I$10, 0))</f>
        <v>3.0518181818181833E-2</v>
      </c>
      <c r="BQ301" s="16">
        <f t="shared" si="257"/>
        <v>2.5082875760633616E-3</v>
      </c>
      <c r="BR301" s="69">
        <f t="shared" si="258"/>
        <v>0.47635041748257606</v>
      </c>
      <c r="BT301" s="46">
        <f t="shared" si="259"/>
        <v>0</v>
      </c>
      <c r="BU301" s="49">
        <f t="shared" si="222"/>
        <v>0</v>
      </c>
      <c r="BV301" s="46">
        <f t="shared" si="260"/>
        <v>0</v>
      </c>
      <c r="BX301" s="46">
        <f t="shared" si="261"/>
        <v>0</v>
      </c>
    </row>
    <row r="302" spans="1:76" x14ac:dyDescent="0.25">
      <c r="A302" s="61">
        <f t="shared" si="211"/>
        <v>24.749999999999918</v>
      </c>
      <c r="B302" s="32">
        <f t="shared" si="223"/>
        <v>9</v>
      </c>
      <c r="C302" s="62">
        <f t="shared" si="224"/>
        <v>25</v>
      </c>
      <c r="D302" s="64">
        <f t="shared" si="225"/>
        <v>25.249999999999918</v>
      </c>
      <c r="E302" s="28">
        <f t="shared" si="226"/>
        <v>25</v>
      </c>
      <c r="G302" s="68">
        <f>INDEX(Others!$D$11:$E$60, MATCH(C302, Others!$A$11:$A$60, 0), MATCH(G$3, Others!$D$10:$E$10, 0))</f>
        <v>4.0690909090909111E-2</v>
      </c>
      <c r="H302" s="16">
        <f t="shared" si="227"/>
        <v>3.329265421250005E-3</v>
      </c>
      <c r="I302" s="69">
        <f t="shared" si="228"/>
        <v>0.37263738176532119</v>
      </c>
      <c r="K302" s="80" t="e">
        <f>INDEX(Mortality!$B$7:$F$32, MATCH( E302,Mortality!$A$7:$A$32, 0), MATCH( K$3,Mortality!$B$6:$F$6,0))</f>
        <v>#N/A</v>
      </c>
      <c r="L302" s="11" cm="1">
        <f t="array" ref="L302">PAD_Res_Mort</f>
        <v>0.15</v>
      </c>
      <c r="M302" s="80">
        <f t="shared" si="229"/>
        <v>0</v>
      </c>
      <c r="N302" s="76" t="e">
        <f>INDEX('Myopia_(Reserve)'!$H:$H, MATCH(E302, 'Myopia_(Reserve)'!$A:$A, 0)) * Trend_Factor_Reserve^(A302)</f>
        <v>#N/A</v>
      </c>
      <c r="O302" s="11">
        <f t="shared" si="212"/>
        <v>0.3</v>
      </c>
      <c r="P302" s="80">
        <f t="shared" si="230"/>
        <v>0</v>
      </c>
      <c r="Q302" s="76">
        <f>VLOOKUP(C302,Others!$L$10:$M$61,2)</f>
        <v>0</v>
      </c>
      <c r="R302" s="11">
        <f t="shared" si="213"/>
        <v>0</v>
      </c>
      <c r="S302" s="80">
        <f t="shared" si="231"/>
        <v>0</v>
      </c>
      <c r="T302" s="78">
        <f t="shared" si="232"/>
        <v>0</v>
      </c>
      <c r="U302" s="81">
        <f t="shared" si="233"/>
        <v>0</v>
      </c>
      <c r="V302" s="81">
        <f t="shared" si="234"/>
        <v>0</v>
      </c>
      <c r="W302" s="77">
        <f t="shared" si="214"/>
        <v>0</v>
      </c>
      <c r="X302" s="82">
        <f t="shared" si="235"/>
        <v>0</v>
      </c>
      <c r="Y302" s="82">
        <f t="shared" si="236"/>
        <v>0</v>
      </c>
      <c r="Z302" s="82">
        <f t="shared" si="237"/>
        <v>0</v>
      </c>
      <c r="AA302" s="82">
        <f t="shared" si="238"/>
        <v>0</v>
      </c>
      <c r="AC302" s="46">
        <f t="shared" si="215"/>
        <v>0</v>
      </c>
      <c r="AD302" s="15">
        <f t="shared" si="239"/>
        <v>0</v>
      </c>
      <c r="AE302" s="46">
        <f t="shared" si="240"/>
        <v>0</v>
      </c>
      <c r="AF302" s="15">
        <f t="shared" si="241"/>
        <v>0</v>
      </c>
      <c r="AG302" s="46">
        <f>SUMPRODUCT(AE303:AE$605, $I302:$I$604) / $I302</f>
        <v>0</v>
      </c>
      <c r="AI302" s="46">
        <f t="shared" si="216"/>
        <v>0</v>
      </c>
      <c r="AJ302" s="46">
        <f>IF(E302&gt;Mat_Year,0,  -SUM($AD$5:AD302))</f>
        <v>0</v>
      </c>
      <c r="AK302" s="24">
        <f t="shared" si="242"/>
        <v>0</v>
      </c>
      <c r="AL302" s="79">
        <f t="shared" si="243"/>
        <v>0</v>
      </c>
      <c r="AM302" s="24">
        <f t="shared" si="244"/>
        <v>0</v>
      </c>
      <c r="AN302" s="79">
        <f t="shared" si="245"/>
        <v>0</v>
      </c>
      <c r="AO302" s="15">
        <f t="shared" si="246"/>
        <v>0</v>
      </c>
      <c r="AP302" s="46">
        <f>SUMPRODUCT(AN303:AN$605, $I303:$I$605) / $I302</f>
        <v>0</v>
      </c>
      <c r="AR302" s="46">
        <v>0</v>
      </c>
      <c r="AS302" s="46">
        <v>0</v>
      </c>
      <c r="AT302" s="46">
        <v>0</v>
      </c>
      <c r="AU302" s="95">
        <f t="shared" si="217"/>
        <v>0</v>
      </c>
      <c r="AV302" s="47">
        <f t="shared" si="218"/>
        <v>0.1</v>
      </c>
      <c r="AW302" s="96">
        <f t="shared" si="247"/>
        <v>0</v>
      </c>
      <c r="AX302" s="95">
        <f t="shared" si="219"/>
        <v>0</v>
      </c>
      <c r="AY302" s="11">
        <f t="shared" si="220"/>
        <v>0.1</v>
      </c>
      <c r="AZ302" s="96">
        <f t="shared" si="248"/>
        <v>0</v>
      </c>
      <c r="BA302" s="95">
        <f t="shared" si="249"/>
        <v>0</v>
      </c>
      <c r="BB302" s="64">
        <f t="shared" si="250"/>
        <v>0</v>
      </c>
      <c r="BC302" s="95">
        <f t="shared" si="262"/>
        <v>0</v>
      </c>
      <c r="BD302" s="96">
        <f t="shared" si="262"/>
        <v>0</v>
      </c>
      <c r="BE302" s="96">
        <f t="shared" si="251"/>
        <v>0</v>
      </c>
      <c r="BF302" s="96">
        <f t="shared" si="252"/>
        <v>0</v>
      </c>
      <c r="BG302" s="15">
        <f t="shared" si="253"/>
        <v>0</v>
      </c>
      <c r="BH302" s="46">
        <f>(SUMPRODUCT(BE303:BE$605,$I302:$I$604)+SUMPRODUCT(BF303:BF$605,$I303:$I$605)) / $I302</f>
        <v>0</v>
      </c>
      <c r="BJ302" s="46">
        <f t="shared" si="254"/>
        <v>0</v>
      </c>
      <c r="BK302" s="46">
        <f t="shared" si="255"/>
        <v>0</v>
      </c>
      <c r="BM302" s="49">
        <f t="shared" si="221"/>
        <v>0</v>
      </c>
      <c r="BN302" s="50">
        <f t="shared" si="256"/>
        <v>0</v>
      </c>
      <c r="BP302" s="68">
        <f>INDEX(Others!$H$11:$I$60, MATCH(C302, Others!$A$11:$A$60, 0), MATCH(BP$3, Others!$H$10:$I$10, 0))</f>
        <v>3.0518181818181833E-2</v>
      </c>
      <c r="BQ302" s="16">
        <f t="shared" si="257"/>
        <v>2.5082875760633616E-3</v>
      </c>
      <c r="BR302" s="69">
        <f t="shared" si="258"/>
        <v>0.47515858311189663</v>
      </c>
      <c r="BT302" s="46">
        <f t="shared" si="259"/>
        <v>0</v>
      </c>
      <c r="BU302" s="49">
        <f t="shared" si="222"/>
        <v>0</v>
      </c>
      <c r="BV302" s="46">
        <f t="shared" si="260"/>
        <v>0</v>
      </c>
      <c r="BX302" s="46">
        <f t="shared" si="261"/>
        <v>0</v>
      </c>
    </row>
    <row r="303" spans="1:76" x14ac:dyDescent="0.25">
      <c r="A303" s="61">
        <f t="shared" si="211"/>
        <v>24.83333333333325</v>
      </c>
      <c r="B303" s="32">
        <f t="shared" si="223"/>
        <v>10</v>
      </c>
      <c r="C303" s="62">
        <f t="shared" si="224"/>
        <v>25</v>
      </c>
      <c r="D303" s="64">
        <f t="shared" si="225"/>
        <v>25.33333333333325</v>
      </c>
      <c r="E303" s="28">
        <f t="shared" si="226"/>
        <v>25</v>
      </c>
      <c r="G303" s="68">
        <f>INDEX(Others!$D$11:$E$60, MATCH(C303, Others!$A$11:$A$60, 0), MATCH(G$3, Others!$D$10:$E$10, 0))</f>
        <v>4.0690909090909111E-2</v>
      </c>
      <c r="H303" s="16">
        <f t="shared" si="227"/>
        <v>3.329265421250005E-3</v>
      </c>
      <c r="I303" s="69">
        <f t="shared" si="228"/>
        <v>0.37140088962606765</v>
      </c>
      <c r="K303" s="80" t="e">
        <f>INDEX(Mortality!$B$7:$F$32, MATCH( E303,Mortality!$A$7:$A$32, 0), MATCH( K$3,Mortality!$B$6:$F$6,0))</f>
        <v>#N/A</v>
      </c>
      <c r="L303" s="11" cm="1">
        <f t="array" ref="L303">PAD_Res_Mort</f>
        <v>0.15</v>
      </c>
      <c r="M303" s="80">
        <f t="shared" si="229"/>
        <v>0</v>
      </c>
      <c r="N303" s="76" t="e">
        <f>INDEX('Myopia_(Reserve)'!$H:$H, MATCH(E303, 'Myopia_(Reserve)'!$A:$A, 0)) * Trend_Factor_Reserve^(A303)</f>
        <v>#N/A</v>
      </c>
      <c r="O303" s="11">
        <f t="shared" si="212"/>
        <v>0.3</v>
      </c>
      <c r="P303" s="80">
        <f t="shared" si="230"/>
        <v>0</v>
      </c>
      <c r="Q303" s="76">
        <f>VLOOKUP(C303,Others!$L$10:$M$61,2)</f>
        <v>0</v>
      </c>
      <c r="R303" s="11">
        <f t="shared" si="213"/>
        <v>0</v>
      </c>
      <c r="S303" s="80">
        <f t="shared" si="231"/>
        <v>0</v>
      </c>
      <c r="T303" s="78">
        <f t="shared" si="232"/>
        <v>0</v>
      </c>
      <c r="U303" s="81">
        <f t="shared" si="233"/>
        <v>0</v>
      </c>
      <c r="V303" s="81">
        <f t="shared" si="234"/>
        <v>0</v>
      </c>
      <c r="W303" s="77">
        <f t="shared" si="214"/>
        <v>0</v>
      </c>
      <c r="X303" s="82">
        <f t="shared" si="235"/>
        <v>0</v>
      </c>
      <c r="Y303" s="82">
        <f t="shared" si="236"/>
        <v>0</v>
      </c>
      <c r="Z303" s="82">
        <f t="shared" si="237"/>
        <v>0</v>
      </c>
      <c r="AA303" s="82">
        <f t="shared" si="238"/>
        <v>0</v>
      </c>
      <c r="AC303" s="46">
        <f t="shared" si="215"/>
        <v>0</v>
      </c>
      <c r="AD303" s="15">
        <f t="shared" si="239"/>
        <v>0</v>
      </c>
      <c r="AE303" s="46">
        <f t="shared" si="240"/>
        <v>0</v>
      </c>
      <c r="AF303" s="15">
        <f t="shared" si="241"/>
        <v>0</v>
      </c>
      <c r="AG303" s="46">
        <f>SUMPRODUCT(AE304:AE$605, $I303:$I$604) / $I303</f>
        <v>0</v>
      </c>
      <c r="AI303" s="46">
        <f t="shared" si="216"/>
        <v>0</v>
      </c>
      <c r="AJ303" s="46">
        <f>IF(E303&gt;Mat_Year,0,  -SUM($AD$5:AD303))</f>
        <v>0</v>
      </c>
      <c r="AK303" s="24">
        <f t="shared" si="242"/>
        <v>0</v>
      </c>
      <c r="AL303" s="79">
        <f t="shared" si="243"/>
        <v>0</v>
      </c>
      <c r="AM303" s="24">
        <f t="shared" si="244"/>
        <v>0</v>
      </c>
      <c r="AN303" s="79">
        <f t="shared" si="245"/>
        <v>0</v>
      </c>
      <c r="AO303" s="15">
        <f t="shared" si="246"/>
        <v>0</v>
      </c>
      <c r="AP303" s="46">
        <f>SUMPRODUCT(AN304:AN$605, $I304:$I$605) / $I303</f>
        <v>0</v>
      </c>
      <c r="AR303" s="46">
        <v>0</v>
      </c>
      <c r="AS303" s="46">
        <v>0</v>
      </c>
      <c r="AT303" s="46">
        <v>0</v>
      </c>
      <c r="AU303" s="95">
        <f t="shared" si="217"/>
        <v>0</v>
      </c>
      <c r="AV303" s="47">
        <f t="shared" si="218"/>
        <v>0.1</v>
      </c>
      <c r="AW303" s="96">
        <f t="shared" si="247"/>
        <v>0</v>
      </c>
      <c r="AX303" s="95">
        <f t="shared" si="219"/>
        <v>0</v>
      </c>
      <c r="AY303" s="11">
        <f t="shared" si="220"/>
        <v>0.1</v>
      </c>
      <c r="AZ303" s="96">
        <f t="shared" si="248"/>
        <v>0</v>
      </c>
      <c r="BA303" s="95">
        <f t="shared" si="249"/>
        <v>0</v>
      </c>
      <c r="BB303" s="64">
        <f t="shared" si="250"/>
        <v>0</v>
      </c>
      <c r="BC303" s="95">
        <f t="shared" si="262"/>
        <v>0</v>
      </c>
      <c r="BD303" s="96">
        <f t="shared" si="262"/>
        <v>0</v>
      </c>
      <c r="BE303" s="96">
        <f t="shared" si="251"/>
        <v>0</v>
      </c>
      <c r="BF303" s="96">
        <f t="shared" si="252"/>
        <v>0</v>
      </c>
      <c r="BG303" s="15">
        <f t="shared" si="253"/>
        <v>0</v>
      </c>
      <c r="BH303" s="46">
        <f>(SUMPRODUCT(BE304:BE$605,$I303:$I$604)+SUMPRODUCT(BF304:BF$605,$I304:$I$605)) / $I303</f>
        <v>0</v>
      </c>
      <c r="BJ303" s="46">
        <f t="shared" si="254"/>
        <v>0</v>
      </c>
      <c r="BK303" s="46">
        <f t="shared" si="255"/>
        <v>0</v>
      </c>
      <c r="BM303" s="49">
        <f t="shared" si="221"/>
        <v>0</v>
      </c>
      <c r="BN303" s="50">
        <f t="shared" si="256"/>
        <v>0</v>
      </c>
      <c r="BP303" s="68">
        <f>INDEX(Others!$H$11:$I$60, MATCH(C303, Others!$A$11:$A$60, 0), MATCH(BP$3, Others!$H$10:$I$10, 0))</f>
        <v>3.0518181818181833E-2</v>
      </c>
      <c r="BQ303" s="16">
        <f t="shared" si="257"/>
        <v>2.5082875760633616E-3</v>
      </c>
      <c r="BR303" s="69">
        <f t="shared" si="258"/>
        <v>0.47396973072488929</v>
      </c>
      <c r="BT303" s="46">
        <f t="shared" si="259"/>
        <v>0</v>
      </c>
      <c r="BU303" s="49">
        <f t="shared" si="222"/>
        <v>0</v>
      </c>
      <c r="BV303" s="46">
        <f t="shared" si="260"/>
        <v>0</v>
      </c>
      <c r="BX303" s="46">
        <f t="shared" si="261"/>
        <v>0</v>
      </c>
    </row>
    <row r="304" spans="1:76" x14ac:dyDescent="0.25">
      <c r="A304" s="61">
        <f t="shared" si="211"/>
        <v>24.916666666666583</v>
      </c>
      <c r="B304" s="32">
        <f t="shared" si="223"/>
        <v>11</v>
      </c>
      <c r="C304" s="62">
        <f t="shared" si="224"/>
        <v>25</v>
      </c>
      <c r="D304" s="64">
        <f t="shared" si="225"/>
        <v>25.416666666666583</v>
      </c>
      <c r="E304" s="28">
        <f t="shared" si="226"/>
        <v>25</v>
      </c>
      <c r="G304" s="68">
        <f>INDEX(Others!$D$11:$E$60, MATCH(C304, Others!$A$11:$A$60, 0), MATCH(G$3, Others!$D$10:$E$10, 0))</f>
        <v>4.0690909090909111E-2</v>
      </c>
      <c r="H304" s="16">
        <f t="shared" si="227"/>
        <v>3.329265421250005E-3</v>
      </c>
      <c r="I304" s="69">
        <f t="shared" si="228"/>
        <v>0.37016850043752503</v>
      </c>
      <c r="K304" s="80" t="e">
        <f>INDEX(Mortality!$B$7:$F$32, MATCH( E304,Mortality!$A$7:$A$32, 0), MATCH( K$3,Mortality!$B$6:$F$6,0))</f>
        <v>#N/A</v>
      </c>
      <c r="L304" s="11" cm="1">
        <f t="array" ref="L304">PAD_Res_Mort</f>
        <v>0.15</v>
      </c>
      <c r="M304" s="80">
        <f t="shared" si="229"/>
        <v>0</v>
      </c>
      <c r="N304" s="76" t="e">
        <f>INDEX('Myopia_(Reserve)'!$H:$H, MATCH(E304, 'Myopia_(Reserve)'!$A:$A, 0)) * Trend_Factor_Reserve^(A304)</f>
        <v>#N/A</v>
      </c>
      <c r="O304" s="11">
        <f t="shared" si="212"/>
        <v>0.3</v>
      </c>
      <c r="P304" s="80">
        <f t="shared" si="230"/>
        <v>0</v>
      </c>
      <c r="Q304" s="76">
        <f>VLOOKUP(C304,Others!$L$10:$M$61,2)</f>
        <v>0</v>
      </c>
      <c r="R304" s="11">
        <f t="shared" si="213"/>
        <v>0</v>
      </c>
      <c r="S304" s="80">
        <f t="shared" si="231"/>
        <v>0</v>
      </c>
      <c r="T304" s="78">
        <f t="shared" si="232"/>
        <v>0</v>
      </c>
      <c r="U304" s="81">
        <f t="shared" si="233"/>
        <v>0</v>
      </c>
      <c r="V304" s="81">
        <f t="shared" si="234"/>
        <v>0</v>
      </c>
      <c r="W304" s="77">
        <f t="shared" si="214"/>
        <v>0</v>
      </c>
      <c r="X304" s="82">
        <f t="shared" si="235"/>
        <v>0</v>
      </c>
      <c r="Y304" s="82">
        <f t="shared" si="236"/>
        <v>0</v>
      </c>
      <c r="Z304" s="82">
        <f t="shared" si="237"/>
        <v>0</v>
      </c>
      <c r="AA304" s="82">
        <f t="shared" si="238"/>
        <v>0</v>
      </c>
      <c r="AC304" s="46">
        <f t="shared" si="215"/>
        <v>0</v>
      </c>
      <c r="AD304" s="15">
        <f t="shared" si="239"/>
        <v>0</v>
      </c>
      <c r="AE304" s="46">
        <f t="shared" si="240"/>
        <v>0</v>
      </c>
      <c r="AF304" s="15">
        <f t="shared" si="241"/>
        <v>0</v>
      </c>
      <c r="AG304" s="46">
        <f>SUMPRODUCT(AE305:AE$605, $I304:$I$604) / $I304</f>
        <v>0</v>
      </c>
      <c r="AI304" s="46">
        <f t="shared" si="216"/>
        <v>0</v>
      </c>
      <c r="AJ304" s="46">
        <f>IF(E304&gt;Mat_Year,0,  -SUM($AD$5:AD304))</f>
        <v>0</v>
      </c>
      <c r="AK304" s="24">
        <f t="shared" si="242"/>
        <v>0</v>
      </c>
      <c r="AL304" s="79">
        <f t="shared" si="243"/>
        <v>0</v>
      </c>
      <c r="AM304" s="24">
        <f t="shared" si="244"/>
        <v>0</v>
      </c>
      <c r="AN304" s="79">
        <f t="shared" si="245"/>
        <v>0</v>
      </c>
      <c r="AO304" s="15">
        <f t="shared" si="246"/>
        <v>0</v>
      </c>
      <c r="AP304" s="46">
        <f>SUMPRODUCT(AN305:AN$605, $I305:$I$605) / $I304</f>
        <v>0</v>
      </c>
      <c r="AR304" s="46">
        <v>0</v>
      </c>
      <c r="AS304" s="46">
        <v>0</v>
      </c>
      <c r="AT304" s="46">
        <v>0</v>
      </c>
      <c r="AU304" s="95">
        <f t="shared" si="217"/>
        <v>0</v>
      </c>
      <c r="AV304" s="47">
        <f t="shared" si="218"/>
        <v>0.1</v>
      </c>
      <c r="AW304" s="96">
        <f t="shared" si="247"/>
        <v>0</v>
      </c>
      <c r="AX304" s="95">
        <f t="shared" si="219"/>
        <v>0</v>
      </c>
      <c r="AY304" s="11">
        <f t="shared" si="220"/>
        <v>0.1</v>
      </c>
      <c r="AZ304" s="96">
        <f t="shared" si="248"/>
        <v>0</v>
      </c>
      <c r="BA304" s="95">
        <f t="shared" si="249"/>
        <v>0</v>
      </c>
      <c r="BB304" s="64">
        <f t="shared" si="250"/>
        <v>0</v>
      </c>
      <c r="BC304" s="95">
        <f t="shared" si="262"/>
        <v>0</v>
      </c>
      <c r="BD304" s="96">
        <f t="shared" si="262"/>
        <v>0</v>
      </c>
      <c r="BE304" s="96">
        <f t="shared" si="251"/>
        <v>0</v>
      </c>
      <c r="BF304" s="96">
        <f t="shared" si="252"/>
        <v>0</v>
      </c>
      <c r="BG304" s="15">
        <f t="shared" si="253"/>
        <v>0</v>
      </c>
      <c r="BH304" s="46">
        <f>(SUMPRODUCT(BE305:BE$605,$I304:$I$604)+SUMPRODUCT(BF305:BF$605,$I305:$I$605)) / $I304</f>
        <v>0</v>
      </c>
      <c r="BJ304" s="46">
        <f t="shared" si="254"/>
        <v>0</v>
      </c>
      <c r="BK304" s="46">
        <f t="shared" si="255"/>
        <v>0</v>
      </c>
      <c r="BM304" s="49">
        <f t="shared" si="221"/>
        <v>0</v>
      </c>
      <c r="BN304" s="50">
        <f t="shared" si="256"/>
        <v>0</v>
      </c>
      <c r="BP304" s="68">
        <f>INDEX(Others!$H$11:$I$60, MATCH(C304, Others!$A$11:$A$60, 0), MATCH(BP$3, Others!$H$10:$I$10, 0))</f>
        <v>3.0518181818181833E-2</v>
      </c>
      <c r="BQ304" s="16">
        <f t="shared" si="257"/>
        <v>2.5082875760633616E-3</v>
      </c>
      <c r="BR304" s="69">
        <f t="shared" si="258"/>
        <v>0.47278385286059571</v>
      </c>
      <c r="BT304" s="46">
        <f t="shared" si="259"/>
        <v>0</v>
      </c>
      <c r="BU304" s="49">
        <f t="shared" si="222"/>
        <v>0</v>
      </c>
      <c r="BV304" s="46">
        <f t="shared" si="260"/>
        <v>0</v>
      </c>
      <c r="BX304" s="46">
        <f t="shared" si="261"/>
        <v>0</v>
      </c>
    </row>
    <row r="305" spans="1:76" x14ac:dyDescent="0.25">
      <c r="A305" s="61">
        <f t="shared" si="211"/>
        <v>24.999999999999915</v>
      </c>
      <c r="B305" s="32">
        <f t="shared" si="223"/>
        <v>12</v>
      </c>
      <c r="C305" s="62">
        <f t="shared" si="224"/>
        <v>25</v>
      </c>
      <c r="D305" s="64">
        <f t="shared" si="225"/>
        <v>25.499999999999915</v>
      </c>
      <c r="E305" s="28">
        <f t="shared" si="226"/>
        <v>25</v>
      </c>
      <c r="G305" s="68">
        <f>INDEX(Others!$D$11:$E$60, MATCH(C305, Others!$A$11:$A$60, 0), MATCH(G$3, Others!$D$10:$E$10, 0))</f>
        <v>4.0690909090909111E-2</v>
      </c>
      <c r="H305" s="16">
        <f t="shared" si="227"/>
        <v>3.329265421250005E-3</v>
      </c>
      <c r="I305" s="69">
        <f t="shared" si="228"/>
        <v>0.36894020058520766</v>
      </c>
      <c r="K305" s="80" t="e">
        <f>INDEX(Mortality!$B$7:$F$32, MATCH( E305,Mortality!$A$7:$A$32, 0), MATCH( K$3,Mortality!$B$6:$F$6,0))</f>
        <v>#N/A</v>
      </c>
      <c r="L305" s="11" cm="1">
        <f t="array" ref="L305">PAD_Res_Mort</f>
        <v>0.15</v>
      </c>
      <c r="M305" s="80">
        <f t="shared" si="229"/>
        <v>0</v>
      </c>
      <c r="N305" s="76" t="e">
        <f>INDEX('Myopia_(Reserve)'!$H:$H, MATCH(E305, 'Myopia_(Reserve)'!$A:$A, 0)) * Trend_Factor_Reserve^(A305)</f>
        <v>#N/A</v>
      </c>
      <c r="O305" s="11">
        <f t="shared" si="212"/>
        <v>0.3</v>
      </c>
      <c r="P305" s="80">
        <f t="shared" si="230"/>
        <v>0</v>
      </c>
      <c r="Q305" s="76">
        <f>VLOOKUP(C305,Others!$L$10:$M$61,2)</f>
        <v>0</v>
      </c>
      <c r="R305" s="11">
        <f t="shared" si="213"/>
        <v>0</v>
      </c>
      <c r="S305" s="80">
        <f t="shared" si="231"/>
        <v>0</v>
      </c>
      <c r="T305" s="78">
        <f t="shared" si="232"/>
        <v>0</v>
      </c>
      <c r="U305" s="81">
        <f t="shared" si="233"/>
        <v>0</v>
      </c>
      <c r="V305" s="81">
        <f t="shared" si="234"/>
        <v>0</v>
      </c>
      <c r="W305" s="77">
        <f t="shared" si="214"/>
        <v>0</v>
      </c>
      <c r="X305" s="82">
        <f t="shared" si="235"/>
        <v>0</v>
      </c>
      <c r="Y305" s="82">
        <f t="shared" si="236"/>
        <v>0</v>
      </c>
      <c r="Z305" s="82">
        <f t="shared" si="237"/>
        <v>0</v>
      </c>
      <c r="AA305" s="82">
        <f t="shared" si="238"/>
        <v>0</v>
      </c>
      <c r="AC305" s="46">
        <f t="shared" si="215"/>
        <v>0</v>
      </c>
      <c r="AD305" s="15">
        <f t="shared" si="239"/>
        <v>0</v>
      </c>
      <c r="AE305" s="46">
        <f t="shared" si="240"/>
        <v>0</v>
      </c>
      <c r="AF305" s="15">
        <f t="shared" si="241"/>
        <v>0</v>
      </c>
      <c r="AG305" s="46">
        <f>SUMPRODUCT(AE306:AE$605, $I305:$I$604) / $I305</f>
        <v>0</v>
      </c>
      <c r="AI305" s="46">
        <f t="shared" si="216"/>
        <v>0</v>
      </c>
      <c r="AJ305" s="46">
        <f>IF(E305&gt;Mat_Year,0,  -SUM($AD$5:AD305))</f>
        <v>0</v>
      </c>
      <c r="AK305" s="24">
        <f t="shared" si="242"/>
        <v>0</v>
      </c>
      <c r="AL305" s="79">
        <f t="shared" si="243"/>
        <v>0</v>
      </c>
      <c r="AM305" s="24">
        <f t="shared" si="244"/>
        <v>0</v>
      </c>
      <c r="AN305" s="79">
        <f t="shared" si="245"/>
        <v>0</v>
      </c>
      <c r="AO305" s="15">
        <f t="shared" si="246"/>
        <v>0</v>
      </c>
      <c r="AP305" s="46">
        <f>SUMPRODUCT(AN306:AN$605, $I306:$I$605) / $I305</f>
        <v>0</v>
      </c>
      <c r="AR305" s="46">
        <v>0</v>
      </c>
      <c r="AS305" s="46">
        <v>0</v>
      </c>
      <c r="AT305" s="46">
        <v>0</v>
      </c>
      <c r="AU305" s="95">
        <f t="shared" si="217"/>
        <v>0</v>
      </c>
      <c r="AV305" s="47">
        <f t="shared" si="218"/>
        <v>0.1</v>
      </c>
      <c r="AW305" s="96">
        <f t="shared" si="247"/>
        <v>0</v>
      </c>
      <c r="AX305" s="95">
        <f t="shared" si="219"/>
        <v>0</v>
      </c>
      <c r="AY305" s="11">
        <f t="shared" si="220"/>
        <v>0.1</v>
      </c>
      <c r="AZ305" s="96">
        <f t="shared" si="248"/>
        <v>0</v>
      </c>
      <c r="BA305" s="95">
        <f t="shared" si="249"/>
        <v>0</v>
      </c>
      <c r="BB305" s="64">
        <f t="shared" si="250"/>
        <v>0</v>
      </c>
      <c r="BC305" s="95">
        <f t="shared" si="262"/>
        <v>0</v>
      </c>
      <c r="BD305" s="96">
        <f t="shared" si="262"/>
        <v>0</v>
      </c>
      <c r="BE305" s="96">
        <f t="shared" si="251"/>
        <v>0</v>
      </c>
      <c r="BF305" s="96">
        <f t="shared" si="252"/>
        <v>0</v>
      </c>
      <c r="BG305" s="15">
        <f t="shared" si="253"/>
        <v>0</v>
      </c>
      <c r="BH305" s="46">
        <f>(SUMPRODUCT(BE306:BE$605,$I305:$I$604)+SUMPRODUCT(BF306:BF$605,$I306:$I$605)) / $I305</f>
        <v>0</v>
      </c>
      <c r="BJ305" s="46">
        <f t="shared" si="254"/>
        <v>0</v>
      </c>
      <c r="BK305" s="46">
        <f t="shared" si="255"/>
        <v>0</v>
      </c>
      <c r="BM305" s="49">
        <f t="shared" si="221"/>
        <v>0</v>
      </c>
      <c r="BN305" s="50">
        <f t="shared" si="256"/>
        <v>0</v>
      </c>
      <c r="BP305" s="68">
        <f>INDEX(Others!$H$11:$I$60, MATCH(C305, Others!$A$11:$A$60, 0), MATCH(BP$3, Others!$H$10:$I$10, 0))</f>
        <v>3.0518181818181833E-2</v>
      </c>
      <c r="BQ305" s="16">
        <f t="shared" si="257"/>
        <v>2.5082875760633616E-3</v>
      </c>
      <c r="BR305" s="69">
        <f t="shared" si="258"/>
        <v>0.47160094207672487</v>
      </c>
      <c r="BT305" s="46">
        <f t="shared" si="259"/>
        <v>0</v>
      </c>
      <c r="BU305" s="49">
        <f t="shared" si="222"/>
        <v>0</v>
      </c>
      <c r="BV305" s="46">
        <f t="shared" si="260"/>
        <v>0</v>
      </c>
      <c r="BX305" s="46">
        <f t="shared" si="261"/>
        <v>0</v>
      </c>
    </row>
    <row r="306" spans="1:76" x14ac:dyDescent="0.25">
      <c r="A306" s="61">
        <f t="shared" si="211"/>
        <v>25.083333333333247</v>
      </c>
      <c r="B306" s="32">
        <f t="shared" si="223"/>
        <v>1</v>
      </c>
      <c r="C306" s="62">
        <f t="shared" si="224"/>
        <v>26</v>
      </c>
      <c r="D306" s="64">
        <f t="shared" si="225"/>
        <v>25.583333333333247</v>
      </c>
      <c r="E306" s="28">
        <f t="shared" si="226"/>
        <v>25</v>
      </c>
      <c r="G306" s="68">
        <f>INDEX(Others!$D$11:$E$60, MATCH(C306, Others!$A$11:$A$60, 0), MATCH(G$3, Others!$D$10:$E$10, 0))</f>
        <v>4.0690909090908889E-2</v>
      </c>
      <c r="H306" s="16">
        <f t="shared" si="227"/>
        <v>3.329265421250005E-3</v>
      </c>
      <c r="I306" s="69">
        <f t="shared" si="228"/>
        <v>0.3677159764998057</v>
      </c>
      <c r="K306" s="80" t="e">
        <f>INDEX(Mortality!$B$7:$F$32, MATCH( E306,Mortality!$A$7:$A$32, 0), MATCH( K$3,Mortality!$B$6:$F$6,0))</f>
        <v>#N/A</v>
      </c>
      <c r="L306" s="11" cm="1">
        <f t="array" ref="L306">PAD_Res_Mort</f>
        <v>0.15</v>
      </c>
      <c r="M306" s="80">
        <f t="shared" si="229"/>
        <v>0</v>
      </c>
      <c r="N306" s="76" t="e">
        <f>INDEX('Myopia_(Reserve)'!$H:$H, MATCH(E306, 'Myopia_(Reserve)'!$A:$A, 0)) * Trend_Factor_Reserve^(A306)</f>
        <v>#N/A</v>
      </c>
      <c r="O306" s="11">
        <f t="shared" si="212"/>
        <v>0.3</v>
      </c>
      <c r="P306" s="80">
        <f t="shared" si="230"/>
        <v>0</v>
      </c>
      <c r="Q306" s="76">
        <f>VLOOKUP(C306,Others!$L$10:$M$61,2)</f>
        <v>0</v>
      </c>
      <c r="R306" s="11">
        <f t="shared" si="213"/>
        <v>0</v>
      </c>
      <c r="S306" s="80">
        <f t="shared" si="231"/>
        <v>0</v>
      </c>
      <c r="T306" s="78">
        <f t="shared" si="232"/>
        <v>0</v>
      </c>
      <c r="U306" s="81">
        <f t="shared" si="233"/>
        <v>0</v>
      </c>
      <c r="V306" s="81">
        <f t="shared" si="234"/>
        <v>0</v>
      </c>
      <c r="W306" s="77">
        <f t="shared" si="214"/>
        <v>0</v>
      </c>
      <c r="X306" s="82">
        <f t="shared" si="235"/>
        <v>0</v>
      </c>
      <c r="Y306" s="82">
        <f t="shared" si="236"/>
        <v>0</v>
      </c>
      <c r="Z306" s="82">
        <f t="shared" si="237"/>
        <v>0</v>
      </c>
      <c r="AA306" s="82">
        <f t="shared" si="238"/>
        <v>0</v>
      </c>
      <c r="AC306" s="46">
        <f t="shared" si="215"/>
        <v>0</v>
      </c>
      <c r="AD306" s="15">
        <f t="shared" si="239"/>
        <v>0</v>
      </c>
      <c r="AE306" s="46">
        <f t="shared" si="240"/>
        <v>0</v>
      </c>
      <c r="AF306" s="15">
        <f t="shared" si="241"/>
        <v>0</v>
      </c>
      <c r="AG306" s="46">
        <f>SUMPRODUCT(AE307:AE$605, $I306:$I$604) / $I306</f>
        <v>0</v>
      </c>
      <c r="AI306" s="46">
        <f t="shared" si="216"/>
        <v>0</v>
      </c>
      <c r="AJ306" s="46">
        <f>IF(E306&gt;Mat_Year,0,  -SUM($AD$5:AD306))</f>
        <v>0</v>
      </c>
      <c r="AK306" s="24">
        <f t="shared" si="242"/>
        <v>0</v>
      </c>
      <c r="AL306" s="79">
        <f t="shared" si="243"/>
        <v>0</v>
      </c>
      <c r="AM306" s="24">
        <f t="shared" si="244"/>
        <v>0</v>
      </c>
      <c r="AN306" s="79">
        <f t="shared" si="245"/>
        <v>0</v>
      </c>
      <c r="AO306" s="15">
        <f t="shared" si="246"/>
        <v>0</v>
      </c>
      <c r="AP306" s="46">
        <f>SUMPRODUCT(AN307:AN$605, $I307:$I$605) / $I306</f>
        <v>0</v>
      </c>
      <c r="AR306" s="46">
        <v>0</v>
      </c>
      <c r="AS306" s="46">
        <v>0</v>
      </c>
      <c r="AT306" s="46">
        <v>0</v>
      </c>
      <c r="AU306" s="95">
        <f t="shared" si="217"/>
        <v>0</v>
      </c>
      <c r="AV306" s="47">
        <f t="shared" si="218"/>
        <v>0.1</v>
      </c>
      <c r="AW306" s="96">
        <f t="shared" si="247"/>
        <v>0</v>
      </c>
      <c r="AX306" s="95">
        <f t="shared" si="219"/>
        <v>0</v>
      </c>
      <c r="AY306" s="11">
        <f t="shared" si="220"/>
        <v>0.1</v>
      </c>
      <c r="AZ306" s="96">
        <f t="shared" si="248"/>
        <v>0</v>
      </c>
      <c r="BA306" s="95">
        <f t="shared" si="249"/>
        <v>0</v>
      </c>
      <c r="BB306" s="64">
        <f t="shared" si="250"/>
        <v>0</v>
      </c>
      <c r="BC306" s="95">
        <f t="shared" si="262"/>
        <v>0</v>
      </c>
      <c r="BD306" s="96">
        <f t="shared" si="262"/>
        <v>0</v>
      </c>
      <c r="BE306" s="96">
        <f t="shared" si="251"/>
        <v>0</v>
      </c>
      <c r="BF306" s="96">
        <f t="shared" si="252"/>
        <v>0</v>
      </c>
      <c r="BG306" s="15">
        <f t="shared" si="253"/>
        <v>0</v>
      </c>
      <c r="BH306" s="46">
        <f>(SUMPRODUCT(BE307:BE$605,$I306:$I$604)+SUMPRODUCT(BF307:BF$605,$I307:$I$605)) / $I306</f>
        <v>0</v>
      </c>
      <c r="BJ306" s="46">
        <f t="shared" si="254"/>
        <v>0</v>
      </c>
      <c r="BK306" s="46">
        <f t="shared" si="255"/>
        <v>0</v>
      </c>
      <c r="BM306" s="49">
        <f t="shared" si="221"/>
        <v>0</v>
      </c>
      <c r="BN306" s="50">
        <f t="shared" si="256"/>
        <v>0</v>
      </c>
      <c r="BP306" s="68">
        <f>INDEX(Others!$H$11:$I$60, MATCH(C306, Others!$A$11:$A$60, 0), MATCH(BP$3, Others!$H$10:$I$10, 0))</f>
        <v>3.0518181818181667E-2</v>
      </c>
      <c r="BQ306" s="16">
        <f t="shared" si="257"/>
        <v>2.5082875760633616E-3</v>
      </c>
      <c r="BR306" s="69">
        <f t="shared" si="258"/>
        <v>0.47042099094960654</v>
      </c>
      <c r="BT306" s="46">
        <f t="shared" si="259"/>
        <v>0</v>
      </c>
      <c r="BU306" s="49">
        <f t="shared" si="222"/>
        <v>0</v>
      </c>
      <c r="BV306" s="46">
        <f t="shared" si="260"/>
        <v>0</v>
      </c>
      <c r="BX306" s="46">
        <f t="shared" si="261"/>
        <v>0</v>
      </c>
    </row>
    <row r="307" spans="1:76" x14ac:dyDescent="0.25">
      <c r="A307" s="61">
        <f t="shared" si="211"/>
        <v>25.166666666666579</v>
      </c>
      <c r="B307" s="32">
        <f t="shared" si="223"/>
        <v>2</v>
      </c>
      <c r="C307" s="62">
        <f t="shared" si="224"/>
        <v>26</v>
      </c>
      <c r="D307" s="64">
        <f t="shared" si="225"/>
        <v>25.666666666666579</v>
      </c>
      <c r="E307" s="28">
        <f t="shared" si="226"/>
        <v>25</v>
      </c>
      <c r="G307" s="68">
        <f>INDEX(Others!$D$11:$E$60, MATCH(C307, Others!$A$11:$A$60, 0), MATCH(G$3, Others!$D$10:$E$10, 0))</f>
        <v>4.0690909090908889E-2</v>
      </c>
      <c r="H307" s="16">
        <f t="shared" si="227"/>
        <v>3.329265421250005E-3</v>
      </c>
      <c r="I307" s="69">
        <f t="shared" si="228"/>
        <v>0.36649581465703518</v>
      </c>
      <c r="K307" s="80" t="e">
        <f>INDEX(Mortality!$B$7:$F$32, MATCH( E307,Mortality!$A$7:$A$32, 0), MATCH( K$3,Mortality!$B$6:$F$6,0))</f>
        <v>#N/A</v>
      </c>
      <c r="L307" s="11" cm="1">
        <f t="array" ref="L307">PAD_Res_Mort</f>
        <v>0.15</v>
      </c>
      <c r="M307" s="80">
        <f t="shared" si="229"/>
        <v>0</v>
      </c>
      <c r="N307" s="76" t="e">
        <f>INDEX('Myopia_(Reserve)'!$H:$H, MATCH(E307, 'Myopia_(Reserve)'!$A:$A, 0)) * Trend_Factor_Reserve^(A307)</f>
        <v>#N/A</v>
      </c>
      <c r="O307" s="11">
        <f t="shared" si="212"/>
        <v>0.3</v>
      </c>
      <c r="P307" s="80">
        <f t="shared" si="230"/>
        <v>0</v>
      </c>
      <c r="Q307" s="76">
        <f>VLOOKUP(C307,Others!$L$10:$M$61,2)</f>
        <v>0</v>
      </c>
      <c r="R307" s="11">
        <f t="shared" si="213"/>
        <v>0</v>
      </c>
      <c r="S307" s="80">
        <f t="shared" si="231"/>
        <v>0</v>
      </c>
      <c r="T307" s="78">
        <f t="shared" si="232"/>
        <v>0</v>
      </c>
      <c r="U307" s="81">
        <f t="shared" si="233"/>
        <v>0</v>
      </c>
      <c r="V307" s="81">
        <f t="shared" si="234"/>
        <v>0</v>
      </c>
      <c r="W307" s="77">
        <f t="shared" si="214"/>
        <v>0</v>
      </c>
      <c r="X307" s="82">
        <f t="shared" si="235"/>
        <v>0</v>
      </c>
      <c r="Y307" s="82">
        <f t="shared" si="236"/>
        <v>0</v>
      </c>
      <c r="Z307" s="82">
        <f t="shared" si="237"/>
        <v>0</v>
      </c>
      <c r="AA307" s="82">
        <f t="shared" si="238"/>
        <v>0</v>
      </c>
      <c r="AC307" s="46">
        <f t="shared" si="215"/>
        <v>0</v>
      </c>
      <c r="AD307" s="15">
        <f t="shared" si="239"/>
        <v>0</v>
      </c>
      <c r="AE307" s="46">
        <f t="shared" si="240"/>
        <v>0</v>
      </c>
      <c r="AF307" s="15">
        <f t="shared" si="241"/>
        <v>0</v>
      </c>
      <c r="AG307" s="46">
        <f>SUMPRODUCT(AE308:AE$605, $I307:$I$604) / $I307</f>
        <v>0</v>
      </c>
      <c r="AI307" s="46">
        <f t="shared" si="216"/>
        <v>0</v>
      </c>
      <c r="AJ307" s="46">
        <f>IF(E307&gt;Mat_Year,0,  -SUM($AD$5:AD307))</f>
        <v>0</v>
      </c>
      <c r="AK307" s="24">
        <f t="shared" si="242"/>
        <v>0</v>
      </c>
      <c r="AL307" s="79">
        <f t="shared" si="243"/>
        <v>0</v>
      </c>
      <c r="AM307" s="24">
        <f t="shared" si="244"/>
        <v>0</v>
      </c>
      <c r="AN307" s="79">
        <f t="shared" si="245"/>
        <v>0</v>
      </c>
      <c r="AO307" s="15">
        <f t="shared" si="246"/>
        <v>0</v>
      </c>
      <c r="AP307" s="46">
        <f>SUMPRODUCT(AN308:AN$605, $I308:$I$605) / $I307</f>
        <v>0</v>
      </c>
      <c r="AR307" s="46">
        <v>0</v>
      </c>
      <c r="AS307" s="46">
        <v>0</v>
      </c>
      <c r="AT307" s="46">
        <v>0</v>
      </c>
      <c r="AU307" s="95">
        <f t="shared" si="217"/>
        <v>0</v>
      </c>
      <c r="AV307" s="47">
        <f t="shared" si="218"/>
        <v>0.1</v>
      </c>
      <c r="AW307" s="96">
        <f t="shared" si="247"/>
        <v>0</v>
      </c>
      <c r="AX307" s="95">
        <f t="shared" si="219"/>
        <v>0</v>
      </c>
      <c r="AY307" s="11">
        <f t="shared" si="220"/>
        <v>0.1</v>
      </c>
      <c r="AZ307" s="96">
        <f t="shared" si="248"/>
        <v>0</v>
      </c>
      <c r="BA307" s="95">
        <f t="shared" si="249"/>
        <v>0</v>
      </c>
      <c r="BB307" s="64">
        <f t="shared" si="250"/>
        <v>0</v>
      </c>
      <c r="BC307" s="95">
        <f t="shared" si="262"/>
        <v>0</v>
      </c>
      <c r="BD307" s="96">
        <f t="shared" si="262"/>
        <v>0</v>
      </c>
      <c r="BE307" s="96">
        <f t="shared" si="251"/>
        <v>0</v>
      </c>
      <c r="BF307" s="96">
        <f t="shared" si="252"/>
        <v>0</v>
      </c>
      <c r="BG307" s="15">
        <f t="shared" si="253"/>
        <v>0</v>
      </c>
      <c r="BH307" s="46">
        <f>(SUMPRODUCT(BE308:BE$605,$I307:$I$604)+SUMPRODUCT(BF308:BF$605,$I308:$I$605)) / $I307</f>
        <v>0</v>
      </c>
      <c r="BJ307" s="46">
        <f t="shared" si="254"/>
        <v>0</v>
      </c>
      <c r="BK307" s="46">
        <f t="shared" si="255"/>
        <v>0</v>
      </c>
      <c r="BM307" s="49">
        <f t="shared" si="221"/>
        <v>0</v>
      </c>
      <c r="BN307" s="50">
        <f t="shared" si="256"/>
        <v>0</v>
      </c>
      <c r="BP307" s="68">
        <f>INDEX(Others!$H$11:$I$60, MATCH(C307, Others!$A$11:$A$60, 0), MATCH(BP$3, Others!$H$10:$I$10, 0))</f>
        <v>3.0518181818181667E-2</v>
      </c>
      <c r="BQ307" s="16">
        <f t="shared" si="257"/>
        <v>2.5082875760633616E-3</v>
      </c>
      <c r="BR307" s="69">
        <f t="shared" si="258"/>
        <v>0.46924399207414458</v>
      </c>
      <c r="BT307" s="46">
        <f t="shared" si="259"/>
        <v>0</v>
      </c>
      <c r="BU307" s="49">
        <f t="shared" si="222"/>
        <v>0</v>
      </c>
      <c r="BV307" s="46">
        <f t="shared" si="260"/>
        <v>0</v>
      </c>
      <c r="BX307" s="46">
        <f t="shared" si="261"/>
        <v>0</v>
      </c>
    </row>
    <row r="308" spans="1:76" x14ac:dyDescent="0.25">
      <c r="A308" s="61">
        <f t="shared" si="211"/>
        <v>25.249999999999911</v>
      </c>
      <c r="B308" s="32">
        <f t="shared" si="223"/>
        <v>3</v>
      </c>
      <c r="C308" s="62">
        <f t="shared" si="224"/>
        <v>26</v>
      </c>
      <c r="D308" s="64">
        <f t="shared" si="225"/>
        <v>25.749999999999911</v>
      </c>
      <c r="E308" s="28">
        <f t="shared" si="226"/>
        <v>25</v>
      </c>
      <c r="G308" s="68">
        <f>INDEX(Others!$D$11:$E$60, MATCH(C308, Others!$A$11:$A$60, 0), MATCH(G$3, Others!$D$10:$E$10, 0))</f>
        <v>4.0690909090908889E-2</v>
      </c>
      <c r="H308" s="16">
        <f t="shared" si="227"/>
        <v>3.329265421250005E-3</v>
      </c>
      <c r="I308" s="69">
        <f t="shared" si="228"/>
        <v>0.36527970157748874</v>
      </c>
      <c r="K308" s="80" t="e">
        <f>INDEX(Mortality!$B$7:$F$32, MATCH( E308,Mortality!$A$7:$A$32, 0), MATCH( K$3,Mortality!$B$6:$F$6,0))</f>
        <v>#N/A</v>
      </c>
      <c r="L308" s="11" cm="1">
        <f t="array" ref="L308">PAD_Res_Mort</f>
        <v>0.15</v>
      </c>
      <c r="M308" s="80">
        <f t="shared" si="229"/>
        <v>0</v>
      </c>
      <c r="N308" s="76" t="e">
        <f>INDEX('Myopia_(Reserve)'!$H:$H, MATCH(E308, 'Myopia_(Reserve)'!$A:$A, 0)) * Trend_Factor_Reserve^(A308)</f>
        <v>#N/A</v>
      </c>
      <c r="O308" s="11">
        <f t="shared" si="212"/>
        <v>0.3</v>
      </c>
      <c r="P308" s="80">
        <f t="shared" si="230"/>
        <v>0</v>
      </c>
      <c r="Q308" s="76">
        <f>VLOOKUP(C308,Others!$L$10:$M$61,2)</f>
        <v>0</v>
      </c>
      <c r="R308" s="11">
        <f t="shared" si="213"/>
        <v>0</v>
      </c>
      <c r="S308" s="80">
        <f t="shared" si="231"/>
        <v>0</v>
      </c>
      <c r="T308" s="78">
        <f t="shared" si="232"/>
        <v>0</v>
      </c>
      <c r="U308" s="81">
        <f t="shared" si="233"/>
        <v>0</v>
      </c>
      <c r="V308" s="81">
        <f t="shared" si="234"/>
        <v>0</v>
      </c>
      <c r="W308" s="77">
        <f t="shared" si="214"/>
        <v>0</v>
      </c>
      <c r="X308" s="82">
        <f t="shared" si="235"/>
        <v>0</v>
      </c>
      <c r="Y308" s="82">
        <f t="shared" si="236"/>
        <v>0</v>
      </c>
      <c r="Z308" s="82">
        <f t="shared" si="237"/>
        <v>0</v>
      </c>
      <c r="AA308" s="82">
        <f t="shared" si="238"/>
        <v>0</v>
      </c>
      <c r="AC308" s="46">
        <f t="shared" si="215"/>
        <v>0</v>
      </c>
      <c r="AD308" s="15">
        <f t="shared" si="239"/>
        <v>0</v>
      </c>
      <c r="AE308" s="46">
        <f t="shared" si="240"/>
        <v>0</v>
      </c>
      <c r="AF308" s="15">
        <f t="shared" si="241"/>
        <v>0</v>
      </c>
      <c r="AG308" s="46">
        <f>SUMPRODUCT(AE309:AE$605, $I308:$I$604) / $I308</f>
        <v>0</v>
      </c>
      <c r="AI308" s="46">
        <f t="shared" si="216"/>
        <v>0</v>
      </c>
      <c r="AJ308" s="46">
        <f>IF(E308&gt;Mat_Year,0,  -SUM($AD$5:AD308))</f>
        <v>0</v>
      </c>
      <c r="AK308" s="24">
        <f t="shared" si="242"/>
        <v>0</v>
      </c>
      <c r="AL308" s="79">
        <f t="shared" si="243"/>
        <v>0</v>
      </c>
      <c r="AM308" s="24">
        <f t="shared" si="244"/>
        <v>0</v>
      </c>
      <c r="AN308" s="79">
        <f t="shared" si="245"/>
        <v>0</v>
      </c>
      <c r="AO308" s="15">
        <f t="shared" si="246"/>
        <v>0</v>
      </c>
      <c r="AP308" s="46">
        <f>SUMPRODUCT(AN309:AN$605, $I309:$I$605) / $I308</f>
        <v>0</v>
      </c>
      <c r="AR308" s="46">
        <v>0</v>
      </c>
      <c r="AS308" s="46">
        <v>0</v>
      </c>
      <c r="AT308" s="46">
        <v>0</v>
      </c>
      <c r="AU308" s="95">
        <f t="shared" si="217"/>
        <v>0</v>
      </c>
      <c r="AV308" s="47">
        <f t="shared" si="218"/>
        <v>0.1</v>
      </c>
      <c r="AW308" s="96">
        <f t="shared" si="247"/>
        <v>0</v>
      </c>
      <c r="AX308" s="95">
        <f t="shared" si="219"/>
        <v>0</v>
      </c>
      <c r="AY308" s="11">
        <f t="shared" si="220"/>
        <v>0.1</v>
      </c>
      <c r="AZ308" s="96">
        <f t="shared" si="248"/>
        <v>0</v>
      </c>
      <c r="BA308" s="95">
        <f t="shared" si="249"/>
        <v>0</v>
      </c>
      <c r="BB308" s="64">
        <f t="shared" si="250"/>
        <v>0</v>
      </c>
      <c r="BC308" s="95">
        <f t="shared" si="262"/>
        <v>0</v>
      </c>
      <c r="BD308" s="96">
        <f t="shared" si="262"/>
        <v>0</v>
      </c>
      <c r="BE308" s="96">
        <f t="shared" si="251"/>
        <v>0</v>
      </c>
      <c r="BF308" s="96">
        <f t="shared" si="252"/>
        <v>0</v>
      </c>
      <c r="BG308" s="15">
        <f t="shared" si="253"/>
        <v>0</v>
      </c>
      <c r="BH308" s="46">
        <f>(SUMPRODUCT(BE309:BE$605,$I308:$I$604)+SUMPRODUCT(BF309:BF$605,$I309:$I$605)) / $I308</f>
        <v>0</v>
      </c>
      <c r="BJ308" s="46">
        <f t="shared" si="254"/>
        <v>0</v>
      </c>
      <c r="BK308" s="46">
        <f t="shared" si="255"/>
        <v>0</v>
      </c>
      <c r="BM308" s="49">
        <f t="shared" si="221"/>
        <v>0</v>
      </c>
      <c r="BN308" s="50">
        <f t="shared" si="256"/>
        <v>0</v>
      </c>
      <c r="BP308" s="68">
        <f>INDEX(Others!$H$11:$I$60, MATCH(C308, Others!$A$11:$A$60, 0), MATCH(BP$3, Others!$H$10:$I$10, 0))</f>
        <v>3.0518181818181667E-2</v>
      </c>
      <c r="BQ308" s="16">
        <f t="shared" si="257"/>
        <v>2.5082875760633616E-3</v>
      </c>
      <c r="BR308" s="69">
        <f t="shared" si="258"/>
        <v>0.46806993806377045</v>
      </c>
      <c r="BT308" s="46">
        <f t="shared" si="259"/>
        <v>0</v>
      </c>
      <c r="BU308" s="49">
        <f t="shared" si="222"/>
        <v>0</v>
      </c>
      <c r="BV308" s="46">
        <f t="shared" si="260"/>
        <v>0</v>
      </c>
      <c r="BX308" s="46">
        <f t="shared" si="261"/>
        <v>0</v>
      </c>
    </row>
    <row r="309" spans="1:76" x14ac:dyDescent="0.25">
      <c r="A309" s="61">
        <f t="shared" si="211"/>
        <v>25.333333333333243</v>
      </c>
      <c r="B309" s="32">
        <f t="shared" si="223"/>
        <v>4</v>
      </c>
      <c r="C309" s="62">
        <f t="shared" si="224"/>
        <v>26</v>
      </c>
      <c r="D309" s="64">
        <f t="shared" si="225"/>
        <v>25.833333333333243</v>
      </c>
      <c r="E309" s="28">
        <f t="shared" si="226"/>
        <v>25</v>
      </c>
      <c r="G309" s="68">
        <f>INDEX(Others!$D$11:$E$60, MATCH(C309, Others!$A$11:$A$60, 0), MATCH(G$3, Others!$D$10:$E$10, 0))</f>
        <v>4.0690909090908889E-2</v>
      </c>
      <c r="H309" s="16">
        <f t="shared" si="227"/>
        <v>3.329265421250005E-3</v>
      </c>
      <c r="I309" s="69">
        <f t="shared" si="228"/>
        <v>0.36406762382648655</v>
      </c>
      <c r="K309" s="80" t="e">
        <f>INDEX(Mortality!$B$7:$F$32, MATCH( E309,Mortality!$A$7:$A$32, 0), MATCH( K$3,Mortality!$B$6:$F$6,0))</f>
        <v>#N/A</v>
      </c>
      <c r="L309" s="11" cm="1">
        <f t="array" ref="L309">PAD_Res_Mort</f>
        <v>0.15</v>
      </c>
      <c r="M309" s="80">
        <f t="shared" si="229"/>
        <v>0</v>
      </c>
      <c r="N309" s="76" t="e">
        <f>INDEX('Myopia_(Reserve)'!$H:$H, MATCH(E309, 'Myopia_(Reserve)'!$A:$A, 0)) * Trend_Factor_Reserve^(A309)</f>
        <v>#N/A</v>
      </c>
      <c r="O309" s="11">
        <f t="shared" si="212"/>
        <v>0.3</v>
      </c>
      <c r="P309" s="80">
        <f t="shared" si="230"/>
        <v>0</v>
      </c>
      <c r="Q309" s="76">
        <f>VLOOKUP(C309,Others!$L$10:$M$61,2)</f>
        <v>0</v>
      </c>
      <c r="R309" s="11">
        <f t="shared" si="213"/>
        <v>0</v>
      </c>
      <c r="S309" s="80">
        <f t="shared" si="231"/>
        <v>0</v>
      </c>
      <c r="T309" s="78">
        <f t="shared" si="232"/>
        <v>0</v>
      </c>
      <c r="U309" s="81">
        <f t="shared" si="233"/>
        <v>0</v>
      </c>
      <c r="V309" s="81">
        <f t="shared" si="234"/>
        <v>0</v>
      </c>
      <c r="W309" s="77">
        <f t="shared" si="214"/>
        <v>0</v>
      </c>
      <c r="X309" s="82">
        <f t="shared" si="235"/>
        <v>0</v>
      </c>
      <c r="Y309" s="82">
        <f t="shared" si="236"/>
        <v>0</v>
      </c>
      <c r="Z309" s="82">
        <f t="shared" si="237"/>
        <v>0</v>
      </c>
      <c r="AA309" s="82">
        <f t="shared" si="238"/>
        <v>0</v>
      </c>
      <c r="AC309" s="46">
        <f t="shared" si="215"/>
        <v>0</v>
      </c>
      <c r="AD309" s="15">
        <f t="shared" si="239"/>
        <v>0</v>
      </c>
      <c r="AE309" s="46">
        <f t="shared" si="240"/>
        <v>0</v>
      </c>
      <c r="AF309" s="15">
        <f t="shared" si="241"/>
        <v>0</v>
      </c>
      <c r="AG309" s="46">
        <f>SUMPRODUCT(AE310:AE$605, $I309:$I$604) / $I309</f>
        <v>0</v>
      </c>
      <c r="AI309" s="46">
        <f t="shared" si="216"/>
        <v>0</v>
      </c>
      <c r="AJ309" s="46">
        <f>IF(E309&gt;Mat_Year,0,  -SUM($AD$5:AD309))</f>
        <v>0</v>
      </c>
      <c r="AK309" s="24">
        <f t="shared" si="242"/>
        <v>0</v>
      </c>
      <c r="AL309" s="79">
        <f t="shared" si="243"/>
        <v>0</v>
      </c>
      <c r="AM309" s="24">
        <f t="shared" si="244"/>
        <v>0</v>
      </c>
      <c r="AN309" s="79">
        <f t="shared" si="245"/>
        <v>0</v>
      </c>
      <c r="AO309" s="15">
        <f t="shared" si="246"/>
        <v>0</v>
      </c>
      <c r="AP309" s="46">
        <f>SUMPRODUCT(AN310:AN$605, $I310:$I$605) / $I309</f>
        <v>0</v>
      </c>
      <c r="AR309" s="46">
        <v>0</v>
      </c>
      <c r="AS309" s="46">
        <v>0</v>
      </c>
      <c r="AT309" s="46">
        <v>0</v>
      </c>
      <c r="AU309" s="95">
        <f t="shared" si="217"/>
        <v>0</v>
      </c>
      <c r="AV309" s="47">
        <f t="shared" si="218"/>
        <v>0.1</v>
      </c>
      <c r="AW309" s="96">
        <f t="shared" si="247"/>
        <v>0</v>
      </c>
      <c r="AX309" s="95">
        <f t="shared" si="219"/>
        <v>0</v>
      </c>
      <c r="AY309" s="11">
        <f t="shared" si="220"/>
        <v>0.1</v>
      </c>
      <c r="AZ309" s="96">
        <f t="shared" si="248"/>
        <v>0</v>
      </c>
      <c r="BA309" s="95">
        <f t="shared" si="249"/>
        <v>0</v>
      </c>
      <c r="BB309" s="64">
        <f t="shared" si="250"/>
        <v>0</v>
      </c>
      <c r="BC309" s="95">
        <f t="shared" si="262"/>
        <v>0</v>
      </c>
      <c r="BD309" s="96">
        <f t="shared" si="262"/>
        <v>0</v>
      </c>
      <c r="BE309" s="96">
        <f t="shared" si="251"/>
        <v>0</v>
      </c>
      <c r="BF309" s="96">
        <f t="shared" si="252"/>
        <v>0</v>
      </c>
      <c r="BG309" s="15">
        <f t="shared" si="253"/>
        <v>0</v>
      </c>
      <c r="BH309" s="46">
        <f>(SUMPRODUCT(BE310:BE$605,$I309:$I$604)+SUMPRODUCT(BF310:BF$605,$I310:$I$605)) / $I309</f>
        <v>0</v>
      </c>
      <c r="BJ309" s="46">
        <f t="shared" si="254"/>
        <v>0</v>
      </c>
      <c r="BK309" s="46">
        <f t="shared" si="255"/>
        <v>0</v>
      </c>
      <c r="BM309" s="49">
        <f t="shared" si="221"/>
        <v>0</v>
      </c>
      <c r="BN309" s="50">
        <f t="shared" si="256"/>
        <v>0</v>
      </c>
      <c r="BP309" s="68">
        <f>INDEX(Others!$H$11:$I$60, MATCH(C309, Others!$A$11:$A$60, 0), MATCH(BP$3, Others!$H$10:$I$10, 0))</f>
        <v>3.0518181818181667E-2</v>
      </c>
      <c r="BQ309" s="16">
        <f t="shared" si="257"/>
        <v>2.5082875760633616E-3</v>
      </c>
      <c r="BR309" s="69">
        <f t="shared" si="258"/>
        <v>0.46689882155039697</v>
      </c>
      <c r="BT309" s="46">
        <f t="shared" si="259"/>
        <v>0</v>
      </c>
      <c r="BU309" s="49">
        <f t="shared" si="222"/>
        <v>0</v>
      </c>
      <c r="BV309" s="46">
        <f t="shared" si="260"/>
        <v>0</v>
      </c>
      <c r="BX309" s="46">
        <f t="shared" si="261"/>
        <v>0</v>
      </c>
    </row>
    <row r="310" spans="1:76" x14ac:dyDescent="0.25">
      <c r="A310" s="61">
        <f t="shared" si="211"/>
        <v>25.416666666666575</v>
      </c>
      <c r="B310" s="32">
        <f t="shared" si="223"/>
        <v>5</v>
      </c>
      <c r="C310" s="62">
        <f t="shared" si="224"/>
        <v>26</v>
      </c>
      <c r="D310" s="64">
        <f t="shared" si="225"/>
        <v>25.916666666666575</v>
      </c>
      <c r="E310" s="28">
        <f t="shared" si="226"/>
        <v>25</v>
      </c>
      <c r="G310" s="68">
        <f>INDEX(Others!$D$11:$E$60, MATCH(C310, Others!$A$11:$A$60, 0), MATCH(G$3, Others!$D$10:$E$10, 0))</f>
        <v>4.0690909090908889E-2</v>
      </c>
      <c r="H310" s="16">
        <f t="shared" si="227"/>
        <v>3.329265421250005E-3</v>
      </c>
      <c r="I310" s="69">
        <f t="shared" si="228"/>
        <v>0.36285956801392805</v>
      </c>
      <c r="K310" s="80" t="e">
        <f>INDEX(Mortality!$B$7:$F$32, MATCH( E310,Mortality!$A$7:$A$32, 0), MATCH( K$3,Mortality!$B$6:$F$6,0))</f>
        <v>#N/A</v>
      </c>
      <c r="L310" s="11" cm="1">
        <f t="array" ref="L310">PAD_Res_Mort</f>
        <v>0.15</v>
      </c>
      <c r="M310" s="80">
        <f t="shared" si="229"/>
        <v>0</v>
      </c>
      <c r="N310" s="76" t="e">
        <f>INDEX('Myopia_(Reserve)'!$H:$H, MATCH(E310, 'Myopia_(Reserve)'!$A:$A, 0)) * Trend_Factor_Reserve^(A310)</f>
        <v>#N/A</v>
      </c>
      <c r="O310" s="11">
        <f t="shared" si="212"/>
        <v>0.3</v>
      </c>
      <c r="P310" s="80">
        <f t="shared" si="230"/>
        <v>0</v>
      </c>
      <c r="Q310" s="76">
        <f>VLOOKUP(C310,Others!$L$10:$M$61,2)</f>
        <v>0</v>
      </c>
      <c r="R310" s="11">
        <f t="shared" si="213"/>
        <v>0</v>
      </c>
      <c r="S310" s="80">
        <f t="shared" si="231"/>
        <v>0</v>
      </c>
      <c r="T310" s="78">
        <f t="shared" si="232"/>
        <v>0</v>
      </c>
      <c r="U310" s="81">
        <f t="shared" si="233"/>
        <v>0</v>
      </c>
      <c r="V310" s="81">
        <f t="shared" si="234"/>
        <v>0</v>
      </c>
      <c r="W310" s="77">
        <f t="shared" si="214"/>
        <v>0</v>
      </c>
      <c r="X310" s="82">
        <f t="shared" si="235"/>
        <v>0</v>
      </c>
      <c r="Y310" s="82">
        <f t="shared" si="236"/>
        <v>0</v>
      </c>
      <c r="Z310" s="82">
        <f t="shared" si="237"/>
        <v>0</v>
      </c>
      <c r="AA310" s="82">
        <f t="shared" si="238"/>
        <v>0</v>
      </c>
      <c r="AC310" s="46">
        <f t="shared" si="215"/>
        <v>0</v>
      </c>
      <c r="AD310" s="15">
        <f t="shared" si="239"/>
        <v>0</v>
      </c>
      <c r="AE310" s="46">
        <f t="shared" si="240"/>
        <v>0</v>
      </c>
      <c r="AF310" s="15">
        <f t="shared" si="241"/>
        <v>0</v>
      </c>
      <c r="AG310" s="46">
        <f>SUMPRODUCT(AE311:AE$605, $I310:$I$604) / $I310</f>
        <v>0</v>
      </c>
      <c r="AI310" s="46">
        <f t="shared" si="216"/>
        <v>0</v>
      </c>
      <c r="AJ310" s="46">
        <f>IF(E310&gt;Mat_Year,0,  -SUM($AD$5:AD310))</f>
        <v>0</v>
      </c>
      <c r="AK310" s="24">
        <f t="shared" si="242"/>
        <v>0</v>
      </c>
      <c r="AL310" s="79">
        <f t="shared" si="243"/>
        <v>0</v>
      </c>
      <c r="AM310" s="24">
        <f t="shared" si="244"/>
        <v>0</v>
      </c>
      <c r="AN310" s="79">
        <f t="shared" si="245"/>
        <v>0</v>
      </c>
      <c r="AO310" s="15">
        <f t="shared" si="246"/>
        <v>0</v>
      </c>
      <c r="AP310" s="46">
        <f>SUMPRODUCT(AN311:AN$605, $I311:$I$605) / $I310</f>
        <v>0</v>
      </c>
      <c r="AR310" s="46">
        <v>0</v>
      </c>
      <c r="AS310" s="46">
        <v>0</v>
      </c>
      <c r="AT310" s="46">
        <v>0</v>
      </c>
      <c r="AU310" s="95">
        <f t="shared" si="217"/>
        <v>0</v>
      </c>
      <c r="AV310" s="47">
        <f t="shared" si="218"/>
        <v>0.1</v>
      </c>
      <c r="AW310" s="96">
        <f t="shared" si="247"/>
        <v>0</v>
      </c>
      <c r="AX310" s="95">
        <f t="shared" si="219"/>
        <v>0</v>
      </c>
      <c r="AY310" s="11">
        <f t="shared" si="220"/>
        <v>0.1</v>
      </c>
      <c r="AZ310" s="96">
        <f t="shared" si="248"/>
        <v>0</v>
      </c>
      <c r="BA310" s="95">
        <f t="shared" si="249"/>
        <v>0</v>
      </c>
      <c r="BB310" s="64">
        <f t="shared" si="250"/>
        <v>0</v>
      </c>
      <c r="BC310" s="95">
        <f t="shared" si="262"/>
        <v>0</v>
      </c>
      <c r="BD310" s="96">
        <f t="shared" si="262"/>
        <v>0</v>
      </c>
      <c r="BE310" s="96">
        <f t="shared" si="251"/>
        <v>0</v>
      </c>
      <c r="BF310" s="96">
        <f t="shared" si="252"/>
        <v>0</v>
      </c>
      <c r="BG310" s="15">
        <f t="shared" si="253"/>
        <v>0</v>
      </c>
      <c r="BH310" s="46">
        <f>(SUMPRODUCT(BE311:BE$605,$I310:$I$604)+SUMPRODUCT(BF311:BF$605,$I311:$I$605)) / $I310</f>
        <v>0</v>
      </c>
      <c r="BJ310" s="46">
        <f t="shared" si="254"/>
        <v>0</v>
      </c>
      <c r="BK310" s="46">
        <f t="shared" si="255"/>
        <v>0</v>
      </c>
      <c r="BM310" s="49">
        <f t="shared" si="221"/>
        <v>0</v>
      </c>
      <c r="BN310" s="50">
        <f t="shared" si="256"/>
        <v>0</v>
      </c>
      <c r="BP310" s="68">
        <f>INDEX(Others!$H$11:$I$60, MATCH(C310, Others!$A$11:$A$60, 0), MATCH(BP$3, Others!$H$10:$I$10, 0))</f>
        <v>3.0518181818181667E-2</v>
      </c>
      <c r="BQ310" s="16">
        <f t="shared" si="257"/>
        <v>2.5082875760633616E-3</v>
      </c>
      <c r="BR310" s="69">
        <f t="shared" si="258"/>
        <v>0.46573063518437191</v>
      </c>
      <c r="BT310" s="46">
        <f t="shared" si="259"/>
        <v>0</v>
      </c>
      <c r="BU310" s="49">
        <f t="shared" si="222"/>
        <v>0</v>
      </c>
      <c r="BV310" s="46">
        <f t="shared" si="260"/>
        <v>0</v>
      </c>
      <c r="BX310" s="46">
        <f t="shared" si="261"/>
        <v>0</v>
      </c>
    </row>
    <row r="311" spans="1:76" x14ac:dyDescent="0.25">
      <c r="A311" s="61">
        <f t="shared" si="211"/>
        <v>25.499999999999908</v>
      </c>
      <c r="B311" s="32">
        <f t="shared" si="223"/>
        <v>6</v>
      </c>
      <c r="C311" s="62">
        <f t="shared" si="224"/>
        <v>26</v>
      </c>
      <c r="D311" s="64">
        <f t="shared" si="225"/>
        <v>25.999999999999908</v>
      </c>
      <c r="E311" s="28">
        <f t="shared" si="226"/>
        <v>26</v>
      </c>
      <c r="G311" s="68">
        <f>INDEX(Others!$D$11:$E$60, MATCH(C311, Others!$A$11:$A$60, 0), MATCH(G$3, Others!$D$10:$E$10, 0))</f>
        <v>4.0690909090908889E-2</v>
      </c>
      <c r="H311" s="16">
        <f t="shared" si="227"/>
        <v>3.329265421250005E-3</v>
      </c>
      <c r="I311" s="69">
        <f t="shared" si="228"/>
        <v>0.36165552079414393</v>
      </c>
      <c r="K311" s="80" t="e">
        <f>INDEX(Mortality!$B$7:$F$32, MATCH( E311,Mortality!$A$7:$A$32, 0), MATCH( K$3,Mortality!$B$6:$F$6,0))</f>
        <v>#N/A</v>
      </c>
      <c r="L311" s="11" cm="1">
        <f t="array" ref="L311">PAD_Res_Mort</f>
        <v>0.15</v>
      </c>
      <c r="M311" s="80">
        <f t="shared" si="229"/>
        <v>0</v>
      </c>
      <c r="N311" s="76" t="e">
        <f>INDEX('Myopia_(Reserve)'!$H:$H, MATCH(E311, 'Myopia_(Reserve)'!$A:$A, 0)) * Trend_Factor_Reserve^(A311)</f>
        <v>#N/A</v>
      </c>
      <c r="O311" s="11">
        <f t="shared" si="212"/>
        <v>0.3</v>
      </c>
      <c r="P311" s="80">
        <f t="shared" si="230"/>
        <v>0</v>
      </c>
      <c r="Q311" s="76">
        <f>VLOOKUP(C311,Others!$L$10:$M$61,2)</f>
        <v>0</v>
      </c>
      <c r="R311" s="11">
        <f t="shared" si="213"/>
        <v>0</v>
      </c>
      <c r="S311" s="80">
        <f t="shared" si="231"/>
        <v>0</v>
      </c>
      <c r="T311" s="78">
        <f t="shared" si="232"/>
        <v>0</v>
      </c>
      <c r="U311" s="81">
        <f t="shared" si="233"/>
        <v>0</v>
      </c>
      <c r="V311" s="81">
        <f t="shared" si="234"/>
        <v>0</v>
      </c>
      <c r="W311" s="77">
        <f t="shared" si="214"/>
        <v>0</v>
      </c>
      <c r="X311" s="82">
        <f t="shared" si="235"/>
        <v>0</v>
      </c>
      <c r="Y311" s="82">
        <f t="shared" si="236"/>
        <v>0</v>
      </c>
      <c r="Z311" s="82">
        <f t="shared" si="237"/>
        <v>0</v>
      </c>
      <c r="AA311" s="82">
        <f t="shared" si="238"/>
        <v>0</v>
      </c>
      <c r="AC311" s="46">
        <f t="shared" si="215"/>
        <v>0</v>
      </c>
      <c r="AD311" s="15">
        <f t="shared" si="239"/>
        <v>0</v>
      </c>
      <c r="AE311" s="46">
        <f t="shared" si="240"/>
        <v>0</v>
      </c>
      <c r="AF311" s="15">
        <f t="shared" si="241"/>
        <v>0</v>
      </c>
      <c r="AG311" s="46">
        <f>SUMPRODUCT(AE312:AE$605, $I311:$I$604) / $I311</f>
        <v>0</v>
      </c>
      <c r="AI311" s="46">
        <f t="shared" si="216"/>
        <v>0</v>
      </c>
      <c r="AJ311" s="46">
        <f>IF(E311&gt;Mat_Year,0,  -SUM($AD$5:AD311))</f>
        <v>0</v>
      </c>
      <c r="AK311" s="24">
        <f t="shared" si="242"/>
        <v>0</v>
      </c>
      <c r="AL311" s="79">
        <f t="shared" si="243"/>
        <v>0</v>
      </c>
      <c r="AM311" s="24">
        <f t="shared" si="244"/>
        <v>0</v>
      </c>
      <c r="AN311" s="79">
        <f t="shared" si="245"/>
        <v>0</v>
      </c>
      <c r="AO311" s="15">
        <f t="shared" si="246"/>
        <v>0</v>
      </c>
      <c r="AP311" s="46">
        <f>SUMPRODUCT(AN312:AN$605, $I312:$I$605) / $I311</f>
        <v>0</v>
      </c>
      <c r="AR311" s="46">
        <v>0</v>
      </c>
      <c r="AS311" s="46">
        <v>0</v>
      </c>
      <c r="AT311" s="46">
        <v>0</v>
      </c>
      <c r="AU311" s="95">
        <f t="shared" si="217"/>
        <v>0</v>
      </c>
      <c r="AV311" s="47">
        <f t="shared" si="218"/>
        <v>0.1</v>
      </c>
      <c r="AW311" s="96">
        <f t="shared" si="247"/>
        <v>0</v>
      </c>
      <c r="AX311" s="95">
        <f t="shared" si="219"/>
        <v>0</v>
      </c>
      <c r="AY311" s="11">
        <f t="shared" si="220"/>
        <v>0.1</v>
      </c>
      <c r="AZ311" s="96">
        <f t="shared" si="248"/>
        <v>0</v>
      </c>
      <c r="BA311" s="95">
        <f t="shared" si="249"/>
        <v>0</v>
      </c>
      <c r="BB311" s="64">
        <f t="shared" si="250"/>
        <v>0</v>
      </c>
      <c r="BC311" s="95">
        <f t="shared" si="262"/>
        <v>0</v>
      </c>
      <c r="BD311" s="96">
        <f t="shared" si="262"/>
        <v>0</v>
      </c>
      <c r="BE311" s="96">
        <f t="shared" si="251"/>
        <v>0</v>
      </c>
      <c r="BF311" s="96">
        <f t="shared" si="252"/>
        <v>0</v>
      </c>
      <c r="BG311" s="15">
        <f t="shared" si="253"/>
        <v>0</v>
      </c>
      <c r="BH311" s="46">
        <f>(SUMPRODUCT(BE312:BE$605,$I311:$I$604)+SUMPRODUCT(BF312:BF$605,$I312:$I$605)) / $I311</f>
        <v>0</v>
      </c>
      <c r="BJ311" s="46">
        <f t="shared" si="254"/>
        <v>0</v>
      </c>
      <c r="BK311" s="46">
        <f t="shared" si="255"/>
        <v>0</v>
      </c>
      <c r="BM311" s="49">
        <f t="shared" si="221"/>
        <v>0</v>
      </c>
      <c r="BN311" s="50">
        <f t="shared" si="256"/>
        <v>0</v>
      </c>
      <c r="BP311" s="68">
        <f>INDEX(Others!$H$11:$I$60, MATCH(C311, Others!$A$11:$A$60, 0), MATCH(BP$3, Others!$H$10:$I$10, 0))</f>
        <v>3.0518181818181667E-2</v>
      </c>
      <c r="BQ311" s="16">
        <f t="shared" si="257"/>
        <v>2.5082875760633616E-3</v>
      </c>
      <c r="BR311" s="69">
        <f t="shared" si="258"/>
        <v>0.46456537163443201</v>
      </c>
      <c r="BT311" s="46">
        <f t="shared" si="259"/>
        <v>0</v>
      </c>
      <c r="BU311" s="49">
        <f t="shared" si="222"/>
        <v>0</v>
      </c>
      <c r="BV311" s="46">
        <f t="shared" si="260"/>
        <v>0</v>
      </c>
      <c r="BX311" s="46">
        <f t="shared" si="261"/>
        <v>0</v>
      </c>
    </row>
    <row r="312" spans="1:76" x14ac:dyDescent="0.25">
      <c r="A312" s="61">
        <f t="shared" si="211"/>
        <v>25.58333333333324</v>
      </c>
      <c r="B312" s="32">
        <f t="shared" si="223"/>
        <v>7</v>
      </c>
      <c r="C312" s="62">
        <f t="shared" si="224"/>
        <v>26</v>
      </c>
      <c r="D312" s="64">
        <f t="shared" si="225"/>
        <v>26.08333333333324</v>
      </c>
      <c r="E312" s="28">
        <f t="shared" si="226"/>
        <v>26</v>
      </c>
      <c r="G312" s="68">
        <f>INDEX(Others!$D$11:$E$60, MATCH(C312, Others!$A$11:$A$60, 0), MATCH(G$3, Others!$D$10:$E$10, 0))</f>
        <v>4.0690909090908889E-2</v>
      </c>
      <c r="H312" s="16">
        <f t="shared" si="227"/>
        <v>3.329265421250005E-3</v>
      </c>
      <c r="I312" s="69">
        <f t="shared" si="228"/>
        <v>0.36045546886574875</v>
      </c>
      <c r="K312" s="80" t="e">
        <f>INDEX(Mortality!$B$7:$F$32, MATCH( E312,Mortality!$A$7:$A$32, 0), MATCH( K$3,Mortality!$B$6:$F$6,0))</f>
        <v>#N/A</v>
      </c>
      <c r="L312" s="11" cm="1">
        <f t="array" ref="L312">PAD_Res_Mort</f>
        <v>0.15</v>
      </c>
      <c r="M312" s="80">
        <f t="shared" si="229"/>
        <v>0</v>
      </c>
      <c r="N312" s="76" t="e">
        <f>INDEX('Myopia_(Reserve)'!$H:$H, MATCH(E312, 'Myopia_(Reserve)'!$A:$A, 0)) * Trend_Factor_Reserve^(A312)</f>
        <v>#N/A</v>
      </c>
      <c r="O312" s="11">
        <f t="shared" si="212"/>
        <v>0.3</v>
      </c>
      <c r="P312" s="80">
        <f t="shared" si="230"/>
        <v>0</v>
      </c>
      <c r="Q312" s="76">
        <f>VLOOKUP(C312,Others!$L$10:$M$61,2)</f>
        <v>0</v>
      </c>
      <c r="R312" s="11">
        <f t="shared" si="213"/>
        <v>0</v>
      </c>
      <c r="S312" s="80">
        <f t="shared" si="231"/>
        <v>0</v>
      </c>
      <c r="T312" s="78">
        <f t="shared" si="232"/>
        <v>0</v>
      </c>
      <c r="U312" s="81">
        <f t="shared" si="233"/>
        <v>0</v>
      </c>
      <c r="V312" s="81">
        <f t="shared" si="234"/>
        <v>0</v>
      </c>
      <c r="W312" s="77">
        <f t="shared" si="214"/>
        <v>0</v>
      </c>
      <c r="X312" s="82">
        <f t="shared" si="235"/>
        <v>0</v>
      </c>
      <c r="Y312" s="82">
        <f t="shared" si="236"/>
        <v>0</v>
      </c>
      <c r="Z312" s="82">
        <f t="shared" si="237"/>
        <v>0</v>
      </c>
      <c r="AA312" s="82">
        <f t="shared" si="238"/>
        <v>0</v>
      </c>
      <c r="AC312" s="46">
        <f t="shared" si="215"/>
        <v>0</v>
      </c>
      <c r="AD312" s="15">
        <f t="shared" si="239"/>
        <v>0</v>
      </c>
      <c r="AE312" s="46">
        <f t="shared" si="240"/>
        <v>0</v>
      </c>
      <c r="AF312" s="15">
        <f t="shared" si="241"/>
        <v>0</v>
      </c>
      <c r="AG312" s="46">
        <f>SUMPRODUCT(AE313:AE$605, $I312:$I$604) / $I312</f>
        <v>0</v>
      </c>
      <c r="AI312" s="46">
        <f t="shared" si="216"/>
        <v>0</v>
      </c>
      <c r="AJ312" s="46">
        <f>IF(E312&gt;Mat_Year,0,  -SUM($AD$5:AD312))</f>
        <v>0</v>
      </c>
      <c r="AK312" s="24">
        <f t="shared" si="242"/>
        <v>0</v>
      </c>
      <c r="AL312" s="79">
        <f t="shared" si="243"/>
        <v>0</v>
      </c>
      <c r="AM312" s="24">
        <f t="shared" si="244"/>
        <v>0</v>
      </c>
      <c r="AN312" s="79">
        <f t="shared" si="245"/>
        <v>0</v>
      </c>
      <c r="AO312" s="15">
        <f t="shared" si="246"/>
        <v>0</v>
      </c>
      <c r="AP312" s="46">
        <f>SUMPRODUCT(AN313:AN$605, $I313:$I$605) / $I312</f>
        <v>0</v>
      </c>
      <c r="AR312" s="46">
        <v>0</v>
      </c>
      <c r="AS312" s="46">
        <v>0</v>
      </c>
      <c r="AT312" s="46">
        <v>0</v>
      </c>
      <c r="AU312" s="95">
        <f t="shared" si="217"/>
        <v>0</v>
      </c>
      <c r="AV312" s="47">
        <f t="shared" si="218"/>
        <v>0.1</v>
      </c>
      <c r="AW312" s="96">
        <f t="shared" si="247"/>
        <v>0</v>
      </c>
      <c r="AX312" s="95">
        <f t="shared" si="219"/>
        <v>0</v>
      </c>
      <c r="AY312" s="11">
        <f t="shared" si="220"/>
        <v>0.1</v>
      </c>
      <c r="AZ312" s="96">
        <f t="shared" si="248"/>
        <v>0</v>
      </c>
      <c r="BA312" s="95">
        <f t="shared" si="249"/>
        <v>0</v>
      </c>
      <c r="BB312" s="64">
        <f t="shared" si="250"/>
        <v>0</v>
      </c>
      <c r="BC312" s="95">
        <f t="shared" si="262"/>
        <v>0</v>
      </c>
      <c r="BD312" s="96">
        <f t="shared" si="262"/>
        <v>0</v>
      </c>
      <c r="BE312" s="96">
        <f t="shared" si="251"/>
        <v>0</v>
      </c>
      <c r="BF312" s="96">
        <f t="shared" si="252"/>
        <v>0</v>
      </c>
      <c r="BG312" s="15">
        <f t="shared" si="253"/>
        <v>0</v>
      </c>
      <c r="BH312" s="46">
        <f>(SUMPRODUCT(BE313:BE$605,$I312:$I$604)+SUMPRODUCT(BF313:BF$605,$I313:$I$605)) / $I312</f>
        <v>0</v>
      </c>
      <c r="BJ312" s="46">
        <f t="shared" si="254"/>
        <v>0</v>
      </c>
      <c r="BK312" s="46">
        <f t="shared" si="255"/>
        <v>0</v>
      </c>
      <c r="BM312" s="49">
        <f t="shared" si="221"/>
        <v>0</v>
      </c>
      <c r="BN312" s="50">
        <f t="shared" si="256"/>
        <v>0</v>
      </c>
      <c r="BP312" s="68">
        <f>INDEX(Others!$H$11:$I$60, MATCH(C312, Others!$A$11:$A$60, 0), MATCH(BP$3, Others!$H$10:$I$10, 0))</f>
        <v>3.0518181818181667E-2</v>
      </c>
      <c r="BQ312" s="16">
        <f t="shared" si="257"/>
        <v>2.5082875760633616E-3</v>
      </c>
      <c r="BR312" s="69">
        <f t="shared" si="258"/>
        <v>0.46340302358765689</v>
      </c>
      <c r="BT312" s="46">
        <f t="shared" si="259"/>
        <v>0</v>
      </c>
      <c r="BU312" s="49">
        <f t="shared" si="222"/>
        <v>0</v>
      </c>
      <c r="BV312" s="46">
        <f t="shared" si="260"/>
        <v>0</v>
      </c>
      <c r="BX312" s="46">
        <f t="shared" si="261"/>
        <v>0</v>
      </c>
    </row>
    <row r="313" spans="1:76" x14ac:dyDescent="0.25">
      <c r="A313" s="61">
        <f t="shared" si="211"/>
        <v>25.666666666666572</v>
      </c>
      <c r="B313" s="32">
        <f t="shared" si="223"/>
        <v>8</v>
      </c>
      <c r="C313" s="62">
        <f t="shared" si="224"/>
        <v>26</v>
      </c>
      <c r="D313" s="64">
        <f t="shared" si="225"/>
        <v>26.166666666666572</v>
      </c>
      <c r="E313" s="28">
        <f t="shared" si="226"/>
        <v>26</v>
      </c>
      <c r="G313" s="68">
        <f>INDEX(Others!$D$11:$E$60, MATCH(C313, Others!$A$11:$A$60, 0), MATCH(G$3, Others!$D$10:$E$10, 0))</f>
        <v>4.0690909090908889E-2</v>
      </c>
      <c r="H313" s="16">
        <f t="shared" si="227"/>
        <v>3.329265421250005E-3</v>
      </c>
      <c r="I313" s="69">
        <f t="shared" si="228"/>
        <v>0.35925939897149389</v>
      </c>
      <c r="K313" s="80" t="e">
        <f>INDEX(Mortality!$B$7:$F$32, MATCH( E313,Mortality!$A$7:$A$32, 0), MATCH( K$3,Mortality!$B$6:$F$6,0))</f>
        <v>#N/A</v>
      </c>
      <c r="L313" s="11" cm="1">
        <f t="array" ref="L313">PAD_Res_Mort</f>
        <v>0.15</v>
      </c>
      <c r="M313" s="80">
        <f t="shared" si="229"/>
        <v>0</v>
      </c>
      <c r="N313" s="76" t="e">
        <f>INDEX('Myopia_(Reserve)'!$H:$H, MATCH(E313, 'Myopia_(Reserve)'!$A:$A, 0)) * Trend_Factor_Reserve^(A313)</f>
        <v>#N/A</v>
      </c>
      <c r="O313" s="11">
        <f t="shared" si="212"/>
        <v>0.3</v>
      </c>
      <c r="P313" s="80">
        <f t="shared" si="230"/>
        <v>0</v>
      </c>
      <c r="Q313" s="76">
        <f>VLOOKUP(C313,Others!$L$10:$M$61,2)</f>
        <v>0</v>
      </c>
      <c r="R313" s="11">
        <f t="shared" si="213"/>
        <v>0</v>
      </c>
      <c r="S313" s="80">
        <f t="shared" si="231"/>
        <v>0</v>
      </c>
      <c r="T313" s="78">
        <f t="shared" si="232"/>
        <v>0</v>
      </c>
      <c r="U313" s="81">
        <f t="shared" si="233"/>
        <v>0</v>
      </c>
      <c r="V313" s="81">
        <f t="shared" si="234"/>
        <v>0</v>
      </c>
      <c r="W313" s="77">
        <f t="shared" si="214"/>
        <v>0</v>
      </c>
      <c r="X313" s="82">
        <f t="shared" si="235"/>
        <v>0</v>
      </c>
      <c r="Y313" s="82">
        <f t="shared" si="236"/>
        <v>0</v>
      </c>
      <c r="Z313" s="82">
        <f t="shared" si="237"/>
        <v>0</v>
      </c>
      <c r="AA313" s="82">
        <f t="shared" si="238"/>
        <v>0</v>
      </c>
      <c r="AC313" s="46">
        <f t="shared" si="215"/>
        <v>0</v>
      </c>
      <c r="AD313" s="15">
        <f t="shared" si="239"/>
        <v>0</v>
      </c>
      <c r="AE313" s="46">
        <f t="shared" si="240"/>
        <v>0</v>
      </c>
      <c r="AF313" s="15">
        <f t="shared" si="241"/>
        <v>0</v>
      </c>
      <c r="AG313" s="46">
        <f>SUMPRODUCT(AE314:AE$605, $I313:$I$604) / $I313</f>
        <v>0</v>
      </c>
      <c r="AI313" s="46">
        <f t="shared" si="216"/>
        <v>0</v>
      </c>
      <c r="AJ313" s="46">
        <f>IF(E313&gt;Mat_Year,0,  -SUM($AD$5:AD313))</f>
        <v>0</v>
      </c>
      <c r="AK313" s="24">
        <f t="shared" si="242"/>
        <v>0</v>
      </c>
      <c r="AL313" s="79">
        <f t="shared" si="243"/>
        <v>0</v>
      </c>
      <c r="AM313" s="24">
        <f t="shared" si="244"/>
        <v>0</v>
      </c>
      <c r="AN313" s="79">
        <f t="shared" si="245"/>
        <v>0</v>
      </c>
      <c r="AO313" s="15">
        <f t="shared" si="246"/>
        <v>0</v>
      </c>
      <c r="AP313" s="46">
        <f>SUMPRODUCT(AN314:AN$605, $I314:$I$605) / $I313</f>
        <v>0</v>
      </c>
      <c r="AR313" s="46">
        <v>0</v>
      </c>
      <c r="AS313" s="46">
        <v>0</v>
      </c>
      <c r="AT313" s="46">
        <v>0</v>
      </c>
      <c r="AU313" s="95">
        <f t="shared" si="217"/>
        <v>0</v>
      </c>
      <c r="AV313" s="47">
        <f t="shared" si="218"/>
        <v>0.1</v>
      </c>
      <c r="AW313" s="96">
        <f t="shared" si="247"/>
        <v>0</v>
      </c>
      <c r="AX313" s="95">
        <f t="shared" si="219"/>
        <v>0</v>
      </c>
      <c r="AY313" s="11">
        <f t="shared" si="220"/>
        <v>0.1</v>
      </c>
      <c r="AZ313" s="96">
        <f t="shared" si="248"/>
        <v>0</v>
      </c>
      <c r="BA313" s="95">
        <f t="shared" si="249"/>
        <v>0</v>
      </c>
      <c r="BB313" s="64">
        <f t="shared" si="250"/>
        <v>0</v>
      </c>
      <c r="BC313" s="95">
        <f t="shared" si="262"/>
        <v>0</v>
      </c>
      <c r="BD313" s="96">
        <f t="shared" si="262"/>
        <v>0</v>
      </c>
      <c r="BE313" s="96">
        <f t="shared" si="251"/>
        <v>0</v>
      </c>
      <c r="BF313" s="96">
        <f t="shared" si="252"/>
        <v>0</v>
      </c>
      <c r="BG313" s="15">
        <f t="shared" si="253"/>
        <v>0</v>
      </c>
      <c r="BH313" s="46">
        <f>(SUMPRODUCT(BE314:BE$605,$I313:$I$604)+SUMPRODUCT(BF314:BF$605,$I314:$I$605)) / $I313</f>
        <v>0</v>
      </c>
      <c r="BJ313" s="46">
        <f t="shared" si="254"/>
        <v>0</v>
      </c>
      <c r="BK313" s="46">
        <f t="shared" si="255"/>
        <v>0</v>
      </c>
      <c r="BM313" s="49">
        <f t="shared" si="221"/>
        <v>0</v>
      </c>
      <c r="BN313" s="50">
        <f t="shared" si="256"/>
        <v>0</v>
      </c>
      <c r="BP313" s="68">
        <f>INDEX(Others!$H$11:$I$60, MATCH(C313, Others!$A$11:$A$60, 0), MATCH(BP$3, Others!$H$10:$I$10, 0))</f>
        <v>3.0518181818181667E-2</v>
      </c>
      <c r="BQ313" s="16">
        <f t="shared" si="257"/>
        <v>2.5082875760633616E-3</v>
      </c>
      <c r="BR313" s="69">
        <f t="shared" si="258"/>
        <v>0.4622435837494232</v>
      </c>
      <c r="BT313" s="46">
        <f t="shared" si="259"/>
        <v>0</v>
      </c>
      <c r="BU313" s="49">
        <f t="shared" si="222"/>
        <v>0</v>
      </c>
      <c r="BV313" s="46">
        <f t="shared" si="260"/>
        <v>0</v>
      </c>
      <c r="BX313" s="46">
        <f t="shared" si="261"/>
        <v>0</v>
      </c>
    </row>
    <row r="314" spans="1:76" x14ac:dyDescent="0.25">
      <c r="A314" s="61">
        <f t="shared" si="211"/>
        <v>25.749999999999904</v>
      </c>
      <c r="B314" s="32">
        <f t="shared" si="223"/>
        <v>9</v>
      </c>
      <c r="C314" s="62">
        <f t="shared" si="224"/>
        <v>26</v>
      </c>
      <c r="D314" s="64">
        <f t="shared" si="225"/>
        <v>26.249999999999904</v>
      </c>
      <c r="E314" s="28">
        <f t="shared" si="226"/>
        <v>26</v>
      </c>
      <c r="G314" s="68">
        <f>INDEX(Others!$D$11:$E$60, MATCH(C314, Others!$A$11:$A$60, 0), MATCH(G$3, Others!$D$10:$E$10, 0))</f>
        <v>4.0690909090908889E-2</v>
      </c>
      <c r="H314" s="16">
        <f t="shared" si="227"/>
        <v>3.329265421250005E-3</v>
      </c>
      <c r="I314" s="69">
        <f t="shared" si="228"/>
        <v>0.35806729789812125</v>
      </c>
      <c r="K314" s="80" t="e">
        <f>INDEX(Mortality!$B$7:$F$32, MATCH( E314,Mortality!$A$7:$A$32, 0), MATCH( K$3,Mortality!$B$6:$F$6,0))</f>
        <v>#N/A</v>
      </c>
      <c r="L314" s="11" cm="1">
        <f t="array" ref="L314">PAD_Res_Mort</f>
        <v>0.15</v>
      </c>
      <c r="M314" s="80">
        <f t="shared" si="229"/>
        <v>0</v>
      </c>
      <c r="N314" s="76" t="e">
        <f>INDEX('Myopia_(Reserve)'!$H:$H, MATCH(E314, 'Myopia_(Reserve)'!$A:$A, 0)) * Trend_Factor_Reserve^(A314)</f>
        <v>#N/A</v>
      </c>
      <c r="O314" s="11">
        <f t="shared" si="212"/>
        <v>0.3</v>
      </c>
      <c r="P314" s="80">
        <f t="shared" si="230"/>
        <v>0</v>
      </c>
      <c r="Q314" s="76">
        <f>VLOOKUP(C314,Others!$L$10:$M$61,2)</f>
        <v>0</v>
      </c>
      <c r="R314" s="11">
        <f t="shared" si="213"/>
        <v>0</v>
      </c>
      <c r="S314" s="80">
        <f t="shared" si="231"/>
        <v>0</v>
      </c>
      <c r="T314" s="78">
        <f t="shared" si="232"/>
        <v>0</v>
      </c>
      <c r="U314" s="81">
        <f t="shared" si="233"/>
        <v>0</v>
      </c>
      <c r="V314" s="81">
        <f t="shared" si="234"/>
        <v>0</v>
      </c>
      <c r="W314" s="77">
        <f t="shared" si="214"/>
        <v>0</v>
      </c>
      <c r="X314" s="82">
        <f t="shared" si="235"/>
        <v>0</v>
      </c>
      <c r="Y314" s="82">
        <f t="shared" si="236"/>
        <v>0</v>
      </c>
      <c r="Z314" s="82">
        <f t="shared" si="237"/>
        <v>0</v>
      </c>
      <c r="AA314" s="82">
        <f t="shared" si="238"/>
        <v>0</v>
      </c>
      <c r="AC314" s="46">
        <f t="shared" si="215"/>
        <v>0</v>
      </c>
      <c r="AD314" s="15">
        <f t="shared" si="239"/>
        <v>0</v>
      </c>
      <c r="AE314" s="46">
        <f t="shared" si="240"/>
        <v>0</v>
      </c>
      <c r="AF314" s="15">
        <f t="shared" si="241"/>
        <v>0</v>
      </c>
      <c r="AG314" s="46">
        <f>SUMPRODUCT(AE315:AE$605, $I314:$I$604) / $I314</f>
        <v>0</v>
      </c>
      <c r="AI314" s="46">
        <f t="shared" si="216"/>
        <v>0</v>
      </c>
      <c r="AJ314" s="46">
        <f>IF(E314&gt;Mat_Year,0,  -SUM($AD$5:AD314))</f>
        <v>0</v>
      </c>
      <c r="AK314" s="24">
        <f t="shared" si="242"/>
        <v>0</v>
      </c>
      <c r="AL314" s="79">
        <f t="shared" si="243"/>
        <v>0</v>
      </c>
      <c r="AM314" s="24">
        <f t="shared" si="244"/>
        <v>0</v>
      </c>
      <c r="AN314" s="79">
        <f t="shared" si="245"/>
        <v>0</v>
      </c>
      <c r="AO314" s="15">
        <f t="shared" si="246"/>
        <v>0</v>
      </c>
      <c r="AP314" s="46">
        <f>SUMPRODUCT(AN315:AN$605, $I315:$I$605) / $I314</f>
        <v>0</v>
      </c>
      <c r="AR314" s="46">
        <v>0</v>
      </c>
      <c r="AS314" s="46">
        <v>0</v>
      </c>
      <c r="AT314" s="46">
        <v>0</v>
      </c>
      <c r="AU314" s="95">
        <f t="shared" si="217"/>
        <v>0</v>
      </c>
      <c r="AV314" s="47">
        <f t="shared" si="218"/>
        <v>0.1</v>
      </c>
      <c r="AW314" s="96">
        <f t="shared" si="247"/>
        <v>0</v>
      </c>
      <c r="AX314" s="95">
        <f t="shared" si="219"/>
        <v>0</v>
      </c>
      <c r="AY314" s="11">
        <f t="shared" si="220"/>
        <v>0.1</v>
      </c>
      <c r="AZ314" s="96">
        <f t="shared" si="248"/>
        <v>0</v>
      </c>
      <c r="BA314" s="95">
        <f t="shared" si="249"/>
        <v>0</v>
      </c>
      <c r="BB314" s="64">
        <f t="shared" si="250"/>
        <v>0</v>
      </c>
      <c r="BC314" s="95">
        <f t="shared" si="262"/>
        <v>0</v>
      </c>
      <c r="BD314" s="96">
        <f t="shared" si="262"/>
        <v>0</v>
      </c>
      <c r="BE314" s="96">
        <f t="shared" si="251"/>
        <v>0</v>
      </c>
      <c r="BF314" s="96">
        <f t="shared" si="252"/>
        <v>0</v>
      </c>
      <c r="BG314" s="15">
        <f t="shared" si="253"/>
        <v>0</v>
      </c>
      <c r="BH314" s="46">
        <f>(SUMPRODUCT(BE315:BE$605,$I314:$I$604)+SUMPRODUCT(BF315:BF$605,$I315:$I$605)) / $I314</f>
        <v>0</v>
      </c>
      <c r="BJ314" s="46">
        <f t="shared" si="254"/>
        <v>0</v>
      </c>
      <c r="BK314" s="46">
        <f t="shared" si="255"/>
        <v>0</v>
      </c>
      <c r="BM314" s="49">
        <f t="shared" si="221"/>
        <v>0</v>
      </c>
      <c r="BN314" s="50">
        <f t="shared" si="256"/>
        <v>0</v>
      </c>
      <c r="BP314" s="68">
        <f>INDEX(Others!$H$11:$I$60, MATCH(C314, Others!$A$11:$A$60, 0), MATCH(BP$3, Others!$H$10:$I$10, 0))</f>
        <v>3.0518181818181667E-2</v>
      </c>
      <c r="BQ314" s="16">
        <f t="shared" si="257"/>
        <v>2.5082875760633616E-3</v>
      </c>
      <c r="BR314" s="69">
        <f t="shared" si="258"/>
        <v>0.46108704484335883</v>
      </c>
      <c r="BT314" s="46">
        <f t="shared" si="259"/>
        <v>0</v>
      </c>
      <c r="BU314" s="49">
        <f t="shared" si="222"/>
        <v>0</v>
      </c>
      <c r="BV314" s="46">
        <f t="shared" si="260"/>
        <v>0</v>
      </c>
      <c r="BX314" s="46">
        <f t="shared" si="261"/>
        <v>0</v>
      </c>
    </row>
    <row r="315" spans="1:76" x14ac:dyDescent="0.25">
      <c r="A315" s="61">
        <f t="shared" si="211"/>
        <v>25.833333333333236</v>
      </c>
      <c r="B315" s="32">
        <f t="shared" si="223"/>
        <v>10</v>
      </c>
      <c r="C315" s="62">
        <f t="shared" si="224"/>
        <v>26</v>
      </c>
      <c r="D315" s="64">
        <f t="shared" si="225"/>
        <v>26.333333333333236</v>
      </c>
      <c r="E315" s="28">
        <f t="shared" si="226"/>
        <v>26</v>
      </c>
      <c r="G315" s="68">
        <f>INDEX(Others!$D$11:$E$60, MATCH(C315, Others!$A$11:$A$60, 0), MATCH(G$3, Others!$D$10:$E$10, 0))</f>
        <v>4.0690909090908889E-2</v>
      </c>
      <c r="H315" s="16">
        <f t="shared" si="227"/>
        <v>3.329265421250005E-3</v>
      </c>
      <c r="I315" s="69">
        <f t="shared" si="228"/>
        <v>0.35687915247621715</v>
      </c>
      <c r="K315" s="80" t="e">
        <f>INDEX(Mortality!$B$7:$F$32, MATCH( E315,Mortality!$A$7:$A$32, 0), MATCH( K$3,Mortality!$B$6:$F$6,0))</f>
        <v>#N/A</v>
      </c>
      <c r="L315" s="11" cm="1">
        <f t="array" ref="L315">PAD_Res_Mort</f>
        <v>0.15</v>
      </c>
      <c r="M315" s="80">
        <f t="shared" si="229"/>
        <v>0</v>
      </c>
      <c r="N315" s="76" t="e">
        <f>INDEX('Myopia_(Reserve)'!$H:$H, MATCH(E315, 'Myopia_(Reserve)'!$A:$A, 0)) * Trend_Factor_Reserve^(A315)</f>
        <v>#N/A</v>
      </c>
      <c r="O315" s="11">
        <f t="shared" si="212"/>
        <v>0.3</v>
      </c>
      <c r="P315" s="80">
        <f t="shared" si="230"/>
        <v>0</v>
      </c>
      <c r="Q315" s="76">
        <f>VLOOKUP(C315,Others!$L$10:$M$61,2)</f>
        <v>0</v>
      </c>
      <c r="R315" s="11">
        <f t="shared" si="213"/>
        <v>0</v>
      </c>
      <c r="S315" s="80">
        <f t="shared" si="231"/>
        <v>0</v>
      </c>
      <c r="T315" s="78">
        <f t="shared" si="232"/>
        <v>0</v>
      </c>
      <c r="U315" s="81">
        <f t="shared" si="233"/>
        <v>0</v>
      </c>
      <c r="V315" s="81">
        <f t="shared" si="234"/>
        <v>0</v>
      </c>
      <c r="W315" s="77">
        <f t="shared" si="214"/>
        <v>0</v>
      </c>
      <c r="X315" s="82">
        <f t="shared" si="235"/>
        <v>0</v>
      </c>
      <c r="Y315" s="82">
        <f t="shared" si="236"/>
        <v>0</v>
      </c>
      <c r="Z315" s="82">
        <f t="shared" si="237"/>
        <v>0</v>
      </c>
      <c r="AA315" s="82">
        <f t="shared" si="238"/>
        <v>0</v>
      </c>
      <c r="AC315" s="46">
        <f t="shared" si="215"/>
        <v>0</v>
      </c>
      <c r="AD315" s="15">
        <f t="shared" si="239"/>
        <v>0</v>
      </c>
      <c r="AE315" s="46">
        <f t="shared" si="240"/>
        <v>0</v>
      </c>
      <c r="AF315" s="15">
        <f t="shared" si="241"/>
        <v>0</v>
      </c>
      <c r="AG315" s="46">
        <f>SUMPRODUCT(AE316:AE$605, $I315:$I$604) / $I315</f>
        <v>0</v>
      </c>
      <c r="AI315" s="46">
        <f t="shared" si="216"/>
        <v>0</v>
      </c>
      <c r="AJ315" s="46">
        <f>IF(E315&gt;Mat_Year,0,  -SUM($AD$5:AD315))</f>
        <v>0</v>
      </c>
      <c r="AK315" s="24">
        <f t="shared" si="242"/>
        <v>0</v>
      </c>
      <c r="AL315" s="79">
        <f t="shared" si="243"/>
        <v>0</v>
      </c>
      <c r="AM315" s="24">
        <f t="shared" si="244"/>
        <v>0</v>
      </c>
      <c r="AN315" s="79">
        <f t="shared" si="245"/>
        <v>0</v>
      </c>
      <c r="AO315" s="15">
        <f t="shared" si="246"/>
        <v>0</v>
      </c>
      <c r="AP315" s="46">
        <f>SUMPRODUCT(AN316:AN$605, $I316:$I$605) / $I315</f>
        <v>0</v>
      </c>
      <c r="AR315" s="46">
        <v>0</v>
      </c>
      <c r="AS315" s="46">
        <v>0</v>
      </c>
      <c r="AT315" s="46">
        <v>0</v>
      </c>
      <c r="AU315" s="95">
        <f t="shared" si="217"/>
        <v>0</v>
      </c>
      <c r="AV315" s="47">
        <f t="shared" si="218"/>
        <v>0.1</v>
      </c>
      <c r="AW315" s="96">
        <f t="shared" si="247"/>
        <v>0</v>
      </c>
      <c r="AX315" s="95">
        <f t="shared" si="219"/>
        <v>0</v>
      </c>
      <c r="AY315" s="11">
        <f t="shared" si="220"/>
        <v>0.1</v>
      </c>
      <c r="AZ315" s="96">
        <f t="shared" si="248"/>
        <v>0</v>
      </c>
      <c r="BA315" s="95">
        <f t="shared" si="249"/>
        <v>0</v>
      </c>
      <c r="BB315" s="64">
        <f t="shared" si="250"/>
        <v>0</v>
      </c>
      <c r="BC315" s="95">
        <f t="shared" si="262"/>
        <v>0</v>
      </c>
      <c r="BD315" s="96">
        <f t="shared" si="262"/>
        <v>0</v>
      </c>
      <c r="BE315" s="96">
        <f t="shared" si="251"/>
        <v>0</v>
      </c>
      <c r="BF315" s="96">
        <f t="shared" si="252"/>
        <v>0</v>
      </c>
      <c r="BG315" s="15">
        <f t="shared" si="253"/>
        <v>0</v>
      </c>
      <c r="BH315" s="46">
        <f>(SUMPRODUCT(BE316:BE$605,$I315:$I$604)+SUMPRODUCT(BF316:BF$605,$I316:$I$605)) / $I315</f>
        <v>0</v>
      </c>
      <c r="BJ315" s="46">
        <f t="shared" si="254"/>
        <v>0</v>
      </c>
      <c r="BK315" s="46">
        <f t="shared" si="255"/>
        <v>0</v>
      </c>
      <c r="BM315" s="49">
        <f t="shared" si="221"/>
        <v>0</v>
      </c>
      <c r="BN315" s="50">
        <f t="shared" si="256"/>
        <v>0</v>
      </c>
      <c r="BP315" s="68">
        <f>INDEX(Others!$H$11:$I$60, MATCH(C315, Others!$A$11:$A$60, 0), MATCH(BP$3, Others!$H$10:$I$10, 0))</f>
        <v>3.0518181818181667E-2</v>
      </c>
      <c r="BQ315" s="16">
        <f t="shared" si="257"/>
        <v>2.5082875760633616E-3</v>
      </c>
      <c r="BR315" s="69">
        <f t="shared" si="258"/>
        <v>0.4599333996112972</v>
      </c>
      <c r="BT315" s="46">
        <f t="shared" si="259"/>
        <v>0</v>
      </c>
      <c r="BU315" s="49">
        <f t="shared" si="222"/>
        <v>0</v>
      </c>
      <c r="BV315" s="46">
        <f t="shared" si="260"/>
        <v>0</v>
      </c>
      <c r="BX315" s="46">
        <f t="shared" si="261"/>
        <v>0</v>
      </c>
    </row>
    <row r="316" spans="1:76" x14ac:dyDescent="0.25">
      <c r="A316" s="61">
        <f t="shared" si="211"/>
        <v>25.916666666666568</v>
      </c>
      <c r="B316" s="32">
        <f t="shared" si="223"/>
        <v>11</v>
      </c>
      <c r="C316" s="62">
        <f t="shared" si="224"/>
        <v>26</v>
      </c>
      <c r="D316" s="64">
        <f t="shared" si="225"/>
        <v>26.416666666666568</v>
      </c>
      <c r="E316" s="28">
        <f t="shared" si="226"/>
        <v>26</v>
      </c>
      <c r="G316" s="68">
        <f>INDEX(Others!$D$11:$E$60, MATCH(C316, Others!$A$11:$A$60, 0), MATCH(G$3, Others!$D$10:$E$10, 0))</f>
        <v>4.0690909090908889E-2</v>
      </c>
      <c r="H316" s="16">
        <f t="shared" si="227"/>
        <v>3.329265421250005E-3</v>
      </c>
      <c r="I316" s="69">
        <f t="shared" si="228"/>
        <v>0.35569494958006698</v>
      </c>
      <c r="K316" s="80" t="e">
        <f>INDEX(Mortality!$B$7:$F$32, MATCH( E316,Mortality!$A$7:$A$32, 0), MATCH( K$3,Mortality!$B$6:$F$6,0))</f>
        <v>#N/A</v>
      </c>
      <c r="L316" s="11" cm="1">
        <f t="array" ref="L316">PAD_Res_Mort</f>
        <v>0.15</v>
      </c>
      <c r="M316" s="80">
        <f t="shared" si="229"/>
        <v>0</v>
      </c>
      <c r="N316" s="76" t="e">
        <f>INDEX('Myopia_(Reserve)'!$H:$H, MATCH(E316, 'Myopia_(Reserve)'!$A:$A, 0)) * Trend_Factor_Reserve^(A316)</f>
        <v>#N/A</v>
      </c>
      <c r="O316" s="11">
        <f t="shared" si="212"/>
        <v>0.3</v>
      </c>
      <c r="P316" s="80">
        <f t="shared" si="230"/>
        <v>0</v>
      </c>
      <c r="Q316" s="76">
        <f>VLOOKUP(C316,Others!$L$10:$M$61,2)</f>
        <v>0</v>
      </c>
      <c r="R316" s="11">
        <f t="shared" si="213"/>
        <v>0</v>
      </c>
      <c r="S316" s="80">
        <f t="shared" si="231"/>
        <v>0</v>
      </c>
      <c r="T316" s="78">
        <f t="shared" si="232"/>
        <v>0</v>
      </c>
      <c r="U316" s="81">
        <f t="shared" si="233"/>
        <v>0</v>
      </c>
      <c r="V316" s="81">
        <f t="shared" si="234"/>
        <v>0</v>
      </c>
      <c r="W316" s="77">
        <f t="shared" si="214"/>
        <v>0</v>
      </c>
      <c r="X316" s="82">
        <f t="shared" si="235"/>
        <v>0</v>
      </c>
      <c r="Y316" s="82">
        <f t="shared" si="236"/>
        <v>0</v>
      </c>
      <c r="Z316" s="82">
        <f t="shared" si="237"/>
        <v>0</v>
      </c>
      <c r="AA316" s="82">
        <f t="shared" si="238"/>
        <v>0</v>
      </c>
      <c r="AC316" s="46">
        <f t="shared" si="215"/>
        <v>0</v>
      </c>
      <c r="AD316" s="15">
        <f t="shared" si="239"/>
        <v>0</v>
      </c>
      <c r="AE316" s="46">
        <f t="shared" si="240"/>
        <v>0</v>
      </c>
      <c r="AF316" s="15">
        <f t="shared" si="241"/>
        <v>0</v>
      </c>
      <c r="AG316" s="46">
        <f>SUMPRODUCT(AE317:AE$605, $I316:$I$604) / $I316</f>
        <v>0</v>
      </c>
      <c r="AI316" s="46">
        <f t="shared" si="216"/>
        <v>0</v>
      </c>
      <c r="AJ316" s="46">
        <f>IF(E316&gt;Mat_Year,0,  -SUM($AD$5:AD316))</f>
        <v>0</v>
      </c>
      <c r="AK316" s="24">
        <f t="shared" si="242"/>
        <v>0</v>
      </c>
      <c r="AL316" s="79">
        <f t="shared" si="243"/>
        <v>0</v>
      </c>
      <c r="AM316" s="24">
        <f t="shared" si="244"/>
        <v>0</v>
      </c>
      <c r="AN316" s="79">
        <f t="shared" si="245"/>
        <v>0</v>
      </c>
      <c r="AO316" s="15">
        <f t="shared" si="246"/>
        <v>0</v>
      </c>
      <c r="AP316" s="46">
        <f>SUMPRODUCT(AN317:AN$605, $I317:$I$605) / $I316</f>
        <v>0</v>
      </c>
      <c r="AR316" s="46">
        <v>0</v>
      </c>
      <c r="AS316" s="46">
        <v>0</v>
      </c>
      <c r="AT316" s="46">
        <v>0</v>
      </c>
      <c r="AU316" s="95">
        <f t="shared" si="217"/>
        <v>0</v>
      </c>
      <c r="AV316" s="47">
        <f t="shared" si="218"/>
        <v>0.1</v>
      </c>
      <c r="AW316" s="96">
        <f t="shared" si="247"/>
        <v>0</v>
      </c>
      <c r="AX316" s="95">
        <f t="shared" si="219"/>
        <v>0</v>
      </c>
      <c r="AY316" s="11">
        <f t="shared" si="220"/>
        <v>0.1</v>
      </c>
      <c r="AZ316" s="96">
        <f t="shared" si="248"/>
        <v>0</v>
      </c>
      <c r="BA316" s="95">
        <f t="shared" si="249"/>
        <v>0</v>
      </c>
      <c r="BB316" s="64">
        <f t="shared" si="250"/>
        <v>0</v>
      </c>
      <c r="BC316" s="95">
        <f t="shared" si="262"/>
        <v>0</v>
      </c>
      <c r="BD316" s="96">
        <f t="shared" si="262"/>
        <v>0</v>
      </c>
      <c r="BE316" s="96">
        <f t="shared" si="251"/>
        <v>0</v>
      </c>
      <c r="BF316" s="96">
        <f t="shared" si="252"/>
        <v>0</v>
      </c>
      <c r="BG316" s="15">
        <f t="shared" si="253"/>
        <v>0</v>
      </c>
      <c r="BH316" s="46">
        <f>(SUMPRODUCT(BE317:BE$605,$I316:$I$604)+SUMPRODUCT(BF317:BF$605,$I317:$I$605)) / $I316</f>
        <v>0</v>
      </c>
      <c r="BJ316" s="46">
        <f t="shared" si="254"/>
        <v>0</v>
      </c>
      <c r="BK316" s="46">
        <f t="shared" si="255"/>
        <v>0</v>
      </c>
      <c r="BM316" s="49">
        <f t="shared" si="221"/>
        <v>0</v>
      </c>
      <c r="BN316" s="50">
        <f t="shared" si="256"/>
        <v>0</v>
      </c>
      <c r="BP316" s="68">
        <f>INDEX(Others!$H$11:$I$60, MATCH(C316, Others!$A$11:$A$60, 0), MATCH(BP$3, Others!$H$10:$I$10, 0))</f>
        <v>3.0518181818181667E-2</v>
      </c>
      <c r="BQ316" s="16">
        <f t="shared" si="257"/>
        <v>2.5082875760633616E-3</v>
      </c>
      <c r="BR316" s="69">
        <f t="shared" si="258"/>
        <v>0.45878264081323183</v>
      </c>
      <c r="BT316" s="46">
        <f t="shared" si="259"/>
        <v>0</v>
      </c>
      <c r="BU316" s="49">
        <f t="shared" si="222"/>
        <v>0</v>
      </c>
      <c r="BV316" s="46">
        <f t="shared" si="260"/>
        <v>0</v>
      </c>
      <c r="BX316" s="46">
        <f t="shared" si="261"/>
        <v>0</v>
      </c>
    </row>
    <row r="317" spans="1:76" x14ac:dyDescent="0.25">
      <c r="A317" s="61">
        <f t="shared" si="211"/>
        <v>25.999999999999901</v>
      </c>
      <c r="B317" s="32">
        <f t="shared" si="223"/>
        <v>12</v>
      </c>
      <c r="C317" s="62">
        <f t="shared" si="224"/>
        <v>26</v>
      </c>
      <c r="D317" s="64">
        <f t="shared" si="225"/>
        <v>26.499999999999901</v>
      </c>
      <c r="E317" s="28">
        <f t="shared" si="226"/>
        <v>26</v>
      </c>
      <c r="G317" s="68">
        <f>INDEX(Others!$D$11:$E$60, MATCH(C317, Others!$A$11:$A$60, 0), MATCH(G$3, Others!$D$10:$E$10, 0))</f>
        <v>4.0690909090908889E-2</v>
      </c>
      <c r="H317" s="16">
        <f t="shared" si="227"/>
        <v>3.329265421250005E-3</v>
      </c>
      <c r="I317" s="69">
        <f t="shared" si="228"/>
        <v>0.35451467612751003</v>
      </c>
      <c r="K317" s="80" t="e">
        <f>INDEX(Mortality!$B$7:$F$32, MATCH( E317,Mortality!$A$7:$A$32, 0), MATCH( K$3,Mortality!$B$6:$F$6,0))</f>
        <v>#N/A</v>
      </c>
      <c r="L317" s="11" cm="1">
        <f t="array" ref="L317">PAD_Res_Mort</f>
        <v>0.15</v>
      </c>
      <c r="M317" s="80">
        <f t="shared" si="229"/>
        <v>0</v>
      </c>
      <c r="N317" s="76" t="e">
        <f>INDEX('Myopia_(Reserve)'!$H:$H, MATCH(E317, 'Myopia_(Reserve)'!$A:$A, 0)) * Trend_Factor_Reserve^(A317)</f>
        <v>#N/A</v>
      </c>
      <c r="O317" s="11">
        <f t="shared" si="212"/>
        <v>0.3</v>
      </c>
      <c r="P317" s="80">
        <f t="shared" si="230"/>
        <v>0</v>
      </c>
      <c r="Q317" s="76">
        <f>VLOOKUP(C317,Others!$L$10:$M$61,2)</f>
        <v>0</v>
      </c>
      <c r="R317" s="11">
        <f t="shared" si="213"/>
        <v>0</v>
      </c>
      <c r="S317" s="80">
        <f t="shared" si="231"/>
        <v>0</v>
      </c>
      <c r="T317" s="78">
        <f t="shared" si="232"/>
        <v>0</v>
      </c>
      <c r="U317" s="81">
        <f t="shared" si="233"/>
        <v>0</v>
      </c>
      <c r="V317" s="81">
        <f t="shared" si="234"/>
        <v>0</v>
      </c>
      <c r="W317" s="77">
        <f t="shared" si="214"/>
        <v>0</v>
      </c>
      <c r="X317" s="82">
        <f t="shared" si="235"/>
        <v>0</v>
      </c>
      <c r="Y317" s="82">
        <f t="shared" si="236"/>
        <v>0</v>
      </c>
      <c r="Z317" s="82">
        <f t="shared" si="237"/>
        <v>0</v>
      </c>
      <c r="AA317" s="82">
        <f t="shared" si="238"/>
        <v>0</v>
      </c>
      <c r="AC317" s="46">
        <f t="shared" si="215"/>
        <v>0</v>
      </c>
      <c r="AD317" s="15">
        <f t="shared" si="239"/>
        <v>0</v>
      </c>
      <c r="AE317" s="46">
        <f t="shared" si="240"/>
        <v>0</v>
      </c>
      <c r="AF317" s="15">
        <f t="shared" si="241"/>
        <v>0</v>
      </c>
      <c r="AG317" s="46">
        <f>SUMPRODUCT(AE318:AE$605, $I317:$I$604) / $I317</f>
        <v>0</v>
      </c>
      <c r="AI317" s="46">
        <f t="shared" si="216"/>
        <v>0</v>
      </c>
      <c r="AJ317" s="46">
        <f>IF(E317&gt;Mat_Year,0,  -SUM($AD$5:AD317))</f>
        <v>0</v>
      </c>
      <c r="AK317" s="24">
        <f t="shared" si="242"/>
        <v>0</v>
      </c>
      <c r="AL317" s="79">
        <f t="shared" si="243"/>
        <v>0</v>
      </c>
      <c r="AM317" s="24">
        <f t="shared" si="244"/>
        <v>0</v>
      </c>
      <c r="AN317" s="79">
        <f t="shared" si="245"/>
        <v>0</v>
      </c>
      <c r="AO317" s="15">
        <f t="shared" si="246"/>
        <v>0</v>
      </c>
      <c r="AP317" s="46">
        <f>SUMPRODUCT(AN318:AN$605, $I318:$I$605) / $I317</f>
        <v>0</v>
      </c>
      <c r="AR317" s="46">
        <v>0</v>
      </c>
      <c r="AS317" s="46">
        <v>0</v>
      </c>
      <c r="AT317" s="46">
        <v>0</v>
      </c>
      <c r="AU317" s="95">
        <f t="shared" si="217"/>
        <v>0</v>
      </c>
      <c r="AV317" s="47">
        <f t="shared" si="218"/>
        <v>0.1</v>
      </c>
      <c r="AW317" s="96">
        <f t="shared" si="247"/>
        <v>0</v>
      </c>
      <c r="AX317" s="95">
        <f t="shared" si="219"/>
        <v>0</v>
      </c>
      <c r="AY317" s="11">
        <f t="shared" si="220"/>
        <v>0.1</v>
      </c>
      <c r="AZ317" s="96">
        <f t="shared" si="248"/>
        <v>0</v>
      </c>
      <c r="BA317" s="95">
        <f t="shared" si="249"/>
        <v>0</v>
      </c>
      <c r="BB317" s="64">
        <f t="shared" si="250"/>
        <v>0</v>
      </c>
      <c r="BC317" s="95">
        <f t="shared" si="262"/>
        <v>0</v>
      </c>
      <c r="BD317" s="96">
        <f t="shared" si="262"/>
        <v>0</v>
      </c>
      <c r="BE317" s="96">
        <f t="shared" si="251"/>
        <v>0</v>
      </c>
      <c r="BF317" s="96">
        <f t="shared" si="252"/>
        <v>0</v>
      </c>
      <c r="BG317" s="15">
        <f t="shared" si="253"/>
        <v>0</v>
      </c>
      <c r="BH317" s="46">
        <f>(SUMPRODUCT(BE318:BE$605,$I317:$I$604)+SUMPRODUCT(BF318:BF$605,$I318:$I$605)) / $I317</f>
        <v>0</v>
      </c>
      <c r="BJ317" s="46">
        <f t="shared" si="254"/>
        <v>0</v>
      </c>
      <c r="BK317" s="46">
        <f t="shared" si="255"/>
        <v>0</v>
      </c>
      <c r="BM317" s="49">
        <f t="shared" si="221"/>
        <v>0</v>
      </c>
      <c r="BN317" s="50">
        <f t="shared" si="256"/>
        <v>0</v>
      </c>
      <c r="BP317" s="68">
        <f>INDEX(Others!$H$11:$I$60, MATCH(C317, Others!$A$11:$A$60, 0), MATCH(BP$3, Others!$H$10:$I$10, 0))</f>
        <v>3.0518181818181667E-2</v>
      </c>
      <c r="BQ317" s="16">
        <f t="shared" si="257"/>
        <v>2.5082875760633616E-3</v>
      </c>
      <c r="BR317" s="69">
        <f t="shared" si="258"/>
        <v>0.45763476122727076</v>
      </c>
      <c r="BT317" s="46">
        <f t="shared" si="259"/>
        <v>0</v>
      </c>
      <c r="BU317" s="49">
        <f t="shared" si="222"/>
        <v>0</v>
      </c>
      <c r="BV317" s="46">
        <f t="shared" si="260"/>
        <v>0</v>
      </c>
      <c r="BX317" s="46">
        <f t="shared" si="261"/>
        <v>0</v>
      </c>
    </row>
    <row r="318" spans="1:76" x14ac:dyDescent="0.25">
      <c r="A318" s="61"/>
    </row>
    <row r="319" spans="1:76" x14ac:dyDescent="0.25">
      <c r="A319" s="61"/>
    </row>
  </sheetData>
  <mergeCells count="2">
    <mergeCell ref="A2:C2"/>
    <mergeCell ref="D2:E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B5283-C858-4FDA-94EA-1A8CED3B2925}">
  <sheetPr codeName="Sheet10">
    <tabColor theme="9" tint="0.79998168889431442"/>
  </sheetPr>
  <dimension ref="A1"/>
  <sheetViews>
    <sheetView topLeftCell="A7" zoomScaleNormal="100" workbookViewId="0">
      <selection activeCell="N44" sqref="N44"/>
    </sheetView>
  </sheetViews>
  <sheetFormatPr defaultColWidth="8.85546875" defaultRowHeight="15" x14ac:dyDescent="0.25"/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AE204-B58C-402C-8E00-28949123AC14}">
  <sheetPr codeName="Sheet12">
    <tabColor theme="4" tint="-0.499984740745262"/>
  </sheetPr>
  <dimension ref="A1"/>
  <sheetViews>
    <sheetView topLeftCell="A43" workbookViewId="0">
      <selection activeCell="O85" sqref="O85"/>
    </sheetView>
  </sheetViews>
  <sheetFormatPr defaultColWidth="8.85546875"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FD84C-FFE5-4256-89DD-F4E834DE8708}">
  <sheetPr codeName="Sheet18">
    <tabColor theme="7" tint="0.79998168889431442"/>
  </sheetPr>
  <dimension ref="A1:AF41"/>
  <sheetViews>
    <sheetView topLeftCell="M1" workbookViewId="0">
      <selection activeCell="AF5" sqref="AF5"/>
    </sheetView>
  </sheetViews>
  <sheetFormatPr defaultColWidth="9.140625" defaultRowHeight="15" x14ac:dyDescent="0.25"/>
  <cols>
    <col min="1" max="1" width="8.85546875" customWidth="1"/>
    <col min="2" max="2" width="19.7109375" bestFit="1" customWidth="1"/>
    <col min="3" max="3" width="15.28515625" bestFit="1" customWidth="1"/>
    <col min="4" max="4" width="14.28515625" bestFit="1" customWidth="1"/>
    <col min="5" max="5" width="12.42578125" bestFit="1" customWidth="1"/>
    <col min="6" max="6" width="13.28515625" bestFit="1" customWidth="1"/>
    <col min="7" max="7" width="14.140625" style="73" bestFit="1" customWidth="1"/>
    <col min="8" max="8" width="14.85546875" style="73" bestFit="1" customWidth="1"/>
    <col min="9" max="9" width="10.42578125" style="73" bestFit="1" customWidth="1"/>
    <col min="10" max="11" width="7.140625" style="73" customWidth="1"/>
    <col min="12" max="13" width="10" style="73" customWidth="1"/>
    <col min="14" max="15" width="11" style="73" customWidth="1"/>
    <col min="16" max="19" width="9.42578125" style="73" customWidth="1"/>
    <col min="20" max="21" width="16.140625" style="73" customWidth="1"/>
    <col min="22" max="23" width="9.140625" style="73"/>
    <col min="24" max="25" width="14.42578125" style="73" customWidth="1"/>
    <col min="26" max="27" width="9.140625" style="73" customWidth="1"/>
    <col min="28" max="28" width="12.42578125" style="73" bestFit="1" customWidth="1"/>
    <col min="29" max="29" width="12.7109375" style="73" customWidth="1"/>
    <col min="30" max="30" width="15.28515625" style="73" bestFit="1" customWidth="1"/>
    <col min="31" max="31" width="9.140625" style="73"/>
    <col min="32" max="32" width="15.28515625" style="73" bestFit="1" customWidth="1"/>
    <col min="33" max="33" width="16.85546875" style="73" bestFit="1" customWidth="1"/>
    <col min="34" max="16384" width="9.140625" style="73"/>
  </cols>
  <sheetData>
    <row r="1" spans="1:32" customFormat="1" x14ac:dyDescent="0.25">
      <c r="A1" s="73"/>
      <c r="B1" s="73"/>
      <c r="C1" s="73"/>
      <c r="D1" s="73"/>
      <c r="E1" s="73"/>
      <c r="F1" s="73"/>
      <c r="G1" t="s">
        <v>130</v>
      </c>
      <c r="H1" s="2" t="s">
        <v>327</v>
      </c>
      <c r="J1" s="2" t="s">
        <v>328</v>
      </c>
      <c r="L1" s="2" t="s">
        <v>332</v>
      </c>
      <c r="N1" s="2" t="s">
        <v>333</v>
      </c>
      <c r="P1" s="2" t="s">
        <v>331</v>
      </c>
      <c r="R1" s="2" t="s">
        <v>346</v>
      </c>
      <c r="T1" s="2" t="s">
        <v>335</v>
      </c>
      <c r="V1" s="2" t="s">
        <v>330</v>
      </c>
      <c r="X1" s="2" t="s">
        <v>336</v>
      </c>
      <c r="Z1" s="2" t="s">
        <v>338</v>
      </c>
      <c r="AB1" s="2" t="s">
        <v>326</v>
      </c>
    </row>
    <row r="2" spans="1:32" x14ac:dyDescent="0.25">
      <c r="A2" s="73"/>
      <c r="B2" s="218" t="s">
        <v>341</v>
      </c>
      <c r="C2" s="219"/>
      <c r="D2" s="219"/>
      <c r="E2" s="220"/>
      <c r="F2" s="73"/>
      <c r="G2" s="3"/>
      <c r="H2" s="19" t="s">
        <v>251</v>
      </c>
      <c r="I2" s="36" t="s">
        <v>249</v>
      </c>
      <c r="J2" s="19" t="s">
        <v>251</v>
      </c>
      <c r="K2" s="36" t="s">
        <v>249</v>
      </c>
      <c r="L2" s="19" t="s">
        <v>251</v>
      </c>
      <c r="M2" s="36" t="s">
        <v>249</v>
      </c>
      <c r="N2" s="19" t="s">
        <v>251</v>
      </c>
      <c r="O2" s="36" t="s">
        <v>249</v>
      </c>
      <c r="P2" s="19" t="s">
        <v>251</v>
      </c>
      <c r="Q2" s="36" t="s">
        <v>249</v>
      </c>
      <c r="R2" s="19" t="s">
        <v>251</v>
      </c>
      <c r="S2" s="31" t="s">
        <v>249</v>
      </c>
      <c r="T2" s="19" t="s">
        <v>251</v>
      </c>
      <c r="U2" s="31" t="s">
        <v>249</v>
      </c>
      <c r="V2" s="19" t="s">
        <v>251</v>
      </c>
      <c r="W2" s="36" t="s">
        <v>249</v>
      </c>
      <c r="X2" s="19" t="s">
        <v>251</v>
      </c>
      <c r="Y2" s="36" t="s">
        <v>249</v>
      </c>
      <c r="Z2" s="19" t="s">
        <v>251</v>
      </c>
      <c r="AA2" s="36" t="s">
        <v>249</v>
      </c>
      <c r="AB2" s="19" t="s">
        <v>251</v>
      </c>
      <c r="AC2" s="36" t="s">
        <v>249</v>
      </c>
      <c r="AD2" s="36" t="s">
        <v>299</v>
      </c>
    </row>
    <row r="3" spans="1:32" x14ac:dyDescent="0.25">
      <c r="A3" s="73"/>
      <c r="B3" s="3"/>
      <c r="C3" s="4" t="s">
        <v>251</v>
      </c>
      <c r="D3" s="3" t="s">
        <v>249</v>
      </c>
      <c r="E3" s="73"/>
      <c r="F3" s="73"/>
      <c r="G3">
        <v>2020</v>
      </c>
      <c r="H3" s="187">
        <v>22533810</v>
      </c>
      <c r="I3" s="84">
        <v>5132634</v>
      </c>
      <c r="J3" s="178">
        <f>C$5</f>
        <v>1.7600000000000001E-2</v>
      </c>
      <c r="K3" s="115">
        <f>D$5</f>
        <v>1.2E-2</v>
      </c>
      <c r="L3" s="15">
        <f>H3*J3</f>
        <v>396595.05600000004</v>
      </c>
      <c r="M3" s="46">
        <f>I3*K3</f>
        <v>61591.608</v>
      </c>
      <c r="N3" s="180">
        <f>C$8</f>
        <v>47000</v>
      </c>
      <c r="O3" s="46">
        <f>D$8</f>
        <v>55400</v>
      </c>
      <c r="P3" s="12">
        <f>C$7</f>
        <v>0.5</v>
      </c>
      <c r="Q3" s="115">
        <f>D$7</f>
        <v>0.5</v>
      </c>
      <c r="R3" s="15">
        <f>L3*P3</f>
        <v>198297.52800000002</v>
      </c>
      <c r="S3" s="46">
        <f t="shared" ref="S3:S15" si="0">M3*Q3</f>
        <v>30795.804</v>
      </c>
      <c r="T3" s="15">
        <f>N3*L3*P3</f>
        <v>9319983816</v>
      </c>
      <c r="U3" s="49">
        <f t="shared" ref="U3:U15" si="1">O3*M3*Q3</f>
        <v>1706087541.5999999</v>
      </c>
      <c r="V3" s="183">
        <f t="shared" ref="V3:V15" si="2">C$15</f>
        <v>74.807450000000003</v>
      </c>
      <c r="W3" s="79">
        <f t="shared" ref="W3:W15" si="3">D$15</f>
        <v>100.63377499999997</v>
      </c>
      <c r="X3" s="15">
        <f t="shared" ref="X3:X15" si="4">T3*C$15/1000</f>
        <v>697204223.31622922</v>
      </c>
      <c r="Y3" s="46">
        <f t="shared" ref="Y3:Y15" si="5">U3*D$15/1000</f>
        <v>171690029.7916775</v>
      </c>
      <c r="Z3" s="12">
        <f>C$10</f>
        <v>5.0318683704185838E-2</v>
      </c>
      <c r="AA3" s="115">
        <f>D$10</f>
        <v>4.9739340394884854E-2</v>
      </c>
      <c r="AB3" s="15">
        <f>X3*Z3</f>
        <v>35082398.790271886</v>
      </c>
      <c r="AC3" s="46">
        <f>Y3*AA3</f>
        <v>8539748.8342161682</v>
      </c>
      <c r="AD3" s="46">
        <f>SUM(AB3:AC3)</f>
        <v>43622147.624488056</v>
      </c>
    </row>
    <row r="4" spans="1:32" x14ac:dyDescent="0.25">
      <c r="A4" s="73"/>
      <c r="B4" s="73" t="s">
        <v>329</v>
      </c>
      <c r="C4" s="12">
        <v>5.4072060536434945E-3</v>
      </c>
      <c r="D4" s="108">
        <v>9.3655406923144214E-3</v>
      </c>
      <c r="E4" s="73"/>
      <c r="F4" s="73"/>
      <c r="G4" s="3">
        <v>2021</v>
      </c>
      <c r="H4" s="177">
        <f>H3*(1+$C$4)</f>
        <v>22655654.953843649</v>
      </c>
      <c r="I4" s="99">
        <f>I3*(1+$D$4)</f>
        <v>5180703.8925857563</v>
      </c>
      <c r="J4" s="179">
        <f t="shared" ref="J4:J10" si="6">C$5</f>
        <v>1.7600000000000001E-2</v>
      </c>
      <c r="K4" s="114">
        <f t="shared" ref="K4:K10" si="7">D$5</f>
        <v>1.2E-2</v>
      </c>
      <c r="L4" s="177">
        <f t="shared" ref="L4:L15" si="8">H4*J4</f>
        <v>398739.52718764823</v>
      </c>
      <c r="M4" s="99">
        <f t="shared" ref="M4:M15" si="9">I4*K4</f>
        <v>62168.446711029079</v>
      </c>
      <c r="N4" s="181">
        <f t="shared" ref="N4:N15" si="10">C$8</f>
        <v>47000</v>
      </c>
      <c r="O4" s="99">
        <f t="shared" ref="O4:O15" si="11">D$8</f>
        <v>55400</v>
      </c>
      <c r="P4" s="53">
        <f t="shared" ref="P4:P15" si="12">C$7</f>
        <v>0.5</v>
      </c>
      <c r="Q4" s="114">
        <f t="shared" ref="Q4:Q15" si="13">D$7</f>
        <v>0.5</v>
      </c>
      <c r="R4" s="177">
        <f t="shared" ref="R4:R15" si="14">L4*P4</f>
        <v>199369.76359382411</v>
      </c>
      <c r="S4" s="99">
        <f t="shared" si="0"/>
        <v>31084.223355514539</v>
      </c>
      <c r="T4" s="177">
        <f t="shared" ref="T4" si="15">N4*L4*P4</f>
        <v>9370378888.9097328</v>
      </c>
      <c r="U4" s="99">
        <f t="shared" si="1"/>
        <v>1722065973.8955054</v>
      </c>
      <c r="V4" s="176">
        <f t="shared" si="2"/>
        <v>74.807450000000003</v>
      </c>
      <c r="W4" s="156">
        <f t="shared" si="3"/>
        <v>100.63377499999997</v>
      </c>
      <c r="X4" s="177">
        <f t="shared" si="4"/>
        <v>700974150.21317041</v>
      </c>
      <c r="Y4" s="99">
        <f t="shared" si="5"/>
        <v>173297999.75215614</v>
      </c>
      <c r="Z4" s="53">
        <f t="shared" ref="Z4:Z15" si="16">C$10</f>
        <v>5.0318683704185838E-2</v>
      </c>
      <c r="AA4" s="114">
        <f t="shared" ref="AA4:AA15" si="17">D$10</f>
        <v>4.9739340394884854E-2</v>
      </c>
      <c r="AB4" s="177">
        <f t="shared" ref="AB4:AB15" si="18">X4*Z4</f>
        <v>35272096.549386971</v>
      </c>
      <c r="AC4" s="99">
        <f t="shared" ref="AC4:AC15" si="19">Y4*AA4</f>
        <v>8619728.1994251646</v>
      </c>
      <c r="AD4" s="99">
        <f t="shared" ref="AD4:AD15" si="20">SUM(AB4:AC4)</f>
        <v>43891824.748812139</v>
      </c>
    </row>
    <row r="5" spans="1:32" x14ac:dyDescent="0.25">
      <c r="A5" s="73"/>
      <c r="B5" s="73" t="s">
        <v>328</v>
      </c>
      <c r="C5" s="12">
        <v>1.7600000000000001E-2</v>
      </c>
      <c r="D5" s="108">
        <v>1.2E-2</v>
      </c>
      <c r="E5" s="73"/>
      <c r="F5" s="73"/>
      <c r="G5">
        <v>2022</v>
      </c>
      <c r="H5" s="15">
        <f>H4*(1+$C$4)</f>
        <v>22778158.748459328</v>
      </c>
      <c r="I5" s="46">
        <f>I4*(1+$D$4)</f>
        <v>5229223.9857065994</v>
      </c>
      <c r="J5" s="178">
        <f t="shared" si="6"/>
        <v>1.7600000000000001E-2</v>
      </c>
      <c r="K5" s="115">
        <f t="shared" si="7"/>
        <v>1.2E-2</v>
      </c>
      <c r="L5" s="15">
        <f t="shared" si="8"/>
        <v>400895.59397288418</v>
      </c>
      <c r="M5" s="46">
        <f>I5*K5</f>
        <v>62750.687828479196</v>
      </c>
      <c r="N5" s="180">
        <f t="shared" si="10"/>
        <v>47000</v>
      </c>
      <c r="O5" s="46">
        <f t="shared" si="11"/>
        <v>55400</v>
      </c>
      <c r="P5" s="12">
        <f t="shared" si="12"/>
        <v>0.5</v>
      </c>
      <c r="Q5" s="115">
        <f t="shared" si="13"/>
        <v>0.5</v>
      </c>
      <c r="R5" s="15">
        <f t="shared" si="14"/>
        <v>200447.79698644209</v>
      </c>
      <c r="S5" s="46">
        <f t="shared" si="0"/>
        <v>31375.343914239598</v>
      </c>
      <c r="T5" s="15">
        <f>N5*L5*P5</f>
        <v>9421046458.3627777</v>
      </c>
      <c r="U5" s="49">
        <f t="shared" si="1"/>
        <v>1738194052.8488739</v>
      </c>
      <c r="V5" s="24">
        <f t="shared" si="2"/>
        <v>74.807450000000003</v>
      </c>
      <c r="W5" s="79">
        <f t="shared" si="3"/>
        <v>100.63377499999997</v>
      </c>
      <c r="X5" s="15">
        <f t="shared" si="4"/>
        <v>704764461.88165069</v>
      </c>
      <c r="Y5" s="46">
        <f t="shared" si="5"/>
        <v>174921029.22073162</v>
      </c>
      <c r="Z5" s="12">
        <f t="shared" si="16"/>
        <v>5.0318683704185838E-2</v>
      </c>
      <c r="AA5" s="115">
        <f t="shared" si="17"/>
        <v>4.9739340394884854E-2</v>
      </c>
      <c r="AB5" s="15">
        <f t="shared" si="18"/>
        <v>35462820.043373518</v>
      </c>
      <c r="AC5" s="46">
        <f t="shared" si="19"/>
        <v>8700456.6146335695</v>
      </c>
      <c r="AD5" s="182">
        <f t="shared" si="20"/>
        <v>44163276.658007085</v>
      </c>
      <c r="AF5" s="194"/>
    </row>
    <row r="6" spans="1:32" x14ac:dyDescent="0.25">
      <c r="A6" s="73"/>
      <c r="B6" s="73"/>
      <c r="C6" s="2"/>
      <c r="D6" s="73"/>
      <c r="E6" s="73"/>
      <c r="F6" s="73"/>
      <c r="G6">
        <v>2023</v>
      </c>
      <c r="H6" s="15">
        <f t="shared" ref="H6:H15" si="21">H5*(1+$C$4)</f>
        <v>22901324.946334846</v>
      </c>
      <c r="I6" s="46">
        <f t="shared" ref="I6:I15" si="22">I5*(1+$D$4)</f>
        <v>5278198.4957339605</v>
      </c>
      <c r="J6" s="178">
        <f t="shared" si="6"/>
        <v>1.7600000000000001E-2</v>
      </c>
      <c r="K6" s="115">
        <f t="shared" si="7"/>
        <v>1.2E-2</v>
      </c>
      <c r="L6" s="15">
        <f t="shared" si="8"/>
        <v>403063.31905549334</v>
      </c>
      <c r="M6" s="46">
        <f t="shared" si="9"/>
        <v>63338.381948807524</v>
      </c>
      <c r="N6" s="180">
        <f t="shared" si="10"/>
        <v>47000</v>
      </c>
      <c r="O6" s="46">
        <f t="shared" si="11"/>
        <v>55400</v>
      </c>
      <c r="P6" s="12">
        <f t="shared" si="12"/>
        <v>0.5</v>
      </c>
      <c r="Q6" s="115">
        <f t="shared" si="13"/>
        <v>0.5</v>
      </c>
      <c r="R6" s="15">
        <f t="shared" si="14"/>
        <v>201531.65952774667</v>
      </c>
      <c r="S6" s="46">
        <f t="shared" si="0"/>
        <v>31669.190974403762</v>
      </c>
      <c r="T6" s="15">
        <f t="shared" ref="T6:T15" si="23">N6*L6*P6</f>
        <v>9471987997.8040943</v>
      </c>
      <c r="U6" s="49">
        <f t="shared" si="1"/>
        <v>1754473179.9819684</v>
      </c>
      <c r="V6" s="24">
        <f t="shared" si="2"/>
        <v>74.807450000000003</v>
      </c>
      <c r="W6" s="79">
        <f t="shared" si="3"/>
        <v>100.63377499999997</v>
      </c>
      <c r="X6" s="15">
        <f t="shared" si="4"/>
        <v>708575268.54632998</v>
      </c>
      <c r="Y6" s="46">
        <f t="shared" si="5"/>
        <v>176559259.23783988</v>
      </c>
      <c r="Z6" s="12">
        <f t="shared" si="16"/>
        <v>5.0318683704185838E-2</v>
      </c>
      <c r="AA6" s="115">
        <f t="shared" si="17"/>
        <v>4.9739340394884854E-2</v>
      </c>
      <c r="AB6" s="15">
        <f t="shared" si="18"/>
        <v>35654574.818591319</v>
      </c>
      <c r="AC6" s="46">
        <f t="shared" si="19"/>
        <v>8781941.0950996354</v>
      </c>
      <c r="AD6" s="182">
        <f t="shared" si="20"/>
        <v>44436515.913690954</v>
      </c>
      <c r="AF6" s="194"/>
    </row>
    <row r="7" spans="1:32" x14ac:dyDescent="0.25">
      <c r="B7" t="s">
        <v>339</v>
      </c>
      <c r="C7" s="13">
        <v>0.5</v>
      </c>
      <c r="D7" s="11">
        <f>C7</f>
        <v>0.5</v>
      </c>
      <c r="E7" s="73"/>
      <c r="G7">
        <v>2024</v>
      </c>
      <c r="H7" s="15">
        <f t="shared" si="21"/>
        <v>23025157.129221123</v>
      </c>
      <c r="I7" s="46">
        <f t="shared" si="22"/>
        <v>5327631.6785278693</v>
      </c>
      <c r="J7" s="178">
        <f t="shared" si="6"/>
        <v>1.7600000000000001E-2</v>
      </c>
      <c r="K7" s="115">
        <f t="shared" si="7"/>
        <v>1.2E-2</v>
      </c>
      <c r="L7" s="15">
        <f t="shared" si="8"/>
        <v>405242.76547429181</v>
      </c>
      <c r="M7" s="46">
        <f t="shared" si="9"/>
        <v>63931.580142334431</v>
      </c>
      <c r="N7" s="180">
        <f t="shared" si="10"/>
        <v>47000</v>
      </c>
      <c r="O7" s="46">
        <f t="shared" si="11"/>
        <v>55400</v>
      </c>
      <c r="P7" s="12">
        <f t="shared" si="12"/>
        <v>0.5</v>
      </c>
      <c r="Q7" s="115">
        <f t="shared" si="13"/>
        <v>0.5</v>
      </c>
      <c r="R7" s="15">
        <f t="shared" si="14"/>
        <v>202621.3827371459</v>
      </c>
      <c r="S7" s="46">
        <f t="shared" si="0"/>
        <v>31965.790071167216</v>
      </c>
      <c r="T7" s="15">
        <f t="shared" si="23"/>
        <v>9523204988.6458569</v>
      </c>
      <c r="U7" s="49">
        <f t="shared" si="1"/>
        <v>1770904769.9426637</v>
      </c>
      <c r="V7" s="24">
        <f t="shared" si="2"/>
        <v>74.807450000000003</v>
      </c>
      <c r="W7" s="79">
        <f t="shared" si="3"/>
        <v>100.63377499999997</v>
      </c>
      <c r="X7" s="15">
        <f t="shared" si="4"/>
        <v>712406681.02787554</v>
      </c>
      <c r="Y7" s="46">
        <f t="shared" si="5"/>
        <v>178212832.16483673</v>
      </c>
      <c r="Z7" s="12">
        <f t="shared" si="16"/>
        <v>5.0318683704185838E-2</v>
      </c>
      <c r="AA7" s="115">
        <f t="shared" si="17"/>
        <v>4.9739340394884854E-2</v>
      </c>
      <c r="AB7" s="15">
        <f t="shared" si="18"/>
        <v>35847366.451390482</v>
      </c>
      <c r="AC7" s="46">
        <f t="shared" si="19"/>
        <v>8864188.721783299</v>
      </c>
      <c r="AD7" s="182">
        <f t="shared" si="20"/>
        <v>44711555.173173785</v>
      </c>
    </row>
    <row r="8" spans="1:32" x14ac:dyDescent="0.25">
      <c r="B8" s="73" t="s">
        <v>333</v>
      </c>
      <c r="C8" s="15">
        <f>'Business Mix'!C29</f>
        <v>47000</v>
      </c>
      <c r="D8" s="49">
        <f>'Business Mix'!D29</f>
        <v>55400</v>
      </c>
      <c r="G8">
        <v>2025</v>
      </c>
      <c r="H8" s="15">
        <f t="shared" si="21"/>
        <v>23149658.898236338</v>
      </c>
      <c r="I8" s="46">
        <f t="shared" si="22"/>
        <v>5377527.8298067851</v>
      </c>
      <c r="J8" s="178">
        <f t="shared" si="6"/>
        <v>1.7600000000000001E-2</v>
      </c>
      <c r="K8" s="115">
        <f t="shared" si="7"/>
        <v>1.2E-2</v>
      </c>
      <c r="L8" s="15">
        <f t="shared" si="8"/>
        <v>407433.99660895957</v>
      </c>
      <c r="M8" s="46">
        <f t="shared" si="9"/>
        <v>64530.333957681425</v>
      </c>
      <c r="N8" s="180">
        <f t="shared" si="10"/>
        <v>47000</v>
      </c>
      <c r="O8" s="46">
        <f t="shared" si="11"/>
        <v>55400</v>
      </c>
      <c r="P8" s="12">
        <f t="shared" si="12"/>
        <v>0.5</v>
      </c>
      <c r="Q8" s="115">
        <f t="shared" si="13"/>
        <v>0.5</v>
      </c>
      <c r="R8" s="15">
        <f t="shared" si="14"/>
        <v>203716.99830447978</v>
      </c>
      <c r="S8" s="46">
        <f t="shared" si="0"/>
        <v>32265.166978840713</v>
      </c>
      <c r="T8" s="15">
        <f t="shared" si="23"/>
        <v>9574698920.3105507</v>
      </c>
      <c r="U8" s="49">
        <f t="shared" si="1"/>
        <v>1787490250.6277754</v>
      </c>
      <c r="V8" s="24">
        <f t="shared" si="2"/>
        <v>74.807450000000003</v>
      </c>
      <c r="W8" s="79">
        <f t="shared" si="3"/>
        <v>100.63377499999997</v>
      </c>
      <c r="X8" s="15">
        <f t="shared" si="4"/>
        <v>716258810.74618554</v>
      </c>
      <c r="Y8" s="46">
        <f t="shared" si="5"/>
        <v>179881891.69636911</v>
      </c>
      <c r="Z8" s="12">
        <f t="shared" si="16"/>
        <v>5.0318683704185838E-2</v>
      </c>
      <c r="AA8" s="115">
        <f t="shared" si="17"/>
        <v>4.9739340394884854E-2</v>
      </c>
      <c r="AB8" s="15">
        <f t="shared" si="18"/>
        <v>36041200.548273616</v>
      </c>
      <c r="AC8" s="46">
        <f t="shared" si="19"/>
        <v>8947206.6419615149</v>
      </c>
      <c r="AD8" s="182">
        <f t="shared" si="20"/>
        <v>44988407.19023513</v>
      </c>
    </row>
    <row r="9" spans="1:32" x14ac:dyDescent="0.25">
      <c r="B9" t="s">
        <v>337</v>
      </c>
      <c r="C9" s="12">
        <f>Business_Portfolio_Result!J14</f>
        <v>1.0063736740837168</v>
      </c>
      <c r="D9" s="115">
        <f>Business_Portfolio_Result!P14</f>
        <v>0.99478680789769713</v>
      </c>
      <c r="G9">
        <v>2026</v>
      </c>
      <c r="H9" s="15">
        <f t="shared" si="21"/>
        <v>23274833.873970661</v>
      </c>
      <c r="I9" s="46">
        <f t="shared" si="22"/>
        <v>5427891.2855208935</v>
      </c>
      <c r="J9" s="178">
        <f t="shared" si="6"/>
        <v>1.7600000000000001E-2</v>
      </c>
      <c r="K9" s="115">
        <f t="shared" si="7"/>
        <v>1.2E-2</v>
      </c>
      <c r="L9" s="15">
        <f t="shared" si="8"/>
        <v>409637.07618188369</v>
      </c>
      <c r="M9" s="46">
        <f t="shared" si="9"/>
        <v>65134.695426250721</v>
      </c>
      <c r="N9" s="180">
        <f t="shared" si="10"/>
        <v>47000</v>
      </c>
      <c r="O9" s="46">
        <f t="shared" si="11"/>
        <v>55400</v>
      </c>
      <c r="P9" s="12">
        <f t="shared" si="12"/>
        <v>0.5</v>
      </c>
      <c r="Q9" s="115">
        <f t="shared" si="13"/>
        <v>0.5</v>
      </c>
      <c r="R9" s="15">
        <f t="shared" si="14"/>
        <v>204818.53809094185</v>
      </c>
      <c r="S9" s="46">
        <f t="shared" si="0"/>
        <v>32567.34771312536</v>
      </c>
      <c r="T9" s="15">
        <f t="shared" si="23"/>
        <v>9626471290.2742672</v>
      </c>
      <c r="U9" s="49">
        <f t="shared" si="1"/>
        <v>1804231063.3071449</v>
      </c>
      <c r="V9" s="24">
        <f t="shared" si="2"/>
        <v>74.807450000000003</v>
      </c>
      <c r="W9" s="79">
        <f t="shared" si="3"/>
        <v>100.63377499999997</v>
      </c>
      <c r="X9" s="15">
        <f t="shared" si="4"/>
        <v>720131769.72362781</v>
      </c>
      <c r="Y9" s="46">
        <f t="shared" si="5"/>
        <v>181566582.87286192</v>
      </c>
      <c r="Z9" s="12">
        <f t="shared" si="16"/>
        <v>5.0318683704185838E-2</v>
      </c>
      <c r="AA9" s="115">
        <f t="shared" si="17"/>
        <v>4.9739340394884854E-2</v>
      </c>
      <c r="AB9" s="15">
        <f t="shared" si="18"/>
        <v>36236082.746058822</v>
      </c>
      <c r="AC9" s="46">
        <f t="shared" si="19"/>
        <v>9031002.0698493496</v>
      </c>
      <c r="AD9" s="182">
        <f t="shared" si="20"/>
        <v>45267084.815908171</v>
      </c>
    </row>
    <row r="10" spans="1:32" x14ac:dyDescent="0.25">
      <c r="B10" t="s">
        <v>338</v>
      </c>
      <c r="C10" s="12">
        <f>C9/20</f>
        <v>5.0318683704185838E-2</v>
      </c>
      <c r="D10" s="115">
        <f>D9/20</f>
        <v>4.9739340394884854E-2</v>
      </c>
      <c r="G10">
        <v>2027</v>
      </c>
      <c r="H10" s="15">
        <f t="shared" si="21"/>
        <v>23400685.696591541</v>
      </c>
      <c r="I10" s="46">
        <f t="shared" si="22"/>
        <v>5478726.4222288979</v>
      </c>
      <c r="J10" s="178">
        <f t="shared" si="6"/>
        <v>1.7600000000000001E-2</v>
      </c>
      <c r="K10" s="115">
        <f t="shared" si="7"/>
        <v>1.2E-2</v>
      </c>
      <c r="L10" s="15">
        <f t="shared" si="8"/>
        <v>411852.06826001115</v>
      </c>
      <c r="M10" s="46">
        <f t="shared" si="9"/>
        <v>65744.717066746773</v>
      </c>
      <c r="N10" s="180">
        <f t="shared" si="10"/>
        <v>47000</v>
      </c>
      <c r="O10" s="46">
        <f t="shared" si="11"/>
        <v>55400</v>
      </c>
      <c r="P10" s="12">
        <f t="shared" si="12"/>
        <v>0.5</v>
      </c>
      <c r="Q10" s="115">
        <f t="shared" si="13"/>
        <v>0.5</v>
      </c>
      <c r="R10" s="15">
        <f t="shared" si="14"/>
        <v>205926.03413000557</v>
      </c>
      <c r="S10" s="46">
        <f t="shared" si="0"/>
        <v>32872.358533373386</v>
      </c>
      <c r="T10" s="15">
        <f t="shared" si="23"/>
        <v>9678523604.1102619</v>
      </c>
      <c r="U10" s="49">
        <f t="shared" si="1"/>
        <v>1821128662.7488856</v>
      </c>
      <c r="V10" s="24">
        <f t="shared" si="2"/>
        <v>74.807450000000003</v>
      </c>
      <c r="W10" s="79">
        <f t="shared" si="3"/>
        <v>100.63377499999997</v>
      </c>
      <c r="X10" s="15">
        <f t="shared" si="4"/>
        <v>724025670.5882982</v>
      </c>
      <c r="Y10" s="46">
        <f t="shared" si="5"/>
        <v>183267052.09312218</v>
      </c>
      <c r="Z10" s="12">
        <f t="shared" si="16"/>
        <v>5.0318683704185838E-2</v>
      </c>
      <c r="AA10" s="115">
        <f t="shared" si="17"/>
        <v>4.9739340394884854E-2</v>
      </c>
      <c r="AB10" s="15">
        <f t="shared" si="18"/>
        <v>36432018.712043621</v>
      </c>
      <c r="AC10" s="46">
        <f t="shared" si="19"/>
        <v>9115582.2872268986</v>
      </c>
      <c r="AD10" s="182">
        <f t="shared" si="20"/>
        <v>45547600.999270521</v>
      </c>
    </row>
    <row r="11" spans="1:32" x14ac:dyDescent="0.25">
      <c r="G11">
        <v>2028</v>
      </c>
      <c r="H11" s="15">
        <f t="shared" si="21"/>
        <v>23527218.025949556</v>
      </c>
      <c r="I11" s="46">
        <f t="shared" si="22"/>
        <v>5530037.65747834</v>
      </c>
      <c r="J11" s="178">
        <f t="shared" ref="J11:J15" si="24">C$5</f>
        <v>1.7600000000000001E-2</v>
      </c>
      <c r="K11" s="115">
        <f t="shared" ref="K11:K15" si="25">D$5</f>
        <v>1.2E-2</v>
      </c>
      <c r="L11" s="15">
        <f t="shared" si="8"/>
        <v>414079.03725671221</v>
      </c>
      <c r="M11" s="46">
        <f t="shared" si="9"/>
        <v>66360.451889740085</v>
      </c>
      <c r="N11" s="180">
        <f t="shared" si="10"/>
        <v>47000</v>
      </c>
      <c r="O11" s="46">
        <f t="shared" si="11"/>
        <v>55400</v>
      </c>
      <c r="P11" s="12">
        <f t="shared" si="12"/>
        <v>0.5</v>
      </c>
      <c r="Q11" s="115">
        <f t="shared" si="13"/>
        <v>0.5</v>
      </c>
      <c r="R11" s="15">
        <f t="shared" si="14"/>
        <v>207039.51862835611</v>
      </c>
      <c r="S11" s="46">
        <f t="shared" si="0"/>
        <v>33180.225944870042</v>
      </c>
      <c r="T11" s="15">
        <f t="shared" si="23"/>
        <v>9730857375.5327377</v>
      </c>
      <c r="U11" s="49">
        <f t="shared" si="1"/>
        <v>1838184517.3458004</v>
      </c>
      <c r="V11" s="24">
        <f t="shared" si="2"/>
        <v>74.807450000000003</v>
      </c>
      <c r="W11" s="79">
        <f t="shared" si="3"/>
        <v>100.63377499999997</v>
      </c>
      <c r="X11" s="15">
        <f t="shared" si="4"/>
        <v>727940626.5772965</v>
      </c>
      <c r="Y11" s="46">
        <f t="shared" si="5"/>
        <v>184983447.12706083</v>
      </c>
      <c r="Z11" s="12">
        <f t="shared" si="16"/>
        <v>5.0318683704185838E-2</v>
      </c>
      <c r="AA11" s="115">
        <f t="shared" si="17"/>
        <v>4.9739340394884854E-2</v>
      </c>
      <c r="AB11" s="15">
        <f t="shared" si="18"/>
        <v>36629014.144169837</v>
      </c>
      <c r="AC11" s="46">
        <f t="shared" si="19"/>
        <v>9200954.6440720633</v>
      </c>
      <c r="AD11" s="182">
        <f t="shared" si="20"/>
        <v>45829968.788241901</v>
      </c>
    </row>
    <row r="12" spans="1:32" x14ac:dyDescent="0.25">
      <c r="G12">
        <v>2029</v>
      </c>
      <c r="H12" s="15">
        <f t="shared" si="21"/>
        <v>23654434.541684859</v>
      </c>
      <c r="I12" s="46">
        <f t="shared" si="22"/>
        <v>5581829.4501894843</v>
      </c>
      <c r="J12" s="178">
        <f t="shared" si="24"/>
        <v>1.7600000000000001E-2</v>
      </c>
      <c r="K12" s="115">
        <f t="shared" si="25"/>
        <v>1.2E-2</v>
      </c>
      <c r="L12" s="15">
        <f t="shared" si="8"/>
        <v>416318.04793365352</v>
      </c>
      <c r="M12" s="46">
        <f t="shared" si="9"/>
        <v>66981.953402273808</v>
      </c>
      <c r="N12" s="180">
        <f t="shared" si="10"/>
        <v>47000</v>
      </c>
      <c r="O12" s="46">
        <f t="shared" si="11"/>
        <v>55400</v>
      </c>
      <c r="P12" s="12">
        <f t="shared" si="12"/>
        <v>0.5</v>
      </c>
      <c r="Q12" s="115">
        <f t="shared" si="13"/>
        <v>0.5</v>
      </c>
      <c r="R12" s="15">
        <f t="shared" si="14"/>
        <v>208159.02396682676</v>
      </c>
      <c r="S12" s="46">
        <f t="shared" si="0"/>
        <v>33490.976701136904</v>
      </c>
      <c r="T12" s="15">
        <f t="shared" si="23"/>
        <v>9783474126.4408569</v>
      </c>
      <c r="U12" s="49">
        <f t="shared" si="1"/>
        <v>1855400109.2429845</v>
      </c>
      <c r="V12" s="24">
        <f t="shared" si="2"/>
        <v>74.807450000000003</v>
      </c>
      <c r="W12" s="79">
        <f t="shared" si="3"/>
        <v>100.63377499999997</v>
      </c>
      <c r="X12" s="15">
        <f t="shared" si="4"/>
        <v>731876751.54001808</v>
      </c>
      <c r="Y12" s="46">
        <f t="shared" si="5"/>
        <v>186715917.12853387</v>
      </c>
      <c r="Z12" s="12">
        <f t="shared" si="16"/>
        <v>5.0318683704185838E-2</v>
      </c>
      <c r="AA12" s="115">
        <f t="shared" si="17"/>
        <v>4.9739340394884854E-2</v>
      </c>
      <c r="AB12" s="15">
        <f t="shared" si="18"/>
        <v>36827074.771189176</v>
      </c>
      <c r="AC12" s="46">
        <f t="shared" si="19"/>
        <v>9287126.5591992568</v>
      </c>
      <c r="AD12" s="182">
        <f t="shared" si="20"/>
        <v>46114201.330388434</v>
      </c>
    </row>
    <row r="13" spans="1:32" x14ac:dyDescent="0.25">
      <c r="B13" s="221" t="s">
        <v>342</v>
      </c>
      <c r="C13" s="222"/>
      <c r="D13" s="222"/>
      <c r="E13" s="223"/>
      <c r="G13">
        <v>2030</v>
      </c>
      <c r="H13" s="15">
        <f t="shared" si="21"/>
        <v>23782338.94333417</v>
      </c>
      <c r="I13" s="46">
        <f t="shared" si="22"/>
        <v>5634106.3010427924</v>
      </c>
      <c r="J13" s="178">
        <f t="shared" si="24"/>
        <v>1.7600000000000001E-2</v>
      </c>
      <c r="K13" s="115">
        <f t="shared" si="25"/>
        <v>1.2E-2</v>
      </c>
      <c r="L13" s="15">
        <f t="shared" si="8"/>
        <v>418569.16540268139</v>
      </c>
      <c r="M13" s="46">
        <f t="shared" si="9"/>
        <v>67609.275612513506</v>
      </c>
      <c r="N13" s="180">
        <f t="shared" si="10"/>
        <v>47000</v>
      </c>
      <c r="O13" s="46">
        <f t="shared" si="11"/>
        <v>55400</v>
      </c>
      <c r="P13" s="12">
        <f t="shared" si="12"/>
        <v>0.5</v>
      </c>
      <c r="Q13" s="115">
        <f t="shared" si="13"/>
        <v>0.5</v>
      </c>
      <c r="R13" s="15">
        <f t="shared" si="14"/>
        <v>209284.5827013407</v>
      </c>
      <c r="S13" s="46">
        <f t="shared" si="0"/>
        <v>33804.637806256753</v>
      </c>
      <c r="T13" s="15">
        <f t="shared" si="23"/>
        <v>9836375386.9630127</v>
      </c>
      <c r="U13" s="49">
        <f t="shared" si="1"/>
        <v>1872776934.466624</v>
      </c>
      <c r="V13" s="24">
        <f t="shared" si="2"/>
        <v>74.807450000000003</v>
      </c>
      <c r="W13" s="79">
        <f t="shared" si="3"/>
        <v>100.63377499999997</v>
      </c>
      <c r="X13" s="15">
        <f t="shared" si="4"/>
        <v>735834159.94146633</v>
      </c>
      <c r="Y13" s="46">
        <f t="shared" si="5"/>
        <v>188464612.64830393</v>
      </c>
      <c r="Z13" s="12">
        <f t="shared" si="16"/>
        <v>5.0318683704185838E-2</v>
      </c>
      <c r="AA13" s="115">
        <f t="shared" si="17"/>
        <v>4.9739340394884854E-2</v>
      </c>
      <c r="AB13" s="15">
        <f t="shared" si="18"/>
        <v>37026206.352829941</v>
      </c>
      <c r="AC13" s="46">
        <f t="shared" si="19"/>
        <v>9374105.5209041107</v>
      </c>
      <c r="AD13" s="182">
        <f t="shared" si="20"/>
        <v>46400311.873734049</v>
      </c>
    </row>
    <row r="14" spans="1:32" x14ac:dyDescent="0.25">
      <c r="B14" s="3"/>
      <c r="C14" s="4" t="s">
        <v>251</v>
      </c>
      <c r="D14" s="3" t="s">
        <v>249</v>
      </c>
      <c r="E14" s="3" t="s">
        <v>299</v>
      </c>
      <c r="G14">
        <v>2031</v>
      </c>
      <c r="H14" s="15">
        <f t="shared" si="21"/>
        <v>23910934.950438365</v>
      </c>
      <c r="I14" s="46">
        <f t="shared" si="22"/>
        <v>5686872.7528700335</v>
      </c>
      <c r="J14" s="178">
        <f t="shared" si="24"/>
        <v>1.7600000000000001E-2</v>
      </c>
      <c r="K14" s="115">
        <f t="shared" si="25"/>
        <v>1.2E-2</v>
      </c>
      <c r="L14" s="15">
        <f t="shared" si="8"/>
        <v>420832.45512771525</v>
      </c>
      <c r="M14" s="46">
        <f t="shared" si="9"/>
        <v>68242.473034440409</v>
      </c>
      <c r="N14" s="180">
        <f t="shared" si="10"/>
        <v>47000</v>
      </c>
      <c r="O14" s="46">
        <f t="shared" si="11"/>
        <v>55400</v>
      </c>
      <c r="P14" s="12">
        <f t="shared" si="12"/>
        <v>0.5</v>
      </c>
      <c r="Q14" s="115">
        <f t="shared" si="13"/>
        <v>0.5</v>
      </c>
      <c r="R14" s="15">
        <f t="shared" si="14"/>
        <v>210416.22756385762</v>
      </c>
      <c r="S14" s="46">
        <f t="shared" si="0"/>
        <v>34121.236517220204</v>
      </c>
      <c r="T14" s="15">
        <f t="shared" si="23"/>
        <v>9889562695.5013084</v>
      </c>
      <c r="U14" s="49">
        <f t="shared" si="1"/>
        <v>1890316503.0539994</v>
      </c>
      <c r="V14" s="24">
        <f t="shared" si="2"/>
        <v>74.807450000000003</v>
      </c>
      <c r="W14" s="79">
        <f t="shared" si="3"/>
        <v>100.63377499999997</v>
      </c>
      <c r="X14" s="15">
        <f t="shared" si="4"/>
        <v>739812966.86557937</v>
      </c>
      <c r="Y14" s="46">
        <f t="shared" si="5"/>
        <v>190229685.64712292</v>
      </c>
      <c r="Z14" s="12">
        <f t="shared" si="16"/>
        <v>5.0318683704185838E-2</v>
      </c>
      <c r="AA14" s="115">
        <f t="shared" si="17"/>
        <v>4.9739340394884854E-2</v>
      </c>
      <c r="AB14" s="15">
        <f t="shared" si="18"/>
        <v>37226414.679964408</v>
      </c>
      <c r="AC14" s="46">
        <f t="shared" si="19"/>
        <v>9461899.087614188</v>
      </c>
      <c r="AD14" s="182">
        <f t="shared" si="20"/>
        <v>46688313.767578594</v>
      </c>
    </row>
    <row r="15" spans="1:32" x14ac:dyDescent="0.25">
      <c r="B15" t="s">
        <v>330</v>
      </c>
      <c r="C15" s="95">
        <f>SUMPRODUCT(Rate_Table!F20:F37,Rate_Table!I20:I37)/SUM(Rate_Table!I20:I37)</f>
        <v>74.807450000000003</v>
      </c>
      <c r="D15" s="96">
        <f>SUMPRODUCT(Rate_Table!F2:F19,Rate_Table!I2:I19)/SUM(Rate_Table!I2:I19)</f>
        <v>100.63377499999997</v>
      </c>
      <c r="E15" s="96">
        <f>SUMPRODUCT(Rate_Table!F2:F37,Rate_Table!I2:I37)</f>
        <v>78.302829390373631</v>
      </c>
      <c r="G15">
        <v>2032</v>
      </c>
      <c r="H15" s="15">
        <f t="shared" si="21"/>
        <v>24040226.302650649</v>
      </c>
      <c r="I15" s="46">
        <f t="shared" si="22"/>
        <v>5740133.3910490517</v>
      </c>
      <c r="J15" s="178">
        <f t="shared" si="24"/>
        <v>1.7600000000000001E-2</v>
      </c>
      <c r="K15" s="115">
        <f t="shared" si="25"/>
        <v>1.2E-2</v>
      </c>
      <c r="L15" s="15">
        <f t="shared" si="8"/>
        <v>423107.98292665143</v>
      </c>
      <c r="M15" s="46">
        <f t="shared" si="9"/>
        <v>68881.600692588618</v>
      </c>
      <c r="N15" s="180">
        <f t="shared" si="10"/>
        <v>47000</v>
      </c>
      <c r="O15" s="46">
        <f t="shared" si="11"/>
        <v>55400</v>
      </c>
      <c r="P15" s="12">
        <f t="shared" si="12"/>
        <v>0.5</v>
      </c>
      <c r="Q15" s="115">
        <f t="shared" si="13"/>
        <v>0.5</v>
      </c>
      <c r="R15" s="15">
        <f t="shared" si="14"/>
        <v>211553.99146332571</v>
      </c>
      <c r="S15" s="46">
        <f t="shared" si="0"/>
        <v>34440.800346294309</v>
      </c>
      <c r="T15" s="15">
        <f t="shared" si="23"/>
        <v>9943037598.7763081</v>
      </c>
      <c r="U15" s="49">
        <f t="shared" si="1"/>
        <v>1908020339.1847048</v>
      </c>
      <c r="V15" s="24">
        <f t="shared" si="2"/>
        <v>74.807450000000003</v>
      </c>
      <c r="W15" s="79">
        <f t="shared" si="3"/>
        <v>100.63377499999997</v>
      </c>
      <c r="X15" s="15">
        <f t="shared" si="4"/>
        <v>743813288.01857877</v>
      </c>
      <c r="Y15" s="46">
        <f t="shared" si="5"/>
        <v>192011289.50893718</v>
      </c>
      <c r="Z15" s="12">
        <f t="shared" si="16"/>
        <v>5.0318683704185838E-2</v>
      </c>
      <c r="AA15" s="115">
        <f t="shared" si="17"/>
        <v>4.9739340394884854E-2</v>
      </c>
      <c r="AB15" s="15">
        <f t="shared" si="18"/>
        <v>37427705.57477735</v>
      </c>
      <c r="AC15" s="46">
        <f t="shared" si="19"/>
        <v>9550514.8885458093</v>
      </c>
      <c r="AD15" s="182">
        <f t="shared" si="20"/>
        <v>46978220.463323161</v>
      </c>
    </row>
    <row r="17" spans="2:30" x14ac:dyDescent="0.25">
      <c r="C17" s="17"/>
      <c r="D17" s="17"/>
      <c r="M17" s="184"/>
    </row>
    <row r="18" spans="2:30" x14ac:dyDescent="0.25">
      <c r="C18" s="2" t="s">
        <v>346</v>
      </c>
      <c r="D18" s="50">
        <f>SUM(R5:S5)</f>
        <v>231823.1409006817</v>
      </c>
      <c r="E18" s="64"/>
      <c r="T18" s="49">
        <f t="shared" ref="T18:U28" si="26">T5/1000000</f>
        <v>9421.0464583627781</v>
      </c>
      <c r="U18" s="49">
        <f t="shared" si="26"/>
        <v>1738.1940528488738</v>
      </c>
      <c r="V18" s="49"/>
      <c r="W18" s="49"/>
      <c r="X18" s="49">
        <f t="shared" ref="X18:Y28" si="27">X5/1000000</f>
        <v>704.76446188165073</v>
      </c>
      <c r="Y18" s="49">
        <f t="shared" si="27"/>
        <v>174.92102922073161</v>
      </c>
      <c r="Z18" s="49"/>
      <c r="AA18" s="49"/>
      <c r="AB18" s="49">
        <f t="shared" ref="AB18:AD28" si="28">AB5/1000000</f>
        <v>35.462820043373519</v>
      </c>
      <c r="AC18" s="49">
        <f t="shared" si="28"/>
        <v>8.7004566146335698</v>
      </c>
      <c r="AD18" s="49">
        <f t="shared" si="28"/>
        <v>44.163276658007085</v>
      </c>
    </row>
    <row r="19" spans="2:30" x14ac:dyDescent="0.25">
      <c r="T19" s="49">
        <f t="shared" si="26"/>
        <v>9471.9879978040935</v>
      </c>
      <c r="U19" s="49">
        <f t="shared" si="26"/>
        <v>1754.4731799819683</v>
      </c>
      <c r="V19" s="49"/>
      <c r="W19" s="49"/>
      <c r="X19" s="49">
        <f t="shared" si="27"/>
        <v>708.57526854632999</v>
      </c>
      <c r="Y19" s="49">
        <f t="shared" si="27"/>
        <v>176.55925923783988</v>
      </c>
      <c r="Z19" s="49"/>
      <c r="AA19" s="49"/>
      <c r="AB19" s="49">
        <f t="shared" si="28"/>
        <v>35.654574818591321</v>
      </c>
      <c r="AC19" s="49">
        <f t="shared" si="28"/>
        <v>8.7819410950996346</v>
      </c>
      <c r="AD19" s="49">
        <f t="shared" si="28"/>
        <v>44.436515913690954</v>
      </c>
    </row>
    <row r="20" spans="2:30" x14ac:dyDescent="0.25">
      <c r="T20" s="49">
        <f t="shared" si="26"/>
        <v>9523.2049886458572</v>
      </c>
      <c r="U20" s="49">
        <f t="shared" si="26"/>
        <v>1770.9047699426637</v>
      </c>
      <c r="V20" s="49"/>
      <c r="W20" s="49"/>
      <c r="X20" s="49">
        <f t="shared" si="27"/>
        <v>712.40668102787549</v>
      </c>
      <c r="Y20" s="49">
        <f t="shared" si="27"/>
        <v>178.21283216483673</v>
      </c>
      <c r="Z20" s="49"/>
      <c r="AA20" s="49"/>
      <c r="AB20" s="49">
        <f t="shared" si="28"/>
        <v>35.847366451390485</v>
      </c>
      <c r="AC20" s="49">
        <f t="shared" si="28"/>
        <v>8.8641887217832984</v>
      </c>
      <c r="AD20" s="49">
        <f t="shared" si="28"/>
        <v>44.711555173173785</v>
      </c>
    </row>
    <row r="21" spans="2:30" x14ac:dyDescent="0.25">
      <c r="T21" s="49">
        <f t="shared" si="26"/>
        <v>9574.6989203105513</v>
      </c>
      <c r="U21" s="49">
        <f t="shared" si="26"/>
        <v>1787.4902506277754</v>
      </c>
      <c r="V21" s="49"/>
      <c r="W21" s="49"/>
      <c r="X21" s="49">
        <f t="shared" si="27"/>
        <v>716.25881074618553</v>
      </c>
      <c r="Y21" s="49">
        <f t="shared" si="27"/>
        <v>179.88189169636911</v>
      </c>
      <c r="Z21" s="49"/>
      <c r="AA21" s="49"/>
      <c r="AB21" s="49">
        <f t="shared" si="28"/>
        <v>36.041200548273615</v>
      </c>
      <c r="AC21" s="49">
        <f t="shared" si="28"/>
        <v>8.9472066419615146</v>
      </c>
      <c r="AD21" s="49">
        <f t="shared" si="28"/>
        <v>44.988407190235129</v>
      </c>
    </row>
    <row r="22" spans="2:30" x14ac:dyDescent="0.25">
      <c r="B22" t="s">
        <v>64</v>
      </c>
      <c r="C22" s="14">
        <f>Business_Portfolio_Result!E20</f>
        <v>3.6252679353230101E-2</v>
      </c>
      <c r="D22" s="50">
        <f>SUM($X$5:$Y$5)*C22</f>
        <v>31890956.040623415</v>
      </c>
      <c r="F22">
        <f>Pricing!J5</f>
        <v>14.277556772130716</v>
      </c>
      <c r="T22" s="49">
        <f t="shared" si="26"/>
        <v>9626.4712902742667</v>
      </c>
      <c r="U22" s="49">
        <f t="shared" si="26"/>
        <v>1804.231063307145</v>
      </c>
      <c r="V22" s="49"/>
      <c r="W22" s="49"/>
      <c r="X22" s="49">
        <f t="shared" si="27"/>
        <v>720.13176972362783</v>
      </c>
      <c r="Y22" s="49">
        <f t="shared" si="27"/>
        <v>181.56658287286191</v>
      </c>
      <c r="Z22" s="49"/>
      <c r="AA22" s="49"/>
      <c r="AB22" s="49">
        <f t="shared" si="28"/>
        <v>36.23608274605882</v>
      </c>
      <c r="AC22" s="49">
        <f t="shared" si="28"/>
        <v>9.0310020698493503</v>
      </c>
      <c r="AD22" s="49">
        <f t="shared" si="28"/>
        <v>45.26708481590817</v>
      </c>
    </row>
    <row r="23" spans="2:30" x14ac:dyDescent="0.25">
      <c r="B23" t="s">
        <v>35</v>
      </c>
      <c r="C23" s="14">
        <f>Business_Portfolio_Result!E21</f>
        <v>4.8633938424432047E-2</v>
      </c>
      <c r="D23" s="50">
        <f>SUM($X$5:$Y$5)*C23</f>
        <v>42782570.007139526</v>
      </c>
      <c r="F23" s="64">
        <f>SUM(D22:D23)/F22</f>
        <v>5230133.3652213532</v>
      </c>
      <c r="T23" s="49">
        <f t="shared" si="26"/>
        <v>9678.5236041102617</v>
      </c>
      <c r="U23" s="49">
        <f t="shared" si="26"/>
        <v>1821.1286627488857</v>
      </c>
      <c r="V23" s="49"/>
      <c r="W23" s="49"/>
      <c r="X23" s="49">
        <f t="shared" si="27"/>
        <v>724.02567058829823</v>
      </c>
      <c r="Y23" s="49">
        <f t="shared" si="27"/>
        <v>183.26705209312217</v>
      </c>
      <c r="Z23" s="49"/>
      <c r="AA23" s="49"/>
      <c r="AB23" s="49">
        <f t="shared" si="28"/>
        <v>36.432018712043622</v>
      </c>
      <c r="AC23" s="49">
        <f t="shared" si="28"/>
        <v>9.1155822872268981</v>
      </c>
      <c r="AD23" s="49">
        <f t="shared" si="28"/>
        <v>45.547600999270522</v>
      </c>
    </row>
    <row r="24" spans="2:30" x14ac:dyDescent="0.25">
      <c r="B24" t="s">
        <v>105</v>
      </c>
      <c r="C24" s="14">
        <f>Business_Portfolio_Result!E22</f>
        <v>9.0000000000000011E-2</v>
      </c>
      <c r="D24" s="50">
        <f>SUM($X$5:$Y$5)*C24</f>
        <v>79171694.199214414</v>
      </c>
      <c r="T24" s="49">
        <f t="shared" si="26"/>
        <v>9730.8573755327379</v>
      </c>
      <c r="U24" s="49">
        <f t="shared" si="26"/>
        <v>1838.1845173458005</v>
      </c>
      <c r="V24" s="49"/>
      <c r="W24" s="49"/>
      <c r="X24" s="49">
        <f t="shared" si="27"/>
        <v>727.94062657729648</v>
      </c>
      <c r="Y24" s="49">
        <f t="shared" si="27"/>
        <v>184.98344712706083</v>
      </c>
      <c r="Z24" s="49"/>
      <c r="AA24" s="49"/>
      <c r="AB24" s="49">
        <f t="shared" si="28"/>
        <v>36.629014144169837</v>
      </c>
      <c r="AC24" s="49">
        <f t="shared" si="28"/>
        <v>9.2009546440720626</v>
      </c>
      <c r="AD24" s="49">
        <f t="shared" si="28"/>
        <v>45.829968788241899</v>
      </c>
    </row>
    <row r="25" spans="2:30" x14ac:dyDescent="0.25">
      <c r="D25" s="50">
        <f>SUM(D22:D24)</f>
        <v>153845220.24697736</v>
      </c>
      <c r="T25" s="49">
        <f t="shared" si="26"/>
        <v>9783.4741264408567</v>
      </c>
      <c r="U25" s="49">
        <f t="shared" si="26"/>
        <v>1855.4001092429846</v>
      </c>
      <c r="V25" s="49"/>
      <c r="W25" s="49"/>
      <c r="X25" s="49">
        <f t="shared" si="27"/>
        <v>731.87675154001806</v>
      </c>
      <c r="Y25" s="49">
        <f t="shared" si="27"/>
        <v>186.71591712853387</v>
      </c>
      <c r="Z25" s="49"/>
      <c r="AA25" s="49"/>
      <c r="AB25" s="49">
        <f t="shared" si="28"/>
        <v>36.827074771189174</v>
      </c>
      <c r="AC25" s="49">
        <f t="shared" si="28"/>
        <v>9.2871265591992564</v>
      </c>
      <c r="AD25" s="49">
        <f t="shared" si="28"/>
        <v>46.114201330388433</v>
      </c>
    </row>
    <row r="26" spans="2:30" x14ac:dyDescent="0.25">
      <c r="T26" s="49">
        <f t="shared" si="26"/>
        <v>9836.3753869630127</v>
      </c>
      <c r="U26" s="49">
        <f t="shared" si="26"/>
        <v>1872.776934466624</v>
      </c>
      <c r="V26" s="49"/>
      <c r="W26" s="49"/>
      <c r="X26" s="49">
        <f t="shared" si="27"/>
        <v>735.83415994146628</v>
      </c>
      <c r="Y26" s="49">
        <f t="shared" si="27"/>
        <v>188.46461264830393</v>
      </c>
      <c r="Z26" s="49"/>
      <c r="AA26" s="49"/>
      <c r="AB26" s="49">
        <f t="shared" si="28"/>
        <v>37.026206352829938</v>
      </c>
      <c r="AC26" s="49">
        <f t="shared" si="28"/>
        <v>9.3741055209041111</v>
      </c>
      <c r="AD26" s="49">
        <f t="shared" si="28"/>
        <v>46.400311873734047</v>
      </c>
    </row>
    <row r="27" spans="2:30" x14ac:dyDescent="0.25">
      <c r="T27" s="49">
        <f t="shared" si="26"/>
        <v>9889.5626955013086</v>
      </c>
      <c r="U27" s="49">
        <f t="shared" si="26"/>
        <v>1890.3165030539994</v>
      </c>
      <c r="V27" s="49"/>
      <c r="W27" s="49"/>
      <c r="X27" s="49">
        <f t="shared" si="27"/>
        <v>739.81296686557937</v>
      </c>
      <c r="Y27" s="49">
        <f t="shared" si="27"/>
        <v>190.22968564712292</v>
      </c>
      <c r="Z27" s="49"/>
      <c r="AA27" s="49"/>
      <c r="AB27" s="49">
        <f t="shared" si="28"/>
        <v>37.226414679964407</v>
      </c>
      <c r="AC27" s="49">
        <f t="shared" si="28"/>
        <v>9.4618990876141886</v>
      </c>
      <c r="AD27" s="49">
        <f t="shared" si="28"/>
        <v>46.688313767578592</v>
      </c>
    </row>
    <row r="28" spans="2:30" x14ac:dyDescent="0.25">
      <c r="T28" s="49">
        <f t="shared" si="26"/>
        <v>9943.0375987763073</v>
      </c>
      <c r="U28" s="49">
        <f t="shared" si="26"/>
        <v>1908.0203391847049</v>
      </c>
      <c r="V28" s="49"/>
      <c r="W28" s="49"/>
      <c r="X28" s="49">
        <f t="shared" si="27"/>
        <v>743.81328801857876</v>
      </c>
      <c r="Y28" s="49">
        <f t="shared" si="27"/>
        <v>192.01128950893718</v>
      </c>
      <c r="Z28" s="49"/>
      <c r="AA28" s="49"/>
      <c r="AB28" s="49">
        <f t="shared" si="28"/>
        <v>37.427705574777349</v>
      </c>
      <c r="AC28" s="49">
        <f t="shared" si="28"/>
        <v>9.5505148885458091</v>
      </c>
      <c r="AD28" s="49">
        <f t="shared" si="28"/>
        <v>46.978220463323161</v>
      </c>
    </row>
    <row r="29" spans="2:30" x14ac:dyDescent="0.25">
      <c r="G29" s="136"/>
      <c r="H29" s="136"/>
    </row>
    <row r="30" spans="2:30" x14ac:dyDescent="0.25">
      <c r="C30" s="50">
        <f>SUM(T5:U5)/1000000</f>
        <v>11159.24051121165</v>
      </c>
      <c r="D30" s="50">
        <f>SUM(X5:Y5)/1000000</f>
        <v>879.68549110238234</v>
      </c>
      <c r="E30" s="50">
        <f>AD5/1000000</f>
        <v>44.163276658007085</v>
      </c>
      <c r="G30" s="194"/>
      <c r="H30" s="194"/>
    </row>
    <row r="31" spans="2:30" ht="45" x14ac:dyDescent="0.25">
      <c r="B31" s="190" t="s">
        <v>347</v>
      </c>
      <c r="C31" s="191" t="s">
        <v>348</v>
      </c>
      <c r="D31" s="191" t="s">
        <v>349</v>
      </c>
      <c r="E31" s="191" t="s">
        <v>350</v>
      </c>
    </row>
    <row r="32" spans="2:30" x14ac:dyDescent="0.25">
      <c r="B32" s="192">
        <v>0.7</v>
      </c>
      <c r="C32" s="193">
        <v>15622.936715696313</v>
      </c>
      <c r="D32" s="193">
        <v>1231.5596875433353</v>
      </c>
      <c r="E32" s="193">
        <v>61.828587321209731</v>
      </c>
      <c r="T32" s="194"/>
      <c r="U32" s="194"/>
    </row>
    <row r="33" spans="2:21" x14ac:dyDescent="0.25">
      <c r="B33" s="192">
        <v>0.6</v>
      </c>
      <c r="C33" s="193">
        <v>13391.088613453981</v>
      </c>
      <c r="D33" s="193">
        <v>1055.6225893228586</v>
      </c>
      <c r="E33" s="193">
        <v>52.995931989608337</v>
      </c>
      <c r="T33" s="194"/>
      <c r="U33" s="194"/>
    </row>
    <row r="34" spans="2:21" x14ac:dyDescent="0.25">
      <c r="B34" s="192">
        <v>0.5</v>
      </c>
      <c r="C34" s="193">
        <v>11159.24051121165</v>
      </c>
      <c r="D34" s="193">
        <v>879.68549110238234</v>
      </c>
      <c r="E34" s="193">
        <v>44.16327665800695</v>
      </c>
    </row>
    <row r="35" spans="2:21" x14ac:dyDescent="0.25">
      <c r="B35" s="192">
        <v>0.4</v>
      </c>
      <c r="C35" s="193">
        <v>8927.3924089693228</v>
      </c>
      <c r="D35" s="193">
        <v>703.74839288190594</v>
      </c>
      <c r="E35" s="193">
        <v>35.330621326405563</v>
      </c>
      <c r="H35" s="184"/>
      <c r="I35" s="25"/>
      <c r="K35" s="184"/>
      <c r="L35" s="184"/>
      <c r="M35" s="184"/>
      <c r="N35" s="184"/>
      <c r="O35" s="184"/>
      <c r="P35" s="184"/>
    </row>
    <row r="36" spans="2:21" x14ac:dyDescent="0.25">
      <c r="B36" s="192">
        <v>0.3</v>
      </c>
      <c r="C36" s="193">
        <v>6695.5443067269907</v>
      </c>
      <c r="D36" s="193">
        <v>527.81129466142932</v>
      </c>
      <c r="E36" s="193">
        <v>26.497965994804169</v>
      </c>
      <c r="H36" s="184"/>
      <c r="I36" s="25"/>
      <c r="J36" s="184"/>
      <c r="K36" s="184"/>
      <c r="L36" s="184"/>
      <c r="M36" s="184"/>
      <c r="N36" s="184"/>
      <c r="O36" s="184"/>
      <c r="P36" s="184"/>
    </row>
    <row r="37" spans="2:21" x14ac:dyDescent="0.25">
      <c r="B37" s="192">
        <v>0.2</v>
      </c>
      <c r="C37" s="193">
        <v>4463.6962044846614</v>
      </c>
      <c r="D37" s="193">
        <v>351.87419644095297</v>
      </c>
      <c r="E37" s="193">
        <v>17.665310663202781</v>
      </c>
      <c r="H37" s="184"/>
      <c r="I37" s="25"/>
      <c r="J37" s="184"/>
      <c r="K37" s="184"/>
      <c r="L37" s="184"/>
      <c r="M37" s="184"/>
      <c r="N37" s="184"/>
      <c r="O37" s="184"/>
      <c r="P37" s="184"/>
    </row>
    <row r="38" spans="2:21" x14ac:dyDescent="0.25">
      <c r="B38" s="192">
        <v>0.1</v>
      </c>
      <c r="C38" s="193">
        <v>2231.8481022423307</v>
      </c>
      <c r="D38" s="193">
        <v>175.93709822047649</v>
      </c>
      <c r="E38" s="193">
        <v>8.8326553316013907</v>
      </c>
      <c r="H38" s="184"/>
      <c r="I38" s="184"/>
      <c r="J38" s="184"/>
      <c r="K38" s="184"/>
      <c r="L38" s="184"/>
      <c r="M38" s="184"/>
      <c r="N38" s="184"/>
      <c r="O38" s="184"/>
      <c r="P38" s="184"/>
    </row>
    <row r="39" spans="2:21" x14ac:dyDescent="0.25">
      <c r="H39" s="184"/>
      <c r="I39" s="184"/>
      <c r="J39" s="184"/>
      <c r="K39" s="184"/>
      <c r="L39" s="184"/>
      <c r="M39" s="184"/>
      <c r="N39" s="184"/>
      <c r="O39" s="184"/>
      <c r="P39" s="184"/>
    </row>
    <row r="40" spans="2:21" x14ac:dyDescent="0.25">
      <c r="H40" s="184"/>
      <c r="I40" s="184"/>
      <c r="J40" s="184"/>
      <c r="K40" s="184"/>
      <c r="L40" s="184"/>
      <c r="M40" s="184"/>
      <c r="N40" s="184"/>
      <c r="O40" s="184"/>
      <c r="P40" s="184"/>
    </row>
    <row r="41" spans="2:21" x14ac:dyDescent="0.25">
      <c r="H41" s="184"/>
      <c r="I41" s="184"/>
      <c r="J41" s="184"/>
      <c r="K41" s="184"/>
      <c r="L41" s="184"/>
      <c r="M41" s="184"/>
      <c r="N41" s="184"/>
      <c r="O41" s="184"/>
      <c r="P41" s="184"/>
    </row>
  </sheetData>
  <mergeCells count="2">
    <mergeCell ref="B2:E2"/>
    <mergeCell ref="B13:E13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0BE1B-A3BD-4941-AA0E-272824D89E59}">
  <sheetPr codeName="Sheet17">
    <tabColor theme="7" tint="0.79998168889431442"/>
  </sheetPr>
  <dimension ref="A1:Q38"/>
  <sheetViews>
    <sheetView workbookViewId="0">
      <selection activeCell="Q2" sqref="Q2:Q37"/>
    </sheetView>
  </sheetViews>
  <sheetFormatPr defaultColWidth="8.85546875" defaultRowHeight="15" x14ac:dyDescent="0.25"/>
  <cols>
    <col min="2" max="2" width="28.28515625" bestFit="1" customWidth="1"/>
    <col min="3" max="3" width="15.28515625" bestFit="1" customWidth="1"/>
    <col min="4" max="4" width="14.28515625" bestFit="1" customWidth="1"/>
    <col min="9" max="9" width="22" bestFit="1" customWidth="1"/>
    <col min="10" max="10" width="28.28515625" bestFit="1" customWidth="1"/>
    <col min="11" max="11" width="11.85546875" bestFit="1" customWidth="1"/>
    <col min="14" max="14" width="22" bestFit="1" customWidth="1"/>
    <col min="15" max="15" width="28.28515625" bestFit="1" customWidth="1"/>
    <col min="16" max="16" width="11.85546875" bestFit="1" customWidth="1"/>
    <col min="17" max="17" width="12.42578125" bestFit="1" customWidth="1"/>
  </cols>
  <sheetData>
    <row r="1" spans="2:17" x14ac:dyDescent="0.25">
      <c r="G1" s="2"/>
      <c r="H1" s="138" t="s">
        <v>40</v>
      </c>
      <c r="I1" s="138" t="s">
        <v>218</v>
      </c>
      <c r="J1" s="138" t="s">
        <v>226</v>
      </c>
      <c r="K1" s="138" t="s">
        <v>250</v>
      </c>
      <c r="L1" s="139" t="s">
        <v>245</v>
      </c>
      <c r="M1" s="138" t="s">
        <v>40</v>
      </c>
      <c r="N1" s="138" t="s">
        <v>218</v>
      </c>
      <c r="O1" s="138" t="s">
        <v>226</v>
      </c>
      <c r="P1" s="138" t="s">
        <v>250</v>
      </c>
      <c r="Q1" s="4" t="s">
        <v>256</v>
      </c>
    </row>
    <row r="2" spans="2:17" x14ac:dyDescent="0.25">
      <c r="B2" s="3" t="s">
        <v>222</v>
      </c>
      <c r="C2" s="4"/>
      <c r="G2" s="2"/>
      <c r="H2" s="32" t="s">
        <v>3</v>
      </c>
      <c r="I2" s="32">
        <v>0</v>
      </c>
      <c r="J2" s="32">
        <v>0</v>
      </c>
      <c r="K2" s="32" t="s">
        <v>249</v>
      </c>
      <c r="L2" s="140" t="str">
        <f>H2&amp;I2&amp;J2&amp;K2</f>
        <v>M00A</v>
      </c>
      <c r="M2" s="11">
        <f t="shared" ref="M2:M37" si="0">INDEX($C$7:$D$8,MATCH(H2,$B$7:$B$8,0),MATCH($K2,$C$6:$D$6,0))</f>
        <v>0.5</v>
      </c>
      <c r="N2" s="11">
        <f t="shared" ref="N2:N37" si="1">INDEX($C$11:$D$13,MATCH(I2,$B$11:$B$13,0),MATCH($K2,$C$10:$D$10,0))</f>
        <v>0.45</v>
      </c>
      <c r="O2" s="11">
        <f t="shared" ref="O2:O37" si="2">INDEX($C$16:$D$18,MATCH(J2,$B$16:$B$18,0),MATCH($K2,$C$15:$D$15,0))</f>
        <v>0.5</v>
      </c>
      <c r="P2" s="11">
        <f>VLOOKUP(K2,$B$3:$C$4,2,0)</f>
        <v>0.13534172556001003</v>
      </c>
      <c r="Q2" s="12">
        <f>PRODUCT(M2:P2)</f>
        <v>1.5225944125501129E-2</v>
      </c>
    </row>
    <row r="3" spans="2:17" x14ac:dyDescent="0.25">
      <c r="B3" s="32" t="s">
        <v>251</v>
      </c>
      <c r="C3" s="185">
        <f>C27</f>
        <v>0.86465827443998988</v>
      </c>
      <c r="G3" s="2"/>
      <c r="H3" s="32" t="s">
        <v>3</v>
      </c>
      <c r="I3" s="32">
        <v>0</v>
      </c>
      <c r="J3" s="32">
        <v>1</v>
      </c>
      <c r="K3" s="32" t="s">
        <v>249</v>
      </c>
      <c r="L3" s="140" t="str">
        <f t="shared" ref="L3:L37" si="3">H3&amp;I3&amp;J3&amp;K3</f>
        <v>M01A</v>
      </c>
      <c r="M3" s="11">
        <f t="shared" si="0"/>
        <v>0.5</v>
      </c>
      <c r="N3" s="11">
        <f t="shared" si="1"/>
        <v>0.45</v>
      </c>
      <c r="O3" s="11">
        <f t="shared" si="2"/>
        <v>0.1</v>
      </c>
      <c r="P3" s="11">
        <f t="shared" ref="P3:P37" si="4">VLOOKUP(K3,$B$3:$C$4,2,0)</f>
        <v>0.13534172556001003</v>
      </c>
      <c r="Q3" s="12">
        <f t="shared" ref="Q3:Q36" si="5">PRODUCT(M3:P3)</f>
        <v>3.0451888251002263E-3</v>
      </c>
    </row>
    <row r="4" spans="2:17" x14ac:dyDescent="0.25">
      <c r="B4" s="32" t="s">
        <v>249</v>
      </c>
      <c r="C4" s="185">
        <f>D27</f>
        <v>0.13534172556001003</v>
      </c>
      <c r="G4" s="2"/>
      <c r="H4" s="32" t="s">
        <v>3</v>
      </c>
      <c r="I4" s="32">
        <v>0</v>
      </c>
      <c r="J4" s="32">
        <v>2</v>
      </c>
      <c r="K4" s="32" t="s">
        <v>249</v>
      </c>
      <c r="L4" s="140" t="str">
        <f t="shared" si="3"/>
        <v>M02A</v>
      </c>
      <c r="M4" s="11">
        <f t="shared" si="0"/>
        <v>0.5</v>
      </c>
      <c r="N4" s="11">
        <f t="shared" si="1"/>
        <v>0.45</v>
      </c>
      <c r="O4" s="11">
        <f t="shared" si="2"/>
        <v>0.4</v>
      </c>
      <c r="P4" s="11">
        <f t="shared" si="4"/>
        <v>0.13534172556001003</v>
      </c>
      <c r="Q4" s="12">
        <f t="shared" si="5"/>
        <v>1.2180755300400905E-2</v>
      </c>
    </row>
    <row r="5" spans="2:17" x14ac:dyDescent="0.25">
      <c r="G5" s="2"/>
      <c r="H5" s="32" t="s">
        <v>3</v>
      </c>
      <c r="I5" s="32">
        <v>1</v>
      </c>
      <c r="J5" s="32">
        <v>0</v>
      </c>
      <c r="K5" s="32" t="s">
        <v>249</v>
      </c>
      <c r="L5" s="140" t="str">
        <f t="shared" si="3"/>
        <v>M10A</v>
      </c>
      <c r="M5" s="11">
        <f t="shared" si="0"/>
        <v>0.5</v>
      </c>
      <c r="N5" s="11">
        <f t="shared" si="1"/>
        <v>0.45</v>
      </c>
      <c r="O5" s="11">
        <f t="shared" si="2"/>
        <v>0.5</v>
      </c>
      <c r="P5" s="11">
        <f t="shared" si="4"/>
        <v>0.13534172556001003</v>
      </c>
      <c r="Q5" s="12">
        <f t="shared" si="5"/>
        <v>1.5225944125501129E-2</v>
      </c>
    </row>
    <row r="6" spans="2:17" x14ac:dyDescent="0.25">
      <c r="B6" s="3" t="s">
        <v>40</v>
      </c>
      <c r="C6" s="19" t="s">
        <v>251</v>
      </c>
      <c r="D6" s="36" t="s">
        <v>249</v>
      </c>
      <c r="G6" s="2"/>
      <c r="H6" s="32" t="s">
        <v>3</v>
      </c>
      <c r="I6" s="32">
        <v>1</v>
      </c>
      <c r="J6" s="32">
        <v>1</v>
      </c>
      <c r="K6" s="32" t="s">
        <v>249</v>
      </c>
      <c r="L6" s="140" t="str">
        <f t="shared" si="3"/>
        <v>M11A</v>
      </c>
      <c r="M6" s="11">
        <f t="shared" si="0"/>
        <v>0.5</v>
      </c>
      <c r="N6" s="11">
        <f t="shared" si="1"/>
        <v>0.45</v>
      </c>
      <c r="O6" s="11">
        <f t="shared" si="2"/>
        <v>0.1</v>
      </c>
      <c r="P6" s="11">
        <f t="shared" si="4"/>
        <v>0.13534172556001003</v>
      </c>
      <c r="Q6" s="12">
        <f t="shared" si="5"/>
        <v>3.0451888251002263E-3</v>
      </c>
    </row>
    <row r="7" spans="2:17" x14ac:dyDescent="0.25">
      <c r="B7" s="32" t="s">
        <v>3</v>
      </c>
      <c r="C7" s="13">
        <v>0.5</v>
      </c>
      <c r="D7" s="25">
        <v>0.5</v>
      </c>
      <c r="G7" s="2"/>
      <c r="H7" s="32" t="s">
        <v>3</v>
      </c>
      <c r="I7" s="32">
        <v>1</v>
      </c>
      <c r="J7" s="32">
        <v>2</v>
      </c>
      <c r="K7" s="32" t="s">
        <v>249</v>
      </c>
      <c r="L7" s="140" t="str">
        <f t="shared" si="3"/>
        <v>M12A</v>
      </c>
      <c r="M7" s="11">
        <f t="shared" si="0"/>
        <v>0.5</v>
      </c>
      <c r="N7" s="11">
        <f t="shared" si="1"/>
        <v>0.45</v>
      </c>
      <c r="O7" s="11">
        <f t="shared" si="2"/>
        <v>0.4</v>
      </c>
      <c r="P7" s="11">
        <f t="shared" si="4"/>
        <v>0.13534172556001003</v>
      </c>
      <c r="Q7" s="12">
        <f t="shared" si="5"/>
        <v>1.2180755300400905E-2</v>
      </c>
    </row>
    <row r="8" spans="2:17" x14ac:dyDescent="0.25">
      <c r="B8" s="32" t="s">
        <v>4</v>
      </c>
      <c r="C8" s="13">
        <v>0.5</v>
      </c>
      <c r="D8" s="25">
        <v>0.5</v>
      </c>
      <c r="G8" s="2"/>
      <c r="H8" s="32" t="s">
        <v>3</v>
      </c>
      <c r="I8" s="32">
        <v>2</v>
      </c>
      <c r="J8" s="32">
        <v>0</v>
      </c>
      <c r="K8" s="32" t="s">
        <v>249</v>
      </c>
      <c r="L8" s="140" t="str">
        <f t="shared" si="3"/>
        <v>M20A</v>
      </c>
      <c r="M8" s="11">
        <f t="shared" si="0"/>
        <v>0.5</v>
      </c>
      <c r="N8" s="11">
        <f t="shared" si="1"/>
        <v>0.1</v>
      </c>
      <c r="O8" s="11">
        <f t="shared" si="2"/>
        <v>0.5</v>
      </c>
      <c r="P8" s="11">
        <f t="shared" si="4"/>
        <v>0.13534172556001003</v>
      </c>
      <c r="Q8" s="12">
        <f t="shared" si="5"/>
        <v>3.3835431390002511E-3</v>
      </c>
    </row>
    <row r="9" spans="2:17" x14ac:dyDescent="0.25">
      <c r="G9" s="2"/>
      <c r="H9" s="32" t="s">
        <v>3</v>
      </c>
      <c r="I9" s="32">
        <v>2</v>
      </c>
      <c r="J9" s="32">
        <v>1</v>
      </c>
      <c r="K9" s="32" t="s">
        <v>249</v>
      </c>
      <c r="L9" s="140" t="str">
        <f t="shared" si="3"/>
        <v>M21A</v>
      </c>
      <c r="M9" s="11">
        <f t="shared" si="0"/>
        <v>0.5</v>
      </c>
      <c r="N9" s="11">
        <f t="shared" si="1"/>
        <v>0.1</v>
      </c>
      <c r="O9" s="11">
        <f t="shared" si="2"/>
        <v>0.1</v>
      </c>
      <c r="P9" s="11">
        <f t="shared" si="4"/>
        <v>0.13534172556001003</v>
      </c>
      <c r="Q9" s="12">
        <f t="shared" si="5"/>
        <v>6.7670862780005027E-4</v>
      </c>
    </row>
    <row r="10" spans="2:17" x14ac:dyDescent="0.25">
      <c r="B10" s="3" t="s">
        <v>218</v>
      </c>
      <c r="C10" s="19" t="s">
        <v>251</v>
      </c>
      <c r="D10" s="36" t="s">
        <v>249</v>
      </c>
      <c r="G10" s="2"/>
      <c r="H10" s="32" t="s">
        <v>3</v>
      </c>
      <c r="I10" s="32">
        <v>2</v>
      </c>
      <c r="J10" s="32">
        <v>2</v>
      </c>
      <c r="K10" s="32" t="s">
        <v>249</v>
      </c>
      <c r="L10" s="140" t="str">
        <f t="shared" si="3"/>
        <v>M22A</v>
      </c>
      <c r="M10" s="11">
        <f t="shared" si="0"/>
        <v>0.5</v>
      </c>
      <c r="N10" s="11">
        <f t="shared" si="1"/>
        <v>0.1</v>
      </c>
      <c r="O10" s="11">
        <f t="shared" si="2"/>
        <v>0.4</v>
      </c>
      <c r="P10" s="11">
        <f t="shared" si="4"/>
        <v>0.13534172556001003</v>
      </c>
      <c r="Q10" s="12">
        <f t="shared" si="5"/>
        <v>2.7068345112002011E-3</v>
      </c>
    </row>
    <row r="11" spans="2:17" x14ac:dyDescent="0.25">
      <c r="B11" s="32">
        <v>0</v>
      </c>
      <c r="C11" s="13">
        <v>0.45</v>
      </c>
      <c r="D11" s="11">
        <v>0.45</v>
      </c>
      <c r="G11" s="2"/>
      <c r="H11" s="32" t="s">
        <v>4</v>
      </c>
      <c r="I11" s="32">
        <v>0</v>
      </c>
      <c r="J11" s="32">
        <v>0</v>
      </c>
      <c r="K11" s="32" t="s">
        <v>249</v>
      </c>
      <c r="L11" s="140" t="str">
        <f t="shared" si="3"/>
        <v>F00A</v>
      </c>
      <c r="M11" s="11">
        <f t="shared" si="0"/>
        <v>0.5</v>
      </c>
      <c r="N11" s="11">
        <f t="shared" si="1"/>
        <v>0.45</v>
      </c>
      <c r="O11" s="11">
        <f t="shared" si="2"/>
        <v>0.5</v>
      </c>
      <c r="P11" s="11">
        <f t="shared" si="4"/>
        <v>0.13534172556001003</v>
      </c>
      <c r="Q11" s="12">
        <f t="shared" si="5"/>
        <v>1.5225944125501129E-2</v>
      </c>
    </row>
    <row r="12" spans="2:17" x14ac:dyDescent="0.25">
      <c r="B12" s="32">
        <v>1</v>
      </c>
      <c r="C12" s="13">
        <v>0.45</v>
      </c>
      <c r="D12" s="11">
        <v>0.45</v>
      </c>
      <c r="G12" s="2"/>
      <c r="H12" s="32" t="s">
        <v>4</v>
      </c>
      <c r="I12" s="32">
        <v>0</v>
      </c>
      <c r="J12" s="32">
        <v>1</v>
      </c>
      <c r="K12" s="32" t="s">
        <v>249</v>
      </c>
      <c r="L12" s="140" t="str">
        <f t="shared" si="3"/>
        <v>F01A</v>
      </c>
      <c r="M12" s="11">
        <f t="shared" si="0"/>
        <v>0.5</v>
      </c>
      <c r="N12" s="11">
        <f t="shared" si="1"/>
        <v>0.45</v>
      </c>
      <c r="O12" s="11">
        <f t="shared" si="2"/>
        <v>0.1</v>
      </c>
      <c r="P12" s="11">
        <f t="shared" si="4"/>
        <v>0.13534172556001003</v>
      </c>
      <c r="Q12" s="12">
        <f t="shared" si="5"/>
        <v>3.0451888251002263E-3</v>
      </c>
    </row>
    <row r="13" spans="2:17" x14ac:dyDescent="0.25">
      <c r="B13" s="32">
        <v>2</v>
      </c>
      <c r="C13" s="13">
        <v>0.1</v>
      </c>
      <c r="D13" s="11">
        <v>0.1</v>
      </c>
      <c r="G13" s="2"/>
      <c r="H13" s="32" t="s">
        <v>4</v>
      </c>
      <c r="I13" s="32">
        <v>0</v>
      </c>
      <c r="J13" s="32">
        <v>2</v>
      </c>
      <c r="K13" s="32" t="s">
        <v>249</v>
      </c>
      <c r="L13" s="140" t="str">
        <f t="shared" si="3"/>
        <v>F02A</v>
      </c>
      <c r="M13" s="11">
        <f t="shared" si="0"/>
        <v>0.5</v>
      </c>
      <c r="N13" s="11">
        <f t="shared" si="1"/>
        <v>0.45</v>
      </c>
      <c r="O13" s="11">
        <f t="shared" si="2"/>
        <v>0.4</v>
      </c>
      <c r="P13" s="11">
        <f t="shared" si="4"/>
        <v>0.13534172556001003</v>
      </c>
      <c r="Q13" s="12">
        <f t="shared" si="5"/>
        <v>1.2180755300400905E-2</v>
      </c>
    </row>
    <row r="14" spans="2:17" x14ac:dyDescent="0.25">
      <c r="G14" s="2"/>
      <c r="H14" s="32" t="s">
        <v>4</v>
      </c>
      <c r="I14" s="32">
        <v>1</v>
      </c>
      <c r="J14" s="32">
        <v>0</v>
      </c>
      <c r="K14" s="32" t="s">
        <v>249</v>
      </c>
      <c r="L14" s="140" t="str">
        <f t="shared" si="3"/>
        <v>F10A</v>
      </c>
      <c r="M14" s="11">
        <f t="shared" si="0"/>
        <v>0.5</v>
      </c>
      <c r="N14" s="11">
        <f t="shared" si="1"/>
        <v>0.45</v>
      </c>
      <c r="O14" s="11">
        <f t="shared" si="2"/>
        <v>0.5</v>
      </c>
      <c r="P14" s="11">
        <f t="shared" si="4"/>
        <v>0.13534172556001003</v>
      </c>
      <c r="Q14" s="12">
        <f t="shared" si="5"/>
        <v>1.5225944125501129E-2</v>
      </c>
    </row>
    <row r="15" spans="2:17" x14ac:dyDescent="0.25">
      <c r="B15" s="39" t="s">
        <v>226</v>
      </c>
      <c r="C15" s="19" t="s">
        <v>251</v>
      </c>
      <c r="D15" s="36" t="s">
        <v>249</v>
      </c>
      <c r="G15" s="2"/>
      <c r="H15" s="32" t="s">
        <v>4</v>
      </c>
      <c r="I15" s="32">
        <v>1</v>
      </c>
      <c r="J15" s="32">
        <v>1</v>
      </c>
      <c r="K15" s="32" t="s">
        <v>249</v>
      </c>
      <c r="L15" s="140" t="str">
        <f t="shared" si="3"/>
        <v>F11A</v>
      </c>
      <c r="M15" s="11">
        <f t="shared" si="0"/>
        <v>0.5</v>
      </c>
      <c r="N15" s="11">
        <f t="shared" si="1"/>
        <v>0.45</v>
      </c>
      <c r="O15" s="11">
        <f t="shared" si="2"/>
        <v>0.1</v>
      </c>
      <c r="P15" s="11">
        <f t="shared" si="4"/>
        <v>0.13534172556001003</v>
      </c>
      <c r="Q15" s="12">
        <f t="shared" si="5"/>
        <v>3.0451888251002263E-3</v>
      </c>
    </row>
    <row r="16" spans="2:17" x14ac:dyDescent="0.25">
      <c r="B16" s="32">
        <v>0</v>
      </c>
      <c r="C16" s="13">
        <v>0.6</v>
      </c>
      <c r="D16" s="11">
        <v>0.5</v>
      </c>
      <c r="G16" s="2"/>
      <c r="H16" s="32" t="s">
        <v>4</v>
      </c>
      <c r="I16" s="32">
        <v>1</v>
      </c>
      <c r="J16" s="32">
        <v>2</v>
      </c>
      <c r="K16" s="32" t="s">
        <v>249</v>
      </c>
      <c r="L16" s="140" t="str">
        <f t="shared" si="3"/>
        <v>F12A</v>
      </c>
      <c r="M16" s="11">
        <f t="shared" si="0"/>
        <v>0.5</v>
      </c>
      <c r="N16" s="11">
        <f t="shared" si="1"/>
        <v>0.45</v>
      </c>
      <c r="O16" s="11">
        <f t="shared" si="2"/>
        <v>0.4</v>
      </c>
      <c r="P16" s="11">
        <f t="shared" si="4"/>
        <v>0.13534172556001003</v>
      </c>
      <c r="Q16" s="12">
        <f t="shared" si="5"/>
        <v>1.2180755300400905E-2</v>
      </c>
    </row>
    <row r="17" spans="1:17" x14ac:dyDescent="0.25">
      <c r="B17" s="32">
        <v>1</v>
      </c>
      <c r="C17" s="13">
        <v>0.1</v>
      </c>
      <c r="D17" s="11">
        <v>0.1</v>
      </c>
      <c r="G17" s="2"/>
      <c r="H17" s="32" t="s">
        <v>4</v>
      </c>
      <c r="I17" s="32">
        <v>2</v>
      </c>
      <c r="J17" s="32">
        <v>0</v>
      </c>
      <c r="K17" s="32" t="s">
        <v>249</v>
      </c>
      <c r="L17" s="140" t="str">
        <f t="shared" si="3"/>
        <v>F20A</v>
      </c>
      <c r="M17" s="11">
        <f t="shared" si="0"/>
        <v>0.5</v>
      </c>
      <c r="N17" s="11">
        <f t="shared" si="1"/>
        <v>0.1</v>
      </c>
      <c r="O17" s="11">
        <f t="shared" si="2"/>
        <v>0.5</v>
      </c>
      <c r="P17" s="11">
        <f t="shared" si="4"/>
        <v>0.13534172556001003</v>
      </c>
      <c r="Q17" s="12">
        <f t="shared" si="5"/>
        <v>3.3835431390002511E-3</v>
      </c>
    </row>
    <row r="18" spans="1:17" x14ac:dyDescent="0.25">
      <c r="B18" s="32">
        <v>2</v>
      </c>
      <c r="C18" s="13">
        <v>0.3</v>
      </c>
      <c r="D18" s="11">
        <v>0.4</v>
      </c>
      <c r="G18" s="2"/>
      <c r="H18" s="32" t="s">
        <v>4</v>
      </c>
      <c r="I18" s="32">
        <v>2</v>
      </c>
      <c r="J18" s="32">
        <v>1</v>
      </c>
      <c r="K18" s="32" t="s">
        <v>249</v>
      </c>
      <c r="L18" s="140" t="str">
        <f t="shared" si="3"/>
        <v>F21A</v>
      </c>
      <c r="M18" s="11">
        <f t="shared" si="0"/>
        <v>0.5</v>
      </c>
      <c r="N18" s="11">
        <f t="shared" si="1"/>
        <v>0.1</v>
      </c>
      <c r="O18" s="11">
        <f t="shared" si="2"/>
        <v>0.1</v>
      </c>
      <c r="P18" s="11">
        <f t="shared" si="4"/>
        <v>0.13534172556001003</v>
      </c>
      <c r="Q18" s="12">
        <f t="shared" si="5"/>
        <v>6.7670862780005027E-4</v>
      </c>
    </row>
    <row r="19" spans="1:17" x14ac:dyDescent="0.25">
      <c r="G19" s="2"/>
      <c r="H19" s="32" t="s">
        <v>4</v>
      </c>
      <c r="I19" s="32">
        <v>2</v>
      </c>
      <c r="J19" s="32">
        <v>2</v>
      </c>
      <c r="K19" s="32" t="s">
        <v>249</v>
      </c>
      <c r="L19" s="140" t="str">
        <f t="shared" si="3"/>
        <v>F22A</v>
      </c>
      <c r="M19" s="11">
        <f t="shared" si="0"/>
        <v>0.5</v>
      </c>
      <c r="N19" s="11">
        <f t="shared" si="1"/>
        <v>0.1</v>
      </c>
      <c r="O19" s="11">
        <f t="shared" si="2"/>
        <v>0.4</v>
      </c>
      <c r="P19" s="11">
        <f t="shared" si="4"/>
        <v>0.13534172556001003</v>
      </c>
      <c r="Q19" s="12">
        <f t="shared" si="5"/>
        <v>2.7068345112002011E-3</v>
      </c>
    </row>
    <row r="20" spans="1:17" x14ac:dyDescent="0.25">
      <c r="G20" s="2"/>
      <c r="H20" s="32" t="s">
        <v>3</v>
      </c>
      <c r="I20" s="32">
        <v>0</v>
      </c>
      <c r="J20" s="32">
        <v>0</v>
      </c>
      <c r="K20" s="32" t="s">
        <v>251</v>
      </c>
      <c r="L20" s="140" t="str">
        <f t="shared" si="3"/>
        <v>M00P</v>
      </c>
      <c r="M20" s="11">
        <f t="shared" si="0"/>
        <v>0.5</v>
      </c>
      <c r="N20" s="11">
        <f t="shared" si="1"/>
        <v>0.45</v>
      </c>
      <c r="O20" s="11">
        <f t="shared" si="2"/>
        <v>0.6</v>
      </c>
      <c r="P20" s="11">
        <f t="shared" si="4"/>
        <v>0.86465827443998988</v>
      </c>
      <c r="Q20" s="12">
        <f t="shared" si="5"/>
        <v>0.11672886704939864</v>
      </c>
    </row>
    <row r="21" spans="1:17" x14ac:dyDescent="0.25">
      <c r="A21" s="3"/>
      <c r="B21" s="3"/>
      <c r="C21" s="3"/>
      <c r="D21" s="3"/>
      <c r="E21" s="3"/>
      <c r="F21" s="39"/>
      <c r="G21" s="2"/>
      <c r="H21" s="32" t="s">
        <v>3</v>
      </c>
      <c r="I21" s="32">
        <v>0</v>
      </c>
      <c r="J21" s="32">
        <v>1</v>
      </c>
      <c r="K21" s="32" t="s">
        <v>251</v>
      </c>
      <c r="L21" s="140" t="str">
        <f t="shared" si="3"/>
        <v>M01P</v>
      </c>
      <c r="M21" s="11">
        <f t="shared" si="0"/>
        <v>0.5</v>
      </c>
      <c r="N21" s="11">
        <f t="shared" si="1"/>
        <v>0.45</v>
      </c>
      <c r="O21" s="11">
        <f t="shared" si="2"/>
        <v>0.1</v>
      </c>
      <c r="P21" s="11">
        <f t="shared" si="4"/>
        <v>0.86465827443998988</v>
      </c>
      <c r="Q21" s="12">
        <f t="shared" si="5"/>
        <v>1.9454811174899774E-2</v>
      </c>
    </row>
    <row r="22" spans="1:17" x14ac:dyDescent="0.25">
      <c r="G22" s="2"/>
      <c r="H22" s="32" t="s">
        <v>3</v>
      </c>
      <c r="I22" s="32">
        <v>0</v>
      </c>
      <c r="J22" s="32">
        <v>2</v>
      </c>
      <c r="K22" s="32" t="s">
        <v>251</v>
      </c>
      <c r="L22" s="140" t="str">
        <f t="shared" si="3"/>
        <v>M02P</v>
      </c>
      <c r="M22" s="11">
        <f t="shared" si="0"/>
        <v>0.5</v>
      </c>
      <c r="N22" s="11">
        <f t="shared" si="1"/>
        <v>0.45</v>
      </c>
      <c r="O22" s="11">
        <f t="shared" si="2"/>
        <v>0.3</v>
      </c>
      <c r="P22" s="11">
        <f t="shared" si="4"/>
        <v>0.86465827443998988</v>
      </c>
      <c r="Q22" s="12">
        <f t="shared" si="5"/>
        <v>5.8364433524699319E-2</v>
      </c>
    </row>
    <row r="23" spans="1:17" x14ac:dyDescent="0.25">
      <c r="B23" s="3"/>
      <c r="C23" s="19" t="s">
        <v>251</v>
      </c>
      <c r="D23" s="36" t="s">
        <v>249</v>
      </c>
      <c r="G23" s="2"/>
      <c r="H23" s="32" t="s">
        <v>3</v>
      </c>
      <c r="I23" s="32">
        <v>1</v>
      </c>
      <c r="J23" s="32">
        <v>0</v>
      </c>
      <c r="K23" s="32" t="s">
        <v>251</v>
      </c>
      <c r="L23" s="140" t="str">
        <f t="shared" si="3"/>
        <v>M10P</v>
      </c>
      <c r="M23" s="11">
        <f t="shared" si="0"/>
        <v>0.5</v>
      </c>
      <c r="N23" s="11">
        <f t="shared" si="1"/>
        <v>0.45</v>
      </c>
      <c r="O23" s="11">
        <f t="shared" si="2"/>
        <v>0.6</v>
      </c>
      <c r="P23" s="11">
        <f t="shared" si="4"/>
        <v>0.86465827443998988</v>
      </c>
      <c r="Q23" s="12">
        <f t="shared" si="5"/>
        <v>0.11672886704939864</v>
      </c>
    </row>
    <row r="24" spans="1:17" x14ac:dyDescent="0.25">
      <c r="B24" s="32" t="s">
        <v>340</v>
      </c>
      <c r="C24" s="186">
        <v>400895.59397288418</v>
      </c>
      <c r="D24" s="49">
        <v>62750.687828479196</v>
      </c>
      <c r="G24" s="2"/>
      <c r="H24" s="32" t="s">
        <v>3</v>
      </c>
      <c r="I24" s="32">
        <v>1</v>
      </c>
      <c r="J24" s="32">
        <v>1</v>
      </c>
      <c r="K24" s="32" t="s">
        <v>251</v>
      </c>
      <c r="L24" s="140" t="str">
        <f t="shared" si="3"/>
        <v>M11P</v>
      </c>
      <c r="M24" s="11">
        <f t="shared" si="0"/>
        <v>0.5</v>
      </c>
      <c r="N24" s="11">
        <f t="shared" si="1"/>
        <v>0.45</v>
      </c>
      <c r="O24" s="11">
        <f t="shared" si="2"/>
        <v>0.1</v>
      </c>
      <c r="P24" s="11">
        <f t="shared" si="4"/>
        <v>0.86465827443998988</v>
      </c>
      <c r="Q24" s="12">
        <f t="shared" si="5"/>
        <v>1.9454811174899774E-2</v>
      </c>
    </row>
    <row r="25" spans="1:17" x14ac:dyDescent="0.25">
      <c r="B25" s="3" t="s">
        <v>331</v>
      </c>
      <c r="C25" s="197">
        <v>0.5</v>
      </c>
      <c r="D25" s="198">
        <v>0.5</v>
      </c>
      <c r="G25" s="2"/>
      <c r="H25" s="32" t="s">
        <v>3</v>
      </c>
      <c r="I25" s="32">
        <v>1</v>
      </c>
      <c r="J25" s="32">
        <v>2</v>
      </c>
      <c r="K25" s="32" t="s">
        <v>251</v>
      </c>
      <c r="L25" s="140" t="str">
        <f t="shared" si="3"/>
        <v>M12P</v>
      </c>
      <c r="M25" s="11">
        <f t="shared" si="0"/>
        <v>0.5</v>
      </c>
      <c r="N25" s="11">
        <f t="shared" si="1"/>
        <v>0.45</v>
      </c>
      <c r="O25" s="11">
        <f t="shared" si="2"/>
        <v>0.3</v>
      </c>
      <c r="P25" s="11">
        <f t="shared" si="4"/>
        <v>0.86465827443998988</v>
      </c>
      <c r="Q25" s="12">
        <f t="shared" si="5"/>
        <v>5.8364433524699319E-2</v>
      </c>
    </row>
    <row r="26" spans="1:17" x14ac:dyDescent="0.25">
      <c r="C26" s="199">
        <f>C24*C25</f>
        <v>200447.79698644209</v>
      </c>
      <c r="D26" s="46">
        <f>D24*D25</f>
        <v>31375.343914239598</v>
      </c>
      <c r="G26" s="2"/>
      <c r="H26" s="32" t="s">
        <v>3</v>
      </c>
      <c r="I26" s="32">
        <v>2</v>
      </c>
      <c r="J26" s="32">
        <v>0</v>
      </c>
      <c r="K26" s="32" t="s">
        <v>251</v>
      </c>
      <c r="L26" s="140" t="str">
        <f t="shared" si="3"/>
        <v>M20P</v>
      </c>
      <c r="M26" s="11">
        <f t="shared" si="0"/>
        <v>0.5</v>
      </c>
      <c r="N26" s="11">
        <f t="shared" si="1"/>
        <v>0.1</v>
      </c>
      <c r="O26" s="11">
        <f t="shared" si="2"/>
        <v>0.6</v>
      </c>
      <c r="P26" s="11">
        <f t="shared" si="4"/>
        <v>0.86465827443998988</v>
      </c>
      <c r="Q26" s="12">
        <f t="shared" si="5"/>
        <v>2.5939748233199694E-2</v>
      </c>
    </row>
    <row r="27" spans="1:17" x14ac:dyDescent="0.25">
      <c r="C27" s="200">
        <f>C26 / SUM($C$26:$D$26)</f>
        <v>0.86465827443998988</v>
      </c>
      <c r="D27" s="201">
        <f>D26 / SUM($C$26:$D$26)</f>
        <v>0.13534172556001003</v>
      </c>
      <c r="G27" s="2"/>
      <c r="H27" s="32" t="s">
        <v>3</v>
      </c>
      <c r="I27" s="32">
        <v>2</v>
      </c>
      <c r="J27" s="32">
        <v>1</v>
      </c>
      <c r="K27" s="32" t="s">
        <v>251</v>
      </c>
      <c r="L27" s="140" t="str">
        <f t="shared" si="3"/>
        <v>M21P</v>
      </c>
      <c r="M27" s="11">
        <f t="shared" si="0"/>
        <v>0.5</v>
      </c>
      <c r="N27" s="11">
        <f t="shared" si="1"/>
        <v>0.1</v>
      </c>
      <c r="O27" s="11">
        <f t="shared" si="2"/>
        <v>0.1</v>
      </c>
      <c r="P27" s="11">
        <f t="shared" si="4"/>
        <v>0.86465827443998988</v>
      </c>
      <c r="Q27" s="12">
        <f t="shared" si="5"/>
        <v>4.3232913721999505E-3</v>
      </c>
    </row>
    <row r="28" spans="1:17" x14ac:dyDescent="0.25">
      <c r="C28" s="2"/>
      <c r="G28" s="2"/>
      <c r="H28" s="32" t="s">
        <v>3</v>
      </c>
      <c r="I28" s="32">
        <v>2</v>
      </c>
      <c r="J28" s="32">
        <v>2</v>
      </c>
      <c r="K28" s="32" t="s">
        <v>251</v>
      </c>
      <c r="L28" s="140" t="str">
        <f t="shared" si="3"/>
        <v>M22P</v>
      </c>
      <c r="M28" s="11">
        <f t="shared" si="0"/>
        <v>0.5</v>
      </c>
      <c r="N28" s="11">
        <f t="shared" si="1"/>
        <v>0.1</v>
      </c>
      <c r="O28" s="11">
        <f t="shared" si="2"/>
        <v>0.3</v>
      </c>
      <c r="P28" s="11">
        <f t="shared" si="4"/>
        <v>0.86465827443998988</v>
      </c>
      <c r="Q28" s="12">
        <f t="shared" si="5"/>
        <v>1.2969874116599847E-2</v>
      </c>
    </row>
    <row r="29" spans="1:17" x14ac:dyDescent="0.25">
      <c r="B29" t="s">
        <v>333</v>
      </c>
      <c r="C29" s="15">
        <f>C37</f>
        <v>47000</v>
      </c>
      <c r="D29" s="49">
        <f>C38</f>
        <v>55400</v>
      </c>
      <c r="G29" s="2"/>
      <c r="H29" s="32" t="s">
        <v>4</v>
      </c>
      <c r="I29" s="32">
        <v>0</v>
      </c>
      <c r="J29" s="32">
        <v>0</v>
      </c>
      <c r="K29" s="32" t="s">
        <v>251</v>
      </c>
      <c r="L29" s="140" t="str">
        <f t="shared" si="3"/>
        <v>F00P</v>
      </c>
      <c r="M29" s="11">
        <f t="shared" si="0"/>
        <v>0.5</v>
      </c>
      <c r="N29" s="11">
        <f t="shared" si="1"/>
        <v>0.45</v>
      </c>
      <c r="O29" s="11">
        <f t="shared" si="2"/>
        <v>0.6</v>
      </c>
      <c r="P29" s="11">
        <f t="shared" si="4"/>
        <v>0.86465827443998988</v>
      </c>
      <c r="Q29" s="12">
        <f t="shared" si="5"/>
        <v>0.11672886704939864</v>
      </c>
    </row>
    <row r="30" spans="1:17" x14ac:dyDescent="0.25">
      <c r="B30" s="3" t="s">
        <v>334</v>
      </c>
      <c r="C30" s="177">
        <f>C24*C25*C29</f>
        <v>9421046458.3627777</v>
      </c>
      <c r="D30" s="99">
        <f>D24*D25*D29</f>
        <v>1738194052.8488739</v>
      </c>
      <c r="G30" s="2"/>
      <c r="H30" s="32" t="s">
        <v>4</v>
      </c>
      <c r="I30" s="32">
        <v>0</v>
      </c>
      <c r="J30" s="32">
        <v>1</v>
      </c>
      <c r="K30" s="32" t="s">
        <v>251</v>
      </c>
      <c r="L30" s="140" t="str">
        <f t="shared" si="3"/>
        <v>F01P</v>
      </c>
      <c r="M30" s="11">
        <f t="shared" si="0"/>
        <v>0.5</v>
      </c>
      <c r="N30" s="11">
        <f t="shared" si="1"/>
        <v>0.45</v>
      </c>
      <c r="O30" s="11">
        <f t="shared" si="2"/>
        <v>0.1</v>
      </c>
      <c r="P30" s="11">
        <f t="shared" si="4"/>
        <v>0.86465827443998988</v>
      </c>
      <c r="Q30" s="12">
        <f t="shared" si="5"/>
        <v>1.9454811174899774E-2</v>
      </c>
    </row>
    <row r="31" spans="1:17" x14ac:dyDescent="0.25">
      <c r="B31" s="32"/>
      <c r="C31" s="13">
        <f>C30 / SUM($C$30:$D$30)</f>
        <v>0.84423724436241732</v>
      </c>
      <c r="D31" s="25">
        <f>D30 / SUM($C$30:$D$30)</f>
        <v>0.15576275563758271</v>
      </c>
      <c r="G31" s="2"/>
      <c r="H31" s="32" t="s">
        <v>4</v>
      </c>
      <c r="I31" s="32">
        <v>0</v>
      </c>
      <c r="J31" s="32">
        <v>2</v>
      </c>
      <c r="K31" s="32" t="s">
        <v>251</v>
      </c>
      <c r="L31" s="140" t="str">
        <f t="shared" si="3"/>
        <v>F02P</v>
      </c>
      <c r="M31" s="11">
        <f t="shared" si="0"/>
        <v>0.5</v>
      </c>
      <c r="N31" s="11">
        <f t="shared" si="1"/>
        <v>0.45</v>
      </c>
      <c r="O31" s="11">
        <f t="shared" si="2"/>
        <v>0.3</v>
      </c>
      <c r="P31" s="11">
        <f t="shared" si="4"/>
        <v>0.86465827443998988</v>
      </c>
      <c r="Q31" s="12">
        <f t="shared" si="5"/>
        <v>5.8364433524699319E-2</v>
      </c>
    </row>
    <row r="32" spans="1:17" x14ac:dyDescent="0.25">
      <c r="G32" s="2"/>
      <c r="H32" s="32" t="s">
        <v>4</v>
      </c>
      <c r="I32" s="32">
        <v>1</v>
      </c>
      <c r="J32" s="32">
        <v>0</v>
      </c>
      <c r="K32" s="32" t="s">
        <v>251</v>
      </c>
      <c r="L32" s="140" t="str">
        <f t="shared" si="3"/>
        <v>F10P</v>
      </c>
      <c r="M32" s="11">
        <f t="shared" si="0"/>
        <v>0.5</v>
      </c>
      <c r="N32" s="11">
        <f t="shared" si="1"/>
        <v>0.45</v>
      </c>
      <c r="O32" s="11">
        <f t="shared" si="2"/>
        <v>0.6</v>
      </c>
      <c r="P32" s="11">
        <f t="shared" si="4"/>
        <v>0.86465827443998988</v>
      </c>
      <c r="Q32" s="12">
        <f t="shared" si="5"/>
        <v>0.11672886704939864</v>
      </c>
    </row>
    <row r="33" spans="2:17" x14ac:dyDescent="0.25">
      <c r="G33" s="2"/>
      <c r="H33" s="32" t="s">
        <v>4</v>
      </c>
      <c r="I33" s="32">
        <v>1</v>
      </c>
      <c r="J33" s="32">
        <v>1</v>
      </c>
      <c r="K33" s="32" t="s">
        <v>251</v>
      </c>
      <c r="L33" s="140" t="str">
        <f t="shared" si="3"/>
        <v>F11P</v>
      </c>
      <c r="M33" s="11">
        <f t="shared" si="0"/>
        <v>0.5</v>
      </c>
      <c r="N33" s="11">
        <f t="shared" si="1"/>
        <v>0.45</v>
      </c>
      <c r="O33" s="11">
        <f t="shared" si="2"/>
        <v>0.1</v>
      </c>
      <c r="P33" s="11">
        <f t="shared" si="4"/>
        <v>0.86465827443998988</v>
      </c>
      <c r="Q33" s="12">
        <f t="shared" si="5"/>
        <v>1.9454811174899774E-2</v>
      </c>
    </row>
    <row r="34" spans="2:17" x14ac:dyDescent="0.25">
      <c r="D34" s="50">
        <f>SUM(C30:D30) / 1000000</f>
        <v>11159.24051121165</v>
      </c>
      <c r="E34" s="201">
        <v>0.28184882457029398</v>
      </c>
      <c r="G34" s="2"/>
      <c r="H34" s="32" t="s">
        <v>4</v>
      </c>
      <c r="I34" s="32">
        <v>1</v>
      </c>
      <c r="J34" s="32">
        <v>2</v>
      </c>
      <c r="K34" s="32" t="s">
        <v>251</v>
      </c>
      <c r="L34" s="140" t="str">
        <f t="shared" si="3"/>
        <v>F12P</v>
      </c>
      <c r="M34" s="11">
        <f t="shared" si="0"/>
        <v>0.5</v>
      </c>
      <c r="N34" s="11">
        <f t="shared" si="1"/>
        <v>0.45</v>
      </c>
      <c r="O34" s="11">
        <f t="shared" si="2"/>
        <v>0.3</v>
      </c>
      <c r="P34" s="11">
        <f t="shared" si="4"/>
        <v>0.86465827443998988</v>
      </c>
      <c r="Q34" s="12">
        <f t="shared" si="5"/>
        <v>5.8364433524699319E-2</v>
      </c>
    </row>
    <row r="35" spans="2:17" x14ac:dyDescent="0.25">
      <c r="G35" s="2"/>
      <c r="H35" s="32" t="s">
        <v>4</v>
      </c>
      <c r="I35" s="32">
        <v>2</v>
      </c>
      <c r="J35" s="32">
        <v>0</v>
      </c>
      <c r="K35" s="32" t="s">
        <v>251</v>
      </c>
      <c r="L35" s="140" t="str">
        <f t="shared" si="3"/>
        <v>F20P</v>
      </c>
      <c r="M35" s="11">
        <f t="shared" si="0"/>
        <v>0.5</v>
      </c>
      <c r="N35" s="11">
        <f t="shared" si="1"/>
        <v>0.1</v>
      </c>
      <c r="O35" s="11">
        <f t="shared" si="2"/>
        <v>0.6</v>
      </c>
      <c r="P35" s="11">
        <f t="shared" si="4"/>
        <v>0.86465827443998988</v>
      </c>
      <c r="Q35" s="12">
        <f t="shared" si="5"/>
        <v>2.5939748233199694E-2</v>
      </c>
    </row>
    <row r="36" spans="2:17" x14ac:dyDescent="0.25">
      <c r="B36" s="3"/>
      <c r="C36" s="4" t="s">
        <v>333</v>
      </c>
      <c r="G36" s="2"/>
      <c r="H36" s="32" t="s">
        <v>4</v>
      </c>
      <c r="I36" s="32">
        <v>2</v>
      </c>
      <c r="J36" s="32">
        <v>1</v>
      </c>
      <c r="K36" s="32" t="s">
        <v>251</v>
      </c>
      <c r="L36" s="140" t="str">
        <f t="shared" si="3"/>
        <v>F21P</v>
      </c>
      <c r="M36" s="11">
        <f t="shared" si="0"/>
        <v>0.5</v>
      </c>
      <c r="N36" s="11">
        <f t="shared" si="1"/>
        <v>0.1</v>
      </c>
      <c r="O36" s="11">
        <f t="shared" si="2"/>
        <v>0.1</v>
      </c>
      <c r="P36" s="11">
        <f t="shared" si="4"/>
        <v>0.86465827443998988</v>
      </c>
      <c r="Q36" s="12">
        <f t="shared" si="5"/>
        <v>4.3232913721999505E-3</v>
      </c>
    </row>
    <row r="37" spans="2:17" x14ac:dyDescent="0.25">
      <c r="B37" t="s">
        <v>251</v>
      </c>
      <c r="C37" s="15">
        <v>47000</v>
      </c>
      <c r="G37" s="2"/>
      <c r="H37" s="32" t="s">
        <v>4</v>
      </c>
      <c r="I37" s="32">
        <v>2</v>
      </c>
      <c r="J37" s="32">
        <v>2</v>
      </c>
      <c r="K37" s="32" t="s">
        <v>251</v>
      </c>
      <c r="L37" s="140" t="str">
        <f t="shared" si="3"/>
        <v>F22P</v>
      </c>
      <c r="M37" s="11">
        <f t="shared" si="0"/>
        <v>0.5</v>
      </c>
      <c r="N37" s="11">
        <f t="shared" si="1"/>
        <v>0.1</v>
      </c>
      <c r="O37" s="11">
        <f t="shared" si="2"/>
        <v>0.3</v>
      </c>
      <c r="P37" s="11">
        <f t="shared" si="4"/>
        <v>0.86465827443998988</v>
      </c>
      <c r="Q37" s="12">
        <f>PRODUCT(M37:P37)</f>
        <v>1.2969874116599847E-2</v>
      </c>
    </row>
    <row r="38" spans="2:17" x14ac:dyDescent="0.25">
      <c r="B38" t="s">
        <v>249</v>
      </c>
      <c r="C38" s="15">
        <v>55400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CDC33-8386-4CF1-AAA2-6B33A7422FCB}">
  <sheetPr codeName="Sheet13">
    <tabColor theme="4" tint="0.79998168889431442"/>
  </sheetPr>
  <dimension ref="A1:AM341"/>
  <sheetViews>
    <sheetView workbookViewId="0">
      <selection activeCell="G15" sqref="G15"/>
    </sheetView>
  </sheetViews>
  <sheetFormatPr defaultColWidth="8.85546875" defaultRowHeight="15" x14ac:dyDescent="0.25"/>
  <cols>
    <col min="2" max="2" width="32.28515625" bestFit="1" customWidth="1"/>
    <col min="3" max="3" width="28.28515625" bestFit="1" customWidth="1"/>
    <col min="4" max="4" width="9.140625" style="2"/>
  </cols>
  <sheetData>
    <row r="1" spans="2:39" s="3" customFormat="1" x14ac:dyDescent="0.25">
      <c r="B1" s="3">
        <v>39</v>
      </c>
      <c r="D1" s="4" t="s">
        <v>260</v>
      </c>
      <c r="E1" s="3" t="s">
        <v>261</v>
      </c>
      <c r="F1" s="3" t="s">
        <v>262</v>
      </c>
      <c r="G1" s="3" t="s">
        <v>263</v>
      </c>
      <c r="H1" s="3" t="s">
        <v>264</v>
      </c>
      <c r="I1" s="3" t="s">
        <v>265</v>
      </c>
      <c r="J1" s="3" t="s">
        <v>266</v>
      </c>
      <c r="K1" s="3" t="s">
        <v>267</v>
      </c>
      <c r="L1" s="3" t="s">
        <v>268</v>
      </c>
      <c r="M1" s="3" t="s">
        <v>269</v>
      </c>
      <c r="N1" s="3" t="s">
        <v>270</v>
      </c>
      <c r="O1" s="3" t="s">
        <v>271</v>
      </c>
      <c r="P1" s="3" t="s">
        <v>272</v>
      </c>
      <c r="Q1" s="3" t="s">
        <v>273</v>
      </c>
      <c r="R1" s="3" t="s">
        <v>274</v>
      </c>
      <c r="S1" s="3" t="s">
        <v>275</v>
      </c>
      <c r="T1" s="3" t="s">
        <v>276</v>
      </c>
      <c r="U1" s="3" t="s">
        <v>277</v>
      </c>
      <c r="V1" s="3" t="s">
        <v>278</v>
      </c>
      <c r="W1" s="3" t="s">
        <v>279</v>
      </c>
      <c r="X1" s="3" t="s">
        <v>280</v>
      </c>
      <c r="Y1" s="3" t="s">
        <v>281</v>
      </c>
      <c r="Z1" s="3" t="s">
        <v>282</v>
      </c>
      <c r="AA1" s="3" t="s">
        <v>283</v>
      </c>
      <c r="AB1" s="3" t="s">
        <v>284</v>
      </c>
      <c r="AC1" s="3" t="s">
        <v>285</v>
      </c>
      <c r="AD1" s="3" t="s">
        <v>286</v>
      </c>
      <c r="AE1" s="3" t="s">
        <v>287</v>
      </c>
      <c r="AF1" s="3" t="s">
        <v>288</v>
      </c>
      <c r="AG1" s="3" t="s">
        <v>289</v>
      </c>
      <c r="AH1" s="3" t="s">
        <v>290</v>
      </c>
      <c r="AI1" s="3" t="s">
        <v>291</v>
      </c>
      <c r="AJ1" s="3" t="s">
        <v>292</v>
      </c>
      <c r="AK1" s="3" t="s">
        <v>293</v>
      </c>
      <c r="AL1" s="3" t="s">
        <v>294</v>
      </c>
      <c r="AM1" s="3" t="s">
        <v>295</v>
      </c>
    </row>
    <row r="2" spans="2:39" x14ac:dyDescent="0.25">
      <c r="C2" t="s">
        <v>40</v>
      </c>
      <c r="D2" s="2" t="s">
        <v>3</v>
      </c>
      <c r="E2" t="s">
        <v>3</v>
      </c>
      <c r="F2" t="s">
        <v>3</v>
      </c>
      <c r="G2" t="s">
        <v>3</v>
      </c>
      <c r="H2" t="s">
        <v>3</v>
      </c>
      <c r="I2" t="s">
        <v>3</v>
      </c>
      <c r="J2" t="s">
        <v>3</v>
      </c>
      <c r="K2" t="s">
        <v>3</v>
      </c>
      <c r="L2" t="s">
        <v>3</v>
      </c>
      <c r="M2" t="s">
        <v>4</v>
      </c>
      <c r="N2" t="s">
        <v>4</v>
      </c>
      <c r="O2" t="s">
        <v>4</v>
      </c>
      <c r="P2" t="s">
        <v>4</v>
      </c>
      <c r="Q2" t="s">
        <v>4</v>
      </c>
      <c r="R2" t="s">
        <v>4</v>
      </c>
      <c r="S2" t="s">
        <v>4</v>
      </c>
      <c r="T2" t="s">
        <v>4</v>
      </c>
      <c r="U2" t="s">
        <v>4</v>
      </c>
      <c r="V2" t="s">
        <v>3</v>
      </c>
      <c r="W2" t="s">
        <v>3</v>
      </c>
      <c r="X2" t="s">
        <v>3</v>
      </c>
      <c r="Y2" t="s">
        <v>3</v>
      </c>
      <c r="Z2" t="s">
        <v>3</v>
      </c>
      <c r="AA2" t="s">
        <v>3</v>
      </c>
      <c r="AB2" t="s">
        <v>3</v>
      </c>
      <c r="AC2" t="s">
        <v>3</v>
      </c>
      <c r="AD2" t="s">
        <v>3</v>
      </c>
      <c r="AE2" t="s">
        <v>4</v>
      </c>
      <c r="AF2" t="s">
        <v>4</v>
      </c>
      <c r="AG2" t="s">
        <v>4</v>
      </c>
      <c r="AH2" t="s">
        <v>4</v>
      </c>
      <c r="AI2" t="s">
        <v>4</v>
      </c>
      <c r="AJ2" t="s">
        <v>4</v>
      </c>
      <c r="AK2" t="s">
        <v>4</v>
      </c>
      <c r="AL2" t="s">
        <v>4</v>
      </c>
      <c r="AM2" t="s">
        <v>4</v>
      </c>
    </row>
    <row r="3" spans="2:39" x14ac:dyDescent="0.25">
      <c r="C3" t="s">
        <v>218</v>
      </c>
      <c r="D3" s="2">
        <v>0</v>
      </c>
      <c r="E3">
        <v>0</v>
      </c>
      <c r="F3">
        <v>0</v>
      </c>
      <c r="G3">
        <v>1</v>
      </c>
      <c r="H3">
        <v>1</v>
      </c>
      <c r="I3">
        <v>1</v>
      </c>
      <c r="J3">
        <v>2</v>
      </c>
      <c r="K3">
        <v>2</v>
      </c>
      <c r="L3">
        <v>2</v>
      </c>
      <c r="M3">
        <v>0</v>
      </c>
      <c r="N3">
        <v>0</v>
      </c>
      <c r="O3">
        <v>0</v>
      </c>
      <c r="P3">
        <v>1</v>
      </c>
      <c r="Q3">
        <v>1</v>
      </c>
      <c r="R3">
        <v>1</v>
      </c>
      <c r="S3">
        <v>2</v>
      </c>
      <c r="T3">
        <v>2</v>
      </c>
      <c r="U3">
        <v>2</v>
      </c>
      <c r="V3">
        <v>0</v>
      </c>
      <c r="W3">
        <v>0</v>
      </c>
      <c r="X3">
        <v>0</v>
      </c>
      <c r="Y3">
        <v>1</v>
      </c>
      <c r="Z3">
        <v>1</v>
      </c>
      <c r="AA3">
        <v>1</v>
      </c>
      <c r="AB3">
        <v>2</v>
      </c>
      <c r="AC3">
        <v>2</v>
      </c>
      <c r="AD3">
        <v>2</v>
      </c>
      <c r="AE3">
        <v>0</v>
      </c>
      <c r="AF3">
        <v>0</v>
      </c>
      <c r="AG3">
        <v>0</v>
      </c>
      <c r="AH3">
        <v>1</v>
      </c>
      <c r="AI3">
        <v>1</v>
      </c>
      <c r="AJ3">
        <v>1</v>
      </c>
      <c r="AK3">
        <v>2</v>
      </c>
      <c r="AL3">
        <v>2</v>
      </c>
      <c r="AM3">
        <v>2</v>
      </c>
    </row>
    <row r="4" spans="2:39" x14ac:dyDescent="0.25">
      <c r="C4" t="s">
        <v>226</v>
      </c>
      <c r="D4" s="2">
        <v>0</v>
      </c>
      <c r="E4">
        <v>1</v>
      </c>
      <c r="F4">
        <v>2</v>
      </c>
      <c r="G4">
        <v>0</v>
      </c>
      <c r="H4">
        <v>1</v>
      </c>
      <c r="I4">
        <v>2</v>
      </c>
      <c r="J4">
        <v>0</v>
      </c>
      <c r="K4">
        <v>1</v>
      </c>
      <c r="L4">
        <v>2</v>
      </c>
      <c r="M4">
        <v>0</v>
      </c>
      <c r="N4">
        <v>1</v>
      </c>
      <c r="O4">
        <v>2</v>
      </c>
      <c r="P4">
        <v>0</v>
      </c>
      <c r="Q4">
        <v>1</v>
      </c>
      <c r="R4">
        <v>2</v>
      </c>
      <c r="S4">
        <v>0</v>
      </c>
      <c r="T4">
        <v>1</v>
      </c>
      <c r="U4">
        <v>2</v>
      </c>
      <c r="V4">
        <v>0</v>
      </c>
      <c r="W4">
        <v>1</v>
      </c>
      <c r="X4">
        <v>2</v>
      </c>
      <c r="Y4">
        <v>0</v>
      </c>
      <c r="Z4">
        <v>1</v>
      </c>
      <c r="AA4">
        <v>2</v>
      </c>
      <c r="AB4">
        <v>0</v>
      </c>
      <c r="AC4">
        <v>1</v>
      </c>
      <c r="AD4">
        <v>2</v>
      </c>
      <c r="AE4">
        <v>0</v>
      </c>
      <c r="AF4">
        <v>1</v>
      </c>
      <c r="AG4">
        <v>2</v>
      </c>
      <c r="AH4">
        <v>0</v>
      </c>
      <c r="AI4">
        <v>1</v>
      </c>
      <c r="AJ4">
        <v>2</v>
      </c>
      <c r="AK4">
        <v>0</v>
      </c>
      <c r="AL4">
        <v>1</v>
      </c>
      <c r="AM4">
        <v>2</v>
      </c>
    </row>
    <row r="5" spans="2:39" x14ac:dyDescent="0.25">
      <c r="C5" t="s">
        <v>250</v>
      </c>
      <c r="D5" s="2" t="s">
        <v>249</v>
      </c>
      <c r="E5" t="s">
        <v>249</v>
      </c>
      <c r="F5" t="s">
        <v>249</v>
      </c>
      <c r="G5" t="s">
        <v>249</v>
      </c>
      <c r="H5" t="s">
        <v>249</v>
      </c>
      <c r="I5" t="s">
        <v>249</v>
      </c>
      <c r="J5" t="s">
        <v>249</v>
      </c>
      <c r="K5" t="s">
        <v>249</v>
      </c>
      <c r="L5" t="s">
        <v>249</v>
      </c>
      <c r="M5" t="s">
        <v>249</v>
      </c>
      <c r="N5" t="s">
        <v>249</v>
      </c>
      <c r="O5" t="s">
        <v>249</v>
      </c>
      <c r="P5" t="s">
        <v>249</v>
      </c>
      <c r="Q5" t="s">
        <v>249</v>
      </c>
      <c r="R5" t="s">
        <v>249</v>
      </c>
      <c r="S5" t="s">
        <v>249</v>
      </c>
      <c r="T5" t="s">
        <v>249</v>
      </c>
      <c r="U5" t="s">
        <v>249</v>
      </c>
      <c r="V5" t="s">
        <v>251</v>
      </c>
      <c r="W5" t="s">
        <v>251</v>
      </c>
      <c r="X5" t="s">
        <v>251</v>
      </c>
      <c r="Y5" t="s">
        <v>251</v>
      </c>
      <c r="Z5" t="s">
        <v>251</v>
      </c>
      <c r="AA5" t="s">
        <v>251</v>
      </c>
      <c r="AB5" t="s">
        <v>251</v>
      </c>
      <c r="AC5" t="s">
        <v>251</v>
      </c>
      <c r="AD5" t="s">
        <v>251</v>
      </c>
      <c r="AE5" t="s">
        <v>251</v>
      </c>
      <c r="AF5" t="s">
        <v>251</v>
      </c>
      <c r="AG5" t="s">
        <v>251</v>
      </c>
      <c r="AH5" t="s">
        <v>251</v>
      </c>
      <c r="AI5" t="s">
        <v>251</v>
      </c>
      <c r="AJ5" t="s">
        <v>251</v>
      </c>
      <c r="AK5" t="s">
        <v>251</v>
      </c>
      <c r="AL5" t="s">
        <v>251</v>
      </c>
      <c r="AM5" t="s">
        <v>251</v>
      </c>
    </row>
    <row r="7" spans="2:39" s="3" customFormat="1" x14ac:dyDescent="0.25">
      <c r="D7" s="4"/>
    </row>
    <row r="8" spans="2:39" x14ac:dyDescent="0.25">
      <c r="C8" s="150" t="s">
        <v>256</v>
      </c>
      <c r="D8" s="2" cm="1">
        <f t="array" ref="D8:AM8">TRANSPOSE('Business Mix'!Q2:Q37)</f>
        <v>1.5225944125501129E-2</v>
      </c>
      <c r="E8">
        <v>3.0451888251002263E-3</v>
      </c>
      <c r="F8">
        <v>1.2180755300400905E-2</v>
      </c>
      <c r="G8">
        <v>1.5225944125501129E-2</v>
      </c>
      <c r="H8">
        <v>3.0451888251002263E-3</v>
      </c>
      <c r="I8">
        <v>1.2180755300400905E-2</v>
      </c>
      <c r="J8">
        <v>3.3835431390002511E-3</v>
      </c>
      <c r="K8">
        <v>6.7670862780005027E-4</v>
      </c>
      <c r="L8">
        <v>2.7068345112002011E-3</v>
      </c>
      <c r="M8">
        <v>1.5225944125501129E-2</v>
      </c>
      <c r="N8">
        <v>3.0451888251002263E-3</v>
      </c>
      <c r="O8">
        <v>1.2180755300400905E-2</v>
      </c>
      <c r="P8">
        <v>1.5225944125501129E-2</v>
      </c>
      <c r="Q8">
        <v>3.0451888251002263E-3</v>
      </c>
      <c r="R8">
        <v>1.2180755300400905E-2</v>
      </c>
      <c r="S8">
        <v>3.3835431390002511E-3</v>
      </c>
      <c r="T8">
        <v>6.7670862780005027E-4</v>
      </c>
      <c r="U8">
        <v>2.7068345112002011E-3</v>
      </c>
      <c r="V8">
        <v>0.11672886704939864</v>
      </c>
      <c r="W8">
        <v>1.9454811174899774E-2</v>
      </c>
      <c r="X8">
        <v>5.8364433524699319E-2</v>
      </c>
      <c r="Y8">
        <v>0.11672886704939864</v>
      </c>
      <c r="Z8">
        <v>1.9454811174899774E-2</v>
      </c>
      <c r="AA8">
        <v>5.8364433524699319E-2</v>
      </c>
      <c r="AB8">
        <v>2.5939748233199694E-2</v>
      </c>
      <c r="AC8">
        <v>4.3232913721999505E-3</v>
      </c>
      <c r="AD8">
        <v>1.2969874116599847E-2</v>
      </c>
      <c r="AE8">
        <v>0.11672886704939864</v>
      </c>
      <c r="AF8">
        <v>1.9454811174899774E-2</v>
      </c>
      <c r="AG8">
        <v>5.8364433524699319E-2</v>
      </c>
      <c r="AH8">
        <v>0.11672886704939864</v>
      </c>
      <c r="AI8">
        <v>1.9454811174899774E-2</v>
      </c>
      <c r="AJ8">
        <v>5.8364433524699319E-2</v>
      </c>
      <c r="AK8">
        <v>2.5939748233199694E-2</v>
      </c>
      <c r="AL8">
        <v>4.3232913721999505E-3</v>
      </c>
      <c r="AM8">
        <v>1.2969874116599847E-2</v>
      </c>
    </row>
    <row r="9" spans="2:39" s="3" customFormat="1" x14ac:dyDescent="0.25">
      <c r="D9" s="4"/>
    </row>
    <row r="10" spans="2:39" x14ac:dyDescent="0.25">
      <c r="B10" s="46" t="s">
        <v>83</v>
      </c>
      <c r="C10" s="46" t="s">
        <v>257</v>
      </c>
      <c r="D10" s="2">
        <v>146.4222</v>
      </c>
      <c r="E10">
        <v>160.2722</v>
      </c>
      <c r="F10">
        <v>175.2302</v>
      </c>
      <c r="G10">
        <v>289.04950000000002</v>
      </c>
      <c r="H10">
        <v>315.3091</v>
      </c>
      <c r="I10">
        <v>343.36920000000003</v>
      </c>
      <c r="J10">
        <v>619.37200000000007</v>
      </c>
      <c r="K10">
        <v>667.59770000000003</v>
      </c>
      <c r="L10">
        <v>719.14740000000006</v>
      </c>
      <c r="M10">
        <v>145.97899999999998</v>
      </c>
      <c r="N10">
        <v>159.82899999999998</v>
      </c>
      <c r="O10">
        <v>174.73160000000001</v>
      </c>
      <c r="P10">
        <v>288.19080000000002</v>
      </c>
      <c r="Q10">
        <v>314.42270000000002</v>
      </c>
      <c r="R10">
        <v>342.42740000000003</v>
      </c>
      <c r="S10">
        <v>617.87620000000004</v>
      </c>
      <c r="T10">
        <v>666.01880000000006</v>
      </c>
      <c r="U10">
        <v>717.45770000000005</v>
      </c>
      <c r="V10">
        <v>93.224499999999992</v>
      </c>
      <c r="W10">
        <v>102.084</v>
      </c>
      <c r="X10">
        <v>111.71900000000001</v>
      </c>
      <c r="Y10">
        <v>185.0625</v>
      </c>
      <c r="Z10">
        <v>201.8415</v>
      </c>
      <c r="AA10">
        <v>219.9365</v>
      </c>
      <c r="AB10">
        <v>400.58099999999996</v>
      </c>
      <c r="AC10">
        <v>432.56450000000007</v>
      </c>
      <c r="AD10">
        <v>465.3</v>
      </c>
      <c r="AE10">
        <v>93.083500000000015</v>
      </c>
      <c r="AF10">
        <v>101.94299999999998</v>
      </c>
      <c r="AG10">
        <v>111.55450000000002</v>
      </c>
      <c r="AH10">
        <v>184.804</v>
      </c>
      <c r="AI10">
        <v>201.583</v>
      </c>
      <c r="AJ10">
        <v>219.65450000000001</v>
      </c>
      <c r="AK10">
        <v>400.11100000000005</v>
      </c>
      <c r="AL10">
        <v>432.07100000000003</v>
      </c>
      <c r="AM10">
        <v>465.3</v>
      </c>
    </row>
    <row r="11" spans="2:39" x14ac:dyDescent="0.25">
      <c r="C11" s="46" t="s">
        <v>101</v>
      </c>
      <c r="D11" s="2">
        <v>146.66296348577845</v>
      </c>
      <c r="E11">
        <v>160.34227767545343</v>
      </c>
      <c r="F11">
        <v>173.6783403726395</v>
      </c>
      <c r="G11">
        <v>285.10734070940833</v>
      </c>
      <c r="H11">
        <v>315.29868571629072</v>
      </c>
      <c r="I11">
        <v>344.62336712987531</v>
      </c>
      <c r="J11">
        <v>611.54406303765484</v>
      </c>
      <c r="K11">
        <v>659.04424903675817</v>
      </c>
      <c r="L11">
        <v>717.93875764563802</v>
      </c>
      <c r="M11">
        <v>146.07851394964618</v>
      </c>
      <c r="N11">
        <v>160.20705645172666</v>
      </c>
      <c r="O11">
        <v>173.32136891150981</v>
      </c>
      <c r="P11">
        <v>283.67794156178678</v>
      </c>
      <c r="Q11">
        <v>314.28474692385038</v>
      </c>
      <c r="R11">
        <v>343.70629293410877</v>
      </c>
      <c r="S11">
        <v>610.46488682581003</v>
      </c>
      <c r="T11">
        <v>657.9284511772662</v>
      </c>
      <c r="U11">
        <v>716.45485609584762</v>
      </c>
      <c r="V11">
        <v>94.065142531789149</v>
      </c>
      <c r="W11">
        <v>102.87169369032719</v>
      </c>
      <c r="X11">
        <v>112.20235682376818</v>
      </c>
      <c r="Y11">
        <v>186.62835860231866</v>
      </c>
      <c r="Z11">
        <v>204.04279684217556</v>
      </c>
      <c r="AA11">
        <v>222.47951440231645</v>
      </c>
      <c r="AB11">
        <v>402.29821538334829</v>
      </c>
      <c r="AC11">
        <v>435.46206884408173</v>
      </c>
      <c r="AD11">
        <v>456.20674065418893</v>
      </c>
      <c r="AE11">
        <v>93.794424734895841</v>
      </c>
      <c r="AF11">
        <v>102.74082313766536</v>
      </c>
      <c r="AG11">
        <v>111.9195628068274</v>
      </c>
      <c r="AH11">
        <v>186.24140079850804</v>
      </c>
      <c r="AI11">
        <v>203.89844566355231</v>
      </c>
      <c r="AJ11">
        <v>222.28906337838441</v>
      </c>
      <c r="AK11">
        <v>401.97904776863754</v>
      </c>
      <c r="AL11">
        <v>435.19880092250901</v>
      </c>
      <c r="AM11">
        <v>462.64886026294084</v>
      </c>
    </row>
    <row r="12" spans="2:39" x14ac:dyDescent="0.25">
      <c r="C12" s="46" t="s">
        <v>89</v>
      </c>
      <c r="D12" s="2">
        <v>2928.444</v>
      </c>
      <c r="E12">
        <v>3205.444</v>
      </c>
      <c r="F12">
        <v>3504.6039999999998</v>
      </c>
      <c r="G12">
        <v>5780.9900000000007</v>
      </c>
      <c r="H12">
        <v>6306.1819999999998</v>
      </c>
      <c r="I12">
        <v>6867.384</v>
      </c>
      <c r="J12">
        <v>12387.44</v>
      </c>
      <c r="K12">
        <v>13351.954</v>
      </c>
      <c r="L12">
        <v>14382.948</v>
      </c>
      <c r="M12">
        <v>2919.5799999999995</v>
      </c>
      <c r="N12">
        <v>3196.5799999999995</v>
      </c>
      <c r="O12">
        <v>3494.6320000000001</v>
      </c>
      <c r="P12">
        <v>5763.8159999999998</v>
      </c>
      <c r="Q12">
        <v>6288.4539999999997</v>
      </c>
      <c r="R12">
        <v>6848.5479999999998</v>
      </c>
      <c r="S12">
        <v>12357.523999999999</v>
      </c>
      <c r="T12">
        <v>13320.376</v>
      </c>
      <c r="U12">
        <v>14349.154</v>
      </c>
      <c r="V12">
        <v>1864.4899999999998</v>
      </c>
      <c r="W12">
        <v>2041.68</v>
      </c>
      <c r="X12">
        <v>2234.38</v>
      </c>
      <c r="Y12">
        <v>3701.25</v>
      </c>
      <c r="Z12">
        <v>4036.83</v>
      </c>
      <c r="AA12">
        <v>4398.7299999999996</v>
      </c>
      <c r="AB12">
        <v>8011.619999999999</v>
      </c>
      <c r="AC12">
        <v>8651.2900000000009</v>
      </c>
      <c r="AD12">
        <v>9306</v>
      </c>
      <c r="AE12">
        <v>1861.67</v>
      </c>
      <c r="AF12">
        <v>2038.8599999999997</v>
      </c>
      <c r="AG12">
        <v>2231.09</v>
      </c>
      <c r="AH12">
        <v>3696.08</v>
      </c>
      <c r="AI12">
        <v>4031.66</v>
      </c>
      <c r="AJ12">
        <v>4393.09</v>
      </c>
      <c r="AK12">
        <v>8002.22</v>
      </c>
      <c r="AL12">
        <v>8641.42</v>
      </c>
      <c r="AM12">
        <v>9306</v>
      </c>
    </row>
    <row r="13" spans="2:39" x14ac:dyDescent="0.25">
      <c r="C13" s="115" t="s">
        <v>93</v>
      </c>
      <c r="D13" s="2">
        <v>5.0082215499349977E-2</v>
      </c>
      <c r="E13">
        <v>5.002186208071438E-2</v>
      </c>
      <c r="F13">
        <v>4.9557194014684544E-2</v>
      </c>
      <c r="G13">
        <v>4.9318082319707919E-2</v>
      </c>
      <c r="H13">
        <v>4.9998348559602425E-2</v>
      </c>
      <c r="I13">
        <v>5.0182626620249471E-2</v>
      </c>
      <c r="J13">
        <v>4.9368074681908028E-2</v>
      </c>
      <c r="K13">
        <v>4.93593858274795E-2</v>
      </c>
      <c r="L13">
        <v>4.99159669940848E-2</v>
      </c>
      <c r="M13">
        <v>5.0034085022382054E-2</v>
      </c>
      <c r="N13">
        <v>5.0118269041202375E-2</v>
      </c>
      <c r="O13">
        <v>4.9596457913597139E-2</v>
      </c>
      <c r="P13">
        <v>4.921703634567564E-2</v>
      </c>
      <c r="Q13">
        <v>4.9978062481470069E-2</v>
      </c>
      <c r="R13">
        <v>5.0186739281685516E-2</v>
      </c>
      <c r="S13">
        <v>4.940025905074593E-2</v>
      </c>
      <c r="T13">
        <v>4.9392633599627082E-2</v>
      </c>
      <c r="U13">
        <v>4.9930111287107767E-2</v>
      </c>
      <c r="V13">
        <v>5.0450869960036879E-2</v>
      </c>
      <c r="W13">
        <v>5.0385806634892435E-2</v>
      </c>
      <c r="X13">
        <v>5.021632704543013E-2</v>
      </c>
      <c r="Y13">
        <v>5.042306210126813E-2</v>
      </c>
      <c r="Z13">
        <v>5.0545303330131706E-2</v>
      </c>
      <c r="AA13">
        <v>5.0578124686515534E-2</v>
      </c>
      <c r="AB13">
        <v>5.021434059320691E-2</v>
      </c>
      <c r="AC13">
        <v>5.0334929108154007E-2</v>
      </c>
      <c r="AD13">
        <v>4.9022860590392105E-2</v>
      </c>
      <c r="AE13">
        <v>5.0381874733382306E-2</v>
      </c>
      <c r="AF13">
        <v>5.0391308445732114E-2</v>
      </c>
      <c r="AG13">
        <v>5.0163625316247837E-2</v>
      </c>
      <c r="AH13">
        <v>5.0388898724732158E-2</v>
      </c>
      <c r="AI13">
        <v>5.057431570706665E-2</v>
      </c>
      <c r="AJ13">
        <v>5.0599706215530393E-2</v>
      </c>
      <c r="AK13">
        <v>5.0233441191149149E-2</v>
      </c>
      <c r="AL13">
        <v>5.0361954507767127E-2</v>
      </c>
      <c r="AM13">
        <v>4.9715115007838047E-2</v>
      </c>
    </row>
    <row r="14" spans="2:39" x14ac:dyDescent="0.25">
      <c r="C14" s="115" t="s">
        <v>258</v>
      </c>
      <c r="D14" s="2">
        <v>1.0016443099869996</v>
      </c>
      <c r="E14">
        <v>1.0004372416142877</v>
      </c>
      <c r="F14">
        <v>0.99114388029369083</v>
      </c>
      <c r="G14">
        <v>0.98636164639415846</v>
      </c>
      <c r="H14">
        <v>0.99996697119204847</v>
      </c>
      <c r="I14">
        <v>1.0036525324049894</v>
      </c>
      <c r="J14">
        <v>0.9873614936381605</v>
      </c>
      <c r="K14">
        <v>0.98718771654958992</v>
      </c>
      <c r="L14">
        <v>0.99831933988169597</v>
      </c>
      <c r="M14">
        <v>1.0006817004476412</v>
      </c>
      <c r="N14">
        <v>1.0023653808240474</v>
      </c>
      <c r="O14">
        <v>0.99192915827194272</v>
      </c>
      <c r="P14">
        <v>0.98434072691351271</v>
      </c>
      <c r="Q14">
        <v>0.99956124962940129</v>
      </c>
      <c r="R14">
        <v>1.0037347856337102</v>
      </c>
      <c r="S14">
        <v>0.98800518101491852</v>
      </c>
      <c r="T14">
        <v>0.98785267199254156</v>
      </c>
      <c r="U14">
        <v>0.9986022257421554</v>
      </c>
      <c r="V14">
        <v>1.0090173992007376</v>
      </c>
      <c r="W14">
        <v>1.0077161326978488</v>
      </c>
      <c r="X14">
        <v>1.0043265409086026</v>
      </c>
      <c r="Y14">
        <v>1.0084612420253625</v>
      </c>
      <c r="Z14">
        <v>1.0109060666026342</v>
      </c>
      <c r="AA14">
        <v>1.0115624937303107</v>
      </c>
      <c r="AB14">
        <v>1.0042868118641382</v>
      </c>
      <c r="AC14">
        <v>1.0066985821630801</v>
      </c>
      <c r="AD14">
        <v>0.98045721180784207</v>
      </c>
      <c r="AE14">
        <v>1.0076374946676461</v>
      </c>
      <c r="AF14">
        <v>1.0078261689146422</v>
      </c>
      <c r="AG14">
        <v>1.0032725063249568</v>
      </c>
      <c r="AH14">
        <v>1.0077779744946431</v>
      </c>
      <c r="AI14">
        <v>1.0114863141413328</v>
      </c>
      <c r="AJ14">
        <v>1.0119941243106079</v>
      </c>
      <c r="AK14">
        <v>1.0046688238229828</v>
      </c>
      <c r="AL14">
        <v>1.0072390901553425</v>
      </c>
      <c r="AM14">
        <v>0.99430230015676091</v>
      </c>
    </row>
    <row r="15" spans="2:39" x14ac:dyDescent="0.25">
      <c r="C15" s="46" t="s">
        <v>94</v>
      </c>
      <c r="D15" s="2">
        <v>196.08861023999998</v>
      </c>
      <c r="E15">
        <v>214.63653024000001</v>
      </c>
      <c r="F15">
        <v>234.66828383999999</v>
      </c>
      <c r="G15">
        <v>387.09509040000006</v>
      </c>
      <c r="H15">
        <v>422.26194671999997</v>
      </c>
      <c r="I15">
        <v>459.84003264</v>
      </c>
      <c r="J15">
        <v>829.46298239999999</v>
      </c>
      <c r="K15">
        <v>894.04683983999985</v>
      </c>
      <c r="L15">
        <v>963.08219808000001</v>
      </c>
      <c r="M15">
        <v>195.49507679999996</v>
      </c>
      <c r="N15">
        <v>214.04299679999997</v>
      </c>
      <c r="O15">
        <v>234.00055872000002</v>
      </c>
      <c r="P15">
        <v>385.94511935999998</v>
      </c>
      <c r="Q15">
        <v>421.07487983999994</v>
      </c>
      <c r="R15">
        <v>458.5787740799999</v>
      </c>
      <c r="S15">
        <v>827.45980703999999</v>
      </c>
      <c r="T15">
        <v>891.93237696000006</v>
      </c>
      <c r="U15">
        <v>960.81935184000008</v>
      </c>
      <c r="V15">
        <v>158.36941114422746</v>
      </c>
      <c r="W15">
        <v>173.16116008432468</v>
      </c>
      <c r="X15">
        <v>189.46256732538535</v>
      </c>
      <c r="Y15">
        <v>306.48976425973547</v>
      </c>
      <c r="Z15">
        <v>332.05189069538517</v>
      </c>
      <c r="AA15">
        <v>359.71789949222136</v>
      </c>
      <c r="AB15">
        <v>622.18871994528456</v>
      </c>
      <c r="AC15">
        <v>663.3494608099453</v>
      </c>
      <c r="AD15">
        <v>719.87812064168861</v>
      </c>
      <c r="AE15">
        <v>158.69728478132231</v>
      </c>
      <c r="AF15">
        <v>173.35754250677326</v>
      </c>
      <c r="AG15">
        <v>189.81774022327414</v>
      </c>
      <c r="AH15">
        <v>307.01794886274945</v>
      </c>
      <c r="AI15">
        <v>332.35744698439186</v>
      </c>
      <c r="AJ15">
        <v>360.08961576797515</v>
      </c>
      <c r="AK15">
        <v>622.94198687073947</v>
      </c>
      <c r="AL15">
        <v>664.0998591373484</v>
      </c>
      <c r="AM15">
        <v>714.03451059883128</v>
      </c>
    </row>
    <row r="16" spans="2:39" x14ac:dyDescent="0.25">
      <c r="C16" s="46" t="s">
        <v>95</v>
      </c>
      <c r="D16" s="2">
        <v>2928.444</v>
      </c>
      <c r="E16">
        <v>3205.444</v>
      </c>
      <c r="F16">
        <v>3504.6039999999998</v>
      </c>
      <c r="G16">
        <v>5780.9900000000007</v>
      </c>
      <c r="H16">
        <v>6306.1819999999998</v>
      </c>
      <c r="I16">
        <v>6867.384</v>
      </c>
      <c r="J16">
        <v>12387.44</v>
      </c>
      <c r="K16">
        <v>13351.954</v>
      </c>
      <c r="L16">
        <v>14382.948</v>
      </c>
      <c r="M16">
        <v>2919.5799999999995</v>
      </c>
      <c r="N16">
        <v>3196.5799999999995</v>
      </c>
      <c r="O16">
        <v>3494.6320000000001</v>
      </c>
      <c r="P16">
        <v>5763.8159999999998</v>
      </c>
      <c r="Q16">
        <v>6288.4539999999997</v>
      </c>
      <c r="R16">
        <v>6848.5479999999998</v>
      </c>
      <c r="S16">
        <v>12357.523999999999</v>
      </c>
      <c r="T16">
        <v>13320.376</v>
      </c>
      <c r="U16">
        <v>14349.154</v>
      </c>
      <c r="V16">
        <v>1864.4899999999998</v>
      </c>
      <c r="W16">
        <v>2041.68</v>
      </c>
      <c r="X16">
        <v>2234.38</v>
      </c>
      <c r="Y16">
        <v>3701.25</v>
      </c>
      <c r="Z16">
        <v>4036.83</v>
      </c>
      <c r="AA16">
        <v>4398.7299999999996</v>
      </c>
      <c r="AB16">
        <v>8011.619999999999</v>
      </c>
      <c r="AC16">
        <v>8651.2900000000009</v>
      </c>
      <c r="AD16">
        <v>9306</v>
      </c>
      <c r="AE16">
        <v>1861.67</v>
      </c>
      <c r="AF16">
        <v>2038.8599999999997</v>
      </c>
      <c r="AG16">
        <v>2231.09</v>
      </c>
      <c r="AH16">
        <v>3696.08</v>
      </c>
      <c r="AI16">
        <v>4031.66</v>
      </c>
      <c r="AJ16">
        <v>4393.09</v>
      </c>
      <c r="AK16">
        <v>8002.22</v>
      </c>
      <c r="AL16">
        <v>8641.42</v>
      </c>
      <c r="AM16">
        <v>9306</v>
      </c>
    </row>
    <row r="17" spans="1:39" s="3" customFormat="1" x14ac:dyDescent="0.25">
      <c r="C17" s="114" t="s">
        <v>96</v>
      </c>
      <c r="D17" s="4">
        <v>6.6959999999999992E-2</v>
      </c>
      <c r="E17" s="3">
        <v>6.6960000000000006E-2</v>
      </c>
      <c r="F17" s="3">
        <v>6.6960000000000006E-2</v>
      </c>
      <c r="G17" s="3">
        <v>6.6960000000000006E-2</v>
      </c>
      <c r="H17" s="3">
        <v>6.6959999999999992E-2</v>
      </c>
      <c r="I17" s="3">
        <v>6.6960000000000006E-2</v>
      </c>
      <c r="J17" s="3">
        <v>6.6959999999999992E-2</v>
      </c>
      <c r="K17" s="3">
        <v>6.6959999999999992E-2</v>
      </c>
      <c r="L17" s="3">
        <v>6.6960000000000006E-2</v>
      </c>
      <c r="M17" s="3">
        <v>6.6960000000000006E-2</v>
      </c>
      <c r="N17" s="3">
        <v>6.6960000000000006E-2</v>
      </c>
      <c r="O17" s="3">
        <v>6.6960000000000006E-2</v>
      </c>
      <c r="P17" s="3">
        <v>6.6959999999999992E-2</v>
      </c>
      <c r="Q17" s="3">
        <v>6.6959999999999992E-2</v>
      </c>
      <c r="R17" s="3">
        <v>6.6959999999999992E-2</v>
      </c>
      <c r="S17" s="3">
        <v>6.6960000000000006E-2</v>
      </c>
      <c r="T17" s="3">
        <v>6.6960000000000006E-2</v>
      </c>
      <c r="U17" s="3">
        <v>6.6960000000000006E-2</v>
      </c>
      <c r="V17" s="3">
        <v>8.4939801846203242E-2</v>
      </c>
      <c r="W17" s="3">
        <v>8.481307554774728E-2</v>
      </c>
      <c r="X17" s="3">
        <v>8.4794245976684959E-2</v>
      </c>
      <c r="Y17" s="3">
        <v>8.2807096051262533E-2</v>
      </c>
      <c r="Z17" s="3">
        <v>8.2255604198191445E-2</v>
      </c>
      <c r="AA17" s="3">
        <v>8.1777672076308705E-2</v>
      </c>
      <c r="AB17" s="3">
        <v>7.7660787699027747E-2</v>
      </c>
      <c r="AC17" s="3">
        <v>7.6676363965367617E-2</v>
      </c>
      <c r="AD17" s="3">
        <v>7.7356342213807078E-2</v>
      </c>
      <c r="AE17" s="3">
        <v>8.5244584046217806E-2</v>
      </c>
      <c r="AF17" s="3">
        <v>8.5026702425263764E-2</v>
      </c>
      <c r="AG17" s="3">
        <v>8.5078477436263941E-2</v>
      </c>
      <c r="AH17" s="3">
        <v>8.3065828895140109E-2</v>
      </c>
      <c r="AI17" s="3">
        <v>8.2436873889264434E-2</v>
      </c>
      <c r="AJ17" s="3">
        <v>8.1967274917649116E-2</v>
      </c>
      <c r="AK17" s="3">
        <v>7.7846146053312637E-2</v>
      </c>
      <c r="AL17" s="3">
        <v>7.6850779054524421E-2</v>
      </c>
      <c r="AM17" s="3">
        <v>7.6728402170517004E-2</v>
      </c>
    </row>
    <row r="18" spans="1:39" x14ac:dyDescent="0.25">
      <c r="B18" s="46" t="s">
        <v>103</v>
      </c>
      <c r="C18" s="46" t="s">
        <v>198</v>
      </c>
      <c r="D18" s="2">
        <v>1927.8579639379882</v>
      </c>
      <c r="E18">
        <v>2111.6890006731996</v>
      </c>
      <c r="F18">
        <v>2312.1210112771773</v>
      </c>
      <c r="G18">
        <v>3834.5373167149514</v>
      </c>
      <c r="H18">
        <v>4182.8066591503748</v>
      </c>
      <c r="I18">
        <v>4559.274425216714</v>
      </c>
      <c r="J18">
        <v>8341.2764595974131</v>
      </c>
      <c r="K18">
        <v>9011.6671248332896</v>
      </c>
      <c r="L18">
        <v>9722.2051448938691</v>
      </c>
      <c r="M18">
        <v>1929.0456589892956</v>
      </c>
      <c r="N18">
        <v>2112.9879678061202</v>
      </c>
      <c r="O18">
        <v>2313.5409026664743</v>
      </c>
      <c r="P18">
        <v>3836.862116690425</v>
      </c>
      <c r="Q18">
        <v>4185.3350643370832</v>
      </c>
      <c r="R18">
        <v>4562.0214839952005</v>
      </c>
      <c r="S18">
        <v>8346.1358435347574</v>
      </c>
      <c r="T18">
        <v>9016.8846401392493</v>
      </c>
      <c r="U18">
        <v>9727.79677260686</v>
      </c>
      <c r="V18">
        <v>1258.4916185132995</v>
      </c>
      <c r="W18">
        <v>1378.9163896605089</v>
      </c>
      <c r="X18">
        <v>1510.3011878429284</v>
      </c>
      <c r="Y18">
        <v>2511.1939650848385</v>
      </c>
      <c r="Z18">
        <v>2740.900248629634</v>
      </c>
      <c r="AA18">
        <v>2989.5211054061215</v>
      </c>
      <c r="AB18">
        <v>5506.0711283601031</v>
      </c>
      <c r="AC18">
        <v>5955.8888326273218</v>
      </c>
      <c r="AD18">
        <v>6433.9313924167145</v>
      </c>
      <c r="AE18">
        <v>1260.0809144004088</v>
      </c>
      <c r="AF18">
        <v>1380.656760978502</v>
      </c>
      <c r="AG18">
        <v>1512.2061818551947</v>
      </c>
      <c r="AH18">
        <v>2514.346060228529</v>
      </c>
      <c r="AI18">
        <v>2744.3367905476066</v>
      </c>
      <c r="AJ18">
        <v>2993.264764842389</v>
      </c>
      <c r="AK18">
        <v>5512.8783516539925</v>
      </c>
      <c r="AL18">
        <v>5963.2347551426565</v>
      </c>
      <c r="AM18">
        <v>6441.8467651952278</v>
      </c>
    </row>
    <row r="19" spans="1:39" x14ac:dyDescent="0.25">
      <c r="B19" s="46"/>
      <c r="C19" s="46" t="s">
        <v>104</v>
      </c>
      <c r="D19" s="2">
        <v>16.85323242114082</v>
      </c>
      <c r="E19">
        <v>18.399347329419157</v>
      </c>
      <c r="F19">
        <v>20.059254441311211</v>
      </c>
      <c r="G19">
        <v>32.369002988390534</v>
      </c>
      <c r="H19">
        <v>35.129589253430701</v>
      </c>
      <c r="I19">
        <v>38.043639885387364</v>
      </c>
      <c r="J19">
        <v>64.753231516362248</v>
      </c>
      <c r="K19">
        <v>69.050542954406595</v>
      </c>
      <c r="L19">
        <v>73.530540209655598</v>
      </c>
      <c r="M19">
        <v>9.3767814530930078</v>
      </c>
      <c r="N19">
        <v>10.245625107218666</v>
      </c>
      <c r="O19">
        <v>11.176126897360813</v>
      </c>
      <c r="P19">
        <v>18.12100960514827</v>
      </c>
      <c r="Q19">
        <v>19.692151842852546</v>
      </c>
      <c r="R19">
        <v>21.353745936676194</v>
      </c>
      <c r="S19">
        <v>36.838575328060486</v>
      </c>
      <c r="T19">
        <v>39.381652732759818</v>
      </c>
      <c r="U19">
        <v>42.048149167461226</v>
      </c>
      <c r="V19">
        <v>13.086587307007589</v>
      </c>
      <c r="W19">
        <v>14.307134920642568</v>
      </c>
      <c r="X19">
        <v>15.629847166782193</v>
      </c>
      <c r="Y19">
        <v>25.540346051190387</v>
      </c>
      <c r="Z19">
        <v>27.767800618097425</v>
      </c>
      <c r="AA19">
        <v>30.152926937054815</v>
      </c>
      <c r="AB19">
        <v>52.972973123985454</v>
      </c>
      <c r="AC19">
        <v>56.82168309950714</v>
      </c>
      <c r="AD19">
        <v>60.68457005015739</v>
      </c>
      <c r="AE19">
        <v>9.2974158598367396</v>
      </c>
      <c r="AF19">
        <v>10.16684898675423</v>
      </c>
      <c r="AG19">
        <v>11.106906200598521</v>
      </c>
      <c r="AH19">
        <v>18.164835564534208</v>
      </c>
      <c r="AI19">
        <v>19.754771812356893</v>
      </c>
      <c r="AJ19">
        <v>21.455586181806886</v>
      </c>
      <c r="AK19">
        <v>37.765638717399632</v>
      </c>
      <c r="AL19">
        <v>40.523123555239586</v>
      </c>
      <c r="AM19">
        <v>43.341139925734453</v>
      </c>
    </row>
    <row r="20" spans="1:39" x14ac:dyDescent="0.25">
      <c r="B20" s="46"/>
      <c r="C20" s="46" t="s">
        <v>64</v>
      </c>
      <c r="D20" s="2">
        <v>126.67853668170915</v>
      </c>
      <c r="E20">
        <v>138.44713810417073</v>
      </c>
      <c r="F20">
        <v>151.11277026346153</v>
      </c>
      <c r="G20">
        <v>246.03545408928642</v>
      </c>
      <c r="H20">
        <v>267.57248987112018</v>
      </c>
      <c r="I20">
        <v>290.42126919853331</v>
      </c>
      <c r="J20">
        <v>505.97962924217927</v>
      </c>
      <c r="K20">
        <v>541.86613844681892</v>
      </c>
      <c r="L20">
        <v>579.66454993835714</v>
      </c>
      <c r="M20">
        <v>126.36730869950918</v>
      </c>
      <c r="N20">
        <v>138.14312758425984</v>
      </c>
      <c r="O20">
        <v>150.76871307480519</v>
      </c>
      <c r="P20">
        <v>245.44287077793433</v>
      </c>
      <c r="Q20">
        <v>266.97036375683035</v>
      </c>
      <c r="R20">
        <v>289.78714021774988</v>
      </c>
      <c r="S20">
        <v>505.0324943579069</v>
      </c>
      <c r="T20">
        <v>540.87729627427734</v>
      </c>
      <c r="U20">
        <v>578.61382854004501</v>
      </c>
      <c r="V20">
        <v>66.195801991074831</v>
      </c>
      <c r="W20">
        <v>72.390433756569934</v>
      </c>
      <c r="X20">
        <v>79.10776889939234</v>
      </c>
      <c r="Y20">
        <v>129.57761777282991</v>
      </c>
      <c r="Z20">
        <v>140.95612645484147</v>
      </c>
      <c r="AA20">
        <v>153.15502686608897</v>
      </c>
      <c r="AB20">
        <v>270.70676257538162</v>
      </c>
      <c r="AC20">
        <v>290.6928353789109</v>
      </c>
      <c r="AD20">
        <v>310.81692965452589</v>
      </c>
      <c r="AE20">
        <v>66.164938676051975</v>
      </c>
      <c r="AF20">
        <v>72.366138960282285</v>
      </c>
      <c r="AG20">
        <v>79.0739290350609</v>
      </c>
      <c r="AH20">
        <v>129.53115998156386</v>
      </c>
      <c r="AI20">
        <v>140.92176151938509</v>
      </c>
      <c r="AJ20">
        <v>153.11721007734934</v>
      </c>
      <c r="AK20">
        <v>270.66478781944568</v>
      </c>
      <c r="AL20">
        <v>290.65627323628553</v>
      </c>
      <c r="AM20">
        <v>311.13173510701381</v>
      </c>
    </row>
    <row r="21" spans="1:39" x14ac:dyDescent="0.25">
      <c r="B21" s="46"/>
      <c r="C21" s="46" t="s">
        <v>35</v>
      </c>
      <c r="D21" s="2">
        <v>151.93454258154551</v>
      </c>
      <c r="E21">
        <v>165.99514979666202</v>
      </c>
      <c r="F21">
        <v>180.70953062862128</v>
      </c>
      <c r="G21">
        <v>293.82633630908782</v>
      </c>
      <c r="H21">
        <v>320.79792172161945</v>
      </c>
      <c r="I21">
        <v>348.5645070590374</v>
      </c>
      <c r="J21">
        <v>604.30363638887582</v>
      </c>
      <c r="K21">
        <v>647.08974944396391</v>
      </c>
      <c r="L21">
        <v>694.54910590927852</v>
      </c>
      <c r="M21">
        <v>151.55918101967464</v>
      </c>
      <c r="N21">
        <v>165.76283635261467</v>
      </c>
      <c r="O21">
        <v>180.38512060450824</v>
      </c>
      <c r="P21">
        <v>293.0295201091825</v>
      </c>
      <c r="Q21">
        <v>320.12686337618766</v>
      </c>
      <c r="R21">
        <v>347.90817532169592</v>
      </c>
      <c r="S21">
        <v>603.47902125549626</v>
      </c>
      <c r="T21">
        <v>646.24603413854993</v>
      </c>
      <c r="U21">
        <v>693.57347575952383</v>
      </c>
      <c r="V21">
        <v>91.881444400286441</v>
      </c>
      <c r="W21">
        <v>100.43259946554316</v>
      </c>
      <c r="X21">
        <v>109.63123099926935</v>
      </c>
      <c r="Y21">
        <v>179.66734619933226</v>
      </c>
      <c r="Z21">
        <v>195.5561278201416</v>
      </c>
      <c r="AA21">
        <v>212.48390164242758</v>
      </c>
      <c r="AB21">
        <v>373.9707740007745</v>
      </c>
      <c r="AC21">
        <v>401.73326051693101</v>
      </c>
      <c r="AD21">
        <v>425.73493961692276</v>
      </c>
      <c r="AE21">
        <v>91.795566352307773</v>
      </c>
      <c r="AF21">
        <v>100.3962498750616</v>
      </c>
      <c r="AG21">
        <v>109.54365002474131</v>
      </c>
      <c r="AH21">
        <v>179.55603052169542</v>
      </c>
      <c r="AI21">
        <v>195.5321026868863</v>
      </c>
      <c r="AJ21">
        <v>212.44783075800493</v>
      </c>
      <c r="AK21">
        <v>373.94212398314539</v>
      </c>
      <c r="AL21">
        <v>401.73518030484985</v>
      </c>
      <c r="AM21">
        <v>428.0679321016371</v>
      </c>
    </row>
    <row r="22" spans="1:39" x14ac:dyDescent="0.25">
      <c r="B22" s="79"/>
      <c r="C22" s="79" t="s">
        <v>105</v>
      </c>
      <c r="D22" s="2">
        <v>263.55995999999999</v>
      </c>
      <c r="E22">
        <v>288.48996</v>
      </c>
      <c r="F22">
        <v>315.41435999999999</v>
      </c>
      <c r="G22">
        <v>520.28910000000008</v>
      </c>
      <c r="H22">
        <v>567.55637999999999</v>
      </c>
      <c r="I22">
        <v>618.06456000000003</v>
      </c>
      <c r="J22">
        <v>1114.8696</v>
      </c>
      <c r="K22">
        <v>1201.6758599999998</v>
      </c>
      <c r="L22">
        <v>1294.46532</v>
      </c>
      <c r="M22">
        <v>262.76219999999995</v>
      </c>
      <c r="N22">
        <v>287.69219999999996</v>
      </c>
      <c r="O22">
        <v>314.51688000000001</v>
      </c>
      <c r="P22">
        <v>518.74343999999996</v>
      </c>
      <c r="Q22">
        <v>565.96085999999991</v>
      </c>
      <c r="R22">
        <v>616.3693199999999</v>
      </c>
      <c r="S22">
        <v>1112.17716</v>
      </c>
      <c r="T22">
        <v>1198.83384</v>
      </c>
      <c r="U22">
        <v>1291.4238600000001</v>
      </c>
      <c r="V22">
        <v>167.80409999999998</v>
      </c>
      <c r="W22">
        <v>183.75120000000001</v>
      </c>
      <c r="X22">
        <v>201.0942</v>
      </c>
      <c r="Y22">
        <v>333.11250000000001</v>
      </c>
      <c r="Z22">
        <v>363.31469999999996</v>
      </c>
      <c r="AA22">
        <v>395.88569999999993</v>
      </c>
      <c r="AB22">
        <v>721.04579999999987</v>
      </c>
      <c r="AC22">
        <v>778.61610000000007</v>
      </c>
      <c r="AD22">
        <v>837.54</v>
      </c>
      <c r="AE22">
        <v>167.55029999999999</v>
      </c>
      <c r="AF22">
        <v>183.49739999999997</v>
      </c>
      <c r="AG22">
        <v>200.79810000000001</v>
      </c>
      <c r="AH22">
        <v>332.6472</v>
      </c>
      <c r="AI22">
        <v>362.84939999999995</v>
      </c>
      <c r="AJ22">
        <v>395.37810000000002</v>
      </c>
      <c r="AK22">
        <v>720.19979999999998</v>
      </c>
      <c r="AL22">
        <v>777.7278</v>
      </c>
      <c r="AM22">
        <v>837.54</v>
      </c>
    </row>
    <row r="23" spans="1:39" x14ac:dyDescent="0.25">
      <c r="B23" s="46"/>
      <c r="C23" s="46" t="s">
        <v>106</v>
      </c>
      <c r="D23" s="2">
        <v>441.55976437761637</v>
      </c>
      <c r="E23">
        <v>482.42340409654844</v>
      </c>
      <c r="F23">
        <v>525.18707338942795</v>
      </c>
      <c r="G23">
        <v>853.93278989828377</v>
      </c>
      <c r="H23">
        <v>932.31896000345387</v>
      </c>
      <c r="I23">
        <v>1013.0155986403288</v>
      </c>
      <c r="J23">
        <v>1756.2574432551701</v>
      </c>
      <c r="K23">
        <v>1880.6045843215215</v>
      </c>
      <c r="L23">
        <v>2018.5333390488395</v>
      </c>
      <c r="M23">
        <v>440.46886983842705</v>
      </c>
      <c r="N23">
        <v>481.7482431497865</v>
      </c>
      <c r="O23">
        <v>524.24425675685097</v>
      </c>
      <c r="P23">
        <v>851.61704281730999</v>
      </c>
      <c r="Q23">
        <v>930.36869668704639</v>
      </c>
      <c r="R23">
        <v>1011.1081345286775</v>
      </c>
      <c r="S23">
        <v>1753.8609055237794</v>
      </c>
      <c r="T23">
        <v>1878.1525367151644</v>
      </c>
      <c r="U23">
        <v>2015.6979139261093</v>
      </c>
      <c r="V23">
        <v>267.03044778833123</v>
      </c>
      <c r="W23">
        <v>291.88224219673543</v>
      </c>
      <c r="X23">
        <v>318.61576509162796</v>
      </c>
      <c r="Y23">
        <v>522.15822489180891</v>
      </c>
      <c r="Z23">
        <v>568.33499647728559</v>
      </c>
      <c r="AA23">
        <v>617.53133914830687</v>
      </c>
      <c r="AB23">
        <v>1086.8525619397542</v>
      </c>
      <c r="AC23">
        <v>1167.5372883773298</v>
      </c>
      <c r="AD23">
        <v>1237.2921682616798</v>
      </c>
      <c r="AE23">
        <v>266.78086471139477</v>
      </c>
      <c r="AF23">
        <v>291.77660119939947</v>
      </c>
      <c r="AG23">
        <v>318.36123288440467</v>
      </c>
      <c r="AH23">
        <v>521.83471370367715</v>
      </c>
      <c r="AI23">
        <v>568.26517343376463</v>
      </c>
      <c r="AJ23">
        <v>617.42650814045055</v>
      </c>
      <c r="AK23">
        <v>1086.7692978260175</v>
      </c>
      <c r="AL23">
        <v>1167.5428677609698</v>
      </c>
      <c r="AM23">
        <v>1244.0724276703868</v>
      </c>
    </row>
    <row r="24" spans="1:39" x14ac:dyDescent="0.25">
      <c r="B24" s="46"/>
      <c r="C24" s="46" t="s">
        <v>107</v>
      </c>
      <c r="D24" s="2">
        <v>2928.444</v>
      </c>
      <c r="E24">
        <v>3205.444</v>
      </c>
      <c r="F24">
        <v>3504.6039999999998</v>
      </c>
      <c r="G24">
        <v>5780.9900000000007</v>
      </c>
      <c r="H24">
        <v>6306.1819999999998</v>
      </c>
      <c r="I24">
        <v>6867.384</v>
      </c>
      <c r="J24">
        <v>12387.44</v>
      </c>
      <c r="K24">
        <v>13351.954</v>
      </c>
      <c r="L24">
        <v>14382.948</v>
      </c>
      <c r="M24">
        <v>2919.5799999999995</v>
      </c>
      <c r="N24">
        <v>3196.5799999999995</v>
      </c>
      <c r="O24">
        <v>3494.6320000000001</v>
      </c>
      <c r="P24">
        <v>5763.8159999999998</v>
      </c>
      <c r="Q24">
        <v>6288.4539999999997</v>
      </c>
      <c r="R24">
        <v>6848.5479999999998</v>
      </c>
      <c r="S24">
        <v>12357.523999999999</v>
      </c>
      <c r="T24">
        <v>13320.376</v>
      </c>
      <c r="U24">
        <v>14349.154</v>
      </c>
      <c r="V24">
        <v>1864.4899999999998</v>
      </c>
      <c r="W24">
        <v>2041.68</v>
      </c>
      <c r="X24">
        <v>2234.38</v>
      </c>
      <c r="Y24">
        <v>3701.25</v>
      </c>
      <c r="Z24">
        <v>4036.83</v>
      </c>
      <c r="AA24">
        <v>4398.7299999999996</v>
      </c>
      <c r="AB24">
        <v>8011.619999999999</v>
      </c>
      <c r="AC24">
        <v>8651.2900000000009</v>
      </c>
      <c r="AD24">
        <v>9306</v>
      </c>
      <c r="AE24">
        <v>1861.67</v>
      </c>
      <c r="AF24">
        <v>2038.8599999999997</v>
      </c>
      <c r="AG24">
        <v>2231.09</v>
      </c>
      <c r="AH24">
        <v>3696.08</v>
      </c>
      <c r="AI24">
        <v>4031.66</v>
      </c>
      <c r="AJ24">
        <v>4393.09</v>
      </c>
      <c r="AK24">
        <v>8002.22</v>
      </c>
      <c r="AL24">
        <v>8641.42</v>
      </c>
      <c r="AM24">
        <v>9306</v>
      </c>
    </row>
    <row r="25" spans="1:39" x14ac:dyDescent="0.25">
      <c r="B25" s="46"/>
      <c r="C25" s="46"/>
    </row>
    <row r="26" spans="1:39" x14ac:dyDescent="0.25">
      <c r="B26" s="46"/>
      <c r="C26" s="46"/>
    </row>
    <row r="27" spans="1:39" s="73" customFormat="1" x14ac:dyDescent="0.25">
      <c r="B27" s="49"/>
      <c r="C27" s="49"/>
      <c r="D27" s="2"/>
    </row>
    <row r="28" spans="1:39" s="3" customFormat="1" x14ac:dyDescent="0.25">
      <c r="B28" s="99"/>
      <c r="C28" s="99"/>
      <c r="D28" s="4"/>
    </row>
    <row r="29" spans="1:39" x14ac:dyDescent="0.25">
      <c r="A29" s="147">
        <f>ROUNDUP(C29,0)</f>
        <v>0</v>
      </c>
      <c r="B29" s="46" t="s">
        <v>259</v>
      </c>
      <c r="C29" s="148">
        <v>0</v>
      </c>
      <c r="D29" s="2">
        <v>-196.08861023999998</v>
      </c>
      <c r="E29">
        <v>-214.63653024000001</v>
      </c>
      <c r="F29">
        <v>-234.66828383999999</v>
      </c>
      <c r="G29">
        <v>-387.09509040000006</v>
      </c>
      <c r="H29">
        <v>-422.26194671999997</v>
      </c>
      <c r="I29">
        <v>-459.84003264</v>
      </c>
      <c r="J29">
        <v>-829.46298239999999</v>
      </c>
      <c r="K29">
        <v>-894.04683983999985</v>
      </c>
      <c r="L29">
        <v>-963.08219808000001</v>
      </c>
      <c r="M29">
        <v>-195.49507679999996</v>
      </c>
      <c r="N29">
        <v>-214.04299679999997</v>
      </c>
      <c r="O29">
        <v>-234.00055872000002</v>
      </c>
      <c r="P29">
        <v>-385.94511935999998</v>
      </c>
      <c r="Q29">
        <v>-421.07487983999994</v>
      </c>
      <c r="R29">
        <v>-458.5787740799999</v>
      </c>
      <c r="S29">
        <v>-827.45980703999999</v>
      </c>
      <c r="T29">
        <v>-891.93237696000006</v>
      </c>
      <c r="U29">
        <v>-960.81935184000008</v>
      </c>
      <c r="V29">
        <v>-158.36941114422746</v>
      </c>
      <c r="W29">
        <v>-173.16116008432468</v>
      </c>
      <c r="X29">
        <v>-189.46256732538535</v>
      </c>
      <c r="Y29">
        <v>-306.48976425973547</v>
      </c>
      <c r="Z29">
        <v>-332.05189069538517</v>
      </c>
      <c r="AA29">
        <v>-359.71789949222136</v>
      </c>
      <c r="AB29">
        <v>-622.18871994528456</v>
      </c>
      <c r="AC29">
        <v>-663.3494608099453</v>
      </c>
      <c r="AD29">
        <v>-719.87812064168861</v>
      </c>
      <c r="AE29">
        <v>-158.69728478132231</v>
      </c>
      <c r="AF29">
        <v>-173.35754250677326</v>
      </c>
      <c r="AG29">
        <v>-189.81774022327414</v>
      </c>
      <c r="AH29">
        <v>-307.01794886274945</v>
      </c>
      <c r="AI29">
        <v>-332.35744698439186</v>
      </c>
      <c r="AJ29">
        <v>-360.08961576797515</v>
      </c>
      <c r="AK29">
        <v>-622.94198687073947</v>
      </c>
      <c r="AL29">
        <v>-664.0998591373484</v>
      </c>
      <c r="AM29">
        <v>-714.03451059883128</v>
      </c>
    </row>
    <row r="30" spans="1:39" x14ac:dyDescent="0.25">
      <c r="A30" s="147">
        <f t="shared" ref="A30:A93" si="0">ROUNDUP(C30,0)</f>
        <v>1</v>
      </c>
      <c r="B30" s="46"/>
      <c r="C30" s="148">
        <v>8.3333333333333329E-2</v>
      </c>
      <c r="D30" s="2">
        <v>95.549545677957923</v>
      </c>
      <c r="E30">
        <v>104.83385993885372</v>
      </c>
      <c r="F30">
        <v>113.30974991947511</v>
      </c>
      <c r="G30">
        <v>192.44409319399813</v>
      </c>
      <c r="H30">
        <v>216.64129206381261</v>
      </c>
      <c r="I30">
        <v>239.5017287360028</v>
      </c>
      <c r="J30">
        <v>460.51377203698837</v>
      </c>
      <c r="K30">
        <v>504.17927154382556</v>
      </c>
      <c r="L30">
        <v>561.38601345858217</v>
      </c>
      <c r="M30">
        <v>94.635505191915541</v>
      </c>
      <c r="N30">
        <v>104.39059660736137</v>
      </c>
      <c r="O30">
        <v>112.59108440707367</v>
      </c>
      <c r="P30">
        <v>190.30081867605765</v>
      </c>
      <c r="Q30">
        <v>214.90173443524338</v>
      </c>
      <c r="R30">
        <v>237.80758030714173</v>
      </c>
      <c r="S30">
        <v>457.97675944018704</v>
      </c>
      <c r="T30">
        <v>501.47756737544728</v>
      </c>
      <c r="U30">
        <v>558.1420914393052</v>
      </c>
      <c r="V30">
        <v>0.78779026267969332</v>
      </c>
      <c r="W30">
        <v>0.86252029811712272</v>
      </c>
      <c r="X30">
        <v>0.94390534791892999</v>
      </c>
      <c r="Y30">
        <v>1.5596888720460049</v>
      </c>
      <c r="Z30">
        <v>1.6999231505731291</v>
      </c>
      <c r="AA30">
        <v>1.8512085637703444</v>
      </c>
      <c r="AB30">
        <v>3.3542506585061185</v>
      </c>
      <c r="AC30">
        <v>3.6175588262123561</v>
      </c>
      <c r="AD30">
        <v>3.8946743811174538</v>
      </c>
      <c r="AE30">
        <v>0.78700282839781877</v>
      </c>
      <c r="AF30">
        <v>0.86167171019690714</v>
      </c>
      <c r="AG30">
        <v>0.94297426078403601</v>
      </c>
      <c r="AH30">
        <v>1.5581952568489106</v>
      </c>
      <c r="AI30">
        <v>1.6983194810850613</v>
      </c>
      <c r="AJ30">
        <v>1.8494721967852739</v>
      </c>
      <c r="AK30">
        <v>3.3513464190935105</v>
      </c>
      <c r="AL30">
        <v>3.6144662299990244</v>
      </c>
      <c r="AM30">
        <v>3.8918354057466074</v>
      </c>
    </row>
    <row r="31" spans="1:39" x14ac:dyDescent="0.25">
      <c r="A31" s="147">
        <f t="shared" si="0"/>
        <v>1</v>
      </c>
      <c r="B31" s="46"/>
      <c r="C31" s="148">
        <v>0.16666666666666666</v>
      </c>
      <c r="D31" s="2">
        <v>0.2258311960645894</v>
      </c>
      <c r="E31">
        <v>0.24717199400153578</v>
      </c>
      <c r="F31">
        <v>0.27034888004826207</v>
      </c>
      <c r="G31">
        <v>0.44549204088693989</v>
      </c>
      <c r="H31">
        <v>0.48540655199613286</v>
      </c>
      <c r="I31">
        <v>0.52830662246979943</v>
      </c>
      <c r="J31">
        <v>0.95059673105842091</v>
      </c>
      <c r="K31">
        <v>1.0239638111862028</v>
      </c>
      <c r="L31">
        <v>1.1015131401089246</v>
      </c>
      <c r="M31">
        <v>0.22509404193801585</v>
      </c>
      <c r="N31">
        <v>0.2463849219904678</v>
      </c>
      <c r="O31">
        <v>0.26948699123130682</v>
      </c>
      <c r="P31">
        <v>0.44408722480551643</v>
      </c>
      <c r="Q31">
        <v>0.48389708626517602</v>
      </c>
      <c r="R31">
        <v>0.52667973388988587</v>
      </c>
      <c r="S31">
        <v>0.94791282667947074</v>
      </c>
      <c r="T31">
        <v>1.0211132731532686</v>
      </c>
      <c r="U31">
        <v>1.0984691861053053</v>
      </c>
      <c r="V31">
        <v>0.7890879419735759</v>
      </c>
      <c r="W31">
        <v>0.86394107721652913</v>
      </c>
      <c r="X31">
        <v>0.94546018808631449</v>
      </c>
      <c r="Y31">
        <v>1.5622581000804727</v>
      </c>
      <c r="Z31">
        <v>1.7027233955052297</v>
      </c>
      <c r="AA31">
        <v>1.8542580302469143</v>
      </c>
      <c r="AB31">
        <v>3.3597762587162232</v>
      </c>
      <c r="AC31">
        <v>3.6235182361662153</v>
      </c>
      <c r="AD31">
        <v>3.9010902613350291</v>
      </c>
      <c r="AE31">
        <v>0.78832307761358678</v>
      </c>
      <c r="AF31">
        <v>0.86311723201448287</v>
      </c>
      <c r="AG31">
        <v>0.94455617123895375</v>
      </c>
      <c r="AH31">
        <v>1.5608094248322413</v>
      </c>
      <c r="AI31">
        <v>1.7011687948171044</v>
      </c>
      <c r="AJ31">
        <v>1.8525751527688157</v>
      </c>
      <c r="AK31">
        <v>3.3569699395760972</v>
      </c>
      <c r="AL31">
        <v>3.6205314700690492</v>
      </c>
      <c r="AM31">
        <v>3.8983661115344406</v>
      </c>
    </row>
    <row r="32" spans="1:39" x14ac:dyDescent="0.25">
      <c r="A32" s="147">
        <f t="shared" si="0"/>
        <v>1</v>
      </c>
      <c r="C32" s="149">
        <v>0.25</v>
      </c>
      <c r="D32" s="2">
        <v>0.2262468028604287</v>
      </c>
      <c r="E32">
        <v>0.24762690728827044</v>
      </c>
      <c r="F32">
        <v>0.27084627923151461</v>
      </c>
      <c r="G32">
        <v>0.44631239703781955</v>
      </c>
      <c r="H32">
        <v>0.48630128494697755</v>
      </c>
      <c r="I32">
        <v>0.52928089927554323</v>
      </c>
      <c r="J32">
        <v>0.95235349809682801</v>
      </c>
      <c r="K32">
        <v>1.0258571884436392</v>
      </c>
      <c r="L32">
        <v>1.103552306702186</v>
      </c>
      <c r="M32">
        <v>0.22551010875587901</v>
      </c>
      <c r="N32">
        <v>0.24684044622587475</v>
      </c>
      <c r="O32">
        <v>0.26998502373347072</v>
      </c>
      <c r="P32">
        <v>0.44490854246783723</v>
      </c>
      <c r="Q32">
        <v>0.48479299733084746</v>
      </c>
      <c r="R32">
        <v>0.52765535569100741</v>
      </c>
      <c r="S32">
        <v>0.94967258414045563</v>
      </c>
      <c r="T32">
        <v>1.023009966994445</v>
      </c>
      <c r="U32">
        <v>1.1005119612348779</v>
      </c>
      <c r="V32">
        <v>0.79038775531821048</v>
      </c>
      <c r="W32">
        <v>0.86536419280769483</v>
      </c>
      <c r="X32">
        <v>0.94701758521229129</v>
      </c>
      <c r="Y32">
        <v>1.5648315533018717</v>
      </c>
      <c r="Z32">
        <v>1.7055282455553558</v>
      </c>
      <c r="AA32">
        <v>1.8573125117123417</v>
      </c>
      <c r="AB32">
        <v>3.365310946276372</v>
      </c>
      <c r="AC32">
        <v>3.6294874469702396</v>
      </c>
      <c r="AD32">
        <v>3.907516693069939</v>
      </c>
      <c r="AE32">
        <v>0.78964549775945392</v>
      </c>
      <c r="AF32">
        <v>0.86456513075569241</v>
      </c>
      <c r="AG32">
        <v>0.94614068288458208</v>
      </c>
      <c r="AH32">
        <v>1.5634278914613167</v>
      </c>
      <c r="AI32">
        <v>1.7040227938882253</v>
      </c>
      <c r="AJ32">
        <v>1.8556832111939989</v>
      </c>
      <c r="AK32">
        <v>3.3626027076025098</v>
      </c>
      <c r="AL32">
        <v>3.6266066841517901</v>
      </c>
      <c r="AM32">
        <v>3.9049075567774585</v>
      </c>
    </row>
    <row r="33" spans="1:39" x14ac:dyDescent="0.25">
      <c r="A33" s="147">
        <f t="shared" si="0"/>
        <v>1</v>
      </c>
      <c r="C33" s="149">
        <v>0.33333333333333331</v>
      </c>
      <c r="D33" s="2">
        <v>0.22666348981354612</v>
      </c>
      <c r="E33">
        <v>0.24808300290259228</v>
      </c>
      <c r="F33">
        <v>0.27134497109695777</v>
      </c>
      <c r="G33">
        <v>0.44713488548348612</v>
      </c>
      <c r="H33">
        <v>0.48719834387012856</v>
      </c>
      <c r="I33">
        <v>0.53025770902746761</v>
      </c>
      <c r="J33">
        <v>0.95411483390894769</v>
      </c>
      <c r="K33">
        <v>1.0277554901596626</v>
      </c>
      <c r="L33">
        <v>1.1055967779009024</v>
      </c>
      <c r="M33">
        <v>0.22592725723468818</v>
      </c>
      <c r="N33">
        <v>0.24729715474202296</v>
      </c>
      <c r="O33">
        <v>0.27048435094879891</v>
      </c>
      <c r="P33">
        <v>0.44573199551725307</v>
      </c>
      <c r="Q33">
        <v>0.48569123810893211</v>
      </c>
      <c r="R33">
        <v>0.52863351467883446</v>
      </c>
      <c r="S33">
        <v>0.95143691952670506</v>
      </c>
      <c r="T33">
        <v>1.0249115954069912</v>
      </c>
      <c r="U33">
        <v>1.1025600519386956</v>
      </c>
      <c r="V33">
        <v>0.79168970609021094</v>
      </c>
      <c r="W33">
        <v>0.86678964858831731</v>
      </c>
      <c r="X33">
        <v>0.94857754334191058</v>
      </c>
      <c r="Y33">
        <v>1.5674092383955811</v>
      </c>
      <c r="Z33">
        <v>1.7083377080115079</v>
      </c>
      <c r="AA33">
        <v>1.8603720161042232</v>
      </c>
      <c r="AB33">
        <v>3.3708547355629932</v>
      </c>
      <c r="AC33">
        <v>3.635466474130876</v>
      </c>
      <c r="AD33">
        <v>3.9139536930181706</v>
      </c>
      <c r="AE33">
        <v>0.79097009228110027</v>
      </c>
      <c r="AF33">
        <v>0.86601541019513151</v>
      </c>
      <c r="AG33">
        <v>0.94772779985285638</v>
      </c>
      <c r="AH33">
        <v>1.5660506635591995</v>
      </c>
      <c r="AI33">
        <v>1.7068814857305494</v>
      </c>
      <c r="AJ33">
        <v>1.8587963801570357</v>
      </c>
      <c r="AK33">
        <v>3.3682447378493072</v>
      </c>
      <c r="AL33">
        <v>3.6326918880743206</v>
      </c>
      <c r="AM33">
        <v>3.9114597585315694</v>
      </c>
    </row>
    <row r="34" spans="1:39" x14ac:dyDescent="0.25">
      <c r="A34" s="147">
        <f t="shared" si="0"/>
        <v>1</v>
      </c>
      <c r="C34" s="149">
        <v>0.41666666666666663</v>
      </c>
      <c r="D34" s="2">
        <v>0.2270812593534775</v>
      </c>
      <c r="E34">
        <v>0.24854028350299354</v>
      </c>
      <c r="F34">
        <v>0.27184495854783641</v>
      </c>
      <c r="G34">
        <v>0.44795951102148329</v>
      </c>
      <c r="H34">
        <v>0.48809773399468837</v>
      </c>
      <c r="I34">
        <v>0.53123705741778238</v>
      </c>
      <c r="J34">
        <v>0.95588074876035611</v>
      </c>
      <c r="K34">
        <v>1.0296587274014328</v>
      </c>
      <c r="L34">
        <v>1.1076465656173693</v>
      </c>
      <c r="M34">
        <v>0.22634548981564234</v>
      </c>
      <c r="N34">
        <v>0.24775505021011379</v>
      </c>
      <c r="O34">
        <v>0.27098497579937986</v>
      </c>
      <c r="P34">
        <v>0.44655758877274171</v>
      </c>
      <c r="Q34">
        <v>0.48659181385513406</v>
      </c>
      <c r="R34">
        <v>0.52961421658213959</v>
      </c>
      <c r="S34">
        <v>0.95320584317340407</v>
      </c>
      <c r="T34">
        <v>1.0268181695345906</v>
      </c>
      <c r="U34">
        <v>1.104613470219173</v>
      </c>
      <c r="V34">
        <v>0.79299379767222589</v>
      </c>
      <c r="W34">
        <v>0.86821744826018632</v>
      </c>
      <c r="X34">
        <v>0.95014006652672856</v>
      </c>
      <c r="Y34">
        <v>1.5699911620576439</v>
      </c>
      <c r="Z34">
        <v>1.7111517901703679</v>
      </c>
      <c r="AA34">
        <v>1.8634365513665683</v>
      </c>
      <c r="AB34">
        <v>3.3764076409715198</v>
      </c>
      <c r="AC34">
        <v>3.6414553331771891</v>
      </c>
      <c r="AD34">
        <v>3.9204012778872106</v>
      </c>
      <c r="AE34">
        <v>0.79229686463002391</v>
      </c>
      <c r="AF34">
        <v>0.86746807410984339</v>
      </c>
      <c r="AG34">
        <v>0.94931752627641286</v>
      </c>
      <c r="AH34">
        <v>1.5686777479580918</v>
      </c>
      <c r="AI34">
        <v>1.7097448777956807</v>
      </c>
      <c r="AJ34">
        <v>1.8619146677713376</v>
      </c>
      <c r="AK34">
        <v>3.3738960450127227</v>
      </c>
      <c r="AL34">
        <v>3.638787097693859</v>
      </c>
      <c r="AM34">
        <v>3.9180227338590443</v>
      </c>
    </row>
    <row r="35" spans="1:39" x14ac:dyDescent="0.25">
      <c r="A35" s="147">
        <f t="shared" si="0"/>
        <v>1</v>
      </c>
      <c r="C35" s="149">
        <v>0.49999999999999994</v>
      </c>
      <c r="D35" s="2">
        <v>0.2275001139102881</v>
      </c>
      <c r="E35">
        <v>0.24899875175136776</v>
      </c>
      <c r="F35">
        <v>0.27234624449703859</v>
      </c>
      <c r="G35">
        <v>0.44878627845113728</v>
      </c>
      <c r="H35">
        <v>0.48899946055798038</v>
      </c>
      <c r="I35">
        <v>0.53221895014656695</v>
      </c>
      <c r="J35">
        <v>0.9576512529399801</v>
      </c>
      <c r="K35">
        <v>1.0315669112602048</v>
      </c>
      <c r="L35">
        <v>1.109701681799514</v>
      </c>
      <c r="M35">
        <v>0.22676480894450957</v>
      </c>
      <c r="N35">
        <v>0.24821413531115624</v>
      </c>
      <c r="O35">
        <v>0.27148690121285818</v>
      </c>
      <c r="P35">
        <v>0.44738532706382006</v>
      </c>
      <c r="Q35">
        <v>0.48749472983806857</v>
      </c>
      <c r="R35">
        <v>0.53059746713683542</v>
      </c>
      <c r="S35">
        <v>0.95497936543358297</v>
      </c>
      <c r="T35">
        <v>1.028729700531386</v>
      </c>
      <c r="U35">
        <v>1.1066722280993564</v>
      </c>
      <c r="V35">
        <v>0.79430003345016398</v>
      </c>
      <c r="W35">
        <v>0.86964759553310489</v>
      </c>
      <c r="X35">
        <v>0.95170515882605988</v>
      </c>
      <c r="Y35">
        <v>1.5725773309927527</v>
      </c>
      <c r="Z35">
        <v>1.7139704993415898</v>
      </c>
      <c r="AA35">
        <v>1.8665061254570594</v>
      </c>
      <c r="AB35">
        <v>3.3819696769225289</v>
      </c>
      <c r="AC35">
        <v>3.6474540396534936</v>
      </c>
      <c r="AD35">
        <v>3.9268594644227131</v>
      </c>
      <c r="AE35">
        <v>0.7936258182628908</v>
      </c>
      <c r="AF35">
        <v>0.86892312628644086</v>
      </c>
      <c r="AG35">
        <v>0.95090986629752505</v>
      </c>
      <c r="AH35">
        <v>1.5713091515040238</v>
      </c>
      <c r="AI35">
        <v>1.7126129775418375</v>
      </c>
      <c r="AJ35">
        <v>1.8650380821589634</v>
      </c>
      <c r="AK35">
        <v>3.3795566438122586</v>
      </c>
      <c r="AL35">
        <v>3.6448923288823112</v>
      </c>
      <c r="AM35">
        <v>3.9245964998515097</v>
      </c>
    </row>
    <row r="36" spans="1:39" x14ac:dyDescent="0.25">
      <c r="A36" s="147">
        <f t="shared" si="0"/>
        <v>1</v>
      </c>
      <c r="C36" s="149">
        <v>0.58333333333333326</v>
      </c>
      <c r="D36" s="2">
        <v>0.22792005592438272</v>
      </c>
      <c r="E36">
        <v>0.24945841031638868</v>
      </c>
      <c r="F36">
        <v>0.27284883186167508</v>
      </c>
      <c r="G36">
        <v>0.44961519258573351</v>
      </c>
      <c r="H36">
        <v>0.4899035288062189</v>
      </c>
      <c r="I36">
        <v>0.53320339293597274</v>
      </c>
      <c r="J36">
        <v>0.95942635676008292</v>
      </c>
      <c r="K36">
        <v>1.0334800528513191</v>
      </c>
      <c r="L36">
        <v>1.1117621384241123</v>
      </c>
      <c r="M36">
        <v>0.22718521707229938</v>
      </c>
      <c r="N36">
        <v>0.24867441272648555</v>
      </c>
      <c r="O36">
        <v>0.27199013012446038</v>
      </c>
      <c r="P36">
        <v>0.44821521522850638</v>
      </c>
      <c r="Q36">
        <v>0.48839999133925566</v>
      </c>
      <c r="R36">
        <v>0.53158327209408773</v>
      </c>
      <c r="S36">
        <v>0.95675749668080456</v>
      </c>
      <c r="T36">
        <v>1.0306461995809171</v>
      </c>
      <c r="U36">
        <v>1.1087363376215533</v>
      </c>
      <c r="V36">
        <v>0.79560841681708772</v>
      </c>
      <c r="W36">
        <v>0.87108009411913645</v>
      </c>
      <c r="X36">
        <v>0.95327282430324511</v>
      </c>
      <c r="Y36">
        <v>1.5751677519166327</v>
      </c>
      <c r="Z36">
        <v>1.716793842840356</v>
      </c>
      <c r="AA36">
        <v>1.8695807463484089</v>
      </c>
      <c r="AB36">
        <v>3.3875408578508996</v>
      </c>
      <c r="AC36">
        <v>3.6534626091383342</v>
      </c>
      <c r="AD36">
        <v>3.9333282693908789</v>
      </c>
      <c r="AE36">
        <v>0.79495695664153754</v>
      </c>
      <c r="AF36">
        <v>0.87038057051298412</v>
      </c>
      <c r="AG36">
        <v>0.95250482406573789</v>
      </c>
      <c r="AH36">
        <v>1.573944881049071</v>
      </c>
      <c r="AI36">
        <v>1.7154857924385962</v>
      </c>
      <c r="AJ36">
        <v>1.8681666314540009</v>
      </c>
      <c r="AK36">
        <v>3.3852265489940851</v>
      </c>
      <c r="AL36">
        <v>3.6510075975371268</v>
      </c>
      <c r="AM36">
        <v>3.9311810736313255</v>
      </c>
    </row>
    <row r="37" spans="1:39" x14ac:dyDescent="0.25">
      <c r="A37" s="147">
        <f t="shared" si="0"/>
        <v>1</v>
      </c>
      <c r="C37" s="149">
        <v>0.66666666666666663</v>
      </c>
      <c r="D37" s="2">
        <v>0.22834108783499704</v>
      </c>
      <c r="E37">
        <v>0.2499192618697868</v>
      </c>
      <c r="F37">
        <v>0.27335272356341717</v>
      </c>
      <c r="G37">
        <v>0.45044625824303619</v>
      </c>
      <c r="H37">
        <v>0.49080994400330125</v>
      </c>
      <c r="I37">
        <v>0.53419039150720793</v>
      </c>
      <c r="J37">
        <v>0.96120607054948581</v>
      </c>
      <c r="K37">
        <v>1.0353981633047116</v>
      </c>
      <c r="L37">
        <v>1.1138279474805333</v>
      </c>
      <c r="M37">
        <v>0.22760671665627608</v>
      </c>
      <c r="N37">
        <v>0.24913588514588414</v>
      </c>
      <c r="O37">
        <v>0.27249466547123896</v>
      </c>
      <c r="P37">
        <v>0.44904725811399337</v>
      </c>
      <c r="Q37">
        <v>0.48930760364499259</v>
      </c>
      <c r="R37">
        <v>0.5325716372142193</v>
      </c>
      <c r="S37">
        <v>0.95854024731050891</v>
      </c>
      <c r="T37">
        <v>1.0325676778920425</v>
      </c>
      <c r="U37">
        <v>1.1108058108608598</v>
      </c>
      <c r="V37">
        <v>0.79691895117050948</v>
      </c>
      <c r="W37">
        <v>0.87251494773938298</v>
      </c>
      <c r="X37">
        <v>0.9548430670293917</v>
      </c>
      <c r="Y37">
        <v>1.5777624315546932</v>
      </c>
      <c r="Z37">
        <v>1.7196218280002646</v>
      </c>
      <c r="AA37">
        <v>1.8726604220222725</v>
      </c>
      <c r="AB37">
        <v>3.3931211982288678</v>
      </c>
      <c r="AC37">
        <v>3.6594810572241805</v>
      </c>
      <c r="AD37">
        <v>3.9398077095866157</v>
      </c>
      <c r="AE37">
        <v>0.79629028323314488</v>
      </c>
      <c r="AF37">
        <v>0.87184041058745265</v>
      </c>
      <c r="AG37">
        <v>0.95410240373414779</v>
      </c>
      <c r="AH37">
        <v>1.5765849434615316</v>
      </c>
      <c r="AI37">
        <v>1.7183633299689349</v>
      </c>
      <c r="AJ37">
        <v>1.8713003238086756</v>
      </c>
      <c r="AK37">
        <v>3.3909057753188421</v>
      </c>
      <c r="AL37">
        <v>3.6571329195880895</v>
      </c>
      <c r="AM37">
        <v>3.9377764723529252</v>
      </c>
    </row>
    <row r="38" spans="1:39" x14ac:dyDescent="0.25">
      <c r="A38" s="147">
        <f t="shared" si="0"/>
        <v>1</v>
      </c>
      <c r="C38" s="149">
        <v>0.75</v>
      </c>
      <c r="D38" s="2">
        <v>0.2287632120920387</v>
      </c>
      <c r="E38">
        <v>0.25038130909243528</v>
      </c>
      <c r="F38">
        <v>0.27385792253153601</v>
      </c>
      <c r="G38">
        <v>0.45127948026084613</v>
      </c>
      <c r="H38">
        <v>0.49171871141523349</v>
      </c>
      <c r="I38">
        <v>0.53517995160556964</v>
      </c>
      <c r="J38">
        <v>0.96299040466438157</v>
      </c>
      <c r="K38">
        <v>1.0373212537865577</v>
      </c>
      <c r="L38">
        <v>1.1158991209883196</v>
      </c>
      <c r="M38">
        <v>0.22802931015623273</v>
      </c>
      <c r="N38">
        <v>0.24959855526486929</v>
      </c>
      <c r="O38">
        <v>0.27300051020188221</v>
      </c>
      <c r="P38">
        <v>0.44988146058476097</v>
      </c>
      <c r="Q38">
        <v>0.49021757206123429</v>
      </c>
      <c r="R38">
        <v>0.533562568271438</v>
      </c>
      <c r="S38">
        <v>0.96032762774270441</v>
      </c>
      <c r="T38">
        <v>1.0344941466962199</v>
      </c>
      <c r="U38">
        <v>1.1128806599129559</v>
      </c>
      <c r="V38">
        <v>0.79823163991239787</v>
      </c>
      <c r="W38">
        <v>0.87395216011890664</v>
      </c>
      <c r="X38">
        <v>0.95641589108201563</v>
      </c>
      <c r="Y38">
        <v>1.5803613766447457</v>
      </c>
      <c r="Z38">
        <v>1.7224544621638418</v>
      </c>
      <c r="AA38">
        <v>1.8757451604753599</v>
      </c>
      <c r="AB38">
        <v>3.3987107125328517</v>
      </c>
      <c r="AC38">
        <v>3.665509399536425</v>
      </c>
      <c r="AD38">
        <v>3.9462978018267885</v>
      </c>
      <c r="AE38">
        <v>0.79762580151024287</v>
      </c>
      <c r="AF38">
        <v>0.87330265031097476</v>
      </c>
      <c r="AG38">
        <v>0.95570260946313468</v>
      </c>
      <c r="AH38">
        <v>1.5792293456117004</v>
      </c>
      <c r="AI38">
        <v>1.7212455976265308</v>
      </c>
      <c r="AJ38">
        <v>1.8744391673777874</v>
      </c>
      <c r="AK38">
        <v>3.3965943375799705</v>
      </c>
      <c r="AL38">
        <v>3.6632683109837796</v>
      </c>
      <c r="AM38">
        <v>3.9443827131771165</v>
      </c>
    </row>
    <row r="39" spans="1:39" x14ac:dyDescent="0.25">
      <c r="A39" s="147">
        <f t="shared" si="0"/>
        <v>1</v>
      </c>
      <c r="C39" s="149">
        <v>0.83333333333333337</v>
      </c>
      <c r="D39" s="2">
        <v>0.22918643114762416</v>
      </c>
      <c r="E39">
        <v>0.25084455466859479</v>
      </c>
      <c r="F39">
        <v>0.2743644317022238</v>
      </c>
      <c r="G39">
        <v>0.45211486347466162</v>
      </c>
      <c r="H39">
        <v>0.4926298363270466</v>
      </c>
      <c r="I39">
        <v>0.53617207897945751</v>
      </c>
      <c r="J39">
        <v>0.9647793694788479</v>
      </c>
      <c r="K39">
        <v>1.0392493354762438</v>
      </c>
      <c r="L39">
        <v>1.117975671001233</v>
      </c>
      <c r="M39">
        <v>0.22845300003990254</v>
      </c>
      <c r="N39">
        <v>0.25006242578333671</v>
      </c>
      <c r="O39">
        <v>0.27350766726791154</v>
      </c>
      <c r="P39">
        <v>0.45071782750632788</v>
      </c>
      <c r="Q39">
        <v>0.4911299018980233</v>
      </c>
      <c r="R39">
        <v>0.53455607105180158</v>
      </c>
      <c r="S39">
        <v>0.96211964841383502</v>
      </c>
      <c r="T39">
        <v>1.0364256172407253</v>
      </c>
      <c r="U39">
        <v>1.1149608968995073</v>
      </c>
      <c r="V39">
        <v>0.79954648645104254</v>
      </c>
      <c r="W39">
        <v>0.87539173498876721</v>
      </c>
      <c r="X39">
        <v>0.95799130054403536</v>
      </c>
      <c r="Y39">
        <v>1.5829645939319317</v>
      </c>
      <c r="Z39">
        <v>1.725291752682558</v>
      </c>
      <c r="AA39">
        <v>1.8788349697119908</v>
      </c>
      <c r="AB39">
        <v>3.4043094152719231</v>
      </c>
      <c r="AC39">
        <v>3.6715476517225261</v>
      </c>
      <c r="AD39">
        <v>3.9527985629569993</v>
      </c>
      <c r="AE39">
        <v>0.79896351495071227</v>
      </c>
      <c r="AF39">
        <v>0.87476729349122018</v>
      </c>
      <c r="AG39">
        <v>0.95730544542002316</v>
      </c>
      <c r="AH39">
        <v>1.5818780943891513</v>
      </c>
      <c r="AI39">
        <v>1.7241326029184774</v>
      </c>
      <c r="AJ39">
        <v>1.8775831703390331</v>
      </c>
      <c r="AK39">
        <v>3.4022922505867661</v>
      </c>
      <c r="AL39">
        <v>3.6694137876970139</v>
      </c>
      <c r="AM39">
        <v>3.9509998133103834</v>
      </c>
    </row>
    <row r="40" spans="1:39" x14ac:dyDescent="0.25">
      <c r="A40" s="147">
        <f t="shared" si="0"/>
        <v>1</v>
      </c>
      <c r="C40" s="149">
        <v>0.91666666666666674</v>
      </c>
      <c r="D40" s="2">
        <v>0.22961074745878288</v>
      </c>
      <c r="E40">
        <v>0.25130900128726369</v>
      </c>
      <c r="F40">
        <v>0.27487225401520554</v>
      </c>
      <c r="G40">
        <v>0.45295241274068521</v>
      </c>
      <c r="H40">
        <v>0.49354332403060419</v>
      </c>
      <c r="I40">
        <v>0.5371667793932241</v>
      </c>
      <c r="J40">
        <v>0.96657297538483467</v>
      </c>
      <c r="K40">
        <v>1.0411824195758335</v>
      </c>
      <c r="L40">
        <v>1.1200576095855796</v>
      </c>
      <c r="M40">
        <v>0.22887778877821802</v>
      </c>
      <c r="N40">
        <v>0.25052749940758712</v>
      </c>
      <c r="O40">
        <v>0.27401613962841576</v>
      </c>
      <c r="P40">
        <v>0.45155636375742786</v>
      </c>
      <c r="Q40">
        <v>0.49204459847895721</v>
      </c>
      <c r="R40">
        <v>0.53555215135185441</v>
      </c>
      <c r="S40">
        <v>0.96391631979165515</v>
      </c>
      <c r="T40">
        <v>1.0383621008062316</v>
      </c>
      <c r="U40">
        <v>1.1170465339695048</v>
      </c>
      <c r="V40">
        <v>0.80086349420021175</v>
      </c>
      <c r="W40">
        <v>0.87683367608603302</v>
      </c>
      <c r="X40">
        <v>0.9595692995041154</v>
      </c>
      <c r="Y40">
        <v>1.5855720901734753</v>
      </c>
      <c r="Z40">
        <v>1.7281337069209006</v>
      </c>
      <c r="AA40">
        <v>1.8819298577549433</v>
      </c>
      <c r="AB40">
        <v>3.4099173209763056</v>
      </c>
      <c r="AC40">
        <v>3.6775958294425841</v>
      </c>
      <c r="AD40">
        <v>3.9593100098407881</v>
      </c>
      <c r="AE40">
        <v>0.80030342703812873</v>
      </c>
      <c r="AF40">
        <v>0.8762343439427358</v>
      </c>
      <c r="AG40">
        <v>0.95891091577976884</v>
      </c>
      <c r="AH40">
        <v>1.5845311966902096</v>
      </c>
      <c r="AI40">
        <v>1.7270243533591938</v>
      </c>
      <c r="AJ40">
        <v>1.8807323408781089</v>
      </c>
      <c r="AK40">
        <v>3.4079995291691612</v>
      </c>
      <c r="AL40">
        <v>3.6755693657262114</v>
      </c>
      <c r="AM40">
        <v>3.9576277899791545</v>
      </c>
    </row>
    <row r="41" spans="1:39" x14ac:dyDescent="0.25">
      <c r="A41" s="147">
        <f t="shared" si="0"/>
        <v>1</v>
      </c>
      <c r="C41" s="149">
        <v>1</v>
      </c>
      <c r="D41" s="2">
        <v>0.23003616348880779</v>
      </c>
      <c r="E41">
        <v>0.25177465164555834</v>
      </c>
      <c r="F41">
        <v>0.27538139241982651</v>
      </c>
      <c r="G41">
        <v>0.45379213291821929</v>
      </c>
      <c r="H41">
        <v>0.49445917982798149</v>
      </c>
      <c r="I41">
        <v>0.53816405862107797</v>
      </c>
      <c r="J41">
        <v>0.96837123280297832</v>
      </c>
      <c r="K41">
        <v>1.0431205173168205</v>
      </c>
      <c r="L41">
        <v>1.1221449488337361</v>
      </c>
      <c r="M41">
        <v>0.22930367884801528</v>
      </c>
      <c r="N41">
        <v>0.25099377884930923</v>
      </c>
      <c r="O41">
        <v>0.27452593024666383</v>
      </c>
      <c r="P41">
        <v>0.45239707422729908</v>
      </c>
      <c r="Q41">
        <v>0.49296166713915091</v>
      </c>
      <c r="R41">
        <v>0.53655081498200563</v>
      </c>
      <c r="S41">
        <v>0.96571765234950235</v>
      </c>
      <c r="T41">
        <v>1.0403036086905586</v>
      </c>
      <c r="U41">
        <v>1.1191375832951849</v>
      </c>
      <c r="V41">
        <v>0.8021826665767855</v>
      </c>
      <c r="W41">
        <v>0.8782779871527584</v>
      </c>
      <c r="X41">
        <v>0.96114989205870283</v>
      </c>
      <c r="Y41">
        <v>1.5881838721376669</v>
      </c>
      <c r="Z41">
        <v>1.7309803322550317</v>
      </c>
      <c r="AA41">
        <v>1.8850298326339461</v>
      </c>
      <c r="AB41">
        <v>3.4155344442014455</v>
      </c>
      <c r="AC41">
        <v>3.6836539484005018</v>
      </c>
      <c r="AD41">
        <v>3.9658321593867223</v>
      </c>
      <c r="AE41">
        <v>0.80164554126074861</v>
      </c>
      <c r="AF41">
        <v>0.87770380548458893</v>
      </c>
      <c r="AG41">
        <v>0.96051902472055406</v>
      </c>
      <c r="AH41">
        <v>1.5871886594216906</v>
      </c>
      <c r="AI41">
        <v>1.7299208564758559</v>
      </c>
      <c r="AJ41">
        <v>1.8838866871914322</v>
      </c>
      <c r="AK41">
        <v>3.4137161881871991</v>
      </c>
      <c r="AL41">
        <v>3.6817350610913504</v>
      </c>
      <c r="AM41">
        <v>3.9642666604338843</v>
      </c>
    </row>
    <row r="42" spans="1:39" x14ac:dyDescent="0.25">
      <c r="A42" s="147">
        <f t="shared" si="0"/>
        <v>2</v>
      </c>
      <c r="C42" s="149">
        <v>1.0833333333333333</v>
      </c>
      <c r="D42" s="2">
        <v>0.36122011500998874</v>
      </c>
      <c r="E42">
        <v>0.39535171368545291</v>
      </c>
      <c r="F42">
        <v>0.43244069041588662</v>
      </c>
      <c r="G42">
        <v>0.712519440757584</v>
      </c>
      <c r="H42">
        <v>0.7762685945829868</v>
      </c>
      <c r="I42">
        <v>0.84482686201250479</v>
      </c>
      <c r="J42">
        <v>1.5197373986257323</v>
      </c>
      <c r="K42">
        <v>1.6369255744735509</v>
      </c>
      <c r="L42">
        <v>1.7606508677522572</v>
      </c>
      <c r="M42">
        <v>0.36014355980115104</v>
      </c>
      <c r="N42">
        <v>0.39419842194919275</v>
      </c>
      <c r="O42">
        <v>0.43117963438270346</v>
      </c>
      <c r="P42">
        <v>0.71048169266163796</v>
      </c>
      <c r="Q42">
        <v>0.77407947231012553</v>
      </c>
      <c r="R42">
        <v>0.84246986059487705</v>
      </c>
      <c r="S42">
        <v>1.5158998151085497</v>
      </c>
      <c r="T42">
        <v>1.632861676014608</v>
      </c>
      <c r="U42">
        <v>1.7563316549306727</v>
      </c>
      <c r="V42">
        <v>0.88648872888919672</v>
      </c>
      <c r="W42">
        <v>0.97058060485484743</v>
      </c>
      <c r="X42">
        <v>1.0621618105299464</v>
      </c>
      <c r="Y42">
        <v>1.7550726221459505</v>
      </c>
      <c r="Z42">
        <v>1.9128679098828982</v>
      </c>
      <c r="AA42">
        <v>2.0830985056137585</v>
      </c>
      <c r="AB42">
        <v>3.774324688276574</v>
      </c>
      <c r="AC42">
        <v>4.0705844389729231</v>
      </c>
      <c r="AD42">
        <v>4.3824210537576143</v>
      </c>
      <c r="AE42">
        <v>0.88590477463351447</v>
      </c>
      <c r="AF42">
        <v>0.969956239244818</v>
      </c>
      <c r="AG42">
        <v>1.0614761730957811</v>
      </c>
      <c r="AH42">
        <v>1.7539943380799143</v>
      </c>
      <c r="AI42">
        <v>1.9117205743018442</v>
      </c>
      <c r="AJ42">
        <v>2.0818616638016527</v>
      </c>
      <c r="AK42">
        <v>3.7723753090830918</v>
      </c>
      <c r="AL42">
        <v>4.0685314681939744</v>
      </c>
      <c r="AM42">
        <v>4.3807424237877779</v>
      </c>
    </row>
    <row r="43" spans="1:39" x14ac:dyDescent="0.25">
      <c r="A43" s="147">
        <f t="shared" si="0"/>
        <v>2</v>
      </c>
      <c r="C43" s="149">
        <v>1.1666666666666665</v>
      </c>
      <c r="D43" s="2">
        <v>0.36170629008359367</v>
      </c>
      <c r="E43">
        <v>0.39588385923282038</v>
      </c>
      <c r="F43">
        <v>0.43302258844503733</v>
      </c>
      <c r="G43">
        <v>0.71347893333010093</v>
      </c>
      <c r="H43">
        <v>0.77731480348660331</v>
      </c>
      <c r="I43">
        <v>0.84596593456105817</v>
      </c>
      <c r="J43">
        <v>1.5217901489019985</v>
      </c>
      <c r="K43">
        <v>1.6391376310892074</v>
      </c>
      <c r="L43">
        <v>1.7630325024325866</v>
      </c>
      <c r="M43">
        <v>0.36063143776982931</v>
      </c>
      <c r="N43">
        <v>0.39473253565676258</v>
      </c>
      <c r="O43">
        <v>0.43176365298259567</v>
      </c>
      <c r="P43">
        <v>0.71144462344641712</v>
      </c>
      <c r="Q43">
        <v>0.77512955947048545</v>
      </c>
      <c r="R43">
        <v>0.84361322133726258</v>
      </c>
      <c r="S43">
        <v>1.5179609434647729</v>
      </c>
      <c r="T43">
        <v>1.6350828712506851</v>
      </c>
      <c r="U43">
        <v>1.7587231880898224</v>
      </c>
      <c r="V43">
        <v>0.88807629529400522</v>
      </c>
      <c r="W43">
        <v>0.97231876361694447</v>
      </c>
      <c r="X43">
        <v>1.0640639764217439</v>
      </c>
      <c r="Y43">
        <v>1.7582155865484606</v>
      </c>
      <c r="Z43">
        <v>1.9162934230307818</v>
      </c>
      <c r="AA43">
        <v>2.0868288355230349</v>
      </c>
      <c r="AB43">
        <v>3.781083164248261</v>
      </c>
      <c r="AC43">
        <v>4.0778732982331487</v>
      </c>
      <c r="AD43">
        <v>4.3902683769820294</v>
      </c>
      <c r="AE43">
        <v>0.887517787844881</v>
      </c>
      <c r="AF43">
        <v>0.97172229238992891</v>
      </c>
      <c r="AG43">
        <v>1.063408860874389</v>
      </c>
      <c r="AH43">
        <v>1.757187982358525</v>
      </c>
      <c r="AI43">
        <v>1.915201421286155</v>
      </c>
      <c r="AJ43">
        <v>2.0856523165757177</v>
      </c>
      <c r="AK43">
        <v>3.7792442742783106</v>
      </c>
      <c r="AL43">
        <v>4.0759397513653788</v>
      </c>
      <c r="AM43">
        <v>4.3887192116263787</v>
      </c>
    </row>
    <row r="44" spans="1:39" x14ac:dyDescent="0.25">
      <c r="A44" s="147">
        <f t="shared" si="0"/>
        <v>2</v>
      </c>
      <c r="C44" s="149">
        <v>1.2499999999999998</v>
      </c>
      <c r="D44" s="2">
        <v>0.36219354489782202</v>
      </c>
      <c r="E44">
        <v>0.39641718664525427</v>
      </c>
      <c r="F44">
        <v>0.43360577868209438</v>
      </c>
      <c r="G44">
        <v>0.71444055728224154</v>
      </c>
      <c r="H44">
        <v>0.77836333719326856</v>
      </c>
      <c r="I44">
        <v>0.8471075386928919</v>
      </c>
      <c r="J44">
        <v>1.5238474647802196</v>
      </c>
      <c r="K44">
        <v>1.6413546085609465</v>
      </c>
      <c r="L44">
        <v>1.7654194373688923</v>
      </c>
      <c r="M44">
        <v>0.36112039778036786</v>
      </c>
      <c r="N44">
        <v>0.3952678340421798</v>
      </c>
      <c r="O44">
        <v>0.43234896676918888</v>
      </c>
      <c r="P44">
        <v>0.71240969028480561</v>
      </c>
      <c r="Q44">
        <v>0.77618197688690915</v>
      </c>
      <c r="R44">
        <v>0.84475911976997087</v>
      </c>
      <c r="S44">
        <v>1.5200266499335582</v>
      </c>
      <c r="T44">
        <v>1.6373090010619653</v>
      </c>
      <c r="U44">
        <v>1.7611200363828909</v>
      </c>
      <c r="V44">
        <v>0.88966666975102959</v>
      </c>
      <c r="W44">
        <v>0.97405999678436872</v>
      </c>
      <c r="X44">
        <v>1.0659695068082489</v>
      </c>
      <c r="Y44">
        <v>1.7613641097810788</v>
      </c>
      <c r="Z44">
        <v>1.9197249946341504</v>
      </c>
      <c r="AA44">
        <v>2.0905657628957077</v>
      </c>
      <c r="AB44">
        <v>3.7878535916802747</v>
      </c>
      <c r="AC44">
        <v>4.0851750464601864</v>
      </c>
      <c r="AD44">
        <v>4.3981295770124094</v>
      </c>
      <c r="AE44">
        <v>0.88913365380520282</v>
      </c>
      <c r="AF44">
        <v>0.973491468928388</v>
      </c>
      <c r="AG44">
        <v>1.0653449667565553</v>
      </c>
      <c r="AH44">
        <v>1.7603872745053946</v>
      </c>
      <c r="AI44">
        <v>1.9186884239371795</v>
      </c>
      <c r="AJ44">
        <v>2.0894496727969907</v>
      </c>
      <c r="AK44">
        <v>3.7861253851817258</v>
      </c>
      <c r="AL44">
        <v>4.0833611334822022</v>
      </c>
      <c r="AM44">
        <v>4.3967101035598137</v>
      </c>
    </row>
    <row r="45" spans="1:39" x14ac:dyDescent="0.25">
      <c r="A45" s="147">
        <f t="shared" si="0"/>
        <v>2</v>
      </c>
      <c r="C45" s="149">
        <v>1.333333333333333</v>
      </c>
      <c r="D45" s="2">
        <v>0.3626818818068086</v>
      </c>
      <c r="E45">
        <v>0.39695169849936351</v>
      </c>
      <c r="F45">
        <v>0.43419026394362215</v>
      </c>
      <c r="G45">
        <v>0.71540431725850206</v>
      </c>
      <c r="H45">
        <v>0.77941420076841239</v>
      </c>
      <c r="I45">
        <v>0.84825167992675254</v>
      </c>
      <c r="J45">
        <v>1.5259093562199415</v>
      </c>
      <c r="K45">
        <v>1.6435765176136687</v>
      </c>
      <c r="L45">
        <v>1.7678116841225682</v>
      </c>
      <c r="M45">
        <v>0.36161044220003191</v>
      </c>
      <c r="N45">
        <v>0.39580431969697405</v>
      </c>
      <c r="O45">
        <v>0.43293557857532006</v>
      </c>
      <c r="P45">
        <v>0.7133768978463273</v>
      </c>
      <c r="Q45">
        <v>0.77723672965599011</v>
      </c>
      <c r="R45">
        <v>0.84590756143972179</v>
      </c>
      <c r="S45">
        <v>1.5220969445293082</v>
      </c>
      <c r="T45">
        <v>1.6395400762467733</v>
      </c>
      <c r="U45">
        <v>1.7635222114375102</v>
      </c>
      <c r="V45">
        <v>0.89125985704037547</v>
      </c>
      <c r="W45">
        <v>0.97580430958894848</v>
      </c>
      <c r="X45">
        <v>1.0678784074145109</v>
      </c>
      <c r="Y45">
        <v>1.7645182013026073</v>
      </c>
      <c r="Z45">
        <v>1.9231626350026756</v>
      </c>
      <c r="AA45">
        <v>2.0943092989556114</v>
      </c>
      <c r="AB45">
        <v>3.7946359909002458</v>
      </c>
      <c r="AC45">
        <v>4.0924897055680249</v>
      </c>
      <c r="AD45">
        <v>4.4060046774494284</v>
      </c>
      <c r="AE45">
        <v>0.89075237737815849</v>
      </c>
      <c r="AF45">
        <v>0.97526377418403998</v>
      </c>
      <c r="AG45">
        <v>1.0672844965692658</v>
      </c>
      <c r="AH45">
        <v>1.7635922241506057</v>
      </c>
      <c r="AI45">
        <v>1.9221815927477883</v>
      </c>
      <c r="AJ45">
        <v>2.0932537438906889</v>
      </c>
      <c r="AK45">
        <v>3.7930186624886519</v>
      </c>
      <c r="AL45">
        <v>4.0907956368661189</v>
      </c>
      <c r="AM45">
        <v>4.4047151236188169</v>
      </c>
    </row>
    <row r="46" spans="1:39" x14ac:dyDescent="0.25">
      <c r="A46" s="147">
        <f t="shared" si="0"/>
        <v>2</v>
      </c>
      <c r="C46" s="149">
        <v>1.4166666666666663</v>
      </c>
      <c r="D46" s="2">
        <v>0.36317130316638507</v>
      </c>
      <c r="E46">
        <v>0.39748739737553107</v>
      </c>
      <c r="F46">
        <v>0.4347760470513411</v>
      </c>
      <c r="G46">
        <v>0.71637021791226618</v>
      </c>
      <c r="H46">
        <v>0.78046739929392084</v>
      </c>
      <c r="I46">
        <v>0.84939836378778577</v>
      </c>
      <c r="J46">
        <v>1.5279758331908551</v>
      </c>
      <c r="K46">
        <v>1.6458033689922462</v>
      </c>
      <c r="L46">
        <v>1.7702092542657764</v>
      </c>
      <c r="M46">
        <v>0.36210157340012267</v>
      </c>
      <c r="N46">
        <v>0.39634199521946389</v>
      </c>
      <c r="O46">
        <v>0.4335234912399627</v>
      </c>
      <c r="P46">
        <v>0.71434625081948633</v>
      </c>
      <c r="Q46">
        <v>0.77829382289004001</v>
      </c>
      <c r="R46">
        <v>0.84705855191581136</v>
      </c>
      <c r="S46">
        <v>1.524171837291332</v>
      </c>
      <c r="T46">
        <v>1.6417761076300263</v>
      </c>
      <c r="U46">
        <v>1.765929724919014</v>
      </c>
      <c r="V46">
        <v>0.89285586195029676</v>
      </c>
      <c r="W46">
        <v>0.97755170727390284</v>
      </c>
      <c r="X46">
        <v>1.0697906839778315</v>
      </c>
      <c r="Y46">
        <v>1.7676778705917391</v>
      </c>
      <c r="Z46">
        <v>1.9266063544653784</v>
      </c>
      <c r="AA46">
        <v>2.0980594549500484</v>
      </c>
      <c r="AB46">
        <v>3.8014303822783715</v>
      </c>
      <c r="AC46">
        <v>4.099817297527192</v>
      </c>
      <c r="AD46">
        <v>4.4138937019458808</v>
      </c>
      <c r="AE46">
        <v>0.89237396343632625</v>
      </c>
      <c r="AF46">
        <v>0.97703921349370093</v>
      </c>
      <c r="AG46">
        <v>1.069227456153327</v>
      </c>
      <c r="AH46">
        <v>1.7668028409371574</v>
      </c>
      <c r="AI46">
        <v>1.9256809382286282</v>
      </c>
      <c r="AJ46">
        <v>2.0970645413072964</v>
      </c>
      <c r="AK46">
        <v>3.7999241269378903</v>
      </c>
      <c r="AL46">
        <v>4.0982432838718816</v>
      </c>
      <c r="AM46">
        <v>4.4127342958802309</v>
      </c>
    </row>
    <row r="47" spans="1:39" x14ac:dyDescent="0.25">
      <c r="A47" s="147">
        <f t="shared" si="0"/>
        <v>2</v>
      </c>
      <c r="C47" s="149">
        <v>1.4999999999999996</v>
      </c>
      <c r="D47" s="2">
        <v>0.36349241328167914</v>
      </c>
      <c r="E47">
        <v>0.39783844564190818</v>
      </c>
      <c r="F47">
        <v>0.43516217080898645</v>
      </c>
      <c r="G47">
        <v>0.71699735995841019</v>
      </c>
      <c r="H47">
        <v>0.78113964640835309</v>
      </c>
      <c r="I47">
        <v>0.85012410493750379</v>
      </c>
      <c r="J47">
        <v>1.5292345482481136</v>
      </c>
      <c r="K47">
        <v>1.6471462852877121</v>
      </c>
      <c r="L47">
        <v>1.7716235568823535</v>
      </c>
      <c r="M47">
        <v>0.36243059980503028</v>
      </c>
      <c r="N47">
        <v>0.39670090214365966</v>
      </c>
      <c r="O47">
        <v>0.43391850170743285</v>
      </c>
      <c r="P47">
        <v>0.71498983622012624</v>
      </c>
      <c r="Q47">
        <v>0.77898345938136615</v>
      </c>
      <c r="R47">
        <v>0.84780313125321949</v>
      </c>
      <c r="S47">
        <v>1.5254656511537759</v>
      </c>
      <c r="T47">
        <v>1.6431572752068939</v>
      </c>
      <c r="U47">
        <v>1.7673866953651967</v>
      </c>
      <c r="V47">
        <v>0.89450437569839192</v>
      </c>
      <c r="W47">
        <v>0.97935640333346397</v>
      </c>
      <c r="X47">
        <v>1.0717656342958812</v>
      </c>
      <c r="Y47">
        <v>1.7709356568866985</v>
      </c>
      <c r="Z47">
        <v>1.9301553609107844</v>
      </c>
      <c r="AA47">
        <v>2.1019227070163957</v>
      </c>
      <c r="AB47">
        <v>3.8084051903828957</v>
      </c>
      <c r="AC47">
        <v>4.1073331085766789</v>
      </c>
      <c r="AD47">
        <v>4.4219900953342144</v>
      </c>
      <c r="AE47">
        <v>0.89399674851710942</v>
      </c>
      <c r="AF47">
        <v>0.97881597651604968</v>
      </c>
      <c r="AG47">
        <v>1.0711718615038466</v>
      </c>
      <c r="AH47">
        <v>1.7700160298224006</v>
      </c>
      <c r="AI47">
        <v>1.9291831496734069</v>
      </c>
      <c r="AJ47">
        <v>2.1008785106991041</v>
      </c>
      <c r="AK47">
        <v>3.8068361539779305</v>
      </c>
      <c r="AL47">
        <v>4.1056982223378204</v>
      </c>
      <c r="AM47">
        <v>4.4207613474540377</v>
      </c>
    </row>
    <row r="48" spans="1:39" x14ac:dyDescent="0.25">
      <c r="A48" s="147">
        <f t="shared" si="0"/>
        <v>2</v>
      </c>
      <c r="C48" s="149">
        <v>1.5833333333333328</v>
      </c>
      <c r="D48" s="2">
        <v>0.36398904120464692</v>
      </c>
      <c r="E48">
        <v>0.39838203260013638</v>
      </c>
      <c r="F48">
        <v>0.43575657895996556</v>
      </c>
      <c r="G48">
        <v>0.71797748469696965</v>
      </c>
      <c r="H48">
        <v>0.78220835726244498</v>
      </c>
      <c r="I48">
        <v>0.85128767948009898</v>
      </c>
      <c r="J48">
        <v>1.5313314758414476</v>
      </c>
      <c r="K48">
        <v>1.6494059536120715</v>
      </c>
      <c r="L48">
        <v>1.7740564671420118</v>
      </c>
      <c r="M48">
        <v>0.36292879000615186</v>
      </c>
      <c r="N48">
        <v>0.39724630595400101</v>
      </c>
      <c r="O48">
        <v>0.43451486413549195</v>
      </c>
      <c r="P48">
        <v>0.7159731230257117</v>
      </c>
      <c r="Q48">
        <v>0.78005575055365362</v>
      </c>
      <c r="R48">
        <v>0.84897067113495117</v>
      </c>
      <c r="S48">
        <v>1.5275703890504191</v>
      </c>
      <c r="T48">
        <v>1.6454254726498263</v>
      </c>
      <c r="U48">
        <v>1.7698288488752756</v>
      </c>
      <c r="V48">
        <v>0.89611201092007386</v>
      </c>
      <c r="W48">
        <v>0.98111653533743937</v>
      </c>
      <c r="X48">
        <v>1.0736918468758627</v>
      </c>
      <c r="Y48">
        <v>1.7741183751221374</v>
      </c>
      <c r="Z48">
        <v>1.9336242081750936</v>
      </c>
      <c r="AA48">
        <v>2.1057002332013046</v>
      </c>
      <c r="AB48">
        <v>3.815249270699304</v>
      </c>
      <c r="AC48">
        <v>4.1147143150170082</v>
      </c>
      <c r="AD48">
        <v>4.4299368227610412</v>
      </c>
      <c r="AE48">
        <v>0.89562387506230667</v>
      </c>
      <c r="AF48">
        <v>0.98059748189791707</v>
      </c>
      <c r="AG48">
        <v>1.0731214595407952</v>
      </c>
      <c r="AH48">
        <v>1.7732376147949078</v>
      </c>
      <c r="AI48">
        <v>1.9326944492092482</v>
      </c>
      <c r="AJ48">
        <v>2.1047023257146789</v>
      </c>
      <c r="AK48">
        <v>3.8137652009401544</v>
      </c>
      <c r="AL48">
        <v>4.1131713017632956</v>
      </c>
      <c r="AM48">
        <v>4.4288079035721371</v>
      </c>
    </row>
    <row r="49" spans="1:39" x14ac:dyDescent="0.25">
      <c r="A49" s="147">
        <f t="shared" si="0"/>
        <v>2</v>
      </c>
      <c r="C49" s="149">
        <v>1.6666666666666661</v>
      </c>
      <c r="D49" s="2">
        <v>0.36448676966967336</v>
      </c>
      <c r="E49">
        <v>0.3989268241903039</v>
      </c>
      <c r="F49">
        <v>0.43635230421020244</v>
      </c>
      <c r="G49">
        <v>0.71895978187204013</v>
      </c>
      <c r="H49">
        <v>0.78327943770424879</v>
      </c>
      <c r="I49">
        <v>0.8524538343792073</v>
      </c>
      <c r="J49">
        <v>1.533433057014312</v>
      </c>
      <c r="K49">
        <v>1.6516706376052515</v>
      </c>
      <c r="L49">
        <v>1.7764947797957642</v>
      </c>
      <c r="M49">
        <v>0.36342808291063478</v>
      </c>
      <c r="N49">
        <v>0.39779291706374709</v>
      </c>
      <c r="O49">
        <v>0.43511254648152387</v>
      </c>
      <c r="P49">
        <v>0.71695858667330303</v>
      </c>
      <c r="Q49">
        <v>0.78113041648016557</v>
      </c>
      <c r="R49">
        <v>0.85014079716806168</v>
      </c>
      <c r="S49">
        <v>1.5296797924999639</v>
      </c>
      <c r="T49">
        <v>1.647698698913735</v>
      </c>
      <c r="U49">
        <v>1.7722764190416198</v>
      </c>
      <c r="V49">
        <v>0.89772248858374382</v>
      </c>
      <c r="W49">
        <v>0.98287977939738669</v>
      </c>
      <c r="X49">
        <v>1.0756214651550442</v>
      </c>
      <c r="Y49">
        <v>1.7773067203062767</v>
      </c>
      <c r="Z49">
        <v>1.9370991881483342</v>
      </c>
      <c r="AA49">
        <v>2.1094844377205009</v>
      </c>
      <c r="AB49">
        <v>3.8221054491523954</v>
      </c>
      <c r="AC49">
        <v>4.1221085686491916</v>
      </c>
      <c r="AD49">
        <v>4.4378975973127126</v>
      </c>
      <c r="AE49">
        <v>0.8972538784049513</v>
      </c>
      <c r="AF49">
        <v>0.98238213700341404</v>
      </c>
      <c r="AG49">
        <v>1.0750745044975769</v>
      </c>
      <c r="AH49">
        <v>1.7764648952385276</v>
      </c>
      <c r="AI49">
        <v>1.9362119562910447</v>
      </c>
      <c r="AJ49">
        <v>2.1085329006709173</v>
      </c>
      <c r="AK49">
        <v>3.8207064959309003</v>
      </c>
      <c r="AL49">
        <v>4.1206575904692926</v>
      </c>
      <c r="AM49">
        <v>4.436868682586387</v>
      </c>
    </row>
    <row r="50" spans="1:39" x14ac:dyDescent="0.25">
      <c r="A50" s="147">
        <f t="shared" si="0"/>
        <v>2</v>
      </c>
      <c r="C50" s="149">
        <v>1.7499999999999993</v>
      </c>
      <c r="D50" s="2">
        <v>0.36498560108426747</v>
      </c>
      <c r="E50">
        <v>0.39947282305195064</v>
      </c>
      <c r="F50">
        <v>0.43694934944470942</v>
      </c>
      <c r="G50">
        <v>0.71994425624543612</v>
      </c>
      <c r="H50">
        <v>0.78435289293130217</v>
      </c>
      <c r="I50">
        <v>0.85362257528371766</v>
      </c>
      <c r="J50">
        <v>1.5355393019585288</v>
      </c>
      <c r="K50">
        <v>1.6539403482606665</v>
      </c>
      <c r="L50">
        <v>1.7789385066803787</v>
      </c>
      <c r="M50">
        <v>0.36392848094232422</v>
      </c>
      <c r="N50">
        <v>0.39834073812924653</v>
      </c>
      <c r="O50">
        <v>0.43571155164604769</v>
      </c>
      <c r="P50">
        <v>0.71794623194733598</v>
      </c>
      <c r="Q50">
        <v>0.78220746238727701</v>
      </c>
      <c r="R50">
        <v>0.85131351503868058</v>
      </c>
      <c r="S50">
        <v>1.5317938717592159</v>
      </c>
      <c r="T50">
        <v>1.6499769650689609</v>
      </c>
      <c r="U50">
        <v>1.7747294177871518</v>
      </c>
      <c r="V50">
        <v>0.89933581352746872</v>
      </c>
      <c r="W50">
        <v>0.98464614081279822</v>
      </c>
      <c r="X50">
        <v>1.0775544949308018</v>
      </c>
      <c r="Y50">
        <v>1.7805007020154571</v>
      </c>
      <c r="Z50">
        <v>1.9405803112669859</v>
      </c>
      <c r="AA50">
        <v>2.1132753319363693</v>
      </c>
      <c r="AB50">
        <v>3.828973746323884</v>
      </c>
      <c r="AC50">
        <v>4.1295158916646875</v>
      </c>
      <c r="AD50">
        <v>4.4458724428878149</v>
      </c>
      <c r="AE50">
        <v>0.8988867634499379</v>
      </c>
      <c r="AF50">
        <v>0.98416994720034989</v>
      </c>
      <c r="AG50">
        <v>1.0770310022469887</v>
      </c>
      <c r="AH50">
        <v>1.7796978808610202</v>
      </c>
      <c r="AI50">
        <v>1.9397356814980209</v>
      </c>
      <c r="AJ50">
        <v>2.1123702470862957</v>
      </c>
      <c r="AK50">
        <v>3.8276600598103938</v>
      </c>
      <c r="AL50">
        <v>4.1281571109606974</v>
      </c>
      <c r="AM50">
        <v>4.444943708723005</v>
      </c>
    </row>
    <row r="51" spans="1:39" x14ac:dyDescent="0.25">
      <c r="A51" s="147">
        <f t="shared" si="0"/>
        <v>2</v>
      </c>
      <c r="C51" s="149">
        <v>1.8333333333333326</v>
      </c>
      <c r="D51" s="2">
        <v>0.3654855378683749</v>
      </c>
      <c r="E51">
        <v>0.40002003182964985</v>
      </c>
      <c r="F51">
        <v>0.43754771755727445</v>
      </c>
      <c r="G51">
        <v>0.7209309125876795</v>
      </c>
      <c r="H51">
        <v>0.78542872814455511</v>
      </c>
      <c r="I51">
        <v>0.85479390786631448</v>
      </c>
      <c r="J51">
        <v>1.5376502208959937</v>
      </c>
      <c r="K51">
        <v>1.6562150965994207</v>
      </c>
      <c r="L51">
        <v>1.7813876596727458</v>
      </c>
      <c r="M51">
        <v>0.36442998653307535</v>
      </c>
      <c r="N51">
        <v>0.39888977180812885</v>
      </c>
      <c r="O51">
        <v>0.43631188253934083</v>
      </c>
      <c r="P51">
        <v>0.71893606364766993</v>
      </c>
      <c r="Q51">
        <v>0.78328689350403513</v>
      </c>
      <c r="R51">
        <v>0.85248883044650881</v>
      </c>
      <c r="S51">
        <v>1.5339126371162832</v>
      </c>
      <c r="T51">
        <v>1.6522602822025683</v>
      </c>
      <c r="U51">
        <v>1.7771878570517552</v>
      </c>
      <c r="V51">
        <v>0.90095199059909015</v>
      </c>
      <c r="W51">
        <v>0.98641562488992696</v>
      </c>
      <c r="X51">
        <v>1.0794909420108563</v>
      </c>
      <c r="Y51">
        <v>1.783700329844744</v>
      </c>
      <c r="Z51">
        <v>1.944067587988445</v>
      </c>
      <c r="AA51">
        <v>2.1170729272370261</v>
      </c>
      <c r="AB51">
        <v>3.8358541828303352</v>
      </c>
      <c r="AC51">
        <v>4.1369363062916422</v>
      </c>
      <c r="AD51">
        <v>4.4538613834199392</v>
      </c>
      <c r="AE51">
        <v>0.90052253510931568</v>
      </c>
      <c r="AF51">
        <v>0.98596091786861673</v>
      </c>
      <c r="AG51">
        <v>1.0789909586771511</v>
      </c>
      <c r="AH51">
        <v>1.7829365813866824</v>
      </c>
      <c r="AI51">
        <v>1.9432656354267543</v>
      </c>
      <c r="AJ51">
        <v>2.1162143765041526</v>
      </c>
      <c r="AK51">
        <v>3.8346259134909664</v>
      </c>
      <c r="AL51">
        <v>4.1356698857800662</v>
      </c>
      <c r="AM51">
        <v>4.453033006258952</v>
      </c>
    </row>
    <row r="52" spans="1:39" x14ac:dyDescent="0.25">
      <c r="A52" s="147">
        <f t="shared" si="0"/>
        <v>2</v>
      </c>
      <c r="C52" s="149">
        <v>1.9166666666666659</v>
      </c>
      <c r="D52" s="2">
        <v>0.36598658244049698</v>
      </c>
      <c r="E52">
        <v>0.40056845317469469</v>
      </c>
      <c r="F52">
        <v>0.43814741144571312</v>
      </c>
      <c r="G52">
        <v>0.72191975567731448</v>
      </c>
      <c r="H52">
        <v>0.78650694855850734</v>
      </c>
      <c r="I52">
        <v>0.85596783780315322</v>
      </c>
      <c r="J52">
        <v>1.5397658240772956</v>
      </c>
      <c r="K52">
        <v>1.658494893656743</v>
      </c>
      <c r="L52">
        <v>1.7838422506573584</v>
      </c>
      <c r="M52">
        <v>0.36493260211631628</v>
      </c>
      <c r="N52">
        <v>0.3994400207697878</v>
      </c>
      <c r="O52">
        <v>0.4369135420756754</v>
      </c>
      <c r="P52">
        <v>0.71992808658009921</v>
      </c>
      <c r="Q52">
        <v>0.7843687150783929</v>
      </c>
      <c r="R52">
        <v>0.85366674910616136</v>
      </c>
      <c r="S52">
        <v>1.5360360988729538</v>
      </c>
      <c r="T52">
        <v>1.6545486614142524</v>
      </c>
      <c r="U52">
        <v>1.779651748800368</v>
      </c>
      <c r="V52">
        <v>0.90257102465370909</v>
      </c>
      <c r="W52">
        <v>0.98818823694418367</v>
      </c>
      <c r="X52">
        <v>1.0814308122122753</v>
      </c>
      <c r="Y52">
        <v>1.7869056134035857</v>
      </c>
      <c r="Z52">
        <v>1.9475610287829563</v>
      </c>
      <c r="AA52">
        <v>2.1208772350248619</v>
      </c>
      <c r="AB52">
        <v>3.8427467793232424</v>
      </c>
      <c r="AC52">
        <v>4.1443698348139622</v>
      </c>
      <c r="AD52">
        <v>4.4618644428926713</v>
      </c>
      <c r="AE52">
        <v>0.9021611983036667</v>
      </c>
      <c r="AF52">
        <v>0.98775505439514588</v>
      </c>
      <c r="AG52">
        <v>1.0809543796823886</v>
      </c>
      <c r="AH52">
        <v>1.7861810065557211</v>
      </c>
      <c r="AI52">
        <v>1.9468018286939408</v>
      </c>
      <c r="AJ52">
        <v>2.1200653004825818</v>
      </c>
      <c r="AK52">
        <v>3.8416040778978804</v>
      </c>
      <c r="AL52">
        <v>4.1431959374996117</v>
      </c>
      <c r="AM52">
        <v>4.4611365995017387</v>
      </c>
    </row>
    <row r="53" spans="1:39" x14ac:dyDescent="0.25">
      <c r="A53" s="147">
        <f t="shared" si="0"/>
        <v>2</v>
      </c>
      <c r="C53" s="149">
        <v>1.9999999999999991</v>
      </c>
      <c r="D53" s="2">
        <v>0.36648873723020559</v>
      </c>
      <c r="E53">
        <v>0.40111808974272134</v>
      </c>
      <c r="F53">
        <v>0.43874843401288188</v>
      </c>
      <c r="G53">
        <v>0.72291079030766414</v>
      </c>
      <c r="H53">
        <v>0.7875875593984889</v>
      </c>
      <c r="I53">
        <v>0.85714437078332639</v>
      </c>
      <c r="J53">
        <v>1.5418861217559752</v>
      </c>
      <c r="K53">
        <v>1.6607797504941424</v>
      </c>
      <c r="L53">
        <v>1.7863022915587756</v>
      </c>
      <c r="M53">
        <v>0.36543633013212029</v>
      </c>
      <c r="N53">
        <v>0.3999914876821769</v>
      </c>
      <c r="O53">
        <v>0.43751653317601952</v>
      </c>
      <c r="P53">
        <v>0.72092230556378967</v>
      </c>
      <c r="Q53">
        <v>0.78545293236501101</v>
      </c>
      <c r="R53">
        <v>0.85484727673767757</v>
      </c>
      <c r="S53">
        <v>1.5381642673649718</v>
      </c>
      <c r="T53">
        <v>1.6568421138447516</v>
      </c>
      <c r="U53">
        <v>1.7821211050229619</v>
      </c>
      <c r="V53">
        <v>0.90419292055438671</v>
      </c>
      <c r="W53">
        <v>0.9899639823001658</v>
      </c>
      <c r="X53">
        <v>1.0833741113621838</v>
      </c>
      <c r="Y53">
        <v>1.7901165623161859</v>
      </c>
      <c r="Z53">
        <v>1.9510606441438172</v>
      </c>
      <c r="AA53">
        <v>2.1246882667226954</v>
      </c>
      <c r="AB53">
        <v>3.8496515564945577</v>
      </c>
      <c r="AC53">
        <v>4.1518164995239877</v>
      </c>
      <c r="AD53">
        <v>4.4698816453207391</v>
      </c>
      <c r="AE53">
        <v>0.9038027579621285</v>
      </c>
      <c r="AF53">
        <v>0.9895523621759541</v>
      </c>
      <c r="AG53">
        <v>1.082921271170028</v>
      </c>
      <c r="AH53">
        <v>1.7894311661246334</v>
      </c>
      <c r="AI53">
        <v>1.950344271932372</v>
      </c>
      <c r="AJ53">
        <v>2.123923030599232</v>
      </c>
      <c r="AK53">
        <v>3.8485945740087084</v>
      </c>
      <c r="AL53">
        <v>4.1507352887402558</v>
      </c>
      <c r="AM53">
        <v>4.4692545128030758</v>
      </c>
    </row>
    <row r="54" spans="1:39" x14ac:dyDescent="0.25">
      <c r="A54" s="147">
        <f t="shared" si="0"/>
        <v>3</v>
      </c>
      <c r="C54" s="149">
        <v>2.0833333333333326</v>
      </c>
      <c r="D54" s="2">
        <v>0.49753238351522378</v>
      </c>
      <c r="E54">
        <v>0.54454154188336079</v>
      </c>
      <c r="F54">
        <v>0.59563996253966478</v>
      </c>
      <c r="G54">
        <v>0.98136060799865454</v>
      </c>
      <c r="H54">
        <v>1.0690933678975427</v>
      </c>
      <c r="I54">
        <v>1.1634760657040901</v>
      </c>
      <c r="J54">
        <v>2.0926511831351662</v>
      </c>
      <c r="K54">
        <v>2.2539358453586193</v>
      </c>
      <c r="L54">
        <v>2.4241066695202536</v>
      </c>
      <c r="M54">
        <v>0.49614884853496943</v>
      </c>
      <c r="N54">
        <v>0.54305658017267078</v>
      </c>
      <c r="O54">
        <v>0.59401788087182672</v>
      </c>
      <c r="P54">
        <v>0.97875501911839158</v>
      </c>
      <c r="Q54">
        <v>1.066294925458019</v>
      </c>
      <c r="R54">
        <v>1.1604654385600042</v>
      </c>
      <c r="S54">
        <v>2.087799634938833</v>
      </c>
      <c r="T54">
        <v>2.2488097313545969</v>
      </c>
      <c r="U54">
        <v>2.4186767145574928</v>
      </c>
      <c r="V54">
        <v>0.99004635197192314</v>
      </c>
      <c r="W54">
        <v>1.0839606891643296</v>
      </c>
      <c r="X54">
        <v>1.1862399582154475</v>
      </c>
      <c r="Y54">
        <v>1.9600668877313538</v>
      </c>
      <c r="Z54">
        <v>2.1362845175892975</v>
      </c>
      <c r="AA54">
        <v>2.3263896299327174</v>
      </c>
      <c r="AB54">
        <v>4.2150157876527272</v>
      </c>
      <c r="AC54">
        <v>4.5458349124878268</v>
      </c>
      <c r="AD54">
        <v>4.8941029960047384</v>
      </c>
      <c r="AE54">
        <v>0.98962353828996852</v>
      </c>
      <c r="AF54">
        <v>1.0835143978625865</v>
      </c>
      <c r="AG54">
        <v>1.1857493562051515</v>
      </c>
      <c r="AH54">
        <v>1.9593267419692282</v>
      </c>
      <c r="AI54">
        <v>2.135511176289782</v>
      </c>
      <c r="AJ54">
        <v>2.3255644083653264</v>
      </c>
      <c r="AK54">
        <v>4.2138899078668892</v>
      </c>
      <c r="AL54">
        <v>4.5446869600297788</v>
      </c>
      <c r="AM54">
        <v>4.8934343644714797</v>
      </c>
    </row>
    <row r="55" spans="1:39" x14ac:dyDescent="0.25">
      <c r="A55" s="147">
        <f t="shared" si="0"/>
        <v>3</v>
      </c>
      <c r="C55" s="149">
        <v>2.1666666666666661</v>
      </c>
      <c r="D55" s="2">
        <v>0.49814639539900485</v>
      </c>
      <c r="E55">
        <v>0.54521359905528299</v>
      </c>
      <c r="F55">
        <v>0.59637492132122971</v>
      </c>
      <c r="G55">
        <v>0.98257219410813412</v>
      </c>
      <c r="H55">
        <v>1.0704141036815642</v>
      </c>
      <c r="I55">
        <v>1.1649138458440134</v>
      </c>
      <c r="J55">
        <v>2.0952407542301352</v>
      </c>
      <c r="K55">
        <v>2.2567259755350406</v>
      </c>
      <c r="L55">
        <v>2.4271097384030993</v>
      </c>
      <c r="M55">
        <v>0.49676547348633815</v>
      </c>
      <c r="N55">
        <v>0.54373160164104162</v>
      </c>
      <c r="O55">
        <v>0.59475605282328081</v>
      </c>
      <c r="P55">
        <v>0.97997187851734946</v>
      </c>
      <c r="Q55">
        <v>1.0676215453520228</v>
      </c>
      <c r="R55">
        <v>1.1619096986367556</v>
      </c>
      <c r="S55">
        <v>2.0904016864690975</v>
      </c>
      <c r="T55">
        <v>2.2516134497127833</v>
      </c>
      <c r="U55">
        <v>2.4216945067168529</v>
      </c>
      <c r="V55">
        <v>0.99197275191731782</v>
      </c>
      <c r="W55">
        <v>1.0860698171295144</v>
      </c>
      <c r="X55">
        <v>1.1885480959391324</v>
      </c>
      <c r="Y55">
        <v>1.9638804950907565</v>
      </c>
      <c r="Z55">
        <v>2.1404409188881823</v>
      </c>
      <c r="AA55">
        <v>2.3309158431961734</v>
      </c>
      <c r="AB55">
        <v>4.2232155514299254</v>
      </c>
      <c r="AC55">
        <v>4.5546779946156173</v>
      </c>
      <c r="AD55">
        <v>4.9036237532090734</v>
      </c>
      <c r="AE55">
        <v>0.9915715322449502</v>
      </c>
      <c r="AF55">
        <v>1.085647203128044</v>
      </c>
      <c r="AG55">
        <v>1.1880834035957941</v>
      </c>
      <c r="AH55">
        <v>1.9631834229982328</v>
      </c>
      <c r="AI55">
        <v>2.1397146234719893</v>
      </c>
      <c r="AJ55">
        <v>2.3301419235485783</v>
      </c>
      <c r="AK55">
        <v>4.2221839088657394</v>
      </c>
      <c r="AL55">
        <v>4.5536319505118783</v>
      </c>
      <c r="AM55">
        <v>4.9030657565307747</v>
      </c>
    </row>
    <row r="56" spans="1:39" x14ac:dyDescent="0.25">
      <c r="A56" s="147">
        <f t="shared" si="0"/>
        <v>3</v>
      </c>
      <c r="C56" s="149">
        <v>2.2499999999999996</v>
      </c>
      <c r="D56" s="2">
        <v>0.49876155159979385</v>
      </c>
      <c r="E56">
        <v>0.54588690876350565</v>
      </c>
      <c r="F56">
        <v>0.59711124965240892</v>
      </c>
      <c r="G56">
        <v>0.98378603885465921</v>
      </c>
      <c r="H56">
        <v>1.0717373026957286</v>
      </c>
      <c r="I56">
        <v>1.1663543081087848</v>
      </c>
      <c r="J56">
        <v>2.0978351608296206</v>
      </c>
      <c r="K56">
        <v>2.2595213170331014</v>
      </c>
      <c r="L56">
        <v>2.430118419386071</v>
      </c>
      <c r="M56">
        <v>0.49738324596322236</v>
      </c>
      <c r="N56">
        <v>0.54440787944051472</v>
      </c>
      <c r="O56">
        <v>0.59549559838392674</v>
      </c>
      <c r="P56">
        <v>0.98119100304527118</v>
      </c>
      <c r="Q56">
        <v>1.0689506359079881</v>
      </c>
      <c r="R56">
        <v>1.1633566490936127</v>
      </c>
      <c r="S56">
        <v>2.0930085899596356</v>
      </c>
      <c r="T56">
        <v>2.2544223973798099</v>
      </c>
      <c r="U56">
        <v>2.4247179304707207</v>
      </c>
      <c r="V56">
        <v>0.99390282799170326</v>
      </c>
      <c r="W56">
        <v>1.0881829698936427</v>
      </c>
      <c r="X56">
        <v>1.1908606382229072</v>
      </c>
      <c r="Y56">
        <v>1.9677013790706694</v>
      </c>
      <c r="Z56">
        <v>2.1446052506428499</v>
      </c>
      <c r="AA56">
        <v>2.3354506922935214</v>
      </c>
      <c r="AB56">
        <v>4.2314309564762658</v>
      </c>
      <c r="AC56">
        <v>4.5635379442360433</v>
      </c>
      <c r="AD56">
        <v>4.9131626712122953</v>
      </c>
      <c r="AE56">
        <v>0.99352324308825124</v>
      </c>
      <c r="AF56">
        <v>1.0877840778671035</v>
      </c>
      <c r="AG56">
        <v>1.1904219044488582</v>
      </c>
      <c r="AH56">
        <v>1.967047461964774</v>
      </c>
      <c r="AI56">
        <v>2.1439260899020685</v>
      </c>
      <c r="AJ56">
        <v>2.3347281713993371</v>
      </c>
      <c r="AK56">
        <v>4.2304937291360085</v>
      </c>
      <c r="AL56">
        <v>4.5625940010031663</v>
      </c>
      <c r="AM56">
        <v>4.912715517596606</v>
      </c>
    </row>
    <row r="57" spans="1:39" x14ac:dyDescent="0.25">
      <c r="A57" s="147">
        <f t="shared" si="0"/>
        <v>3</v>
      </c>
      <c r="C57" s="149">
        <v>2.333333333333333</v>
      </c>
      <c r="D57" s="2">
        <v>0.49937785445595967</v>
      </c>
      <c r="E57">
        <v>0.54656147356589768</v>
      </c>
      <c r="F57">
        <v>0.59784895033024199</v>
      </c>
      <c r="G57">
        <v>0.9850021468514778</v>
      </c>
      <c r="H57">
        <v>1.0730629699809007</v>
      </c>
      <c r="I57">
        <v>1.1677974579819794</v>
      </c>
      <c r="J57">
        <v>2.1004344128254586</v>
      </c>
      <c r="K57">
        <v>2.2623218805020118</v>
      </c>
      <c r="L57">
        <v>2.4331327239388081</v>
      </c>
      <c r="M57">
        <v>0.49800216831704347</v>
      </c>
      <c r="N57">
        <v>0.54508541614396</v>
      </c>
      <c r="O57">
        <v>0.59623652036694108</v>
      </c>
      <c r="P57">
        <v>0.98241239734500518</v>
      </c>
      <c r="Q57">
        <v>1.0702822021888152</v>
      </c>
      <c r="R57">
        <v>1.1648062954458365</v>
      </c>
      <c r="S57">
        <v>2.0956203553473824</v>
      </c>
      <c r="T57">
        <v>2.2572365850779987</v>
      </c>
      <c r="U57">
        <v>2.4277469973669588</v>
      </c>
      <c r="V57">
        <v>0.99583658699069477</v>
      </c>
      <c r="W57">
        <v>1.0903001548973379</v>
      </c>
      <c r="X57">
        <v>1.1931775932093334</v>
      </c>
      <c r="Y57">
        <v>1.9715295531206638</v>
      </c>
      <c r="Z57">
        <v>2.1487775275116823</v>
      </c>
      <c r="AA57">
        <v>2.3399941931860475</v>
      </c>
      <c r="AB57">
        <v>4.2396620316905702</v>
      </c>
      <c r="AC57">
        <v>4.5724147925156142</v>
      </c>
      <c r="AD57">
        <v>4.922719783553787</v>
      </c>
      <c r="AE57">
        <v>0.99547867769636844</v>
      </c>
      <c r="AF57">
        <v>1.0899250296079255</v>
      </c>
      <c r="AG57">
        <v>1.192764867003218</v>
      </c>
      <c r="AH57">
        <v>1.9709188724764166</v>
      </c>
      <c r="AI57">
        <v>2.1481455904092424</v>
      </c>
      <c r="AJ57">
        <v>2.3393231680721245</v>
      </c>
      <c r="AK57">
        <v>4.2388193979179798</v>
      </c>
      <c r="AL57">
        <v>4.5715731430368969</v>
      </c>
      <c r="AM57">
        <v>4.9223836816102251</v>
      </c>
    </row>
    <row r="58" spans="1:39" x14ac:dyDescent="0.25">
      <c r="A58" s="147">
        <f t="shared" si="0"/>
        <v>3</v>
      </c>
      <c r="C58" s="149">
        <v>2.4166666666666665</v>
      </c>
      <c r="D58" s="2">
        <v>0.49999530630777933</v>
      </c>
      <c r="E58">
        <v>0.54723729602586868</v>
      </c>
      <c r="F58">
        <v>0.59858802615786189</v>
      </c>
      <c r="G58">
        <v>0.9862205227238926</v>
      </c>
      <c r="H58">
        <v>1.0743911105736148</v>
      </c>
      <c r="I58">
        <v>1.1692433009507694</v>
      </c>
      <c r="J58">
        <v>2.1030385201133619</v>
      </c>
      <c r="K58">
        <v>2.2651276766190946</v>
      </c>
      <c r="L58">
        <v>2.4361526635642292</v>
      </c>
      <c r="M58">
        <v>0.49862224290380375</v>
      </c>
      <c r="N58">
        <v>0.54576421433110245</v>
      </c>
      <c r="O58">
        <v>0.5969788215915548</v>
      </c>
      <c r="P58">
        <v>0.98363606606596765</v>
      </c>
      <c r="Q58">
        <v>1.0716162492658703</v>
      </c>
      <c r="R58">
        <v>1.1662586432169473</v>
      </c>
      <c r="S58">
        <v>2.0982369926122502</v>
      </c>
      <c r="T58">
        <v>2.2600560235481266</v>
      </c>
      <c r="U58">
        <v>2.4307817189689285</v>
      </c>
      <c r="V58">
        <v>0.99777403572426793</v>
      </c>
      <c r="W58">
        <v>1.0924213795955697</v>
      </c>
      <c r="X58">
        <v>1.1954989690576534</v>
      </c>
      <c r="Y58">
        <v>1.9753650307161261</v>
      </c>
      <c r="Z58">
        <v>2.1529577641757029</v>
      </c>
      <c r="AA58">
        <v>2.3445463618617546</v>
      </c>
      <c r="AB58">
        <v>4.2479088060141645</v>
      </c>
      <c r="AC58">
        <v>4.581308570656061</v>
      </c>
      <c r="AD58">
        <v>4.9322951238518975</v>
      </c>
      <c r="AE58">
        <v>0.99743784295638038</v>
      </c>
      <c r="AF58">
        <v>1.0920700658902511</v>
      </c>
      <c r="AG58">
        <v>1.195112299511994</v>
      </c>
      <c r="AH58">
        <v>1.9747976681667838</v>
      </c>
      <c r="AI58">
        <v>2.1523731398506651</v>
      </c>
      <c r="AJ58">
        <v>2.343926929739232</v>
      </c>
      <c r="AK58">
        <v>4.2471609445104921</v>
      </c>
      <c r="AL58">
        <v>4.5805694081962143</v>
      </c>
      <c r="AM58">
        <v>4.9320702825942115</v>
      </c>
    </row>
    <row r="59" spans="1:39" x14ac:dyDescent="0.25">
      <c r="A59" s="147">
        <f t="shared" si="0"/>
        <v>3</v>
      </c>
      <c r="C59" s="149">
        <v>2.5</v>
      </c>
      <c r="D59" s="2">
        <v>1.5187169118853254</v>
      </c>
      <c r="E59">
        <v>1.6620781070739361</v>
      </c>
      <c r="F59">
        <v>1.8180289921641819</v>
      </c>
      <c r="G59">
        <v>2.9932107126628287</v>
      </c>
      <c r="H59">
        <v>3.2597953115901905</v>
      </c>
      <c r="I59">
        <v>3.5467938597808906</v>
      </c>
      <c r="J59">
        <v>6.3690592878118277</v>
      </c>
      <c r="K59">
        <v>6.8578980899172493</v>
      </c>
      <c r="L59">
        <v>7.3725242643185354</v>
      </c>
      <c r="M59">
        <v>1.5177138393991911</v>
      </c>
      <c r="N59">
        <v>1.6610241484979538</v>
      </c>
      <c r="O59">
        <v>1.8168963513162542</v>
      </c>
      <c r="P59">
        <v>2.9916388909382223</v>
      </c>
      <c r="Q59">
        <v>3.2581789719019403</v>
      </c>
      <c r="R59">
        <v>3.5451349990944778</v>
      </c>
      <c r="S59">
        <v>6.367783426967188</v>
      </c>
      <c r="T59">
        <v>6.8568365292766087</v>
      </c>
      <c r="U59">
        <v>7.3717142353226111</v>
      </c>
      <c r="V59">
        <v>1.8449319176888566</v>
      </c>
      <c r="W59">
        <v>2.0202920769128587</v>
      </c>
      <c r="X59">
        <v>2.2113609821246851</v>
      </c>
      <c r="Y59">
        <v>3.6592784806119409</v>
      </c>
      <c r="Z59">
        <v>3.9896432698428987</v>
      </c>
      <c r="AA59">
        <v>4.3463644126478433</v>
      </c>
      <c r="AB59">
        <v>7.9095405158847827</v>
      </c>
      <c r="AC59">
        <v>8.5376442915445772</v>
      </c>
      <c r="AD59">
        <v>9.2013945642034329</v>
      </c>
      <c r="AE59">
        <v>1.845099034681343</v>
      </c>
      <c r="AF59">
        <v>2.0204964089991582</v>
      </c>
      <c r="AG59">
        <v>2.2115881084475628</v>
      </c>
      <c r="AH59">
        <v>3.659799080293296</v>
      </c>
      <c r="AI59">
        <v>3.9902623133530581</v>
      </c>
      <c r="AJ59">
        <v>4.3470773418511213</v>
      </c>
      <c r="AK59">
        <v>7.9115900650206408</v>
      </c>
      <c r="AL59">
        <v>8.539996011691505</v>
      </c>
      <c r="AM59">
        <v>9.2045208065642186</v>
      </c>
    </row>
    <row r="60" spans="1:39" x14ac:dyDescent="0.25">
      <c r="A60" s="147">
        <f t="shared" si="0"/>
        <v>3</v>
      </c>
      <c r="C60" s="149">
        <v>2.5833333333333335</v>
      </c>
      <c r="D60" s="2">
        <v>1.5183522229964879</v>
      </c>
      <c r="E60">
        <v>1.6616748819447125</v>
      </c>
      <c r="F60">
        <v>1.8175826699116802</v>
      </c>
      <c r="G60">
        <v>2.9924117071927006</v>
      </c>
      <c r="H60">
        <v>3.258909475778589</v>
      </c>
      <c r="I60">
        <v>3.5458103868591411</v>
      </c>
      <c r="J60">
        <v>6.3668902126309721</v>
      </c>
      <c r="K60">
        <v>6.8554766568475962</v>
      </c>
      <c r="L60">
        <v>7.3698215361237001</v>
      </c>
      <c r="M60">
        <v>1.5173527941399056</v>
      </c>
      <c r="N60">
        <v>1.6606250225064345</v>
      </c>
      <c r="O60">
        <v>1.8164544861511651</v>
      </c>
      <c r="P60">
        <v>2.9908472448837795</v>
      </c>
      <c r="Q60">
        <v>3.2573013087399305</v>
      </c>
      <c r="R60">
        <v>3.544160513042014</v>
      </c>
      <c r="S60">
        <v>6.3656316809112159</v>
      </c>
      <c r="T60">
        <v>6.8544339814642541</v>
      </c>
      <c r="U60">
        <v>7.3690320001408258</v>
      </c>
      <c r="V60">
        <v>1.8443565452350577</v>
      </c>
      <c r="W60">
        <v>2.019647017836804</v>
      </c>
      <c r="X60">
        <v>2.2106368378755534</v>
      </c>
      <c r="Y60">
        <v>3.6578452221192799</v>
      </c>
      <c r="Z60">
        <v>3.9880196342649237</v>
      </c>
      <c r="AA60">
        <v>4.3445225659633655</v>
      </c>
      <c r="AB60">
        <v>7.9047184664169876</v>
      </c>
      <c r="AC60">
        <v>8.5321277669196149</v>
      </c>
      <c r="AD60">
        <v>9.1950787522313533</v>
      </c>
      <c r="AE60">
        <v>1.8445421329983929</v>
      </c>
      <c r="AF60">
        <v>2.0198716076919316</v>
      </c>
      <c r="AG60">
        <v>2.210886131288949</v>
      </c>
      <c r="AH60">
        <v>3.6584026880885316</v>
      </c>
      <c r="AI60">
        <v>3.9886789518837884</v>
      </c>
      <c r="AJ60">
        <v>4.3452794142649633</v>
      </c>
      <c r="AK60">
        <v>7.9068486945711518</v>
      </c>
      <c r="AL60">
        <v>8.5345667191869428</v>
      </c>
      <c r="AM60">
        <v>9.1982999415032936</v>
      </c>
    </row>
    <row r="61" spans="1:39" x14ac:dyDescent="0.25">
      <c r="A61" s="147">
        <f t="shared" si="0"/>
        <v>3</v>
      </c>
      <c r="C61" s="149">
        <v>2.666666666666667</v>
      </c>
      <c r="D61" s="2">
        <v>1.5179881730856786</v>
      </c>
      <c r="E61">
        <v>1.6612723637268445</v>
      </c>
      <c r="F61">
        <v>1.8171371294697076</v>
      </c>
      <c r="G61">
        <v>2.9916141201444133</v>
      </c>
      <c r="H61">
        <v>3.2580252238356544</v>
      </c>
      <c r="I61">
        <v>3.5448286833290039</v>
      </c>
      <c r="J61">
        <v>6.3647253807779531</v>
      </c>
      <c r="K61">
        <v>6.8530600592538828</v>
      </c>
      <c r="L61">
        <v>7.3671243400587043</v>
      </c>
      <c r="M61">
        <v>1.5169923823946263</v>
      </c>
      <c r="N61">
        <v>1.660226597646381</v>
      </c>
      <c r="O61">
        <v>1.8160133962940299</v>
      </c>
      <c r="P61">
        <v>2.9900570052075413</v>
      </c>
      <c r="Q61">
        <v>3.2564252163498848</v>
      </c>
      <c r="R61">
        <v>3.5431877819353708</v>
      </c>
      <c r="S61">
        <v>6.3634841465207792</v>
      </c>
      <c r="T61">
        <v>6.8520362337647267</v>
      </c>
      <c r="U61">
        <v>7.366355257415842</v>
      </c>
      <c r="V61">
        <v>1.8437803759026374</v>
      </c>
      <c r="W61">
        <v>2.0190010946814585</v>
      </c>
      <c r="X61">
        <v>2.2099117584272419</v>
      </c>
      <c r="Y61">
        <v>3.656410576559133</v>
      </c>
      <c r="Z61">
        <v>3.9863945342498299</v>
      </c>
      <c r="AA61">
        <v>4.3426791840918106</v>
      </c>
      <c r="AB61">
        <v>7.8998952160536842</v>
      </c>
      <c r="AC61">
        <v>8.5266103741409331</v>
      </c>
      <c r="AD61">
        <v>9.1887625465665916</v>
      </c>
      <c r="AE61">
        <v>1.8439844178536251</v>
      </c>
      <c r="AF61">
        <v>2.0192459238072797</v>
      </c>
      <c r="AG61">
        <v>2.2101831982340134</v>
      </c>
      <c r="AH61">
        <v>3.6570048690134023</v>
      </c>
      <c r="AI61">
        <v>3.9870940811598277</v>
      </c>
      <c r="AJ61">
        <v>4.3434799009271652</v>
      </c>
      <c r="AK61">
        <v>7.9021059958779034</v>
      </c>
      <c r="AL61">
        <v>8.5291364135596588</v>
      </c>
      <c r="AM61">
        <v>9.1920785178633349</v>
      </c>
    </row>
    <row r="62" spans="1:39" x14ac:dyDescent="0.25">
      <c r="A62" s="147">
        <f t="shared" si="0"/>
        <v>3</v>
      </c>
      <c r="C62" s="149">
        <v>2.7500000000000004</v>
      </c>
      <c r="D62" s="2">
        <v>1.5176247639743696</v>
      </c>
      <c r="E62">
        <v>1.6608705543941698</v>
      </c>
      <c r="F62">
        <v>1.8166923729679636</v>
      </c>
      <c r="G62">
        <v>2.9908179547238847</v>
      </c>
      <c r="H62">
        <v>3.2571425591693837</v>
      </c>
      <c r="I62">
        <v>3.543848752805868</v>
      </c>
      <c r="J62">
        <v>6.362564796603543</v>
      </c>
      <c r="K62">
        <v>6.8506483013334591</v>
      </c>
      <c r="L62">
        <v>7.3644326800188207</v>
      </c>
      <c r="M62">
        <v>1.516632605990073</v>
      </c>
      <c r="N62">
        <v>1.6598288758991155</v>
      </c>
      <c r="O62">
        <v>1.8155730838850994</v>
      </c>
      <c r="P62">
        <v>2.9892681751259103</v>
      </c>
      <c r="Q62">
        <v>3.2555506981661768</v>
      </c>
      <c r="R62">
        <v>3.54221680941487</v>
      </c>
      <c r="S62">
        <v>6.3613408282036925</v>
      </c>
      <c r="T62">
        <v>6.8496432904281095</v>
      </c>
      <c r="U62">
        <v>7.3636840111203998</v>
      </c>
      <c r="V62">
        <v>1.8432034074734289</v>
      </c>
      <c r="W62">
        <v>2.0183543050184518</v>
      </c>
      <c r="X62">
        <v>2.2091857411232456</v>
      </c>
      <c r="Y62">
        <v>3.6549745395532152</v>
      </c>
      <c r="Z62">
        <v>3.9847679650167009</v>
      </c>
      <c r="AA62">
        <v>4.3408342618257842</v>
      </c>
      <c r="AB62">
        <v>7.8950707549602654</v>
      </c>
      <c r="AC62">
        <v>8.5210921024129362</v>
      </c>
      <c r="AD62">
        <v>9.1824459353115309</v>
      </c>
      <c r="AE62">
        <v>1.843425887015977</v>
      </c>
      <c r="AF62">
        <v>2.0186193549015004</v>
      </c>
      <c r="AG62">
        <v>2.2094793066133853</v>
      </c>
      <c r="AH62">
        <v>3.6556056186679777</v>
      </c>
      <c r="AI62">
        <v>3.9855076963870255</v>
      </c>
      <c r="AJ62">
        <v>4.3416787966087345</v>
      </c>
      <c r="AK62">
        <v>7.8973619591235975</v>
      </c>
      <c r="AL62">
        <v>8.5237050840442006</v>
      </c>
      <c r="AM62">
        <v>9.1858565237973409</v>
      </c>
    </row>
    <row r="63" spans="1:39" x14ac:dyDescent="0.25">
      <c r="A63" s="147">
        <f t="shared" si="0"/>
        <v>3</v>
      </c>
      <c r="C63" s="149">
        <v>2.8333333333333339</v>
      </c>
      <c r="D63" s="2">
        <v>1.5172619974871211</v>
      </c>
      <c r="E63">
        <v>1.6604694559215094</v>
      </c>
      <c r="F63">
        <v>1.8162484025475198</v>
      </c>
      <c r="G63">
        <v>2.9900232141369489</v>
      </c>
      <c r="H63">
        <v>3.2562614851972294</v>
      </c>
      <c r="I63">
        <v>3.5428705989112466</v>
      </c>
      <c r="J63">
        <v>6.3604084644750243</v>
      </c>
      <c r="K63">
        <v>6.8482413872901367</v>
      </c>
      <c r="L63">
        <v>7.3617465599145424</v>
      </c>
      <c r="M63">
        <v>1.516273466758737</v>
      </c>
      <c r="N63">
        <v>1.6594318592489437</v>
      </c>
      <c r="O63">
        <v>1.815133551072915</v>
      </c>
      <c r="P63">
        <v>2.9884807578680164</v>
      </c>
      <c r="Q63">
        <v>3.254677757625128</v>
      </c>
      <c r="R63">
        <v>3.5412475991214878</v>
      </c>
      <c r="S63">
        <v>6.3592017303842248</v>
      </c>
      <c r="T63">
        <v>6.8472551557229728</v>
      </c>
      <c r="U63">
        <v>7.3610182652356215</v>
      </c>
      <c r="V63">
        <v>1.8426256377232435</v>
      </c>
      <c r="W63">
        <v>2.0177066464140125</v>
      </c>
      <c r="X63">
        <v>2.2084587833029978</v>
      </c>
      <c r="Y63">
        <v>3.6535371067075819</v>
      </c>
      <c r="Z63">
        <v>3.9831399217800176</v>
      </c>
      <c r="AA63">
        <v>4.3389877939459272</v>
      </c>
      <c r="AB63">
        <v>7.890245073270699</v>
      </c>
      <c r="AC63">
        <v>8.5155729409098164</v>
      </c>
      <c r="AD63">
        <v>9.1761289065459692</v>
      </c>
      <c r="AE63">
        <v>1.8428665382470157</v>
      </c>
      <c r="AF63">
        <v>2.0179918985295182</v>
      </c>
      <c r="AG63">
        <v>2.2087744537495055</v>
      </c>
      <c r="AH63">
        <v>3.6542049326411306</v>
      </c>
      <c r="AI63">
        <v>3.9839197927530599</v>
      </c>
      <c r="AJ63">
        <v>4.3398760960734135</v>
      </c>
      <c r="AK63">
        <v>7.8926165744596659</v>
      </c>
      <c r="AL63">
        <v>8.5182727198423027</v>
      </c>
      <c r="AM63">
        <v>9.1796339474261863</v>
      </c>
    </row>
    <row r="64" spans="1:39" x14ac:dyDescent="0.25">
      <c r="A64" s="147">
        <f t="shared" si="0"/>
        <v>3</v>
      </c>
      <c r="C64" s="149">
        <v>2.9166666666666674</v>
      </c>
      <c r="D64" s="2">
        <v>1.5168998754488725</v>
      </c>
      <c r="E64">
        <v>1.6600690702904093</v>
      </c>
      <c r="F64">
        <v>1.8158052203442254</v>
      </c>
      <c r="G64">
        <v>2.9892299016042121</v>
      </c>
      <c r="H64">
        <v>3.2553820053454006</v>
      </c>
      <c r="I64">
        <v>3.5418942252734391</v>
      </c>
      <c r="J64">
        <v>6.3582563887653194</v>
      </c>
      <c r="K64">
        <v>6.8458393213245747</v>
      </c>
      <c r="L64">
        <v>7.3590659836647685</v>
      </c>
      <c r="M64">
        <v>1.5159149665344773</v>
      </c>
      <c r="N64">
        <v>1.6590355496872031</v>
      </c>
      <c r="O64">
        <v>1.8146948000071932</v>
      </c>
      <c r="P64">
        <v>2.9876947566635037</v>
      </c>
      <c r="Q64">
        <v>3.2538063981704228</v>
      </c>
      <c r="R64">
        <v>3.5402801547069971</v>
      </c>
      <c r="S64">
        <v>6.3570668574840701</v>
      </c>
      <c r="T64">
        <v>6.8448718339215349</v>
      </c>
      <c r="U64">
        <v>7.3583580237509718</v>
      </c>
      <c r="V64">
        <v>1.8420470644224665</v>
      </c>
      <c r="W64">
        <v>2.0170581164268353</v>
      </c>
      <c r="X64">
        <v>2.2077308822963482</v>
      </c>
      <c r="Y64">
        <v>3.6520982736195977</v>
      </c>
      <c r="Z64">
        <v>3.9815103997379442</v>
      </c>
      <c r="AA64">
        <v>4.337139775221404</v>
      </c>
      <c r="AB64">
        <v>7.8854181611088618</v>
      </c>
      <c r="AC64">
        <v>8.5100528787914858</v>
      </c>
      <c r="AD64">
        <v>9.1698114483186899</v>
      </c>
      <c r="AE64">
        <v>1.8423063693042434</v>
      </c>
      <c r="AF64">
        <v>2.017363552233288</v>
      </c>
      <c r="AG64">
        <v>2.2080686369572136</v>
      </c>
      <c r="AH64">
        <v>3.6528028065066476</v>
      </c>
      <c r="AI64">
        <v>3.982330365438794</v>
      </c>
      <c r="AJ64">
        <v>4.3380717940666251</v>
      </c>
      <c r="AK64">
        <v>7.8878698320153928</v>
      </c>
      <c r="AL64">
        <v>8.5128393101441642</v>
      </c>
      <c r="AM64">
        <v>9.1734107768531103</v>
      </c>
    </row>
    <row r="65" spans="1:39" x14ac:dyDescent="0.25">
      <c r="A65" s="147">
        <f t="shared" si="0"/>
        <v>3</v>
      </c>
      <c r="C65" s="149">
        <v>3.0000000000000009</v>
      </c>
      <c r="D65" s="2">
        <v>1.5165383996930517</v>
      </c>
      <c r="E65">
        <v>1.6596693994864231</v>
      </c>
      <c r="F65">
        <v>1.8153628285096817</v>
      </c>
      <c r="G65">
        <v>2.9884380203434615</v>
      </c>
      <c r="H65">
        <v>3.254504123045459</v>
      </c>
      <c r="I65">
        <v>3.5409196355288772</v>
      </c>
      <c r="J65">
        <v>6.3561085738583891</v>
      </c>
      <c r="K65">
        <v>6.8434421076614331</v>
      </c>
      <c r="L65">
        <v>7.3563909551900313</v>
      </c>
      <c r="M65">
        <v>1.5155571071575846</v>
      </c>
      <c r="N65">
        <v>1.6586399492065029</v>
      </c>
      <c r="O65">
        <v>1.8142568328442339</v>
      </c>
      <c r="P65">
        <v>2.9869101747553888</v>
      </c>
      <c r="Q65">
        <v>3.2529366232530816</v>
      </c>
      <c r="R65">
        <v>3.5393144798285361</v>
      </c>
      <c r="S65">
        <v>6.354936213953513</v>
      </c>
      <c r="T65">
        <v>6.8424933293022967</v>
      </c>
      <c r="U65">
        <v>7.3557032906588686</v>
      </c>
      <c r="V65">
        <v>1.8414676853346132</v>
      </c>
      <c r="W65">
        <v>2.0164087126130807</v>
      </c>
      <c r="X65">
        <v>2.2070020354268589</v>
      </c>
      <c r="Y65">
        <v>3.6506580358737049</v>
      </c>
      <c r="Z65">
        <v>3.979879394078957</v>
      </c>
      <c r="AA65">
        <v>4.3352902004070026</v>
      </c>
      <c r="AB65">
        <v>7.8805900085678768</v>
      </c>
      <c r="AC65">
        <v>8.5045319051841997</v>
      </c>
      <c r="AD65">
        <v>9.1634935486686473</v>
      </c>
      <c r="AE65">
        <v>1.8417453779389739</v>
      </c>
      <c r="AF65">
        <v>2.0167343135545668</v>
      </c>
      <c r="AG65">
        <v>2.2073618535453363</v>
      </c>
      <c r="AH65">
        <v>3.6513992358315379</v>
      </c>
      <c r="AI65">
        <v>3.9807394096092752</v>
      </c>
      <c r="AJ65">
        <v>4.3362658853227467</v>
      </c>
      <c r="AK65">
        <v>7.8831217219057237</v>
      </c>
      <c r="AL65">
        <v>8.5074048441037124</v>
      </c>
      <c r="AM65">
        <v>9.1671870001498217</v>
      </c>
    </row>
    <row r="66" spans="1:39" x14ac:dyDescent="0.25">
      <c r="A66" s="147">
        <f t="shared" si="0"/>
        <v>4</v>
      </c>
      <c r="C66" s="149">
        <v>3.0833333333333344</v>
      </c>
      <c r="D66" s="2">
        <v>1.6447888278712997</v>
      </c>
      <c r="E66">
        <v>1.8000221537799741</v>
      </c>
      <c r="F66">
        <v>1.9688791017569631</v>
      </c>
      <c r="G66">
        <v>3.241114296990542</v>
      </c>
      <c r="H66">
        <v>3.5296652631709202</v>
      </c>
      <c r="I66">
        <v>3.840280441034758</v>
      </c>
      <c r="J66">
        <v>6.8930076179238675</v>
      </c>
      <c r="K66">
        <v>7.4213801628743123</v>
      </c>
      <c r="L66">
        <v>7.9774944800465706</v>
      </c>
      <c r="M66">
        <v>1.6434875863257652</v>
      </c>
      <c r="N66">
        <v>1.7986464826729565</v>
      </c>
      <c r="O66">
        <v>1.9673962384584729</v>
      </c>
      <c r="P66">
        <v>3.2389914772903787</v>
      </c>
      <c r="Q66">
        <v>3.527457986010357</v>
      </c>
      <c r="R66">
        <v>3.8379878969375518</v>
      </c>
      <c r="S66">
        <v>6.8907527120462309</v>
      </c>
      <c r="T66">
        <v>7.4192937411461664</v>
      </c>
      <c r="U66">
        <v>7.9756128795669667</v>
      </c>
      <c r="V66">
        <v>1.9250381655372704</v>
      </c>
      <c r="W66">
        <v>2.1078840281037436</v>
      </c>
      <c r="X66">
        <v>2.3070822405845357</v>
      </c>
      <c r="Y66">
        <v>3.8156621478286095</v>
      </c>
      <c r="Z66">
        <v>4.159623091016055</v>
      </c>
      <c r="AA66">
        <v>4.5309168382645728</v>
      </c>
      <c r="AB66">
        <v>8.2327984894043418</v>
      </c>
      <c r="AC66">
        <v>8.8839046809867614</v>
      </c>
      <c r="AD66">
        <v>9.5714053961060834</v>
      </c>
      <c r="AE66">
        <v>1.9252939715250026</v>
      </c>
      <c r="AF66">
        <v>2.1081867268484356</v>
      </c>
      <c r="AG66">
        <v>2.307417199849692</v>
      </c>
      <c r="AH66">
        <v>3.8163700054062826</v>
      </c>
      <c r="AI66">
        <v>4.1604494573450479</v>
      </c>
      <c r="AJ66">
        <v>4.5318579621007302</v>
      </c>
      <c r="AK66">
        <v>8.235307664229806</v>
      </c>
      <c r="AL66">
        <v>8.8867609085798449</v>
      </c>
      <c r="AM66">
        <v>9.5751103005951226</v>
      </c>
    </row>
    <row r="67" spans="1:39" x14ac:dyDescent="0.25">
      <c r="A67" s="147">
        <f t="shared" si="0"/>
        <v>4</v>
      </c>
      <c r="C67" s="149">
        <v>3.1666666666666679</v>
      </c>
      <c r="D67" s="2">
        <v>1.6442895933538457</v>
      </c>
      <c r="E67">
        <v>1.7994694178076762</v>
      </c>
      <c r="F67">
        <v>1.968266523831689</v>
      </c>
      <c r="G67">
        <v>3.2400061763715531</v>
      </c>
      <c r="H67">
        <v>3.5284335663832698</v>
      </c>
      <c r="I67">
        <v>3.8389096596974177</v>
      </c>
      <c r="J67">
        <v>6.8899244717156538</v>
      </c>
      <c r="K67">
        <v>7.4179281546758054</v>
      </c>
      <c r="L67">
        <v>7.9736291569708797</v>
      </c>
      <c r="M67">
        <v>1.6429925858289871</v>
      </c>
      <c r="N67">
        <v>1.7980984912447369</v>
      </c>
      <c r="O67">
        <v>1.9667888292234448</v>
      </c>
      <c r="P67">
        <v>3.2378919466371494</v>
      </c>
      <c r="Q67">
        <v>3.5262358108663179</v>
      </c>
      <c r="R67">
        <v>3.8366275836008379</v>
      </c>
      <c r="S67">
        <v>6.8876897956686411</v>
      </c>
      <c r="T67">
        <v>7.4158637849103206</v>
      </c>
      <c r="U67">
        <v>7.971771507988656</v>
      </c>
      <c r="V67">
        <v>1.9245636082478232</v>
      </c>
      <c r="W67">
        <v>2.1073478045454039</v>
      </c>
      <c r="X67">
        <v>2.3064753497106456</v>
      </c>
      <c r="Y67">
        <v>3.8143985548777204</v>
      </c>
      <c r="Z67">
        <v>4.1581781518201728</v>
      </c>
      <c r="AA67">
        <v>4.5292621672032123</v>
      </c>
      <c r="AB67">
        <v>8.2281689367531605</v>
      </c>
      <c r="AC67">
        <v>8.8785651364749185</v>
      </c>
      <c r="AD67">
        <v>9.565244304241471</v>
      </c>
      <c r="AE67">
        <v>1.9248389940484563</v>
      </c>
      <c r="AF67">
        <v>2.1076719738422138</v>
      </c>
      <c r="AG67">
        <v>2.3068338024467803</v>
      </c>
      <c r="AH67">
        <v>3.8151454548021819</v>
      </c>
      <c r="AI67">
        <v>4.1590471585923332</v>
      </c>
      <c r="AJ67">
        <v>4.5302497814968792</v>
      </c>
      <c r="AK67">
        <v>8.2307633050671747</v>
      </c>
      <c r="AL67">
        <v>8.8815134294451745</v>
      </c>
      <c r="AM67">
        <v>9.5690492697489393</v>
      </c>
    </row>
    <row r="68" spans="1:39" x14ac:dyDescent="0.25">
      <c r="A68" s="147">
        <f t="shared" si="0"/>
        <v>4</v>
      </c>
      <c r="C68" s="149">
        <v>3.2500000000000013</v>
      </c>
      <c r="D68" s="2">
        <v>1.6437907348867051</v>
      </c>
      <c r="E68">
        <v>1.7989171030468927</v>
      </c>
      <c r="F68">
        <v>1.96765441776884</v>
      </c>
      <c r="G68">
        <v>3.2388989990293933</v>
      </c>
      <c r="H68">
        <v>3.5272029457113763</v>
      </c>
      <c r="I68">
        <v>3.8375401074164346</v>
      </c>
      <c r="J68">
        <v>6.8868448871066565</v>
      </c>
      <c r="K68">
        <v>7.4144803198864402</v>
      </c>
      <c r="L68">
        <v>7.9697687433069451</v>
      </c>
      <c r="M68">
        <v>1.6424979546626917</v>
      </c>
      <c r="N68">
        <v>1.7975509138393879</v>
      </c>
      <c r="O68">
        <v>1.9661818837952705</v>
      </c>
      <c r="P68">
        <v>3.2367933444101888</v>
      </c>
      <c r="Q68">
        <v>3.5250146956066413</v>
      </c>
      <c r="R68">
        <v>3.8352684813727986</v>
      </c>
      <c r="S68">
        <v>6.884630401249364</v>
      </c>
      <c r="T68">
        <v>7.4124379577600408</v>
      </c>
      <c r="U68">
        <v>7.9679349961355932</v>
      </c>
      <c r="V68">
        <v>1.9240883339383976</v>
      </c>
      <c r="W68">
        <v>2.1068108024124146</v>
      </c>
      <c r="X68">
        <v>2.3058676149359711</v>
      </c>
      <c r="Y68">
        <v>3.8131336974248571</v>
      </c>
      <c r="Z68">
        <v>4.1567318748953568</v>
      </c>
      <c r="AA68">
        <v>4.5276060909937783</v>
      </c>
      <c r="AB68">
        <v>8.223538289926708</v>
      </c>
      <c r="AC68">
        <v>8.8732248183895006</v>
      </c>
      <c r="AD68">
        <v>9.5590828998841264</v>
      </c>
      <c r="AE68">
        <v>1.9243832832808485</v>
      </c>
      <c r="AF68">
        <v>2.1071564240718645</v>
      </c>
      <c r="AG68">
        <v>2.3062495407627122</v>
      </c>
      <c r="AH68">
        <v>3.8139196000457787</v>
      </c>
      <c r="AI68">
        <v>4.1576434773587341</v>
      </c>
      <c r="AJ68">
        <v>4.5286401451302627</v>
      </c>
      <c r="AK68">
        <v>8.2262177220477088</v>
      </c>
      <c r="AL68">
        <v>8.8762650287880192</v>
      </c>
      <c r="AM68">
        <v>9.56298775738877</v>
      </c>
    </row>
    <row r="69" spans="1:39" x14ac:dyDescent="0.25">
      <c r="A69" s="147">
        <f t="shared" si="0"/>
        <v>4</v>
      </c>
      <c r="C69" s="149">
        <v>3.3333333333333348</v>
      </c>
      <c r="D69" s="2">
        <v>1.6432922538735766</v>
      </c>
      <c r="E69">
        <v>1.7983652110205024</v>
      </c>
      <c r="F69">
        <v>1.9670427852087033</v>
      </c>
      <c r="G69">
        <v>3.2377927674132705</v>
      </c>
      <c r="H69">
        <v>3.5259734037596662</v>
      </c>
      <c r="I69">
        <v>3.8361717869482508</v>
      </c>
      <c r="J69">
        <v>6.8837688671443642</v>
      </c>
      <c r="K69">
        <v>7.4110366613137035</v>
      </c>
      <c r="L69">
        <v>7.9659132415008393</v>
      </c>
      <c r="M69">
        <v>1.6420036942398359</v>
      </c>
      <c r="N69">
        <v>1.7970037519854563</v>
      </c>
      <c r="O69">
        <v>1.965575403820496</v>
      </c>
      <c r="P69">
        <v>3.2356956730788431</v>
      </c>
      <c r="Q69">
        <v>3.5237946428532316</v>
      </c>
      <c r="R69">
        <v>3.8339105930196675</v>
      </c>
      <c r="S69">
        <v>6.881574531874481</v>
      </c>
      <c r="T69">
        <v>7.4090162625636466</v>
      </c>
      <c r="U69">
        <v>7.9641033465072972</v>
      </c>
      <c r="V69">
        <v>1.9236123402231502</v>
      </c>
      <c r="W69">
        <v>2.1062730190928685</v>
      </c>
      <c r="X69">
        <v>2.305259033399385</v>
      </c>
      <c r="Y69">
        <v>3.8118675707181087</v>
      </c>
      <c r="Z69">
        <v>4.155284255059188</v>
      </c>
      <c r="AA69">
        <v>4.5259486039720827</v>
      </c>
      <c r="AB69">
        <v>8.2189065381124831</v>
      </c>
      <c r="AC69">
        <v>8.867883714850441</v>
      </c>
      <c r="AD69">
        <v>9.5529211699358996</v>
      </c>
      <c r="AE69">
        <v>1.9239268368195246</v>
      </c>
      <c r="AF69">
        <v>2.1066400749073835</v>
      </c>
      <c r="AG69">
        <v>2.3056644119193566</v>
      </c>
      <c r="AH69">
        <v>3.8126924363597468</v>
      </c>
      <c r="AI69">
        <v>4.1562384084246791</v>
      </c>
      <c r="AJ69">
        <v>4.5270290473141417</v>
      </c>
      <c r="AK69">
        <v>8.2216709043633269</v>
      </c>
      <c r="AL69">
        <v>8.8710156947378067</v>
      </c>
      <c r="AM69">
        <v>9.5569257504504961</v>
      </c>
    </row>
    <row r="70" spans="1:39" x14ac:dyDescent="0.25">
      <c r="A70" s="147">
        <f t="shared" si="0"/>
        <v>4</v>
      </c>
      <c r="C70" s="149">
        <v>3.4166666666666683</v>
      </c>
      <c r="D70" s="2">
        <v>1.6427941517219611</v>
      </c>
      <c r="E70">
        <v>1.7978137432521273</v>
      </c>
      <c r="F70">
        <v>1.9664316278007141</v>
      </c>
      <c r="G70">
        <v>3.2366874839740731</v>
      </c>
      <c r="H70">
        <v>3.5247449431372511</v>
      </c>
      <c r="I70">
        <v>3.8348047010407047</v>
      </c>
      <c r="J70">
        <v>6.8806964148685186</v>
      </c>
      <c r="K70">
        <v>7.4075971817629007</v>
      </c>
      <c r="L70">
        <v>7.962062653985746</v>
      </c>
      <c r="M70">
        <v>1.6415098059707063</v>
      </c>
      <c r="N70">
        <v>1.7964570072121886</v>
      </c>
      <c r="O70">
        <v>1.9649693909571373</v>
      </c>
      <c r="P70">
        <v>3.2345989351052831</v>
      </c>
      <c r="Q70">
        <v>3.5225756552298977</v>
      </c>
      <c r="R70">
        <v>3.8325539213173001</v>
      </c>
      <c r="S70">
        <v>6.8785221906425349</v>
      </c>
      <c r="T70">
        <v>7.4055987021925809</v>
      </c>
      <c r="U70">
        <v>7.9602765616200282</v>
      </c>
      <c r="V70">
        <v>1.923135624706783</v>
      </c>
      <c r="W70">
        <v>2.1057344519633436</v>
      </c>
      <c r="X70">
        <v>2.3046496022324656</v>
      </c>
      <c r="Y70">
        <v>3.81060016999262</v>
      </c>
      <c r="Z70">
        <v>4.1538352871057889</v>
      </c>
      <c r="AA70">
        <v>4.5242897004658822</v>
      </c>
      <c r="AB70">
        <v>8.2142736704710586</v>
      </c>
      <c r="AC70">
        <v>8.8625418139408332</v>
      </c>
      <c r="AD70">
        <v>9.5467591012690427</v>
      </c>
      <c r="AE70">
        <v>1.9234696522531585</v>
      </c>
      <c r="AF70">
        <v>2.1061229237071477</v>
      </c>
      <c r="AG70">
        <v>2.3050784130247104</v>
      </c>
      <c r="AH70">
        <v>3.8114639589510184</v>
      </c>
      <c r="AI70">
        <v>4.1548319465646104</v>
      </c>
      <c r="AJ70">
        <v>4.5254164823406402</v>
      </c>
      <c r="AK70">
        <v>8.2171228411734507</v>
      </c>
      <c r="AL70">
        <v>8.8657654153990784</v>
      </c>
      <c r="AM70">
        <v>9.5508632358385324</v>
      </c>
    </row>
    <row r="71" spans="1:39" x14ac:dyDescent="0.25">
      <c r="A71" s="147">
        <f t="shared" si="0"/>
        <v>4</v>
      </c>
      <c r="C71" s="149">
        <v>3.5000000000000018</v>
      </c>
      <c r="D71" s="2">
        <v>1.6411266964479245</v>
      </c>
      <c r="E71">
        <v>1.7958667053560116</v>
      </c>
      <c r="F71">
        <v>1.9641560072002353</v>
      </c>
      <c r="G71">
        <v>3.2310305405968256</v>
      </c>
      <c r="H71">
        <v>3.5180847268783912</v>
      </c>
      <c r="I71">
        <v>3.8269637147445836</v>
      </c>
      <c r="J71">
        <v>6.8548034182991717</v>
      </c>
      <c r="K71">
        <v>7.3772066832877012</v>
      </c>
      <c r="L71">
        <v>7.926425588357068</v>
      </c>
      <c r="M71">
        <v>1.6399230746040319</v>
      </c>
      <c r="N71">
        <v>1.7945983637490786</v>
      </c>
      <c r="O71">
        <v>1.962789606604598</v>
      </c>
      <c r="P71">
        <v>3.2291021314741433</v>
      </c>
      <c r="Q71">
        <v>3.5160935646431062</v>
      </c>
      <c r="R71">
        <v>3.8249084805134732</v>
      </c>
      <c r="S71">
        <v>6.8529857928908982</v>
      </c>
      <c r="T71">
        <v>7.3755937985668769</v>
      </c>
      <c r="U71">
        <v>7.9250612954796331</v>
      </c>
      <c r="V71">
        <v>1.9218375757300321</v>
      </c>
      <c r="W71">
        <v>2.1042030633242161</v>
      </c>
      <c r="X71">
        <v>2.3028410743864569</v>
      </c>
      <c r="Y71">
        <v>3.80587633478547</v>
      </c>
      <c r="Z71">
        <v>4.1482342298787618</v>
      </c>
      <c r="AA71">
        <v>4.5176480591034522</v>
      </c>
      <c r="AB71">
        <v>8.1912609688663434</v>
      </c>
      <c r="AC71">
        <v>8.8353675926819033</v>
      </c>
      <c r="AD71">
        <v>9.5147091132745114</v>
      </c>
      <c r="AE71">
        <v>1.9221562660364977</v>
      </c>
      <c r="AF71">
        <v>2.1045748135908262</v>
      </c>
      <c r="AG71">
        <v>2.303251509980222</v>
      </c>
      <c r="AH71">
        <v>3.8067117160162454</v>
      </c>
      <c r="AI71">
        <v>4.1492005820841493</v>
      </c>
      <c r="AJ71">
        <v>4.5187423269292264</v>
      </c>
      <c r="AK71">
        <v>8.1940563073403734</v>
      </c>
      <c r="AL71">
        <v>8.8385346099713331</v>
      </c>
      <c r="AM71">
        <v>9.5187486753985162</v>
      </c>
    </row>
    <row r="72" spans="1:39" x14ac:dyDescent="0.25">
      <c r="A72" s="147">
        <f t="shared" si="0"/>
        <v>4</v>
      </c>
      <c r="C72" s="149">
        <v>3.5833333333333353</v>
      </c>
      <c r="D72" s="2">
        <v>1.6406373093688293</v>
      </c>
      <c r="E72">
        <v>1.7953249397016953</v>
      </c>
      <c r="F72">
        <v>1.9635556572826833</v>
      </c>
      <c r="G72">
        <v>3.2299457187723002</v>
      </c>
      <c r="H72">
        <v>3.5168792775625004</v>
      </c>
      <c r="I72">
        <v>3.8256225362646039</v>
      </c>
      <c r="J72">
        <v>6.8517960994512084</v>
      </c>
      <c r="K72">
        <v>7.3738416143323322</v>
      </c>
      <c r="L72">
        <v>7.9226601874339933</v>
      </c>
      <c r="M72">
        <v>1.6394332624842187</v>
      </c>
      <c r="N72">
        <v>1.7940562457116691</v>
      </c>
      <c r="O72">
        <v>1.9621888519381061</v>
      </c>
      <c r="P72">
        <v>3.2280167263282182</v>
      </c>
      <c r="Q72">
        <v>3.5148876441062087</v>
      </c>
      <c r="R72">
        <v>3.8235668978433437</v>
      </c>
      <c r="S72">
        <v>6.8499792309089642</v>
      </c>
      <c r="T72">
        <v>7.3722298240908728</v>
      </c>
      <c r="U72">
        <v>7.9212973203834451</v>
      </c>
      <c r="V72">
        <v>1.921366485910772</v>
      </c>
      <c r="W72">
        <v>2.1036709849143658</v>
      </c>
      <c r="X72">
        <v>2.3022391443872747</v>
      </c>
      <c r="Y72">
        <v>3.8046268207378331</v>
      </c>
      <c r="Z72">
        <v>4.1468062596693063</v>
      </c>
      <c r="AA72">
        <v>4.5160138559368574</v>
      </c>
      <c r="AB72">
        <v>8.186714298150255</v>
      </c>
      <c r="AC72">
        <v>8.8301285436190078</v>
      </c>
      <c r="AD72">
        <v>9.5086698941312324</v>
      </c>
      <c r="AE72">
        <v>1.9217000572113534</v>
      </c>
      <c r="AF72">
        <v>2.1040590584609253</v>
      </c>
      <c r="AG72">
        <v>2.30266743766511</v>
      </c>
      <c r="AH72">
        <v>3.8054918833827376</v>
      </c>
      <c r="AI72">
        <v>4.1478050366712651</v>
      </c>
      <c r="AJ72">
        <v>4.5171434747818173</v>
      </c>
      <c r="AK72">
        <v>8.1895743718991838</v>
      </c>
      <c r="AL72">
        <v>8.833365502289622</v>
      </c>
      <c r="AM72">
        <v>9.5127856528567207</v>
      </c>
    </row>
    <row r="73" spans="1:39" x14ac:dyDescent="0.25">
      <c r="A73" s="147">
        <f t="shared" si="0"/>
        <v>4</v>
      </c>
      <c r="C73" s="149">
        <v>3.6666666666666687</v>
      </c>
      <c r="D73" s="2">
        <v>1.6401483029946093</v>
      </c>
      <c r="E73">
        <v>1.7947836002102593</v>
      </c>
      <c r="F73">
        <v>1.9629557844474297</v>
      </c>
      <c r="G73">
        <v>3.2288618458927614</v>
      </c>
      <c r="H73">
        <v>3.5156749096407989</v>
      </c>
      <c r="I73">
        <v>3.8242825913896525</v>
      </c>
      <c r="J73">
        <v>6.8487923133843402</v>
      </c>
      <c r="K73">
        <v>7.370480676474088</v>
      </c>
      <c r="L73">
        <v>7.918899635615448</v>
      </c>
      <c r="M73">
        <v>1.6389438265914498</v>
      </c>
      <c r="N73">
        <v>1.7935145491833238</v>
      </c>
      <c r="O73">
        <v>1.96158856916818</v>
      </c>
      <c r="P73">
        <v>3.2269322612574189</v>
      </c>
      <c r="Q73">
        <v>3.5136827955581627</v>
      </c>
      <c r="R73">
        <v>3.8222265386438066</v>
      </c>
      <c r="S73">
        <v>6.8469761839069871</v>
      </c>
      <c r="T73">
        <v>7.3688699615881426</v>
      </c>
      <c r="U73">
        <v>7.9175381737302928</v>
      </c>
      <c r="V73">
        <v>1.9208946701081169</v>
      </c>
      <c r="W73">
        <v>2.1031381185319065</v>
      </c>
      <c r="X73">
        <v>2.3016363606877102</v>
      </c>
      <c r="Y73">
        <v>3.8033760314287184</v>
      </c>
      <c r="Z73">
        <v>4.1453769411449173</v>
      </c>
      <c r="AA73">
        <v>4.5143782373072598</v>
      </c>
      <c r="AB73">
        <v>8.182166517654581</v>
      </c>
      <c r="AC73">
        <v>8.8248886990670421</v>
      </c>
      <c r="AD73">
        <v>9.5026303301661557</v>
      </c>
      <c r="AE73">
        <v>1.9212431082600876</v>
      </c>
      <c r="AF73">
        <v>2.1035424995926411</v>
      </c>
      <c r="AG73">
        <v>2.3020824940353375</v>
      </c>
      <c r="AH73">
        <v>3.8042707418722177</v>
      </c>
      <c r="AI73">
        <v>4.1464081051434718</v>
      </c>
      <c r="AJ73">
        <v>4.5155431645950426</v>
      </c>
      <c r="AK73">
        <v>8.1850912210812545</v>
      </c>
      <c r="AL73">
        <v>8.8281954792053341</v>
      </c>
      <c r="AM73">
        <v>9.5068221491730434</v>
      </c>
    </row>
    <row r="74" spans="1:39" x14ac:dyDescent="0.25">
      <c r="A74" s="147">
        <f t="shared" si="0"/>
        <v>4</v>
      </c>
      <c r="C74" s="149">
        <v>3.7500000000000022</v>
      </c>
      <c r="D74" s="2">
        <v>1.639659678759009</v>
      </c>
      <c r="E74">
        <v>1.79424268843445</v>
      </c>
      <c r="F74">
        <v>1.9623563903710086</v>
      </c>
      <c r="G74">
        <v>3.2277789244621098</v>
      </c>
      <c r="H74">
        <v>3.5144716257751387</v>
      </c>
      <c r="I74">
        <v>3.8229438829384774</v>
      </c>
      <c r="J74">
        <v>6.8457920632667317</v>
      </c>
      <c r="K74">
        <v>7.3671238726754735</v>
      </c>
      <c r="L74">
        <v>7.9151439355076088</v>
      </c>
      <c r="M74">
        <v>1.6384547683572639</v>
      </c>
      <c r="N74">
        <v>1.7929732757137447</v>
      </c>
      <c r="O74">
        <v>1.9609887599707134</v>
      </c>
      <c r="P74">
        <v>3.2258487387617447</v>
      </c>
      <c r="Q74">
        <v>3.5124790216601611</v>
      </c>
      <c r="R74">
        <v>3.8208874057271682</v>
      </c>
      <c r="S74">
        <v>6.8439766550657559</v>
      </c>
      <c r="T74">
        <v>7.3655142140233565</v>
      </c>
      <c r="U74">
        <v>7.9137838581404285</v>
      </c>
      <c r="V74">
        <v>1.9204221259112737</v>
      </c>
      <c r="W74">
        <v>2.1026044615381307</v>
      </c>
      <c r="X74">
        <v>2.3010327203982679</v>
      </c>
      <c r="Y74">
        <v>3.8021239620840319</v>
      </c>
      <c r="Z74">
        <v>4.143946269094247</v>
      </c>
      <c r="AA74">
        <v>4.5127411975303531</v>
      </c>
      <c r="AB74">
        <v>8.1776176166445147</v>
      </c>
      <c r="AC74">
        <v>8.8196480472486165</v>
      </c>
      <c r="AD74">
        <v>9.4965904084330361</v>
      </c>
      <c r="AE74">
        <v>1.920785416755729</v>
      </c>
      <c r="AF74">
        <v>2.103025134328993</v>
      </c>
      <c r="AG74">
        <v>2.3014966761851259</v>
      </c>
      <c r="AH74">
        <v>3.803048286683504</v>
      </c>
      <c r="AI74">
        <v>4.1450097822672047</v>
      </c>
      <c r="AJ74">
        <v>4.513941390663553</v>
      </c>
      <c r="AK74">
        <v>8.1806068441484161</v>
      </c>
      <c r="AL74">
        <v>8.8230245289428506</v>
      </c>
      <c r="AM74">
        <v>9.5008581513907977</v>
      </c>
    </row>
    <row r="75" spans="1:39" x14ac:dyDescent="0.25">
      <c r="A75" s="147">
        <f t="shared" si="0"/>
        <v>4</v>
      </c>
      <c r="C75" s="149">
        <v>3.8333333333333357</v>
      </c>
      <c r="D75" s="2">
        <v>1.6391714380987756</v>
      </c>
      <c r="E75">
        <v>1.7937022059323628</v>
      </c>
      <c r="F75">
        <v>1.9617574767372825</v>
      </c>
      <c r="G75">
        <v>3.2266969569931803</v>
      </c>
      <c r="H75">
        <v>3.5132694286386119</v>
      </c>
      <c r="I75">
        <v>3.8216064137311605</v>
      </c>
      <c r="J75">
        <v>6.8427953522761165</v>
      </c>
      <c r="K75">
        <v>7.3637712058979048</v>
      </c>
      <c r="L75">
        <v>7.9113930897305593</v>
      </c>
      <c r="M75">
        <v>1.6379660892155288</v>
      </c>
      <c r="N75">
        <v>1.7924324268579763</v>
      </c>
      <c r="O75">
        <v>1.9603894260251935</v>
      </c>
      <c r="P75">
        <v>3.2247661613480982</v>
      </c>
      <c r="Q75">
        <v>3.5112763250778727</v>
      </c>
      <c r="R75">
        <v>3.8195495019104628</v>
      </c>
      <c r="S75">
        <v>6.8409806475688333</v>
      </c>
      <c r="T75">
        <v>7.3621625843600391</v>
      </c>
      <c r="U75">
        <v>7.9100343762438863</v>
      </c>
      <c r="V75">
        <v>1.9199488509025726</v>
      </c>
      <c r="W75">
        <v>2.1020700112860466</v>
      </c>
      <c r="X75">
        <v>2.3004282206253652</v>
      </c>
      <c r="Y75">
        <v>3.8008706079140215</v>
      </c>
      <c r="Z75">
        <v>4.1425142382987508</v>
      </c>
      <c r="AA75">
        <v>4.5111027309158089</v>
      </c>
      <c r="AB75">
        <v>8.1730675843596394</v>
      </c>
      <c r="AC75">
        <v>8.8144065763686434</v>
      </c>
      <c r="AD75">
        <v>9.4905501159659948</v>
      </c>
      <c r="AE75">
        <v>1.9203269802657827</v>
      </c>
      <c r="AF75">
        <v>2.1025069600060409</v>
      </c>
      <c r="AG75">
        <v>2.3009099811991165</v>
      </c>
      <c r="AH75">
        <v>3.8018245130011357</v>
      </c>
      <c r="AI75">
        <v>4.1436100627860464</v>
      </c>
      <c r="AJ75">
        <v>4.5123381472623327</v>
      </c>
      <c r="AK75">
        <v>8.176121230323357</v>
      </c>
      <c r="AL75">
        <v>8.8178526397007175</v>
      </c>
      <c r="AM75">
        <v>9.4948936465659735</v>
      </c>
    </row>
    <row r="76" spans="1:39" x14ac:dyDescent="0.25">
      <c r="A76" s="147">
        <f t="shared" si="0"/>
        <v>4</v>
      </c>
      <c r="C76" s="149">
        <v>3.9166666666666692</v>
      </c>
      <c r="D76" s="2">
        <v>1.6386835824546635</v>
      </c>
      <c r="E76">
        <v>1.7931621542620206</v>
      </c>
      <c r="F76">
        <v>1.9611590452306427</v>
      </c>
      <c r="G76">
        <v>3.2256159460023044</v>
      </c>
      <c r="H76">
        <v>3.5120683209033494</v>
      </c>
      <c r="I76">
        <v>3.8202701865938442</v>
      </c>
      <c r="J76">
        <v>6.8398021836038314</v>
      </c>
      <c r="K76">
        <v>7.3604226791097629</v>
      </c>
      <c r="L76">
        <v>7.9076471009087363</v>
      </c>
      <c r="M76">
        <v>1.6374777906034403</v>
      </c>
      <c r="N76">
        <v>1.7918920041733573</v>
      </c>
      <c r="O76">
        <v>1.9597905690126594</v>
      </c>
      <c r="P76">
        <v>3.2236845315302594</v>
      </c>
      <c r="Q76">
        <v>3.5100747084861457</v>
      </c>
      <c r="R76">
        <v>3.8182128300235338</v>
      </c>
      <c r="S76">
        <v>6.8379881646052478</v>
      </c>
      <c r="T76">
        <v>7.3588150755903605</v>
      </c>
      <c r="U76">
        <v>7.9062897306777851</v>
      </c>
      <c r="V76">
        <v>1.9194748426575341</v>
      </c>
      <c r="W76">
        <v>2.1015347651209462</v>
      </c>
      <c r="X76">
        <v>2.2998228584627238</v>
      </c>
      <c r="Y76">
        <v>3.7996159641164851</v>
      </c>
      <c r="Z76">
        <v>4.1410808435141782</v>
      </c>
      <c r="AA76">
        <v>4.5094628317514562</v>
      </c>
      <c r="AB76">
        <v>8.1685164100080989</v>
      </c>
      <c r="AC76">
        <v>8.8091642745868288</v>
      </c>
      <c r="AD76">
        <v>9.4845094397492637</v>
      </c>
      <c r="AE76">
        <v>1.9198677963492439</v>
      </c>
      <c r="AF76">
        <v>2.1019879739541132</v>
      </c>
      <c r="AG76">
        <v>2.3003224061563077</v>
      </c>
      <c r="AH76">
        <v>3.8005994159972207</v>
      </c>
      <c r="AI76">
        <v>4.1422089414402326</v>
      </c>
      <c r="AJ76">
        <v>4.510733428651192</v>
      </c>
      <c r="AK76">
        <v>8.1716343688109685</v>
      </c>
      <c r="AL76">
        <v>8.8126797996579462</v>
      </c>
      <c r="AM76">
        <v>9.4889286216922173</v>
      </c>
    </row>
    <row r="77" spans="1:39" x14ac:dyDescent="0.25">
      <c r="A77" s="147">
        <f t="shared" si="0"/>
        <v>4</v>
      </c>
      <c r="C77" s="149">
        <v>4.0000000000000027</v>
      </c>
      <c r="D77" s="2">
        <v>1.6381961132687151</v>
      </c>
      <c r="E77">
        <v>1.7926225349874461</v>
      </c>
      <c r="F77">
        <v>1.9605610975404091</v>
      </c>
      <c r="G77">
        <v>3.2245358940106437</v>
      </c>
      <c r="H77">
        <v>3.5108683052533585</v>
      </c>
      <c r="I77">
        <v>3.8189352043634281</v>
      </c>
      <c r="J77">
        <v>6.8368125604371919</v>
      </c>
      <c r="K77">
        <v>7.3570782952904317</v>
      </c>
      <c r="L77">
        <v>7.9039059716750071</v>
      </c>
      <c r="M77">
        <v>1.6369898739625275</v>
      </c>
      <c r="N77">
        <v>1.7913520092222119</v>
      </c>
      <c r="O77">
        <v>1.9591921906217744</v>
      </c>
      <c r="P77">
        <v>3.2226038518268316</v>
      </c>
      <c r="Q77">
        <v>3.5088741745601961</v>
      </c>
      <c r="R77">
        <v>3.8168773928927671</v>
      </c>
      <c r="S77">
        <v>6.8349992093775853</v>
      </c>
      <c r="T77">
        <v>7.3554716906849507</v>
      </c>
      <c r="U77">
        <v>7.9025499240835515</v>
      </c>
      <c r="V77">
        <v>1.9190000987447697</v>
      </c>
      <c r="W77">
        <v>2.1009987203816429</v>
      </c>
      <c r="X77">
        <v>2.2992166309987181</v>
      </c>
      <c r="Y77">
        <v>3.79836002587487</v>
      </c>
      <c r="Z77">
        <v>4.1396460794900065</v>
      </c>
      <c r="AA77">
        <v>4.5078214943091419</v>
      </c>
      <c r="AB77">
        <v>8.1639640827729885</v>
      </c>
      <c r="AC77">
        <v>8.8039211300591873</v>
      </c>
      <c r="AD77">
        <v>9.4784683667492331</v>
      </c>
      <c r="AE77">
        <v>1.9194078625583604</v>
      </c>
      <c r="AF77">
        <v>2.10146817349194</v>
      </c>
      <c r="AG77">
        <v>2.299733948124171</v>
      </c>
      <c r="AH77">
        <v>3.7993729908261411</v>
      </c>
      <c r="AI77">
        <v>4.1408064129433164</v>
      </c>
      <c r="AJ77">
        <v>4.5091272290759132</v>
      </c>
      <c r="AK77">
        <v>8.167146248780254</v>
      </c>
      <c r="AL77">
        <v>8.8075059969518943</v>
      </c>
      <c r="AM77">
        <v>9.4829630637450855</v>
      </c>
    </row>
    <row r="78" spans="1:39" x14ac:dyDescent="0.25">
      <c r="A78" s="147">
        <f t="shared" si="0"/>
        <v>5</v>
      </c>
      <c r="C78" s="149">
        <v>4.0833333333333357</v>
      </c>
      <c r="D78" s="2">
        <v>1.7632678874456649</v>
      </c>
      <c r="E78">
        <v>1.9294804354509023</v>
      </c>
      <c r="F78">
        <v>2.110235330897436</v>
      </c>
      <c r="G78">
        <v>3.4706341559111658</v>
      </c>
      <c r="H78">
        <v>3.778799506216902</v>
      </c>
      <c r="I78">
        <v>4.1103509633461748</v>
      </c>
      <c r="J78">
        <v>7.3578852483879871</v>
      </c>
      <c r="K78">
        <v>7.9176444735760505</v>
      </c>
      <c r="L78">
        <v>8.5059431217438046</v>
      </c>
      <c r="M78">
        <v>1.7617408420487541</v>
      </c>
      <c r="N78">
        <v>1.9278626507202372</v>
      </c>
      <c r="O78">
        <v>2.1084884539522077</v>
      </c>
      <c r="P78">
        <v>3.468105427741242</v>
      </c>
      <c r="Q78">
        <v>3.7761636228767959</v>
      </c>
      <c r="R78">
        <v>4.1076035639683903</v>
      </c>
      <c r="S78">
        <v>7.3549849474172646</v>
      </c>
      <c r="T78">
        <v>7.9148954060580774</v>
      </c>
      <c r="U78">
        <v>8.5033879457853807</v>
      </c>
      <c r="V78">
        <v>2.0016965443132735</v>
      </c>
      <c r="W78">
        <v>2.1915057278199122</v>
      </c>
      <c r="X78">
        <v>2.3982235151505735</v>
      </c>
      <c r="Y78">
        <v>3.9614127726796102</v>
      </c>
      <c r="Z78">
        <v>4.3172168721554485</v>
      </c>
      <c r="AA78">
        <v>4.7010268024734554</v>
      </c>
      <c r="AB78">
        <v>8.5106894948804293</v>
      </c>
      <c r="AC78">
        <v>9.1771496205242009</v>
      </c>
      <c r="AD78">
        <v>9.8794941577990389</v>
      </c>
      <c r="AE78">
        <v>2.0020868699373784</v>
      </c>
      <c r="AF78">
        <v>2.1919571235943582</v>
      </c>
      <c r="AG78">
        <v>2.3987212894663528</v>
      </c>
      <c r="AH78">
        <v>3.9624011317334054</v>
      </c>
      <c r="AI78">
        <v>4.3183530307102336</v>
      </c>
      <c r="AJ78">
        <v>4.7023082831771079</v>
      </c>
      <c r="AK78">
        <v>8.5138673589731049</v>
      </c>
      <c r="AL78">
        <v>9.1807373316719012</v>
      </c>
      <c r="AM78">
        <v>9.8840201928118994</v>
      </c>
    </row>
    <row r="79" spans="1:39" x14ac:dyDescent="0.25">
      <c r="A79" s="147">
        <f t="shared" si="0"/>
        <v>5</v>
      </c>
      <c r="C79" s="149">
        <v>4.1666666666666687</v>
      </c>
      <c r="D79" s="2">
        <v>1.7626878134568043</v>
      </c>
      <c r="E79">
        <v>1.9288372414982646</v>
      </c>
      <c r="F79">
        <v>2.1095214217046019</v>
      </c>
      <c r="G79">
        <v>3.4693283879649925</v>
      </c>
      <c r="H79">
        <v>3.7773446068182732</v>
      </c>
      <c r="I79">
        <v>4.1087278531212874</v>
      </c>
      <c r="J79">
        <v>7.3541640536828803</v>
      </c>
      <c r="K79">
        <v>7.9134670569890773</v>
      </c>
      <c r="L79">
        <v>8.5012530128433355</v>
      </c>
      <c r="M79">
        <v>1.7611600548970781</v>
      </c>
      <c r="N79">
        <v>1.9272187896877138</v>
      </c>
      <c r="O79">
        <v>2.1077738030719417</v>
      </c>
      <c r="P79">
        <v>3.4667985944452684</v>
      </c>
      <c r="Q79">
        <v>3.7747077381590302</v>
      </c>
      <c r="R79">
        <v>4.1059795072619476</v>
      </c>
      <c r="S79">
        <v>7.3512638588009622</v>
      </c>
      <c r="T79">
        <v>7.9107184421778207</v>
      </c>
      <c r="U79">
        <v>8.4986986413924548</v>
      </c>
      <c r="V79">
        <v>2.001353859017923</v>
      </c>
      <c r="W79">
        <v>2.1911126948275932</v>
      </c>
      <c r="X79">
        <v>2.3977719044877959</v>
      </c>
      <c r="Y79">
        <v>3.9603876758810665</v>
      </c>
      <c r="Z79">
        <v>4.3160273175819679</v>
      </c>
      <c r="AA79">
        <v>4.699644871038366</v>
      </c>
      <c r="AB79">
        <v>8.5064554675053898</v>
      </c>
      <c r="AC79">
        <v>9.1722178058133519</v>
      </c>
      <c r="AD79">
        <v>9.8737508049853702</v>
      </c>
      <c r="AE79">
        <v>2.0017598623630044</v>
      </c>
      <c r="AF79">
        <v>2.1915812850595757</v>
      </c>
      <c r="AG79">
        <v>2.3982884895410761</v>
      </c>
      <c r="AH79">
        <v>3.9614072805576992</v>
      </c>
      <c r="AI79">
        <v>4.3171976016027962</v>
      </c>
      <c r="AJ79">
        <v>4.7009635508139951</v>
      </c>
      <c r="AK79">
        <v>8.5097013046970886</v>
      </c>
      <c r="AL79">
        <v>9.1758789217454595</v>
      </c>
      <c r="AM79">
        <v>9.8783566863847394</v>
      </c>
    </row>
    <row r="80" spans="1:39" x14ac:dyDescent="0.25">
      <c r="A80" s="147">
        <f t="shared" si="0"/>
        <v>5</v>
      </c>
      <c r="C80" s="149">
        <v>4.2500000000000018</v>
      </c>
      <c r="D80" s="2">
        <v>1.7621078455522245</v>
      </c>
      <c r="E80">
        <v>1.9281941745760087</v>
      </c>
      <c r="F80">
        <v>2.1088076641869633</v>
      </c>
      <c r="G80">
        <v>3.4680230581698259</v>
      </c>
      <c r="H80">
        <v>3.7758902395212739</v>
      </c>
      <c r="I80">
        <v>4.1071053877099697</v>
      </c>
      <c r="J80">
        <v>7.3504455544810092</v>
      </c>
      <c r="K80">
        <v>7.9092929263869003</v>
      </c>
      <c r="L80">
        <v>8.4965669147080511</v>
      </c>
      <c r="M80">
        <v>1.7605793685225628</v>
      </c>
      <c r="N80">
        <v>1.9265750500966816</v>
      </c>
      <c r="O80">
        <v>2.107059297668564</v>
      </c>
      <c r="P80">
        <v>3.4654921887892103</v>
      </c>
      <c r="Q80">
        <v>3.7732523743218476</v>
      </c>
      <c r="R80">
        <v>4.1043560832427044</v>
      </c>
      <c r="S80">
        <v>7.3475454442059309</v>
      </c>
      <c r="T80">
        <v>7.9065447411664387</v>
      </c>
      <c r="U80">
        <v>8.494013322807568</v>
      </c>
      <c r="V80">
        <v>2.0010106241571819</v>
      </c>
      <c r="W80">
        <v>2.1907190646704882</v>
      </c>
      <c r="X80">
        <v>2.397319646162261</v>
      </c>
      <c r="Y80">
        <v>3.9593616094240733</v>
      </c>
      <c r="Z80">
        <v>4.3148367391958562</v>
      </c>
      <c r="AA80">
        <v>4.6982618675323593</v>
      </c>
      <c r="AB80">
        <v>8.5022207824350815</v>
      </c>
      <c r="AC80">
        <v>9.1672856537158758</v>
      </c>
      <c r="AD80">
        <v>9.8680075694243357</v>
      </c>
      <c r="AE80">
        <v>2.0014322912975384</v>
      </c>
      <c r="AF80">
        <v>2.1912048338051244</v>
      </c>
      <c r="AG80">
        <v>2.3978550245611401</v>
      </c>
      <c r="AH80">
        <v>3.9604124262106968</v>
      </c>
      <c r="AI80">
        <v>4.316041110915636</v>
      </c>
      <c r="AJ80">
        <v>4.6996177037614038</v>
      </c>
      <c r="AK80">
        <v>8.5055344854809203</v>
      </c>
      <c r="AL80">
        <v>9.1710200524225378</v>
      </c>
      <c r="AM80">
        <v>9.8726931578291612</v>
      </c>
    </row>
    <row r="81" spans="1:39" x14ac:dyDescent="0.25">
      <c r="A81" s="147">
        <f t="shared" si="0"/>
        <v>5</v>
      </c>
      <c r="C81" s="149">
        <v>4.3333333333333348</v>
      </c>
      <c r="D81" s="2">
        <v>1.7615279846268836</v>
      </c>
      <c r="E81">
        <v>1.9275512356503983</v>
      </c>
      <c r="F81">
        <v>2.1080940593863264</v>
      </c>
      <c r="G81">
        <v>3.46671816804069</v>
      </c>
      <c r="H81">
        <v>3.7744364059294235</v>
      </c>
      <c r="I81">
        <v>4.10548356878635</v>
      </c>
      <c r="J81">
        <v>7.346729752190674</v>
      </c>
      <c r="K81">
        <v>7.9051220828611921</v>
      </c>
      <c r="L81">
        <v>8.4918848279922798</v>
      </c>
      <c r="M81">
        <v>1.7599987838124473</v>
      </c>
      <c r="N81">
        <v>1.9259314329102724</v>
      </c>
      <c r="O81">
        <v>2.1063449387808308</v>
      </c>
      <c r="P81">
        <v>3.4641862122757474</v>
      </c>
      <c r="Q81">
        <v>3.7717975329607007</v>
      </c>
      <c r="R81">
        <v>4.1027332935795204</v>
      </c>
      <c r="S81">
        <v>7.3438297050401715</v>
      </c>
      <c r="T81">
        <v>7.9023743041198138</v>
      </c>
      <c r="U81">
        <v>8.4893319906906246</v>
      </c>
      <c r="V81">
        <v>2.0006668373991747</v>
      </c>
      <c r="W81">
        <v>2.1903248347946134</v>
      </c>
      <c r="X81">
        <v>2.3968667373759946</v>
      </c>
      <c r="Y81">
        <v>3.9583345686302831</v>
      </c>
      <c r="Z81">
        <v>4.3136451318809534</v>
      </c>
      <c r="AA81">
        <v>4.6968777863659206</v>
      </c>
      <c r="AB81">
        <v>8.4979854288412646</v>
      </c>
      <c r="AC81">
        <v>9.1623531523152231</v>
      </c>
      <c r="AD81">
        <v>9.862264437945516</v>
      </c>
      <c r="AE81">
        <v>2.0011041543911117</v>
      </c>
      <c r="AF81">
        <v>2.1908277672543215</v>
      </c>
      <c r="AG81">
        <v>2.3974208917017403</v>
      </c>
      <c r="AH81">
        <v>3.9594165639793393</v>
      </c>
      <c r="AI81">
        <v>4.314883553493349</v>
      </c>
      <c r="AJ81">
        <v>4.6982707363936882</v>
      </c>
      <c r="AK81">
        <v>8.5013668904782396</v>
      </c>
      <c r="AL81">
        <v>9.1661607117640447</v>
      </c>
      <c r="AM81">
        <v>9.8670295939736867</v>
      </c>
    </row>
    <row r="82" spans="1:39" x14ac:dyDescent="0.25">
      <c r="A82" s="147">
        <f t="shared" si="0"/>
        <v>5</v>
      </c>
      <c r="C82" s="149">
        <v>4.4166666666666679</v>
      </c>
      <c r="D82" s="2">
        <v>1.7609482315788334</v>
      </c>
      <c r="E82">
        <v>1.9269084256920741</v>
      </c>
      <c r="F82">
        <v>2.107380608348385</v>
      </c>
      <c r="G82">
        <v>3.4654137190947174</v>
      </c>
      <c r="H82">
        <v>3.7729831076445981</v>
      </c>
      <c r="I82">
        <v>4.1038623980292321</v>
      </c>
      <c r="J82">
        <v>7.3430166482125951</v>
      </c>
      <c r="K82">
        <v>7.9009545275168858</v>
      </c>
      <c r="L82">
        <v>8.4872067533560056</v>
      </c>
      <c r="M82">
        <v>1.759418301661801</v>
      </c>
      <c r="N82">
        <v>1.9252879390953084</v>
      </c>
      <c r="O82">
        <v>2.1056307274483377</v>
      </c>
      <c r="P82">
        <v>3.4628806664225351</v>
      </c>
      <c r="Q82">
        <v>3.7703432156720709</v>
      </c>
      <c r="R82">
        <v>4.1011111399452345</v>
      </c>
      <c r="S82">
        <v>7.3401166427162616</v>
      </c>
      <c r="T82">
        <v>7.8982071321457035</v>
      </c>
      <c r="U82">
        <v>8.4846546457111689</v>
      </c>
      <c r="V82">
        <v>2.0003224964055493</v>
      </c>
      <c r="W82">
        <v>2.1899300026352919</v>
      </c>
      <c r="X82">
        <v>2.3964131753191413</v>
      </c>
      <c r="Y82">
        <v>3.957306548805525</v>
      </c>
      <c r="Z82">
        <v>4.3124524905057706</v>
      </c>
      <c r="AA82">
        <v>4.695492621930101</v>
      </c>
      <c r="AB82">
        <v>8.493749395863345</v>
      </c>
      <c r="AC82">
        <v>9.1574202896545174</v>
      </c>
      <c r="AD82">
        <v>9.8565213973393941</v>
      </c>
      <c r="AE82">
        <v>2.0007754492851024</v>
      </c>
      <c r="AF82">
        <v>2.1904500828240741</v>
      </c>
      <c r="AG82">
        <v>2.3969860881338318</v>
      </c>
      <c r="AH82">
        <v>3.9584196891407126</v>
      </c>
      <c r="AI82">
        <v>4.3137249241751601</v>
      </c>
      <c r="AJ82">
        <v>4.6969226430654754</v>
      </c>
      <c r="AK82">
        <v>8.4971985087979327</v>
      </c>
      <c r="AL82">
        <v>9.161300887796985</v>
      </c>
      <c r="AM82">
        <v>9.8613659816165633</v>
      </c>
    </row>
    <row r="83" spans="1:39" x14ac:dyDescent="0.25">
      <c r="A83" s="147">
        <f t="shared" si="0"/>
        <v>5</v>
      </c>
      <c r="C83" s="149">
        <v>4.5000000000000009</v>
      </c>
      <c r="D83" s="2">
        <v>1.7593061804487502</v>
      </c>
      <c r="E83">
        <v>1.9249879590185506</v>
      </c>
      <c r="F83">
        <v>2.1051312793121055</v>
      </c>
      <c r="G83">
        <v>3.4597871587422593</v>
      </c>
      <c r="H83">
        <v>3.7663582475681903</v>
      </c>
      <c r="I83">
        <v>4.0960593876428391</v>
      </c>
      <c r="J83">
        <v>7.3172158683391242</v>
      </c>
      <c r="K83">
        <v>7.8706862598712037</v>
      </c>
      <c r="L83">
        <v>8.4517424363834728</v>
      </c>
      <c r="M83">
        <v>1.7577526978747784</v>
      </c>
      <c r="N83">
        <v>1.923341620083455</v>
      </c>
      <c r="O83">
        <v>2.1033532520860305</v>
      </c>
      <c r="P83">
        <v>3.4572060504240412</v>
      </c>
      <c r="Q83">
        <v>3.7636647696750023</v>
      </c>
      <c r="R83">
        <v>4.0932489311875662</v>
      </c>
      <c r="S83">
        <v>7.3141948125388687</v>
      </c>
      <c r="T83">
        <v>7.8678045377005699</v>
      </c>
      <c r="U83">
        <v>8.4490396919538728</v>
      </c>
      <c r="V83">
        <v>1.9991565511293037</v>
      </c>
      <c r="W83">
        <v>2.1885426275369495</v>
      </c>
      <c r="X83">
        <v>2.3947615788921239</v>
      </c>
      <c r="Y83">
        <v>3.952837697938687</v>
      </c>
      <c r="Z83">
        <v>4.3071295021922147</v>
      </c>
      <c r="AA83">
        <v>4.6891546153539814</v>
      </c>
      <c r="AB83">
        <v>8.4713828734512777</v>
      </c>
      <c r="AC83">
        <v>9.130981982610642</v>
      </c>
      <c r="AD83">
        <v>9.8253176764899486</v>
      </c>
      <c r="AE83">
        <v>1.9995935823288222</v>
      </c>
      <c r="AF83">
        <v>2.1890453413167092</v>
      </c>
      <c r="AG83">
        <v>2.395315406232255</v>
      </c>
      <c r="AH83">
        <v>3.9539211787320143</v>
      </c>
      <c r="AI83">
        <v>4.3083702414478733</v>
      </c>
      <c r="AJ83">
        <v>4.6905505868997412</v>
      </c>
      <c r="AK83">
        <v>8.4747748699244685</v>
      </c>
      <c r="AL83">
        <v>9.1348023414534349</v>
      </c>
      <c r="AM83">
        <v>9.8300936111465909</v>
      </c>
    </row>
    <row r="84" spans="1:39" x14ac:dyDescent="0.25">
      <c r="A84" s="147">
        <f t="shared" si="0"/>
        <v>5</v>
      </c>
      <c r="C84" s="149">
        <v>4.5833333333333339</v>
      </c>
      <c r="D84" s="2">
        <v>1.7587285539114212</v>
      </c>
      <c r="E84">
        <v>1.9243476790892629</v>
      </c>
      <c r="F84">
        <v>2.1044208400291984</v>
      </c>
      <c r="G84">
        <v>3.4584909713439185</v>
      </c>
      <c r="H84">
        <v>3.7649148395394589</v>
      </c>
      <c r="I84">
        <v>4.0944500571258686</v>
      </c>
      <c r="J84">
        <v>7.313547373226398</v>
      </c>
      <c r="K84">
        <v>7.8665721330886473</v>
      </c>
      <c r="L84">
        <v>8.4471283447086982</v>
      </c>
      <c r="M84">
        <v>1.7571755595847218</v>
      </c>
      <c r="N84">
        <v>1.9227019888181469</v>
      </c>
      <c r="O84">
        <v>2.1026435087477284</v>
      </c>
      <c r="P84">
        <v>3.4559111562511569</v>
      </c>
      <c r="Q84">
        <v>3.7622229462329861</v>
      </c>
      <c r="R84">
        <v>4.0916414492853779</v>
      </c>
      <c r="S84">
        <v>7.3105313950807069</v>
      </c>
      <c r="T84">
        <v>7.8636962057177353</v>
      </c>
      <c r="U84">
        <v>8.4444321358159193</v>
      </c>
      <c r="V84">
        <v>1.9988186689743874</v>
      </c>
      <c r="W84">
        <v>2.1881552155381363</v>
      </c>
      <c r="X84">
        <v>2.3943165606636696</v>
      </c>
      <c r="Y84">
        <v>3.9518295999977622</v>
      </c>
      <c r="Z84">
        <v>4.3059601599932922</v>
      </c>
      <c r="AA84">
        <v>4.6877967579828432</v>
      </c>
      <c r="AB84">
        <v>8.4672398479764066</v>
      </c>
      <c r="AC84">
        <v>9.1261597665093923</v>
      </c>
      <c r="AD84">
        <v>9.8197064069102282</v>
      </c>
      <c r="AE84">
        <v>1.9992663874855967</v>
      </c>
      <c r="AF84">
        <v>2.1886696583834175</v>
      </c>
      <c r="AG84">
        <v>2.3948832163430542</v>
      </c>
      <c r="AH84">
        <v>3.9529344109242528</v>
      </c>
      <c r="AI84">
        <v>4.3072242092723503</v>
      </c>
      <c r="AJ84">
        <v>4.689218141757328</v>
      </c>
      <c r="AK84">
        <v>8.4706783059105639</v>
      </c>
      <c r="AL84">
        <v>9.1300302957084334</v>
      </c>
      <c r="AM84">
        <v>9.8245371593477842</v>
      </c>
    </row>
    <row r="85" spans="1:39" x14ac:dyDescent="0.25">
      <c r="A85" s="147">
        <f t="shared" si="0"/>
        <v>5</v>
      </c>
      <c r="C85" s="149">
        <v>4.666666666666667</v>
      </c>
      <c r="D85" s="2">
        <v>1.7581510390495434</v>
      </c>
      <c r="E85">
        <v>1.9237075323344333</v>
      </c>
      <c r="F85">
        <v>2.1037105591596807</v>
      </c>
      <c r="G85">
        <v>3.4571952328023787</v>
      </c>
      <c r="H85">
        <v>3.7634719749885934</v>
      </c>
      <c r="I85">
        <v>4.0928413833369506</v>
      </c>
      <c r="J85">
        <v>7.3098815705671676</v>
      </c>
      <c r="K85">
        <v>7.8624612798628259</v>
      </c>
      <c r="L85">
        <v>8.442518237882604</v>
      </c>
      <c r="M85">
        <v>1.7565985270734141</v>
      </c>
      <c r="N85">
        <v>1.9220624844816223</v>
      </c>
      <c r="O85">
        <v>2.101933916874648</v>
      </c>
      <c r="P85">
        <v>3.4546166988693066</v>
      </c>
      <c r="Q85">
        <v>3.7607816532917644</v>
      </c>
      <c r="R85">
        <v>4.0900346099691935</v>
      </c>
      <c r="S85">
        <v>7.3068706430779056</v>
      </c>
      <c r="T85">
        <v>7.8595911178433031</v>
      </c>
      <c r="U85">
        <v>8.4398285322874091</v>
      </c>
      <c r="V85">
        <v>1.9984802298958235</v>
      </c>
      <c r="W85">
        <v>2.1877671988175829</v>
      </c>
      <c r="X85">
        <v>2.3938708870870733</v>
      </c>
      <c r="Y85">
        <v>3.9508205264023104</v>
      </c>
      <c r="Z85">
        <v>4.3047897889053726</v>
      </c>
      <c r="AA85">
        <v>4.6864378246103842</v>
      </c>
      <c r="AB85">
        <v>8.4630961680799093</v>
      </c>
      <c r="AC85">
        <v>9.1213372129616737</v>
      </c>
      <c r="AD85">
        <v>9.8140952475673675</v>
      </c>
      <c r="AE85">
        <v>1.9989386234605706</v>
      </c>
      <c r="AF85">
        <v>2.188293357094262</v>
      </c>
      <c r="AG85">
        <v>2.3944503559349712</v>
      </c>
      <c r="AH85">
        <v>3.9519466391374127</v>
      </c>
      <c r="AI85">
        <v>4.3060771164857972</v>
      </c>
      <c r="AJ85">
        <v>4.6878845850569357</v>
      </c>
      <c r="AK85">
        <v>8.4665810027233857</v>
      </c>
      <c r="AL85">
        <v>9.1252578168499987</v>
      </c>
      <c r="AM85">
        <v>9.818980709295495</v>
      </c>
    </row>
    <row r="86" spans="1:39" x14ac:dyDescent="0.25">
      <c r="A86" s="147">
        <f t="shared" si="0"/>
        <v>5</v>
      </c>
      <c r="C86" s="149">
        <v>4.75</v>
      </c>
      <c r="D86" s="2">
        <v>1.7575736367732113</v>
      </c>
      <c r="E86">
        <v>1.9230675197408642</v>
      </c>
      <c r="F86">
        <v>2.1030004377616653</v>
      </c>
      <c r="G86">
        <v>3.455899944662908</v>
      </c>
      <c r="H86">
        <v>3.762029655548587</v>
      </c>
      <c r="I86">
        <v>4.0912333679779076</v>
      </c>
      <c r="J86">
        <v>7.3062184618310493</v>
      </c>
      <c r="K86">
        <v>7.8583537013709641</v>
      </c>
      <c r="L86">
        <v>8.4379121166573938</v>
      </c>
      <c r="M86">
        <v>1.7560216012483676</v>
      </c>
      <c r="N86">
        <v>1.9214231080521094</v>
      </c>
      <c r="O86">
        <v>2.1012244775264888</v>
      </c>
      <c r="P86">
        <v>3.4533226798258094</v>
      </c>
      <c r="Q86">
        <v>3.7593408924711333</v>
      </c>
      <c r="R86">
        <v>4.0884284149482086</v>
      </c>
      <c r="S86">
        <v>7.3032125580101983</v>
      </c>
      <c r="T86">
        <v>7.8554892752587833</v>
      </c>
      <c r="U86">
        <v>8.4352288821399686</v>
      </c>
      <c r="V86">
        <v>1.9981412315389608</v>
      </c>
      <c r="W86">
        <v>2.1873785747943328</v>
      </c>
      <c r="X86">
        <v>2.3934245553382558</v>
      </c>
      <c r="Y86">
        <v>3.9498104724571022</v>
      </c>
      <c r="Z86">
        <v>4.303618383800309</v>
      </c>
      <c r="AA86">
        <v>4.6850778096372183</v>
      </c>
      <c r="AB86">
        <v>8.4589518230395342</v>
      </c>
      <c r="AC86">
        <v>9.116514310195214</v>
      </c>
      <c r="AD86">
        <v>9.808484185499653</v>
      </c>
      <c r="AE86">
        <v>1.9986102878805161</v>
      </c>
      <c r="AF86">
        <v>2.1879164348508064</v>
      </c>
      <c r="AG86">
        <v>2.3940168221601765</v>
      </c>
      <c r="AH86">
        <v>3.9509578586419751</v>
      </c>
      <c r="AI86">
        <v>4.3049289579242949</v>
      </c>
      <c r="AJ86">
        <v>4.6865499111632944</v>
      </c>
      <c r="AK86">
        <v>8.4624829496340652</v>
      </c>
      <c r="AL86">
        <v>9.1204848930865889</v>
      </c>
      <c r="AM86">
        <v>9.8134242479973182</v>
      </c>
    </row>
    <row r="87" spans="1:39" x14ac:dyDescent="0.25">
      <c r="A87" s="147">
        <f t="shared" si="0"/>
        <v>5</v>
      </c>
      <c r="C87" s="149">
        <v>4.833333333333333</v>
      </c>
      <c r="D87" s="2">
        <v>1.7569963479931432</v>
      </c>
      <c r="E87">
        <v>1.9224276422894677</v>
      </c>
      <c r="F87">
        <v>2.1022904768973758</v>
      </c>
      <c r="G87">
        <v>3.454605108465274</v>
      </c>
      <c r="H87">
        <v>3.7605878828438248</v>
      </c>
      <c r="I87">
        <v>4.0896260127611406</v>
      </c>
      <c r="J87">
        <v>7.3025580484825721</v>
      </c>
      <c r="K87">
        <v>7.8542493987857194</v>
      </c>
      <c r="L87">
        <v>8.433309981778482</v>
      </c>
      <c r="M87">
        <v>1.7554447830177007</v>
      </c>
      <c r="N87">
        <v>1.9207838605147933</v>
      </c>
      <c r="O87">
        <v>2.1005151917609495</v>
      </c>
      <c r="P87">
        <v>3.4520291006611012</v>
      </c>
      <c r="Q87">
        <v>3.7579006654025724</v>
      </c>
      <c r="R87">
        <v>4.0868228659286014</v>
      </c>
      <c r="S87">
        <v>7.2995571413683962</v>
      </c>
      <c r="T87">
        <v>7.8513906791600325</v>
      </c>
      <c r="U87">
        <v>8.4306331861329618</v>
      </c>
      <c r="V87">
        <v>1.9978016715399507</v>
      </c>
      <c r="W87">
        <v>2.1869893408812753</v>
      </c>
      <c r="X87">
        <v>2.392977562583062</v>
      </c>
      <c r="Y87">
        <v>3.9487994334497265</v>
      </c>
      <c r="Z87">
        <v>4.3024459395278409</v>
      </c>
      <c r="AA87">
        <v>4.6837167074452202</v>
      </c>
      <c r="AB87">
        <v>8.4548068021214711</v>
      </c>
      <c r="AC87">
        <v>9.111691046413128</v>
      </c>
      <c r="AD87">
        <v>9.8028732077196352</v>
      </c>
      <c r="AE87">
        <v>1.9982813783633442</v>
      </c>
      <c r="AF87">
        <v>2.1875388890423104</v>
      </c>
      <c r="AG87">
        <v>2.3935826121637356</v>
      </c>
      <c r="AH87">
        <v>3.9499680646932527</v>
      </c>
      <c r="AI87">
        <v>4.3037797284064885</v>
      </c>
      <c r="AJ87">
        <v>4.6852141144202113</v>
      </c>
      <c r="AK87">
        <v>8.4583841358573366</v>
      </c>
      <c r="AL87">
        <v>9.1157115125910497</v>
      </c>
      <c r="AM87">
        <v>9.8078677624510089</v>
      </c>
    </row>
    <row r="88" spans="1:39" x14ac:dyDescent="0.25">
      <c r="A88" s="147">
        <f t="shared" si="0"/>
        <v>5</v>
      </c>
      <c r="C88" s="149">
        <v>4.9166666666666661</v>
      </c>
      <c r="D88" s="2">
        <v>1.7564191736237063</v>
      </c>
      <c r="E88">
        <v>1.9217879009698011</v>
      </c>
      <c r="F88">
        <v>2.1015806776297463</v>
      </c>
      <c r="G88">
        <v>3.4533107257619999</v>
      </c>
      <c r="H88">
        <v>3.7591466585151072</v>
      </c>
      <c r="I88">
        <v>4.0880193193940055</v>
      </c>
      <c r="J88">
        <v>7.2989003320027503</v>
      </c>
      <c r="K88">
        <v>7.8501483732859727</v>
      </c>
      <c r="L88">
        <v>8.4287118339979905</v>
      </c>
      <c r="M88">
        <v>1.7548680732945199</v>
      </c>
      <c r="N88">
        <v>1.9201447428546849</v>
      </c>
      <c r="O88">
        <v>2.099806060639803</v>
      </c>
      <c r="P88">
        <v>3.4507359629202261</v>
      </c>
      <c r="Q88">
        <v>3.7564609737210812</v>
      </c>
      <c r="R88">
        <v>4.0852179646229736</v>
      </c>
      <c r="S88">
        <v>7.2959043946299582</v>
      </c>
      <c r="T88">
        <v>7.8472953307354807</v>
      </c>
      <c r="U88">
        <v>8.4260414450513341</v>
      </c>
      <c r="V88">
        <v>1.9974615475288591</v>
      </c>
      <c r="W88">
        <v>2.1865994944816212</v>
      </c>
      <c r="X88">
        <v>2.3925299059774545</v>
      </c>
      <c r="Y88">
        <v>3.9477874046523844</v>
      </c>
      <c r="Z88">
        <v>4.301272450928904</v>
      </c>
      <c r="AA88">
        <v>4.6823545123992654</v>
      </c>
      <c r="AB88">
        <v>8.4506610945540572</v>
      </c>
      <c r="AC88">
        <v>9.106867409797438</v>
      </c>
      <c r="AD88">
        <v>9.797262301202764</v>
      </c>
      <c r="AE88">
        <v>1.9979518925200068</v>
      </c>
      <c r="AF88">
        <v>2.1871607170533927</v>
      </c>
      <c r="AG88">
        <v>2.3931477230797289</v>
      </c>
      <c r="AH88">
        <v>3.9489772525318605</v>
      </c>
      <c r="AI88">
        <v>4.3026294227353663</v>
      </c>
      <c r="AJ88">
        <v>4.6838771891577586</v>
      </c>
      <c r="AK88">
        <v>8.4542845505945099</v>
      </c>
      <c r="AL88">
        <v>9.1109376635136741</v>
      </c>
      <c r="AM88">
        <v>9.8023112396005345</v>
      </c>
    </row>
    <row r="89" spans="1:39" x14ac:dyDescent="0.25">
      <c r="A89" s="147">
        <f t="shared" si="0"/>
        <v>5</v>
      </c>
      <c r="C89" s="149">
        <v>4.9999999999999991</v>
      </c>
      <c r="D89" s="2">
        <v>1.7558421145805205</v>
      </c>
      <c r="E89">
        <v>1.9211482967729321</v>
      </c>
      <c r="F89">
        <v>2.1008710410264557</v>
      </c>
      <c r="G89">
        <v>3.4520167981047809</v>
      </c>
      <c r="H89">
        <v>3.7577059841972655</v>
      </c>
      <c r="I89">
        <v>4.086413289597731</v>
      </c>
      <c r="J89">
        <v>7.2952453138674063</v>
      </c>
      <c r="K89">
        <v>7.8460506260499923</v>
      </c>
      <c r="L89">
        <v>8.4241176740747186</v>
      </c>
      <c r="M89">
        <v>1.7542914729928341</v>
      </c>
      <c r="N89">
        <v>1.919505756061</v>
      </c>
      <c r="O89">
        <v>2.0990970852292077</v>
      </c>
      <c r="P89">
        <v>3.4494432681561635</v>
      </c>
      <c r="Q89">
        <v>3.7550218190651172</v>
      </c>
      <c r="R89">
        <v>4.0836137127455769</v>
      </c>
      <c r="S89">
        <v>7.292254319291418</v>
      </c>
      <c r="T89">
        <v>7.843203231195889</v>
      </c>
      <c r="U89">
        <v>8.4214536596635732</v>
      </c>
      <c r="V89">
        <v>1.997120857127336</v>
      </c>
      <c r="W89">
        <v>2.1862090329897965</v>
      </c>
      <c r="X89">
        <v>2.392081582669408</v>
      </c>
      <c r="Y89">
        <v>3.9467743813233698</v>
      </c>
      <c r="Z89">
        <v>4.3000979128258852</v>
      </c>
      <c r="AA89">
        <v>4.6809912188462963</v>
      </c>
      <c r="AB89">
        <v>8.4465146895354852</v>
      </c>
      <c r="AC89">
        <v>9.1020433884719942</v>
      </c>
      <c r="AD89">
        <v>9.7916514528881837</v>
      </c>
      <c r="AE89">
        <v>1.9976218279532016</v>
      </c>
      <c r="AF89">
        <v>2.1867819162574627</v>
      </c>
      <c r="AG89">
        <v>2.3927121520334853</v>
      </c>
      <c r="AH89">
        <v>3.9479854173810836</v>
      </c>
      <c r="AI89">
        <v>4.3014780356973237</v>
      </c>
      <c r="AJ89">
        <v>4.6825391296825121</v>
      </c>
      <c r="AK89">
        <v>8.4501841830058293</v>
      </c>
      <c r="AL89">
        <v>9.1061633339586159</v>
      </c>
      <c r="AM89">
        <v>9.796754666357252</v>
      </c>
    </row>
    <row r="90" spans="1:39" x14ac:dyDescent="0.25">
      <c r="A90" s="147">
        <f t="shared" si="0"/>
        <v>6</v>
      </c>
      <c r="C90" s="149">
        <v>5.0833333333333321</v>
      </c>
      <c r="D90" s="2">
        <v>1.8780543338679967</v>
      </c>
      <c r="E90">
        <v>2.0548613901797932</v>
      </c>
      <c r="F90">
        <v>2.2470871340809597</v>
      </c>
      <c r="G90">
        <v>3.6921826445925525</v>
      </c>
      <c r="H90">
        <v>4.0191139953102155</v>
      </c>
      <c r="I90">
        <v>4.3706574304085999</v>
      </c>
      <c r="J90">
        <v>7.8019786337247217</v>
      </c>
      <c r="K90">
        <v>8.3908690251020204</v>
      </c>
      <c r="L90">
        <v>9.0088623778547792</v>
      </c>
      <c r="M90">
        <v>1.87618467127936</v>
      </c>
      <c r="N90">
        <v>2.0528734494224761</v>
      </c>
      <c r="O90">
        <v>2.244937277878571</v>
      </c>
      <c r="P90">
        <v>3.6890159777386065</v>
      </c>
      <c r="Q90">
        <v>4.0157918422714438</v>
      </c>
      <c r="R90">
        <v>4.3671723231694708</v>
      </c>
      <c r="S90">
        <v>7.7979077076249581</v>
      </c>
      <c r="T90">
        <v>8.3868866748204987</v>
      </c>
      <c r="U90">
        <v>9.0050073162290172</v>
      </c>
      <c r="V90">
        <v>2.0791429257181471</v>
      </c>
      <c r="W90">
        <v>2.275966717502556</v>
      </c>
      <c r="X90">
        <v>2.4902552698049067</v>
      </c>
      <c r="Y90">
        <v>4.108279022774397</v>
      </c>
      <c r="Z90">
        <v>4.4759371028218879</v>
      </c>
      <c r="AA90">
        <v>4.8722579640518457</v>
      </c>
      <c r="AB90">
        <v>8.7886820970916375</v>
      </c>
      <c r="AC90">
        <v>9.4701373787432566</v>
      </c>
      <c r="AD90">
        <v>10.186893411101639</v>
      </c>
      <c r="AE90">
        <v>2.0796275264810751</v>
      </c>
      <c r="AF90">
        <v>2.2765226881036198</v>
      </c>
      <c r="AG90">
        <v>2.490867564846611</v>
      </c>
      <c r="AH90">
        <v>4.1094675062430133</v>
      </c>
      <c r="AI90">
        <v>4.4772952412804843</v>
      </c>
      <c r="AJ90">
        <v>4.8737839976594017</v>
      </c>
      <c r="AK90">
        <v>8.792351212487425</v>
      </c>
      <c r="AL90">
        <v>9.4742642953999532</v>
      </c>
      <c r="AM90">
        <v>10.192031282862345</v>
      </c>
    </row>
    <row r="91" spans="1:39" x14ac:dyDescent="0.25">
      <c r="A91" s="147">
        <f t="shared" si="0"/>
        <v>6</v>
      </c>
      <c r="C91" s="149">
        <v>5.1666666666666652</v>
      </c>
      <c r="D91" s="2">
        <v>1.8774270259115116</v>
      </c>
      <c r="E91">
        <v>2.0541646268358993</v>
      </c>
      <c r="F91">
        <v>2.2463123824623215</v>
      </c>
      <c r="G91">
        <v>3.690747756453491</v>
      </c>
      <c r="H91">
        <v>4.0175110286580509</v>
      </c>
      <c r="I91">
        <v>4.3688643712505204</v>
      </c>
      <c r="J91">
        <v>7.7977818656397844</v>
      </c>
      <c r="K91">
        <v>8.3861446659020551</v>
      </c>
      <c r="L91">
        <v>9.0035436507759066</v>
      </c>
      <c r="M91">
        <v>1.8755575952124564</v>
      </c>
      <c r="N91">
        <v>2.0521770555292833</v>
      </c>
      <c r="O91">
        <v>2.244162924570408</v>
      </c>
      <c r="P91">
        <v>3.6875819721890224</v>
      </c>
      <c r="Q91">
        <v>4.0141900258082899</v>
      </c>
      <c r="R91">
        <v>4.3653806591101754</v>
      </c>
      <c r="S91">
        <v>7.7937155588054203</v>
      </c>
      <c r="T91">
        <v>8.3821676814212989</v>
      </c>
      <c r="U91">
        <v>8.9996947381750143</v>
      </c>
      <c r="V91">
        <v>2.078961823644903</v>
      </c>
      <c r="W91">
        <v>2.2757494120133046</v>
      </c>
      <c r="X91">
        <v>2.4899945568619906</v>
      </c>
      <c r="Y91">
        <v>4.1075514605541041</v>
      </c>
      <c r="Z91">
        <v>4.4750673446015909</v>
      </c>
      <c r="AA91">
        <v>4.8712190037682763</v>
      </c>
      <c r="AB91">
        <v>8.7849736010585779</v>
      </c>
      <c r="AC91">
        <v>9.4657542934137027</v>
      </c>
      <c r="AD91">
        <v>10.181720641243302</v>
      </c>
      <c r="AE91">
        <v>2.0794575965122495</v>
      </c>
      <c r="AF91">
        <v>2.2763176418497131</v>
      </c>
      <c r="AG91">
        <v>2.4906202609041266</v>
      </c>
      <c r="AH91">
        <v>4.1087622312268373</v>
      </c>
      <c r="AI91">
        <v>4.4764498339943088</v>
      </c>
      <c r="AJ91">
        <v>4.8727715817658988</v>
      </c>
      <c r="AK91">
        <v>8.7886911716284484</v>
      </c>
      <c r="AL91">
        <v>9.4699335129762705</v>
      </c>
      <c r="AM91">
        <v>10.186915561946556</v>
      </c>
    </row>
    <row r="92" spans="1:39" x14ac:dyDescent="0.25">
      <c r="A92" s="147">
        <f t="shared" si="0"/>
        <v>6</v>
      </c>
      <c r="C92" s="149">
        <v>5.2499999999999982</v>
      </c>
      <c r="D92" s="2">
        <v>1.8767995658259133</v>
      </c>
      <c r="E92">
        <v>2.0534677087892281</v>
      </c>
      <c r="F92">
        <v>2.2455374754637605</v>
      </c>
      <c r="G92">
        <v>3.6893128162243931</v>
      </c>
      <c r="H92">
        <v>4.0159080644433596</v>
      </c>
      <c r="I92">
        <v>4.367071386042892</v>
      </c>
      <c r="J92">
        <v>7.793586901900845</v>
      </c>
      <c r="K92">
        <v>8.3814226665271594</v>
      </c>
      <c r="L92">
        <v>8.9982279796626585</v>
      </c>
      <c r="M92">
        <v>1.8749303599822646</v>
      </c>
      <c r="N92">
        <v>2.0514804994106455</v>
      </c>
      <c r="O92">
        <v>2.2433884075527741</v>
      </c>
      <c r="P92">
        <v>3.6861479002239639</v>
      </c>
      <c r="Q92">
        <v>4.0125881963012411</v>
      </c>
      <c r="R92">
        <v>4.3635890521278444</v>
      </c>
      <c r="S92">
        <v>7.7895251822025102</v>
      </c>
      <c r="T92">
        <v>8.3774510128190958</v>
      </c>
      <c r="U92">
        <v>8.9943851778073292</v>
      </c>
      <c r="V92">
        <v>2.0787804542162833</v>
      </c>
      <c r="W92">
        <v>2.2755318160618589</v>
      </c>
      <c r="X92">
        <v>2.4897335291966494</v>
      </c>
      <c r="Y92">
        <v>4.1068234439100326</v>
      </c>
      <c r="Z92">
        <v>4.4741971152517941</v>
      </c>
      <c r="AA92">
        <v>4.8701795628081381</v>
      </c>
      <c r="AB92">
        <v>8.7812653173726201</v>
      </c>
      <c r="AC92">
        <v>9.4613717670452324</v>
      </c>
      <c r="AD92">
        <v>10.176548905101971</v>
      </c>
      <c r="AE92">
        <v>2.0792873868540003</v>
      </c>
      <c r="AF92">
        <v>2.2761122913995764</v>
      </c>
      <c r="AG92">
        <v>2.4903726269517201</v>
      </c>
      <c r="AH92">
        <v>4.1080564731182942</v>
      </c>
      <c r="AI92">
        <v>4.4756039234309224</v>
      </c>
      <c r="AJ92">
        <v>4.8717586491317117</v>
      </c>
      <c r="AK92">
        <v>8.7850312565448441</v>
      </c>
      <c r="AL92">
        <v>9.4656031916665704</v>
      </c>
      <c r="AM92">
        <v>10.181800763271074</v>
      </c>
    </row>
    <row r="93" spans="1:39" x14ac:dyDescent="0.25">
      <c r="A93" s="147">
        <f t="shared" si="0"/>
        <v>6</v>
      </c>
      <c r="C93" s="149">
        <v>5.3333333333333313</v>
      </c>
      <c r="D93" s="2">
        <v>1.8761719538819586</v>
      </c>
      <c r="E93">
        <v>2.0527706363240092</v>
      </c>
      <c r="F93">
        <v>2.2447624133868471</v>
      </c>
      <c r="G93">
        <v>3.6878778242535617</v>
      </c>
      <c r="H93">
        <v>4.0143051030111421</v>
      </c>
      <c r="I93">
        <v>4.365278475112027</v>
      </c>
      <c r="J93">
        <v>7.7893937418147194</v>
      </c>
      <c r="K93">
        <v>8.3767030258696575</v>
      </c>
      <c r="L93">
        <v>8.992915362854653</v>
      </c>
      <c r="M93">
        <v>1.8743029658528945</v>
      </c>
      <c r="N93">
        <v>2.0507837813503</v>
      </c>
      <c r="O93">
        <v>2.2426137271237416</v>
      </c>
      <c r="P93">
        <v>3.6847137621891135</v>
      </c>
      <c r="Q93">
        <v>4.010986354087926</v>
      </c>
      <c r="R93">
        <v>4.3617975025393871</v>
      </c>
      <c r="S93">
        <v>7.7853365771150695</v>
      </c>
      <c r="T93">
        <v>8.3727366678969748</v>
      </c>
      <c r="U93">
        <v>8.989078633476252</v>
      </c>
      <c r="V93">
        <v>2.0785988154964583</v>
      </c>
      <c r="W93">
        <v>2.2753139275250414</v>
      </c>
      <c r="X93">
        <v>2.4894721844775476</v>
      </c>
      <c r="Y93">
        <v>4.1060949688859507</v>
      </c>
      <c r="Z93">
        <v>4.4733264104385366</v>
      </c>
      <c r="AA93">
        <v>4.8691396364153601</v>
      </c>
      <c r="AB93">
        <v>8.7775572364722994</v>
      </c>
      <c r="AC93">
        <v>9.4569897890246413</v>
      </c>
      <c r="AD93">
        <v>10.171378190884809</v>
      </c>
      <c r="AE93">
        <v>2.0791168955503321</v>
      </c>
      <c r="AF93">
        <v>2.2759066346025807</v>
      </c>
      <c r="AG93">
        <v>2.4901246606336898</v>
      </c>
      <c r="AH93">
        <v>4.1073502279267196</v>
      </c>
      <c r="AI93">
        <v>4.4747575052131552</v>
      </c>
      <c r="AJ93">
        <v>4.8707451949536908</v>
      </c>
      <c r="AK93">
        <v>8.7813714576246298</v>
      </c>
      <c r="AL93">
        <v>9.4612733208371829</v>
      </c>
      <c r="AM93">
        <v>10.17668687500246</v>
      </c>
    </row>
    <row r="94" spans="1:39" x14ac:dyDescent="0.25">
      <c r="A94" s="147">
        <f t="shared" ref="A94:A157" si="1">ROUNDUP(C94,0)</f>
        <v>6</v>
      </c>
      <c r="C94" s="149">
        <v>5.4166666666666643</v>
      </c>
      <c r="D94" s="2">
        <v>1.8755441903469416</v>
      </c>
      <c r="E94">
        <v>2.0520734097298905</v>
      </c>
      <c r="F94">
        <v>2.2439871965348166</v>
      </c>
      <c r="G94">
        <v>3.6864427808965301</v>
      </c>
      <c r="H94">
        <v>4.012702144709607</v>
      </c>
      <c r="I94">
        <v>4.363485638786706</v>
      </c>
      <c r="J94">
        <v>7.7852023846616074</v>
      </c>
      <c r="K94">
        <v>8.3719857427958093</v>
      </c>
      <c r="L94">
        <v>8.9876057986929929</v>
      </c>
      <c r="M94">
        <v>1.8736754130924198</v>
      </c>
      <c r="N94">
        <v>2.0500869016316083</v>
      </c>
      <c r="O94">
        <v>2.2418388835809795</v>
      </c>
      <c r="P94">
        <v>3.6832795584312259</v>
      </c>
      <c r="Q94">
        <v>4.0093844995118175</v>
      </c>
      <c r="R94">
        <v>4.3600060106749536</v>
      </c>
      <c r="S94">
        <v>7.7811497428463472</v>
      </c>
      <c r="T94">
        <v>8.368024645559224</v>
      </c>
      <c r="U94">
        <v>8.9837751035415394</v>
      </c>
      <c r="V94">
        <v>2.0784169055431256</v>
      </c>
      <c r="W94">
        <v>2.275095744268699</v>
      </c>
      <c r="X94">
        <v>2.4892105203626089</v>
      </c>
      <c r="Y94">
        <v>4.1053660315179048</v>
      </c>
      <c r="Z94">
        <v>4.4724552258116113</v>
      </c>
      <c r="AA94">
        <v>4.8680992198157149</v>
      </c>
      <c r="AB94">
        <v>8.7738493487730658</v>
      </c>
      <c r="AC94">
        <v>9.4526083487380923</v>
      </c>
      <c r="AD94">
        <v>10.166208486781308</v>
      </c>
      <c r="AE94">
        <v>2.0789461206356288</v>
      </c>
      <c r="AF94">
        <v>2.275700669304106</v>
      </c>
      <c r="AG94">
        <v>2.4898763595817073</v>
      </c>
      <c r="AH94">
        <v>4.1066434916454213</v>
      </c>
      <c r="AI94">
        <v>4.4739105749473529</v>
      </c>
      <c r="AJ94">
        <v>4.869731214414962</v>
      </c>
      <c r="AK94">
        <v>8.7777117652364716</v>
      </c>
      <c r="AL94">
        <v>9.4569438898113152</v>
      </c>
      <c r="AM94">
        <v>10.171573885286145</v>
      </c>
    </row>
    <row r="95" spans="1:39" x14ac:dyDescent="0.25">
      <c r="A95" s="147">
        <f t="shared" si="1"/>
        <v>6</v>
      </c>
      <c r="C95" s="149">
        <v>5.4999999999999973</v>
      </c>
      <c r="D95" s="2">
        <v>1.8738189618510168</v>
      </c>
      <c r="E95">
        <v>2.050060575680237</v>
      </c>
      <c r="F95">
        <v>2.2416356074961437</v>
      </c>
      <c r="G95">
        <v>3.6806318189329419</v>
      </c>
      <c r="H95">
        <v>4.005872479727441</v>
      </c>
      <c r="I95">
        <v>4.3554564849545017</v>
      </c>
      <c r="J95">
        <v>7.7590110462456021</v>
      </c>
      <c r="K95">
        <v>8.3413167213407764</v>
      </c>
      <c r="L95">
        <v>8.9517389537252985</v>
      </c>
      <c r="M95">
        <v>1.8719612742204648</v>
      </c>
      <c r="N95">
        <v>2.0480861721660877</v>
      </c>
      <c r="O95">
        <v>2.2395003953685721</v>
      </c>
      <c r="P95">
        <v>3.6774894412675536</v>
      </c>
      <c r="Q95">
        <v>4.0025775997390642</v>
      </c>
      <c r="R95">
        <v>4.3520014123196553</v>
      </c>
      <c r="S95">
        <v>7.7549926912376552</v>
      </c>
      <c r="T95">
        <v>8.3373899577250938</v>
      </c>
      <c r="U95">
        <v>8.9479424012519289</v>
      </c>
      <c r="V95">
        <v>2.0774054410914249</v>
      </c>
      <c r="W95">
        <v>2.2738769412070994</v>
      </c>
      <c r="X95">
        <v>2.4877427712223281</v>
      </c>
      <c r="Y95">
        <v>4.1011981031932372</v>
      </c>
      <c r="Z95">
        <v>4.467460821058145</v>
      </c>
      <c r="AA95">
        <v>4.8621203342798713</v>
      </c>
      <c r="AB95">
        <v>8.7522384682489047</v>
      </c>
      <c r="AC95">
        <v>9.4270259965852183</v>
      </c>
      <c r="AD95">
        <v>10.135980500274552</v>
      </c>
      <c r="AE95">
        <v>2.0779244365954916</v>
      </c>
      <c r="AF95">
        <v>2.2744707060339659</v>
      </c>
      <c r="AG95">
        <v>2.4883962997416886</v>
      </c>
      <c r="AH95">
        <v>4.1024561238770048</v>
      </c>
      <c r="AI95">
        <v>4.4688953276374734</v>
      </c>
      <c r="AJ95">
        <v>4.8637298138545271</v>
      </c>
      <c r="AK95">
        <v>8.756060064778163</v>
      </c>
      <c r="AL95">
        <v>9.4313177291880663</v>
      </c>
      <c r="AM95">
        <v>10.141295490452201</v>
      </c>
    </row>
    <row r="96" spans="1:39" x14ac:dyDescent="0.25">
      <c r="A96" s="147">
        <f t="shared" si="1"/>
        <v>6</v>
      </c>
      <c r="C96" s="149">
        <v>5.5833333333333304</v>
      </c>
      <c r="D96" s="2">
        <v>1.873195042172044</v>
      </c>
      <c r="E96">
        <v>2.0493677935013581</v>
      </c>
      <c r="F96">
        <v>2.2408655380960099</v>
      </c>
      <c r="G96">
        <v>3.6792091311218575</v>
      </c>
      <c r="H96">
        <v>4.0042840298254427</v>
      </c>
      <c r="I96">
        <v>4.3536807056903175</v>
      </c>
      <c r="J96">
        <v>7.7548778720163938</v>
      </c>
      <c r="K96">
        <v>8.3366684636388992</v>
      </c>
      <c r="L96">
        <v>8.9465113327797763</v>
      </c>
      <c r="M96">
        <v>1.8713369603446299</v>
      </c>
      <c r="N96">
        <v>2.0473930756575665</v>
      </c>
      <c r="O96">
        <v>2.2387299762727344</v>
      </c>
      <c r="P96">
        <v>3.6760664043805167</v>
      </c>
      <c r="Q96">
        <v>4.0009889595264889</v>
      </c>
      <c r="R96">
        <v>4.3502255702797754</v>
      </c>
      <c r="S96">
        <v>7.7508615280334343</v>
      </c>
      <c r="T96">
        <v>8.33274425840861</v>
      </c>
      <c r="U96">
        <v>8.9427179103490957</v>
      </c>
      <c r="V96">
        <v>2.0772294200512924</v>
      </c>
      <c r="W96">
        <v>2.273665572475525</v>
      </c>
      <c r="X96">
        <v>2.4874890105403087</v>
      </c>
      <c r="Y96">
        <v>4.1004883225888191</v>
      </c>
      <c r="Z96">
        <v>4.4666121790605144</v>
      </c>
      <c r="AA96">
        <v>4.8611064943884621</v>
      </c>
      <c r="AB96">
        <v>8.7486241750277625</v>
      </c>
      <c r="AC96">
        <v>9.4227562361040125</v>
      </c>
      <c r="AD96">
        <v>10.130944156904095</v>
      </c>
      <c r="AE96">
        <v>2.077755771446316</v>
      </c>
      <c r="AF96">
        <v>2.2742674177328674</v>
      </c>
      <c r="AG96">
        <v>2.4881513748934689</v>
      </c>
      <c r="AH96">
        <v>4.1017610618666405</v>
      </c>
      <c r="AI96">
        <v>4.4680627837883637</v>
      </c>
      <c r="AJ96">
        <v>4.8627335278564967</v>
      </c>
      <c r="AK96">
        <v>8.752477890364144</v>
      </c>
      <c r="AL96">
        <v>9.4270826422558489</v>
      </c>
      <c r="AM96">
        <v>10.13629722068962</v>
      </c>
    </row>
    <row r="97" spans="1:39" x14ac:dyDescent="0.25">
      <c r="A97" s="147">
        <f t="shared" si="1"/>
        <v>6</v>
      </c>
      <c r="C97" s="149">
        <v>5.6666666666666634</v>
      </c>
      <c r="D97" s="2">
        <v>1.8725709725830488</v>
      </c>
      <c r="E97">
        <v>2.0486748591155775</v>
      </c>
      <c r="F97">
        <v>2.2400953161102333</v>
      </c>
      <c r="G97">
        <v>3.6777863959683992</v>
      </c>
      <c r="H97">
        <v>4.0026955873590557</v>
      </c>
      <c r="I97">
        <v>4.3519050054708135</v>
      </c>
      <c r="J97">
        <v>7.7507464873469072</v>
      </c>
      <c r="K97">
        <v>8.3320225403654558</v>
      </c>
      <c r="L97">
        <v>8.9412867273603442</v>
      </c>
      <c r="M97">
        <v>1.8707124897623961</v>
      </c>
      <c r="N97">
        <v>2.0466998196965274</v>
      </c>
      <c r="O97">
        <v>2.2379593965768132</v>
      </c>
      <c r="P97">
        <v>3.6746433065218902</v>
      </c>
      <c r="Q97">
        <v>3.9994003120732762</v>
      </c>
      <c r="R97">
        <v>4.3484497913438531</v>
      </c>
      <c r="S97">
        <v>7.7467321250558161</v>
      </c>
      <c r="T97">
        <v>8.3281008617356438</v>
      </c>
      <c r="U97">
        <v>8.9374964004611375</v>
      </c>
      <c r="V97">
        <v>2.0770531281429983</v>
      </c>
      <c r="W97">
        <v>2.2734539100513578</v>
      </c>
      <c r="X97">
        <v>2.4872349323226857</v>
      </c>
      <c r="Y97">
        <v>4.099778091374942</v>
      </c>
      <c r="Z97">
        <v>4.4657630720057035</v>
      </c>
      <c r="AA97">
        <v>4.8600921825603427</v>
      </c>
      <c r="AB97">
        <v>8.7450101308061896</v>
      </c>
      <c r="AC97">
        <v>9.4184870726850853</v>
      </c>
      <c r="AD97">
        <v>10.125908883944946</v>
      </c>
      <c r="AE97">
        <v>2.0775868238684589</v>
      </c>
      <c r="AF97">
        <v>2.2740638229216632</v>
      </c>
      <c r="AG97">
        <v>2.4879061183203341</v>
      </c>
      <c r="AH97">
        <v>4.1010655235450786</v>
      </c>
      <c r="AI97">
        <v>4.4672297462538797</v>
      </c>
      <c r="AJ97">
        <v>4.8617367380547512</v>
      </c>
      <c r="AK97">
        <v>8.7488958932854946</v>
      </c>
      <c r="AL97">
        <v>9.4228480721811962</v>
      </c>
      <c r="AM97">
        <v>10.131299930705385</v>
      </c>
    </row>
    <row r="98" spans="1:39" x14ac:dyDescent="0.25">
      <c r="A98" s="147">
        <f t="shared" si="1"/>
        <v>6</v>
      </c>
      <c r="C98" s="149">
        <v>5.7499999999999964</v>
      </c>
      <c r="D98" s="2">
        <v>1.8719467533635883</v>
      </c>
      <c r="E98">
        <v>2.0479817728208456</v>
      </c>
      <c r="F98">
        <v>2.2393249418537273</v>
      </c>
      <c r="G98">
        <v>3.676363613848741</v>
      </c>
      <c r="H98">
        <v>4.0011071527006346</v>
      </c>
      <c r="I98">
        <v>4.3501293846511349</v>
      </c>
      <c r="J98">
        <v>7.7466168916020059</v>
      </c>
      <c r="K98">
        <v>8.3273789504878657</v>
      </c>
      <c r="L98">
        <v>8.9360651359042631</v>
      </c>
      <c r="M98">
        <v>1.8700878627493029</v>
      </c>
      <c r="N98">
        <v>2.0460064045761146</v>
      </c>
      <c r="O98">
        <v>2.2371886565887866</v>
      </c>
      <c r="P98">
        <v>3.673220148057005</v>
      </c>
      <c r="Q98">
        <v>3.9978116577397902</v>
      </c>
      <c r="R98">
        <v>4.3466740758559661</v>
      </c>
      <c r="S98">
        <v>7.7426044816624957</v>
      </c>
      <c r="T98">
        <v>8.3234597666791217</v>
      </c>
      <c r="U98">
        <v>8.9322778700390231</v>
      </c>
      <c r="V98">
        <v>2.0768765634122976</v>
      </c>
      <c r="W98">
        <v>2.2732419517894207</v>
      </c>
      <c r="X98">
        <v>2.4869805342184486</v>
      </c>
      <c r="Y98">
        <v>4.0990674055988059</v>
      </c>
      <c r="Z98">
        <v>4.464913495557747</v>
      </c>
      <c r="AA98">
        <v>4.8590773940514822</v>
      </c>
      <c r="AB98">
        <v>8.7413963262133159</v>
      </c>
      <c r="AC98">
        <v>9.4142184959640609</v>
      </c>
      <c r="AD98">
        <v>10.12087466992163</v>
      </c>
      <c r="AE98">
        <v>2.0774175918851849</v>
      </c>
      <c r="AF98">
        <v>2.273859919431132</v>
      </c>
      <c r="AG98">
        <v>2.487660527644493</v>
      </c>
      <c r="AH98">
        <v>4.1003695049146209</v>
      </c>
      <c r="AI98">
        <v>4.4663962106634809</v>
      </c>
      <c r="AJ98">
        <v>4.8607394396599384</v>
      </c>
      <c r="AK98">
        <v>8.7453140641151137</v>
      </c>
      <c r="AL98">
        <v>9.4186140085535595</v>
      </c>
      <c r="AM98">
        <v>10.126303608954846</v>
      </c>
    </row>
    <row r="99" spans="1:39" x14ac:dyDescent="0.25">
      <c r="A99" s="147">
        <f t="shared" si="1"/>
        <v>6</v>
      </c>
      <c r="C99" s="149">
        <v>5.8333333333333295</v>
      </c>
      <c r="D99" s="2">
        <v>1.8713223847946721</v>
      </c>
      <c r="E99">
        <v>2.0472885349159538</v>
      </c>
      <c r="F99">
        <v>2.2385544156408317</v>
      </c>
      <c r="G99">
        <v>3.6749407851358509</v>
      </c>
      <c r="H99">
        <v>3.999518726222056</v>
      </c>
      <c r="I99">
        <v>4.3483538435852029</v>
      </c>
      <c r="J99">
        <v>7.7424890841453227</v>
      </c>
      <c r="K99">
        <v>8.3227376929715433</v>
      </c>
      <c r="L99">
        <v>8.9308465568553785</v>
      </c>
      <c r="M99">
        <v>1.8694630795802922</v>
      </c>
      <c r="N99">
        <v>2.0453128305896096</v>
      </c>
      <c r="O99">
        <v>2.2364177566204457</v>
      </c>
      <c r="P99">
        <v>3.6717969293574138</v>
      </c>
      <c r="Q99">
        <v>3.9962229968946579</v>
      </c>
      <c r="R99">
        <v>4.3448984241656747</v>
      </c>
      <c r="S99">
        <v>7.7384785972274495</v>
      </c>
      <c r="T99">
        <v>8.318820972208437</v>
      </c>
      <c r="U99">
        <v>8.9270623175239123</v>
      </c>
      <c r="V99">
        <v>2.0766997238966241</v>
      </c>
      <c r="W99">
        <v>2.2730296955377849</v>
      </c>
      <c r="X99">
        <v>2.4867258138663209</v>
      </c>
      <c r="Y99">
        <v>4.0983562612884974</v>
      </c>
      <c r="Z99">
        <v>4.4640634453700425</v>
      </c>
      <c r="AA99">
        <v>4.8580621241006359</v>
      </c>
      <c r="AB99">
        <v>8.7377827518409212</v>
      </c>
      <c r="AC99">
        <v>9.4099504955506621</v>
      </c>
      <c r="AD99">
        <v>10.11584150330826</v>
      </c>
      <c r="AE99">
        <v>2.0772480735124144</v>
      </c>
      <c r="AF99">
        <v>2.273655705085889</v>
      </c>
      <c r="AG99">
        <v>2.4874146004804727</v>
      </c>
      <c r="AH99">
        <v>4.0996730019678873</v>
      </c>
      <c r="AI99">
        <v>4.4655621726222865</v>
      </c>
      <c r="AJ99">
        <v>4.8597416278672982</v>
      </c>
      <c r="AK99">
        <v>8.7417323933931073</v>
      </c>
      <c r="AL99">
        <v>9.4143804409226313</v>
      </c>
      <c r="AM99">
        <v>10.121308243865387</v>
      </c>
    </row>
    <row r="100" spans="1:39" x14ac:dyDescent="0.25">
      <c r="A100" s="147">
        <f t="shared" si="1"/>
        <v>6</v>
      </c>
      <c r="C100" s="149">
        <v>5.9166666666666625</v>
      </c>
      <c r="D100" s="2">
        <v>1.8706978671577099</v>
      </c>
      <c r="E100">
        <v>2.0465951457015081</v>
      </c>
      <c r="F100">
        <v>2.2377837377883312</v>
      </c>
      <c r="G100">
        <v>3.673517910209581</v>
      </c>
      <c r="H100">
        <v>3.9979303082926299</v>
      </c>
      <c r="I100">
        <v>4.346578382631713</v>
      </c>
      <c r="J100">
        <v>7.7383630643404953</v>
      </c>
      <c r="K100">
        <v>8.3180987667811053</v>
      </c>
      <c r="L100">
        <v>8.9256309886504699</v>
      </c>
      <c r="M100">
        <v>1.8688381405340788</v>
      </c>
      <c r="N100">
        <v>2.0446190980341168</v>
      </c>
      <c r="O100">
        <v>2.2356466969832751</v>
      </c>
      <c r="P100">
        <v>3.6703736507933842</v>
      </c>
      <c r="Q100">
        <v>3.9946343299052542</v>
      </c>
      <c r="R100">
        <v>4.3431228366252341</v>
      </c>
      <c r="S100">
        <v>7.7343544711096444</v>
      </c>
      <c r="T100">
        <v>8.3141844772907625</v>
      </c>
      <c r="U100">
        <v>8.9218497413754854</v>
      </c>
      <c r="V100">
        <v>2.0765226076259897</v>
      </c>
      <c r="W100">
        <v>2.2728171391359417</v>
      </c>
      <c r="X100">
        <v>2.486470768900034</v>
      </c>
      <c r="Y100">
        <v>4.0976446544602156</v>
      </c>
      <c r="Z100">
        <v>4.4632129170810311</v>
      </c>
      <c r="AA100">
        <v>4.8570463679331031</v>
      </c>
      <c r="AB100">
        <v>8.734169398261951</v>
      </c>
      <c r="AC100">
        <v>9.4056830610200599</v>
      </c>
      <c r="AD100">
        <v>10.110809372553767</v>
      </c>
      <c r="AE100">
        <v>2.0770782667577397</v>
      </c>
      <c r="AF100">
        <v>2.2734511777005268</v>
      </c>
      <c r="AG100">
        <v>2.4871683344312427</v>
      </c>
      <c r="AH100">
        <v>4.0989760106783937</v>
      </c>
      <c r="AI100">
        <v>4.4647276277263943</v>
      </c>
      <c r="AJ100">
        <v>4.8587432978529765</v>
      </c>
      <c r="AK100">
        <v>8.738150871628303</v>
      </c>
      <c r="AL100">
        <v>9.4101473588059434</v>
      </c>
      <c r="AM100">
        <v>10.116313823815538</v>
      </c>
    </row>
    <row r="101" spans="1:39" x14ac:dyDescent="0.25">
      <c r="A101" s="147">
        <f t="shared" si="1"/>
        <v>6</v>
      </c>
      <c r="C101" s="149">
        <v>5.9999999999999956</v>
      </c>
      <c r="D101" s="2">
        <v>1.8700732007361793</v>
      </c>
      <c r="E101">
        <v>2.0459016054775256</v>
      </c>
      <c r="F101">
        <v>2.2370129086143953</v>
      </c>
      <c r="G101">
        <v>3.672094989446447</v>
      </c>
      <c r="H101">
        <v>3.9963418992959561</v>
      </c>
      <c r="I101">
        <v>4.3448030021507096</v>
      </c>
      <c r="J101">
        <v>7.7342388315484119</v>
      </c>
      <c r="K101">
        <v>8.3134621708748817</v>
      </c>
      <c r="L101">
        <v>8.920418429729974</v>
      </c>
      <c r="M101">
        <v>1.8682130458890431</v>
      </c>
      <c r="N101">
        <v>2.0439252072044285</v>
      </c>
      <c r="O101">
        <v>2.2348754779884366</v>
      </c>
      <c r="P101">
        <v>3.668950312734526</v>
      </c>
      <c r="Q101">
        <v>3.9930456571376189</v>
      </c>
      <c r="R101">
        <v>4.3413473135875131</v>
      </c>
      <c r="S101">
        <v>7.7302321026759966</v>
      </c>
      <c r="T101">
        <v>8.3095502808990034</v>
      </c>
      <c r="U101">
        <v>8.9166401400285036</v>
      </c>
      <c r="V101">
        <v>2.0763452126233535</v>
      </c>
      <c r="W101">
        <v>2.2726042804153375</v>
      </c>
      <c r="X101">
        <v>2.4862153969396967</v>
      </c>
      <c r="Y101">
        <v>4.0969325811153006</v>
      </c>
      <c r="Z101">
        <v>4.4623619063084767</v>
      </c>
      <c r="AA101">
        <v>4.8560301207536645</v>
      </c>
      <c r="AB101">
        <v>8.7305562560130276</v>
      </c>
      <c r="AC101">
        <v>9.4014161819110118</v>
      </c>
      <c r="AD101">
        <v>10.105778266067775</v>
      </c>
      <c r="AE101">
        <v>2.0769081696220022</v>
      </c>
      <c r="AF101">
        <v>2.2732463350825163</v>
      </c>
      <c r="AG101">
        <v>2.4869217270955182</v>
      </c>
      <c r="AH101">
        <v>4.0982785270070945</v>
      </c>
      <c r="AI101">
        <v>4.4638925715497413</v>
      </c>
      <c r="AJ101">
        <v>4.8577444447744096</v>
      </c>
      <c r="AK101">
        <v>8.7345694893018315</v>
      </c>
      <c r="AL101">
        <v>9.4059147516910571</v>
      </c>
      <c r="AM101">
        <v>10.111320337169612</v>
      </c>
    </row>
    <row r="102" spans="1:39" x14ac:dyDescent="0.25">
      <c r="A102" s="147">
        <f t="shared" si="1"/>
        <v>7</v>
      </c>
      <c r="C102" s="149">
        <v>6.0833333333333286</v>
      </c>
      <c r="D102" s="2">
        <v>1.9897374405997807</v>
      </c>
      <c r="E102">
        <v>2.1768116271146916</v>
      </c>
      <c r="F102">
        <v>2.3801455760732959</v>
      </c>
      <c r="G102">
        <v>3.9069576256305676</v>
      </c>
      <c r="H102">
        <v>4.2519152680342129</v>
      </c>
      <c r="I102">
        <v>4.6226287279803326</v>
      </c>
      <c r="J102">
        <v>8.2280740886345871</v>
      </c>
      <c r="K102">
        <v>8.8441054534148069</v>
      </c>
      <c r="L102">
        <v>9.4895865490443292</v>
      </c>
      <c r="M102">
        <v>1.9875576205784276</v>
      </c>
      <c r="N102">
        <v>2.1744890358174458</v>
      </c>
      <c r="O102">
        <v>2.3776314202699202</v>
      </c>
      <c r="P102">
        <v>3.9032186637266886</v>
      </c>
      <c r="Q102">
        <v>4.247979702603323</v>
      </c>
      <c r="R102">
        <v>4.6184860375494541</v>
      </c>
      <c r="S102">
        <v>8.2229849020400749</v>
      </c>
      <c r="T102">
        <v>8.83905591079915</v>
      </c>
      <c r="U102">
        <v>9.4846143988995948</v>
      </c>
      <c r="V102">
        <v>2.1578921306083578</v>
      </c>
      <c r="W102">
        <v>2.361831107481251</v>
      </c>
      <c r="X102">
        <v>2.5837953853448186</v>
      </c>
      <c r="Y102">
        <v>4.2572905605295182</v>
      </c>
      <c r="Z102">
        <v>4.6369086035440965</v>
      </c>
      <c r="AA102">
        <v>5.0458384264157985</v>
      </c>
      <c r="AB102">
        <v>9.0690802309488721</v>
      </c>
      <c r="AC102">
        <v>9.7653727807257322</v>
      </c>
      <c r="AD102">
        <v>10.496323321992838</v>
      </c>
      <c r="AE102">
        <v>2.1584383698115031</v>
      </c>
      <c r="AF102">
        <v>2.3624558453899236</v>
      </c>
      <c r="AG102">
        <v>2.584483017415848</v>
      </c>
      <c r="AH102">
        <v>4.2586132312153708</v>
      </c>
      <c r="AI102">
        <v>4.6384164535835168</v>
      </c>
      <c r="AJ102">
        <v>5.0475299663468238</v>
      </c>
      <c r="AK102">
        <v>9.0730911969469972</v>
      </c>
      <c r="AL102">
        <v>9.7698762046421237</v>
      </c>
      <c r="AM102">
        <v>10.50189669553829</v>
      </c>
    </row>
    <row r="103" spans="1:39" x14ac:dyDescent="0.25">
      <c r="A103" s="147">
        <f t="shared" si="1"/>
        <v>7</v>
      </c>
      <c r="C103" s="149">
        <v>6.1666666666666616</v>
      </c>
      <c r="D103" s="2">
        <v>1.9891036857471591</v>
      </c>
      <c r="E103">
        <v>2.1761060229243103</v>
      </c>
      <c r="F103">
        <v>2.3793590195209715</v>
      </c>
      <c r="G103">
        <v>3.9054759036793851</v>
      </c>
      <c r="H103">
        <v>4.250254278906608</v>
      </c>
      <c r="I103">
        <v>4.6207642214946878</v>
      </c>
      <c r="J103">
        <v>8.2235908495530925</v>
      </c>
      <c r="K103">
        <v>8.8390407360285774</v>
      </c>
      <c r="L103">
        <v>9.4838649342055508</v>
      </c>
      <c r="M103">
        <v>1.9869230065671846</v>
      </c>
      <c r="N103">
        <v>2.1737826106615534</v>
      </c>
      <c r="O103">
        <v>2.3768439686202005</v>
      </c>
      <c r="P103">
        <v>3.901735784662689</v>
      </c>
      <c r="Q103">
        <v>4.2463176582445303</v>
      </c>
      <c r="R103">
        <v>4.616620549339741</v>
      </c>
      <c r="S103">
        <v>8.218502436095017</v>
      </c>
      <c r="T103">
        <v>8.8339924938688661</v>
      </c>
      <c r="U103">
        <v>9.4788946473285591</v>
      </c>
      <c r="V103">
        <v>2.1579022722251087</v>
      </c>
      <c r="W103">
        <v>2.3618219996886722</v>
      </c>
      <c r="X103">
        <v>2.5837611013731112</v>
      </c>
      <c r="Y103">
        <v>4.2569192458515337</v>
      </c>
      <c r="Z103">
        <v>4.6364226496830074</v>
      </c>
      <c r="AA103">
        <v>5.0452121704956987</v>
      </c>
      <c r="AB103">
        <v>9.0660251137301699</v>
      </c>
      <c r="AC103">
        <v>9.7616768053262533</v>
      </c>
      <c r="AD103">
        <v>10.491870820060358</v>
      </c>
      <c r="AE103">
        <v>2.158456120400893</v>
      </c>
      <c r="AF103">
        <v>2.3624550949832823</v>
      </c>
      <c r="AG103">
        <v>2.5844578736078585</v>
      </c>
      <c r="AH103">
        <v>4.258257143611198</v>
      </c>
      <c r="AI103">
        <v>4.6379471517379924</v>
      </c>
      <c r="AJ103">
        <v>5.0469218686050699</v>
      </c>
      <c r="AK103">
        <v>9.0700692861216101</v>
      </c>
      <c r="AL103">
        <v>9.7662160682946091</v>
      </c>
      <c r="AM103">
        <v>10.497483468840063</v>
      </c>
    </row>
    <row r="104" spans="1:39" x14ac:dyDescent="0.25">
      <c r="A104" s="147">
        <f t="shared" si="1"/>
        <v>7</v>
      </c>
      <c r="C104" s="149">
        <v>6.2499999999999947</v>
      </c>
      <c r="D104" s="2">
        <v>1.9884695488769684</v>
      </c>
      <c r="E104">
        <v>2.1754000127748032</v>
      </c>
      <c r="F104">
        <v>2.3785720332515803</v>
      </c>
      <c r="G104">
        <v>3.9039936848944903</v>
      </c>
      <c r="H104">
        <v>4.2485928098467287</v>
      </c>
      <c r="I104">
        <v>4.6188992668551014</v>
      </c>
      <c r="J104">
        <v>8.2191085535502086</v>
      </c>
      <c r="K104">
        <v>8.8339774711835624</v>
      </c>
      <c r="L104">
        <v>9.478145424615958</v>
      </c>
      <c r="M104">
        <v>1.9862880022895641</v>
      </c>
      <c r="N104">
        <v>2.1730757706882535</v>
      </c>
      <c r="O104">
        <v>2.3760560774886539</v>
      </c>
      <c r="P104">
        <v>3.9002523923357</v>
      </c>
      <c r="Q104">
        <v>4.2446551162010655</v>
      </c>
      <c r="R104">
        <v>4.6147545936897609</v>
      </c>
      <c r="S104">
        <v>8.2140208780070516</v>
      </c>
      <c r="T104">
        <v>8.8289304913891975</v>
      </c>
      <c r="U104">
        <v>9.4731769597552624</v>
      </c>
      <c r="V104">
        <v>2.1579125635666285</v>
      </c>
      <c r="W104">
        <v>2.3618130554672501</v>
      </c>
      <c r="X104">
        <v>2.5837269964518796</v>
      </c>
      <c r="Y104">
        <v>4.2565482524670184</v>
      </c>
      <c r="Z104">
        <v>4.6359370599175218</v>
      </c>
      <c r="AA104">
        <v>5.0445863313526456</v>
      </c>
      <c r="AB104">
        <v>9.062971601075084</v>
      </c>
      <c r="AC104">
        <v>9.7579828414821286</v>
      </c>
      <c r="AD104">
        <v>10.487420859289147</v>
      </c>
      <c r="AE104">
        <v>2.1584740087427088</v>
      </c>
      <c r="AF104">
        <v>2.3624544948631376</v>
      </c>
      <c r="AG104">
        <v>2.5844328941555732</v>
      </c>
      <c r="AH104">
        <v>4.2579013506960912</v>
      </c>
      <c r="AI104">
        <v>4.6374781843467225</v>
      </c>
      <c r="AJ104">
        <v>5.0463141546415802</v>
      </c>
      <c r="AK104">
        <v>9.0670489057236576</v>
      </c>
      <c r="AL104">
        <v>9.7625578605440317</v>
      </c>
      <c r="AM104">
        <v>10.493072689140126</v>
      </c>
    </row>
    <row r="105" spans="1:39" x14ac:dyDescent="0.25">
      <c r="A105" s="147">
        <f t="shared" si="1"/>
        <v>7</v>
      </c>
      <c r="C105" s="149">
        <v>6.3333333333333277</v>
      </c>
      <c r="D105" s="2">
        <v>1.9878350295640099</v>
      </c>
      <c r="E105">
        <v>2.1746935961946461</v>
      </c>
      <c r="F105">
        <v>2.3777846167413914</v>
      </c>
      <c r="G105">
        <v>3.9025109683265584</v>
      </c>
      <c r="H105">
        <v>4.2469308597946007</v>
      </c>
      <c r="I105">
        <v>4.6170338628761352</v>
      </c>
      <c r="J105">
        <v>8.2146271975177338</v>
      </c>
      <c r="K105">
        <v>8.828915655245865</v>
      </c>
      <c r="L105">
        <v>9.4724280159805225</v>
      </c>
      <c r="M105">
        <v>1.9856526073158021</v>
      </c>
      <c r="N105">
        <v>2.1723685154168058</v>
      </c>
      <c r="O105">
        <v>2.375267746343297</v>
      </c>
      <c r="P105">
        <v>3.8987684857831937</v>
      </c>
      <c r="Q105">
        <v>4.2429920754042971</v>
      </c>
      <c r="R105">
        <v>4.612888169397916</v>
      </c>
      <c r="S105">
        <v>8.2095402246684621</v>
      </c>
      <c r="T105">
        <v>8.8238698997153975</v>
      </c>
      <c r="U105">
        <v>9.4674613318852785</v>
      </c>
      <c r="V105">
        <v>2.1579230035467889</v>
      </c>
      <c r="W105">
        <v>2.3618042736180458</v>
      </c>
      <c r="X105">
        <v>2.5836930692577091</v>
      </c>
      <c r="Y105">
        <v>4.2561775780271001</v>
      </c>
      <c r="Z105">
        <v>4.6354518316424027</v>
      </c>
      <c r="AA105">
        <v>5.0439609060884347</v>
      </c>
      <c r="AB105">
        <v>9.0599196864376541</v>
      </c>
      <c r="AC105">
        <v>9.7542908817883802</v>
      </c>
      <c r="AD105">
        <v>10.482973431249018</v>
      </c>
      <c r="AE105">
        <v>2.1584920337253131</v>
      </c>
      <c r="AF105">
        <v>2.3624540438042843</v>
      </c>
      <c r="AG105">
        <v>2.584408077704806</v>
      </c>
      <c r="AH105">
        <v>4.2575458500679444</v>
      </c>
      <c r="AI105">
        <v>4.6370095487473098</v>
      </c>
      <c r="AJ105">
        <v>5.045706821509734</v>
      </c>
      <c r="AK105">
        <v>9.0640300491446073</v>
      </c>
      <c r="AL105">
        <v>9.7589015739123894</v>
      </c>
      <c r="AM105">
        <v>10.488664347925987</v>
      </c>
    </row>
    <row r="106" spans="1:39" x14ac:dyDescent="0.25">
      <c r="A106" s="147">
        <f t="shared" si="1"/>
        <v>7</v>
      </c>
      <c r="C106" s="149">
        <v>6.4166666666666607</v>
      </c>
      <c r="D106" s="2">
        <v>1.9872001273806674</v>
      </c>
      <c r="E106">
        <v>2.1739867727119977</v>
      </c>
      <c r="F106">
        <v>2.3769967694679766</v>
      </c>
      <c r="G106">
        <v>3.9010277530268049</v>
      </c>
      <c r="H106">
        <v>4.2452684276937358</v>
      </c>
      <c r="I106">
        <v>4.6151680083745443</v>
      </c>
      <c r="J106">
        <v>8.210146778356993</v>
      </c>
      <c r="K106">
        <v>8.8238552845763607</v>
      </c>
      <c r="L106">
        <v>9.4667127039963308</v>
      </c>
      <c r="M106">
        <v>1.9850168212079147</v>
      </c>
      <c r="N106">
        <v>2.1716608443674694</v>
      </c>
      <c r="O106">
        <v>2.3744789746540689</v>
      </c>
      <c r="P106">
        <v>3.8972840640437991</v>
      </c>
      <c r="Q106">
        <v>4.2413285347835696</v>
      </c>
      <c r="R106">
        <v>4.6110212752728383</v>
      </c>
      <c r="S106">
        <v>8.2050604729686434</v>
      </c>
      <c r="T106">
        <v>8.8188107152108337</v>
      </c>
      <c r="U106">
        <v>9.4617477594092847</v>
      </c>
      <c r="V106">
        <v>2.1579335910742619</v>
      </c>
      <c r="W106">
        <v>2.3617956529374013</v>
      </c>
      <c r="X106">
        <v>2.5836593184599641</v>
      </c>
      <c r="Y106">
        <v>4.2558072201644386</v>
      </c>
      <c r="Z106">
        <v>4.6349669622354206</v>
      </c>
      <c r="AA106">
        <v>5.0433358917981206</v>
      </c>
      <c r="AB106">
        <v>9.0568693632566042</v>
      </c>
      <c r="AC106">
        <v>9.7506009187976268</v>
      </c>
      <c r="AD106">
        <v>10.478528527489946</v>
      </c>
      <c r="AE106">
        <v>2.1585101942303737</v>
      </c>
      <c r="AF106">
        <v>2.3624537405715298</v>
      </c>
      <c r="AG106">
        <v>2.5843834228946019</v>
      </c>
      <c r="AH106">
        <v>4.2571906393164278</v>
      </c>
      <c r="AI106">
        <v>4.6365412422694945</v>
      </c>
      <c r="AJ106">
        <v>5.0450998662408066</v>
      </c>
      <c r="AK106">
        <v>9.0610127097450821</v>
      </c>
      <c r="AL106">
        <v>9.7552472008812714</v>
      </c>
      <c r="AM106">
        <v>10.484258436671</v>
      </c>
    </row>
    <row r="107" spans="1:39" x14ac:dyDescent="0.25">
      <c r="A107" s="147">
        <f t="shared" si="1"/>
        <v>7</v>
      </c>
      <c r="C107" s="149">
        <v>6.4999999999999938</v>
      </c>
      <c r="D107" s="2">
        <v>3.0296816461093838</v>
      </c>
      <c r="E107">
        <v>3.3139463745159405</v>
      </c>
      <c r="F107">
        <v>3.6228509265373399</v>
      </c>
      <c r="G107">
        <v>5.9377779341447958</v>
      </c>
      <c r="H107">
        <v>6.4595426577003252</v>
      </c>
      <c r="I107">
        <v>7.0199037756062843</v>
      </c>
      <c r="J107">
        <v>12.441977707052612</v>
      </c>
      <c r="K107">
        <v>13.36246466632053</v>
      </c>
      <c r="L107">
        <v>14.324530792396686</v>
      </c>
      <c r="M107">
        <v>3.0280212973482206</v>
      </c>
      <c r="N107">
        <v>3.312207865404774</v>
      </c>
      <c r="O107">
        <v>3.6209943597791758</v>
      </c>
      <c r="P107">
        <v>5.9353547698666134</v>
      </c>
      <c r="Q107">
        <v>6.45709718670465</v>
      </c>
      <c r="R107">
        <v>7.0174488556405201</v>
      </c>
      <c r="S107">
        <v>12.441060325054755</v>
      </c>
      <c r="T107">
        <v>13.362114107045949</v>
      </c>
      <c r="U107">
        <v>14.324847734517935</v>
      </c>
      <c r="V107">
        <v>3.0208108199520352</v>
      </c>
      <c r="W107">
        <v>3.3059186400457641</v>
      </c>
      <c r="X107">
        <v>3.6161551532356651</v>
      </c>
      <c r="Y107">
        <v>5.9522362296998192</v>
      </c>
      <c r="Z107">
        <v>6.4814176988832006</v>
      </c>
      <c r="AA107">
        <v>7.0511573116324211</v>
      </c>
      <c r="AB107">
        <v>12.637219018155925</v>
      </c>
      <c r="AC107">
        <v>13.599882921677009</v>
      </c>
      <c r="AD107">
        <v>14.609484700493583</v>
      </c>
      <c r="AE107">
        <v>3.0223245160200958</v>
      </c>
      <c r="AF107">
        <v>3.3076070812305258</v>
      </c>
      <c r="AG107">
        <v>3.6180123335253933</v>
      </c>
      <c r="AH107">
        <v>5.955558798164132</v>
      </c>
      <c r="AI107">
        <v>6.4851213110955301</v>
      </c>
      <c r="AJ107">
        <v>7.055259256843776</v>
      </c>
      <c r="AK107">
        <v>12.645926507834364</v>
      </c>
      <c r="AL107">
        <v>13.609510552217518</v>
      </c>
      <c r="AM107">
        <v>14.620602091977126</v>
      </c>
    </row>
    <row r="108" spans="1:39" x14ac:dyDescent="0.25">
      <c r="A108" s="147">
        <f t="shared" si="1"/>
        <v>7</v>
      </c>
      <c r="C108" s="149">
        <v>6.5833333333333268</v>
      </c>
      <c r="D108" s="2">
        <v>3.0268986170539978</v>
      </c>
      <c r="E108">
        <v>3.3108838527531415</v>
      </c>
      <c r="F108">
        <v>3.6194804870650454</v>
      </c>
      <c r="G108">
        <v>5.9319685465354848</v>
      </c>
      <c r="H108">
        <v>6.4531499846767364</v>
      </c>
      <c r="I108">
        <v>7.0128685761952649</v>
      </c>
      <c r="J108">
        <v>12.42777136945497</v>
      </c>
      <c r="K108">
        <v>13.346840456945223</v>
      </c>
      <c r="L108">
        <v>14.307352745193926</v>
      </c>
      <c r="M108">
        <v>3.0252366937993713</v>
      </c>
      <c r="N108">
        <v>3.3091437553427161</v>
      </c>
      <c r="O108">
        <v>3.6176222006574896</v>
      </c>
      <c r="P108">
        <v>5.9295430704889647</v>
      </c>
      <c r="Q108">
        <v>6.4507022606805027</v>
      </c>
      <c r="R108">
        <v>7.0104114405462958</v>
      </c>
      <c r="S108">
        <v>12.4268539802777</v>
      </c>
      <c r="T108">
        <v>13.346490675632888</v>
      </c>
      <c r="U108">
        <v>14.307671363470938</v>
      </c>
      <c r="V108">
        <v>3.0173919477799478</v>
      </c>
      <c r="W108">
        <v>3.3021425000893148</v>
      </c>
      <c r="X108">
        <v>3.6119830304147551</v>
      </c>
      <c r="Y108">
        <v>5.944831416181775</v>
      </c>
      <c r="Z108">
        <v>6.4732155994534528</v>
      </c>
      <c r="AA108">
        <v>7.042068247225286</v>
      </c>
      <c r="AB108">
        <v>12.617663208330033</v>
      </c>
      <c r="AC108">
        <v>13.578152591177393</v>
      </c>
      <c r="AD108">
        <v>14.585333818323843</v>
      </c>
      <c r="AE108">
        <v>3.0189088925843843</v>
      </c>
      <c r="AF108">
        <v>3.3038345205198469</v>
      </c>
      <c r="AG108">
        <v>3.6138441165645103</v>
      </c>
      <c r="AH108">
        <v>5.9481604911193431</v>
      </c>
      <c r="AI108">
        <v>6.4769263412462896</v>
      </c>
      <c r="AJ108">
        <v>7.0461779588968767</v>
      </c>
      <c r="AK108">
        <v>12.62638465738182</v>
      </c>
      <c r="AL108">
        <v>13.58779521633058</v>
      </c>
      <c r="AM108">
        <v>14.596468015379196</v>
      </c>
    </row>
    <row r="109" spans="1:39" x14ac:dyDescent="0.25">
      <c r="A109" s="147">
        <f t="shared" si="1"/>
        <v>7</v>
      </c>
      <c r="C109" s="149">
        <v>6.6666666666666599</v>
      </c>
      <c r="D109" s="2">
        <v>3.0241130329583674</v>
      </c>
      <c r="E109">
        <v>3.3078186308442841</v>
      </c>
      <c r="F109">
        <v>3.6161072101264899</v>
      </c>
      <c r="G109">
        <v>5.9261560671233298</v>
      </c>
      <c r="H109">
        <v>6.4467543743836364</v>
      </c>
      <c r="I109">
        <v>7.0058307020279678</v>
      </c>
      <c r="J109">
        <v>12.413571632748784</v>
      </c>
      <c r="K109">
        <v>13.331226009569146</v>
      </c>
      <c r="L109">
        <v>14.290188415031112</v>
      </c>
      <c r="M109">
        <v>3.0224495212895963</v>
      </c>
      <c r="N109">
        <v>3.3060769300600157</v>
      </c>
      <c r="O109">
        <v>3.6142471875118352</v>
      </c>
      <c r="P109">
        <v>5.9237282518152803</v>
      </c>
      <c r="Q109">
        <v>6.4443043676144587</v>
      </c>
      <c r="R109">
        <v>7.0033713183818307</v>
      </c>
      <c r="S109">
        <v>12.412654179813334</v>
      </c>
      <c r="T109">
        <v>13.330876945763841</v>
      </c>
      <c r="U109">
        <v>14.290508645043216</v>
      </c>
      <c r="V109">
        <v>3.0139654877691129</v>
      </c>
      <c r="W109">
        <v>3.2983581655698755</v>
      </c>
      <c r="X109">
        <v>3.6078020772584871</v>
      </c>
      <c r="Y109">
        <v>5.9374138966131476</v>
      </c>
      <c r="Z109">
        <v>6.4650001670126933</v>
      </c>
      <c r="AA109">
        <v>7.0329652920152599</v>
      </c>
      <c r="AB109">
        <v>12.598096345847448</v>
      </c>
      <c r="AC109">
        <v>13.556413675699989</v>
      </c>
      <c r="AD109">
        <v>14.561177765465143</v>
      </c>
      <c r="AE109">
        <v>3.0154856394019425</v>
      </c>
      <c r="AF109">
        <v>3.3000537191612027</v>
      </c>
      <c r="AG109">
        <v>3.6096670186504385</v>
      </c>
      <c r="AH109">
        <v>5.9407493918089926</v>
      </c>
      <c r="AI109">
        <v>6.4687179437395779</v>
      </c>
      <c r="AJ109">
        <v>7.0370826663327897</v>
      </c>
      <c r="AK109">
        <v>12.606831553094315</v>
      </c>
      <c r="AL109">
        <v>13.566071076130406</v>
      </c>
      <c r="AM109">
        <v>14.572328527904221</v>
      </c>
    </row>
    <row r="110" spans="1:39" x14ac:dyDescent="0.25">
      <c r="A110" s="147">
        <f t="shared" si="1"/>
        <v>7</v>
      </c>
      <c r="C110" s="149">
        <v>6.7499999999999929</v>
      </c>
      <c r="D110" s="2">
        <v>3.0213248898904972</v>
      </c>
      <c r="E110">
        <v>3.3047507045293472</v>
      </c>
      <c r="F110">
        <v>3.6127310911094237</v>
      </c>
      <c r="G110">
        <v>5.9203404887693525</v>
      </c>
      <c r="H110">
        <v>6.4403558191094206</v>
      </c>
      <c r="I110">
        <v>6.9987901447509584</v>
      </c>
      <c r="J110">
        <v>12.399378478494935</v>
      </c>
      <c r="K110">
        <v>13.315621302516073</v>
      </c>
      <c r="L110">
        <v>14.273037775965307</v>
      </c>
      <c r="M110">
        <v>3.019659775871077</v>
      </c>
      <c r="N110">
        <v>3.3030073852831823</v>
      </c>
      <c r="O110">
        <v>3.6108693157160978</v>
      </c>
      <c r="P110">
        <v>5.9179103066947789</v>
      </c>
      <c r="Q110">
        <v>6.4379034997791109</v>
      </c>
      <c r="R110">
        <v>6.9963284807768282</v>
      </c>
      <c r="S110">
        <v>12.398460905254101</v>
      </c>
      <c r="T110">
        <v>13.315272895789294</v>
      </c>
      <c r="U110">
        <v>14.273359553329634</v>
      </c>
      <c r="V110">
        <v>3.0105314172392337</v>
      </c>
      <c r="W110">
        <v>3.2945656118403508</v>
      </c>
      <c r="X110">
        <v>3.6036122670087862</v>
      </c>
      <c r="Y110">
        <v>5.9299836293444894</v>
      </c>
      <c r="Z110">
        <v>6.456771356756704</v>
      </c>
      <c r="AA110">
        <v>7.023848397865077</v>
      </c>
      <c r="AB110">
        <v>12.578518350982804</v>
      </c>
      <c r="AC110">
        <v>13.53466608933204</v>
      </c>
      <c r="AD110">
        <v>14.537016448828538</v>
      </c>
      <c r="AE110">
        <v>3.012054733702032</v>
      </c>
      <c r="AF110">
        <v>3.2962646524104944</v>
      </c>
      <c r="AG110">
        <v>3.6054810129224766</v>
      </c>
      <c r="AH110">
        <v>5.9333254584334103</v>
      </c>
      <c r="AI110">
        <v>6.4604960736089332</v>
      </c>
      <c r="AJ110">
        <v>7.0279733308548114</v>
      </c>
      <c r="AK110">
        <v>12.587267115088359</v>
      </c>
      <c r="AL110">
        <v>13.54433804559147</v>
      </c>
      <c r="AM110">
        <v>14.548183536378179</v>
      </c>
    </row>
    <row r="111" spans="1:39" x14ac:dyDescent="0.25">
      <c r="A111" s="147">
        <f t="shared" si="1"/>
        <v>7</v>
      </c>
      <c r="C111" s="149">
        <v>6.8333333333333259</v>
      </c>
      <c r="D111" s="2">
        <v>3.0185341839073154</v>
      </c>
      <c r="E111">
        <v>3.3016800695394362</v>
      </c>
      <c r="F111">
        <v>3.6093521253942642</v>
      </c>
      <c r="G111">
        <v>5.914521804327407</v>
      </c>
      <c r="H111">
        <v>6.4339543111279767</v>
      </c>
      <c r="I111">
        <v>6.9917468960074043</v>
      </c>
      <c r="J111">
        <v>12.385191888251791</v>
      </c>
      <c r="K111">
        <v>13.300026314101896</v>
      </c>
      <c r="L111">
        <v>14.255900802052082</v>
      </c>
      <c r="M111">
        <v>3.0168674535929996</v>
      </c>
      <c r="N111">
        <v>3.2999351167304689</v>
      </c>
      <c r="O111">
        <v>3.6074885806404717</v>
      </c>
      <c r="P111">
        <v>5.9120892279619603</v>
      </c>
      <c r="Q111">
        <v>6.4314996494337313</v>
      </c>
      <c r="R111">
        <v>6.9892829193554125</v>
      </c>
      <c r="S111">
        <v>12.384274138161178</v>
      </c>
      <c r="T111">
        <v>13.299678504069183</v>
      </c>
      <c r="U111">
        <v>14.256224062440921</v>
      </c>
      <c r="V111">
        <v>3.0070897134469425</v>
      </c>
      <c r="W111">
        <v>3.2907648141826469</v>
      </c>
      <c r="X111">
        <v>3.5994135728325771</v>
      </c>
      <c r="Y111">
        <v>5.9225405726093188</v>
      </c>
      <c r="Z111">
        <v>6.4485291237514941</v>
      </c>
      <c r="AA111">
        <v>7.0147175165098004</v>
      </c>
      <c r="AB111">
        <v>12.558929143807468</v>
      </c>
      <c r="AC111">
        <v>13.512909745959236</v>
      </c>
      <c r="AD111">
        <v>14.512849775129371</v>
      </c>
      <c r="AE111">
        <v>3.0086161526527881</v>
      </c>
      <c r="AF111">
        <v>3.2924672954526306</v>
      </c>
      <c r="AG111">
        <v>3.6012860724424534</v>
      </c>
      <c r="AH111">
        <v>5.9258886490754445</v>
      </c>
      <c r="AI111">
        <v>6.4522606857649478</v>
      </c>
      <c r="AJ111">
        <v>7.0188499040282712</v>
      </c>
      <c r="AK111">
        <v>12.567691263297828</v>
      </c>
      <c r="AL111">
        <v>13.522596038474553</v>
      </c>
      <c r="AM111">
        <v>14.524032947411957</v>
      </c>
    </row>
    <row r="112" spans="1:39" x14ac:dyDescent="0.25">
      <c r="A112" s="147">
        <f t="shared" si="1"/>
        <v>7</v>
      </c>
      <c r="C112" s="149">
        <v>6.916666666666659</v>
      </c>
      <c r="D112" s="2">
        <v>3.0157409110641025</v>
      </c>
      <c r="E112">
        <v>3.2986067216021149</v>
      </c>
      <c r="F112">
        <v>3.6059703083566959</v>
      </c>
      <c r="G112">
        <v>5.9087000066345858</v>
      </c>
      <c r="H112">
        <v>6.4275498427093307</v>
      </c>
      <c r="I112">
        <v>6.9847009474192543</v>
      </c>
      <c r="J112">
        <v>12.371011843559893</v>
      </c>
      <c r="K112">
        <v>13.284441022642401</v>
      </c>
      <c r="L112">
        <v>14.238777467349408</v>
      </c>
      <c r="M112">
        <v>3.0140725504946992</v>
      </c>
      <c r="N112">
        <v>3.2968601201151699</v>
      </c>
      <c r="O112">
        <v>3.6041049776405378</v>
      </c>
      <c r="P112">
        <v>5.9062650084418902</v>
      </c>
      <c r="Q112">
        <v>6.4250928088295751</v>
      </c>
      <c r="R112">
        <v>6.9822346257278216</v>
      </c>
      <c r="S112">
        <v>12.370093860114237</v>
      </c>
      <c r="T112">
        <v>13.284093748946791</v>
      </c>
      <c r="U112">
        <v>14.239102146483075</v>
      </c>
      <c r="V112">
        <v>3.0036403535812535</v>
      </c>
      <c r="W112">
        <v>3.2869557478074647</v>
      </c>
      <c r="X112">
        <v>3.5952059678211308</v>
      </c>
      <c r="Y112">
        <v>5.9150846845190994</v>
      </c>
      <c r="Z112">
        <v>6.4402734229335667</v>
      </c>
      <c r="AA112">
        <v>7.0055725995426901</v>
      </c>
      <c r="AB112">
        <v>12.539328644185922</v>
      </c>
      <c r="AC112">
        <v>13.49114455926048</v>
      </c>
      <c r="AD112">
        <v>14.488677650869512</v>
      </c>
      <c r="AE112">
        <v>3.0051698733544709</v>
      </c>
      <c r="AF112">
        <v>3.2886616234029864</v>
      </c>
      <c r="AG112">
        <v>3.597082170197818</v>
      </c>
      <c r="AH112">
        <v>5.9184389216971542</v>
      </c>
      <c r="AI112">
        <v>6.4440117349806663</v>
      </c>
      <c r="AJ112">
        <v>7.0097123372793151</v>
      </c>
      <c r="AK112">
        <v>12.548103917432428</v>
      </c>
      <c r="AL112">
        <v>13.500844968334997</v>
      </c>
      <c r="AM112">
        <v>14.499876667413393</v>
      </c>
    </row>
    <row r="113" spans="1:39" x14ac:dyDescent="0.25">
      <c r="A113" s="147">
        <f t="shared" si="1"/>
        <v>7</v>
      </c>
      <c r="C113" s="149">
        <v>6.999999999999992</v>
      </c>
      <c r="D113" s="2">
        <v>3.0129450674110041</v>
      </c>
      <c r="E113">
        <v>3.2955306564358988</v>
      </c>
      <c r="F113">
        <v>3.6025856353618271</v>
      </c>
      <c r="G113">
        <v>5.9028750885252634</v>
      </c>
      <c r="H113">
        <v>6.4211424060998823</v>
      </c>
      <c r="I113">
        <v>6.9776522905959162</v>
      </c>
      <c r="J113">
        <v>12.356838325955289</v>
      </c>
      <c r="K113">
        <v>13.268865406446203</v>
      </c>
      <c r="L113">
        <v>14.22166774591979</v>
      </c>
      <c r="M113">
        <v>3.0112750626150842</v>
      </c>
      <c r="N113">
        <v>3.2937823911441679</v>
      </c>
      <c r="O113">
        <v>3.6007185020734189</v>
      </c>
      <c r="P113">
        <v>5.9004376409466381</v>
      </c>
      <c r="Q113">
        <v>6.4186829702015658</v>
      </c>
      <c r="R113">
        <v>6.9751835914949538</v>
      </c>
      <c r="S113">
        <v>12.35592005265967</v>
      </c>
      <c r="T113">
        <v>13.268518608767387</v>
      </c>
      <c r="U113">
        <v>14.2219937795691</v>
      </c>
      <c r="V113">
        <v>3.0001833147681767</v>
      </c>
      <c r="W113">
        <v>3.2831383878550842</v>
      </c>
      <c r="X113">
        <v>3.5909894249853758</v>
      </c>
      <c r="Y113">
        <v>5.907615923068759</v>
      </c>
      <c r="Z113">
        <v>6.4320042091125824</v>
      </c>
      <c r="AA113">
        <v>6.9964135984207267</v>
      </c>
      <c r="AB113">
        <v>12.519716771787753</v>
      </c>
      <c r="AC113">
        <v>13.469370442717469</v>
      </c>
      <c r="AD113">
        <v>14.464499982354697</v>
      </c>
      <c r="AE113">
        <v>3.0017158728422122</v>
      </c>
      <c r="AF113">
        <v>3.2848476113031264</v>
      </c>
      <c r="AG113">
        <v>3.5928692790938661</v>
      </c>
      <c r="AH113">
        <v>5.9109762341354433</v>
      </c>
      <c r="AI113">
        <v>6.4357491759070768</v>
      </c>
      <c r="AJ113">
        <v>7.0005605818950141</v>
      </c>
      <c r="AK113">
        <v>12.52850499701881</v>
      </c>
      <c r="AL113">
        <v>13.479084748526979</v>
      </c>
      <c r="AM113">
        <v>14.475714602588324</v>
      </c>
    </row>
    <row r="114" spans="1:39" x14ac:dyDescent="0.25">
      <c r="A114" s="147">
        <f t="shared" si="1"/>
        <v>8</v>
      </c>
      <c r="C114" s="149">
        <v>7.083333333333325</v>
      </c>
      <c r="D114" s="2">
        <v>3.1261663443325238</v>
      </c>
      <c r="E114">
        <v>3.419363688110499</v>
      </c>
      <c r="F114">
        <v>3.7379462510527302</v>
      </c>
      <c r="G114">
        <v>6.1245420159548116</v>
      </c>
      <c r="H114">
        <v>6.6622419714044945</v>
      </c>
      <c r="I114">
        <v>7.2396073425107854</v>
      </c>
      <c r="J114">
        <v>12.819790491141115</v>
      </c>
      <c r="K114">
        <v>13.765762647150673</v>
      </c>
      <c r="L114">
        <v>14.753982013150617</v>
      </c>
      <c r="M114">
        <v>3.1241735149794607</v>
      </c>
      <c r="N114">
        <v>3.4172656977201954</v>
      </c>
      <c r="O114">
        <v>3.735698585172778</v>
      </c>
      <c r="P114">
        <v>6.1215043947527006</v>
      </c>
      <c r="Q114">
        <v>6.6591367625086502</v>
      </c>
      <c r="R114">
        <v>7.2364446638821507</v>
      </c>
      <c r="S114">
        <v>12.817778614234262</v>
      </c>
      <c r="T114">
        <v>13.764266502931651</v>
      </c>
      <c r="U114">
        <v>14.753102031202719</v>
      </c>
      <c r="V114">
        <v>3.076436802552867</v>
      </c>
      <c r="W114">
        <v>3.3665418082128018</v>
      </c>
      <c r="X114">
        <v>3.6821630347195566</v>
      </c>
      <c r="Y114">
        <v>6.056957946424987</v>
      </c>
      <c r="Z114">
        <v>6.5944341015223991</v>
      </c>
      <c r="AA114">
        <v>7.1728951533673335</v>
      </c>
      <c r="AB114">
        <v>12.831528199352473</v>
      </c>
      <c r="AC114">
        <v>13.803991215046979</v>
      </c>
      <c r="AD114">
        <v>14.822842284004725</v>
      </c>
      <c r="AE114">
        <v>3.0779482223981738</v>
      </c>
      <c r="AF114">
        <v>3.3682288419348669</v>
      </c>
      <c r="AG114">
        <v>3.6840188647696603</v>
      </c>
      <c r="AH114">
        <v>6.0602860061292372</v>
      </c>
      <c r="AI114">
        <v>6.5981463879618385</v>
      </c>
      <c r="AJ114">
        <v>7.1770085609789556</v>
      </c>
      <c r="AK114">
        <v>12.840293464857631</v>
      </c>
      <c r="AL114">
        <v>13.81368779691593</v>
      </c>
      <c r="AM114">
        <v>14.834062680319377</v>
      </c>
    </row>
    <row r="115" spans="1:39" x14ac:dyDescent="0.25">
      <c r="A115" s="147">
        <f t="shared" si="1"/>
        <v>8</v>
      </c>
      <c r="C115" s="149">
        <v>7.1666666666666581</v>
      </c>
      <c r="D115" s="2">
        <v>3.1230944630442155</v>
      </c>
      <c r="E115">
        <v>3.4159817148373044</v>
      </c>
      <c r="F115">
        <v>3.7342223913558295</v>
      </c>
      <c r="G115">
        <v>6.118099821770719</v>
      </c>
      <c r="H115">
        <v>6.6551471744984507</v>
      </c>
      <c r="I115">
        <v>7.2317928317579661</v>
      </c>
      <c r="J115">
        <v>12.803894424102104</v>
      </c>
      <c r="K115">
        <v>13.748260998192951</v>
      </c>
      <c r="L115">
        <v>14.734718633471159</v>
      </c>
      <c r="M115">
        <v>3.1210992483095072</v>
      </c>
      <c r="N115">
        <v>3.413881252913991</v>
      </c>
      <c r="O115">
        <v>3.7319720511852337</v>
      </c>
      <c r="P115">
        <v>6.1150584380931381</v>
      </c>
      <c r="Q115">
        <v>6.6520381546371672</v>
      </c>
      <c r="R115">
        <v>7.2286262730501152</v>
      </c>
      <c r="S115">
        <v>12.801880119434621</v>
      </c>
      <c r="T115">
        <v>13.746763129575429</v>
      </c>
      <c r="U115">
        <v>14.733837756222275</v>
      </c>
      <c r="V115">
        <v>3.0729484503482332</v>
      </c>
      <c r="W115">
        <v>3.362687499632214</v>
      </c>
      <c r="X115">
        <v>3.6779028602276869</v>
      </c>
      <c r="Y115">
        <v>6.0493759743473596</v>
      </c>
      <c r="Z115">
        <v>6.5860309742128305</v>
      </c>
      <c r="AA115">
        <v>7.1635778052161267</v>
      </c>
      <c r="AB115">
        <v>12.811387665500241</v>
      </c>
      <c r="AC115">
        <v>13.781597749103796</v>
      </c>
      <c r="AD115">
        <v>14.79794052828076</v>
      </c>
      <c r="AE115">
        <v>3.0744627736204264</v>
      </c>
      <c r="AF115">
        <v>3.3643777334260978</v>
      </c>
      <c r="AG115">
        <v>3.6797621815609993</v>
      </c>
      <c r="AH115">
        <v>6.0527098481462511</v>
      </c>
      <c r="AI115">
        <v>6.589749631766022</v>
      </c>
      <c r="AJ115">
        <v>7.1676981506944522</v>
      </c>
      <c r="AK115">
        <v>12.820165315304877</v>
      </c>
      <c r="AL115">
        <v>13.791307607258798</v>
      </c>
      <c r="AM115">
        <v>14.809175804707312</v>
      </c>
    </row>
    <row r="116" spans="1:39" x14ac:dyDescent="0.25">
      <c r="A116" s="147">
        <f t="shared" si="1"/>
        <v>8</v>
      </c>
      <c r="C116" s="149">
        <v>7.2499999999999911</v>
      </c>
      <c r="D116" s="2">
        <v>3.120019059358099</v>
      </c>
      <c r="E116">
        <v>3.4125959923419318</v>
      </c>
      <c r="F116">
        <v>3.7304945583788767</v>
      </c>
      <c r="G116">
        <v>6.1116528236011813</v>
      </c>
      <c r="H116">
        <v>6.6480476182855313</v>
      </c>
      <c r="I116">
        <v>7.2239737157501995</v>
      </c>
      <c r="J116">
        <v>12.788002625484847</v>
      </c>
      <c r="K116">
        <v>13.730766861474397</v>
      </c>
      <c r="L116">
        <v>14.715466868443546</v>
      </c>
      <c r="M116">
        <v>3.1180214424503259</v>
      </c>
      <c r="N116">
        <v>3.4104930406480847</v>
      </c>
      <c r="O116">
        <v>3.7282415239278857</v>
      </c>
      <c r="P116">
        <v>6.108607644494259</v>
      </c>
      <c r="Q116">
        <v>6.6449347517415713</v>
      </c>
      <c r="R116">
        <v>7.2208032382151437</v>
      </c>
      <c r="S116">
        <v>12.785985825879113</v>
      </c>
      <c r="T116">
        <v>13.729267196814359</v>
      </c>
      <c r="U116">
        <v>14.714585019703279</v>
      </c>
      <c r="V116">
        <v>3.0694517575050635</v>
      </c>
      <c r="W116">
        <v>3.3588241743789071</v>
      </c>
      <c r="X116">
        <v>3.6736329583259142</v>
      </c>
      <c r="Y116">
        <v>6.0417798522266715</v>
      </c>
      <c r="Z116">
        <v>6.5776129512201944</v>
      </c>
      <c r="AA116">
        <v>7.1542448784209043</v>
      </c>
      <c r="AB116">
        <v>12.791233362064578</v>
      </c>
      <c r="AC116">
        <v>13.759192852974568</v>
      </c>
      <c r="AD116">
        <v>14.773030643518343</v>
      </c>
      <c r="AE116">
        <v>3.0709689385245538</v>
      </c>
      <c r="AF116">
        <v>3.3605175580249798</v>
      </c>
      <c r="AG116">
        <v>3.675495715813855</v>
      </c>
      <c r="AH116">
        <v>6.0451194465156988</v>
      </c>
      <c r="AI116">
        <v>6.5813378771859998</v>
      </c>
      <c r="AJ116">
        <v>7.15837204921481</v>
      </c>
      <c r="AK116">
        <v>12.80002317983748</v>
      </c>
      <c r="AL116">
        <v>13.768915751920268</v>
      </c>
      <c r="AM116">
        <v>14.784280542299756</v>
      </c>
    </row>
    <row r="117" spans="1:39" x14ac:dyDescent="0.25">
      <c r="A117" s="147">
        <f t="shared" si="1"/>
        <v>8</v>
      </c>
      <c r="C117" s="149">
        <v>7.3333333333333242</v>
      </c>
      <c r="D117" s="2">
        <v>3.1169401269099239</v>
      </c>
      <c r="E117">
        <v>3.4092065137287602</v>
      </c>
      <c r="F117">
        <v>3.7267627446607783</v>
      </c>
      <c r="G117">
        <v>6.1052010100016894</v>
      </c>
      <c r="H117">
        <v>6.6409432904554535</v>
      </c>
      <c r="I117">
        <v>7.216149981241581</v>
      </c>
      <c r="J117">
        <v>12.772115069682778</v>
      </c>
      <c r="K117">
        <v>13.713280207822617</v>
      </c>
      <c r="L117">
        <v>14.696226684248472</v>
      </c>
      <c r="M117">
        <v>3.1149400910183962</v>
      </c>
      <c r="N117">
        <v>3.4071010540089164</v>
      </c>
      <c r="O117">
        <v>3.7245069959180199</v>
      </c>
      <c r="P117">
        <v>6.1021520024917937</v>
      </c>
      <c r="Q117">
        <v>6.6378265414864632</v>
      </c>
      <c r="R117">
        <v>7.2129755461058807</v>
      </c>
      <c r="S117">
        <v>12.770095707969539</v>
      </c>
      <c r="T117">
        <v>13.71177867548619</v>
      </c>
      <c r="U117">
        <v>14.69534378786534</v>
      </c>
      <c r="V117">
        <v>3.0659466975730636</v>
      </c>
      <c r="W117">
        <v>3.3549518036981487</v>
      </c>
      <c r="X117">
        <v>3.6693532977867722</v>
      </c>
      <c r="Y117">
        <v>6.034169531322922</v>
      </c>
      <c r="Z117">
        <v>6.5691799800904445</v>
      </c>
      <c r="AA117">
        <v>7.1448963166108452</v>
      </c>
      <c r="AB117">
        <v>12.771065196003104</v>
      </c>
      <c r="AC117">
        <v>13.736776426672192</v>
      </c>
      <c r="AD117">
        <v>14.748112521820538</v>
      </c>
      <c r="AE117">
        <v>3.0674666905553836</v>
      </c>
      <c r="AF117">
        <v>3.356648286859607</v>
      </c>
      <c r="AG117">
        <v>3.6712194361764698</v>
      </c>
      <c r="AH117">
        <v>6.0375147523177883</v>
      </c>
      <c r="AI117">
        <v>6.5729110715765753</v>
      </c>
      <c r="AJ117">
        <v>7.1490301999650008</v>
      </c>
      <c r="AK117">
        <v>12.779866965207415</v>
      </c>
      <c r="AL117">
        <v>13.746512130739987</v>
      </c>
      <c r="AM117">
        <v>14.759376785045891</v>
      </c>
    </row>
    <row r="118" spans="1:39" x14ac:dyDescent="0.25">
      <c r="A118" s="147">
        <f t="shared" si="1"/>
        <v>8</v>
      </c>
      <c r="C118" s="149">
        <v>7.4166666666666572</v>
      </c>
      <c r="D118" s="2">
        <v>3.113857659323668</v>
      </c>
      <c r="E118">
        <v>3.4058132720921126</v>
      </c>
      <c r="F118">
        <v>3.7230269427295406</v>
      </c>
      <c r="G118">
        <v>6.0987443695100403</v>
      </c>
      <c r="H118">
        <v>6.6338341786811288</v>
      </c>
      <c r="I118">
        <v>7.2083216149654925</v>
      </c>
      <c r="J118">
        <v>12.756231731072541</v>
      </c>
      <c r="K118">
        <v>13.695801008039094</v>
      </c>
      <c r="L118">
        <v>14.676998047071386</v>
      </c>
      <c r="M118">
        <v>3.1118551876210514</v>
      </c>
      <c r="N118">
        <v>3.4037052860704016</v>
      </c>
      <c r="O118">
        <v>3.7207684596605608</v>
      </c>
      <c r="P118">
        <v>6.095691500588682</v>
      </c>
      <c r="Q118">
        <v>6.6307135115153679</v>
      </c>
      <c r="R118">
        <v>7.2051431834238997</v>
      </c>
      <c r="S118">
        <v>12.754209740091781</v>
      </c>
      <c r="T118">
        <v>13.694297536412851</v>
      </c>
      <c r="U118">
        <v>14.676114026926729</v>
      </c>
      <c r="V118">
        <v>3.0624332440228832</v>
      </c>
      <c r="W118">
        <v>3.3510703587485109</v>
      </c>
      <c r="X118">
        <v>3.6650638472863939</v>
      </c>
      <c r="Y118">
        <v>6.0265449627522774</v>
      </c>
      <c r="Z118">
        <v>6.5607320082062852</v>
      </c>
      <c r="AA118">
        <v>7.1355320632376333</v>
      </c>
      <c r="AB118">
        <v>12.750883074013466</v>
      </c>
      <c r="AC118">
        <v>13.714348369970127</v>
      </c>
      <c r="AD118">
        <v>14.723186055022346</v>
      </c>
      <c r="AE118">
        <v>3.0639560030775082</v>
      </c>
      <c r="AF118">
        <v>3.3527698909727839</v>
      </c>
      <c r="AG118">
        <v>3.6669333112023175</v>
      </c>
      <c r="AH118">
        <v>6.0298957164828408</v>
      </c>
      <c r="AI118">
        <v>6.5644691621227338</v>
      </c>
      <c r="AJ118">
        <v>7.1396725461958752</v>
      </c>
      <c r="AK118">
        <v>12.759696577903274</v>
      </c>
      <c r="AL118">
        <v>13.724096643295431</v>
      </c>
      <c r="AM118">
        <v>14.734464424612966</v>
      </c>
    </row>
    <row r="119" spans="1:39" x14ac:dyDescent="0.25">
      <c r="A119" s="147">
        <f t="shared" si="1"/>
        <v>8</v>
      </c>
      <c r="C119" s="149">
        <v>7.4999999999999902</v>
      </c>
      <c r="D119" s="2">
        <v>3.1063936278283681</v>
      </c>
      <c r="E119">
        <v>3.3971591457808854</v>
      </c>
      <c r="F119">
        <v>3.7129780138937845</v>
      </c>
      <c r="G119">
        <v>6.0747197090394529</v>
      </c>
      <c r="H119">
        <v>6.6057534946987424</v>
      </c>
      <c r="I119">
        <v>7.1754878420536201</v>
      </c>
      <c r="J119">
        <v>12.653285217228072</v>
      </c>
      <c r="K119">
        <v>13.575942284755076</v>
      </c>
      <c r="L119">
        <v>14.537651705691429</v>
      </c>
      <c r="M119">
        <v>3.1044135922461793</v>
      </c>
      <c r="N119">
        <v>3.3950754971176362</v>
      </c>
      <c r="O119">
        <v>3.7107456644045467</v>
      </c>
      <c r="P119">
        <v>6.071704837569694</v>
      </c>
      <c r="Q119">
        <v>6.6026732133800223</v>
      </c>
      <c r="R119">
        <v>7.172351614630788</v>
      </c>
      <c r="S119">
        <v>12.651289284972439</v>
      </c>
      <c r="T119">
        <v>13.574454345138973</v>
      </c>
      <c r="U119">
        <v>14.536769564909589</v>
      </c>
      <c r="V119">
        <v>3.055445479009681</v>
      </c>
      <c r="W119">
        <v>3.3430106920432108</v>
      </c>
      <c r="X119">
        <v>3.6557524764873039</v>
      </c>
      <c r="Y119">
        <v>6.0048238021751654</v>
      </c>
      <c r="Z119">
        <v>6.5354301759970532</v>
      </c>
      <c r="AA119">
        <v>7.1060391646954368</v>
      </c>
      <c r="AB119">
        <v>12.659577264817802</v>
      </c>
      <c r="AC119">
        <v>13.608075444248614</v>
      </c>
      <c r="AD119">
        <v>14.599627728575673</v>
      </c>
      <c r="AE119">
        <v>3.0569627994455959</v>
      </c>
      <c r="AF119">
        <v>3.3447039058740442</v>
      </c>
      <c r="AG119">
        <v>3.6576144812106151</v>
      </c>
      <c r="AH119">
        <v>6.008156381966737</v>
      </c>
      <c r="AI119">
        <v>6.539146039527699</v>
      </c>
      <c r="AJ119">
        <v>7.1101544986262537</v>
      </c>
      <c r="AK119">
        <v>12.668301368381446</v>
      </c>
      <c r="AL119">
        <v>13.617717718262259</v>
      </c>
      <c r="AM119">
        <v>14.610779652595884</v>
      </c>
    </row>
    <row r="120" spans="1:39" x14ac:dyDescent="0.25">
      <c r="A120" s="147">
        <f t="shared" si="1"/>
        <v>8</v>
      </c>
      <c r="C120" s="149">
        <v>7.5833333333333233</v>
      </c>
      <c r="D120" s="2">
        <v>3.1033167372217951</v>
      </c>
      <c r="E120">
        <v>3.3937733160817967</v>
      </c>
      <c r="F120">
        <v>3.7092518956956142</v>
      </c>
      <c r="G120">
        <v>6.0682997694438932</v>
      </c>
      <c r="H120">
        <v>6.5986898176962976</v>
      </c>
      <c r="I120">
        <v>7.1677154758119155</v>
      </c>
      <c r="J120">
        <v>12.637637182788392</v>
      </c>
      <c r="K120">
        <v>13.558745945765093</v>
      </c>
      <c r="L120">
        <v>14.518762278237048</v>
      </c>
      <c r="M120">
        <v>3.1013328857277243</v>
      </c>
      <c r="N120">
        <v>3.3916856327203893</v>
      </c>
      <c r="O120">
        <v>3.707015164124571</v>
      </c>
      <c r="P120">
        <v>6.0652783449634793</v>
      </c>
      <c r="Q120">
        <v>6.5956026910173566</v>
      </c>
      <c r="R120">
        <v>7.1645720729782534</v>
      </c>
      <c r="S120">
        <v>12.63563301921603</v>
      </c>
      <c r="T120">
        <v>13.55725005180363</v>
      </c>
      <c r="U120">
        <v>14.517872562909993</v>
      </c>
      <c r="V120">
        <v>3.0519317900197054</v>
      </c>
      <c r="W120">
        <v>3.3391308513828686</v>
      </c>
      <c r="X120">
        <v>3.6514670341392303</v>
      </c>
      <c r="Y120">
        <v>5.997235944506027</v>
      </c>
      <c r="Z120">
        <v>6.5270302357849133</v>
      </c>
      <c r="AA120">
        <v>7.0967369099048661</v>
      </c>
      <c r="AB120">
        <v>12.639713565091601</v>
      </c>
      <c r="AC120">
        <v>13.586037106089091</v>
      </c>
      <c r="AD120">
        <v>14.57517657820692</v>
      </c>
      <c r="AE120">
        <v>3.0534489122377599</v>
      </c>
      <c r="AF120">
        <v>3.3408238710523968</v>
      </c>
      <c r="AG120">
        <v>3.6533288184527617</v>
      </c>
      <c r="AH120">
        <v>6.0005682326739596</v>
      </c>
      <c r="AI120">
        <v>6.5307458223470096</v>
      </c>
      <c r="AJ120">
        <v>7.1008519511550352</v>
      </c>
      <c r="AK120">
        <v>12.648437156321933</v>
      </c>
      <c r="AL120">
        <v>13.595678792139378</v>
      </c>
      <c r="AM120">
        <v>14.5863285110864</v>
      </c>
    </row>
    <row r="121" spans="1:39" x14ac:dyDescent="0.25">
      <c r="A121" s="147">
        <f t="shared" si="1"/>
        <v>8</v>
      </c>
      <c r="C121" s="149">
        <v>7.6666666666666563</v>
      </c>
      <c r="D121" s="2">
        <v>3.1002362982337726</v>
      </c>
      <c r="E121">
        <v>3.3903837095339338</v>
      </c>
      <c r="F121">
        <v>3.7055217748083669</v>
      </c>
      <c r="G121">
        <v>6.0618749778951857</v>
      </c>
      <c r="H121">
        <v>6.5916213262939358</v>
      </c>
      <c r="I121">
        <v>7.1599384394573455</v>
      </c>
      <c r="J121">
        <v>12.62199300266818</v>
      </c>
      <c r="K121">
        <v>13.541556560557797</v>
      </c>
      <c r="L121">
        <v>14.499883711052371</v>
      </c>
      <c r="M121">
        <v>3.0982486163193155</v>
      </c>
      <c r="N121">
        <v>3.3882919757862568</v>
      </c>
      <c r="O121">
        <v>3.7032806440102375</v>
      </c>
      <c r="P121">
        <v>6.0588469728785199</v>
      </c>
      <c r="Q121">
        <v>6.5885273246404115</v>
      </c>
      <c r="R121">
        <v>7.1567878293301526</v>
      </c>
      <c r="S121">
        <v>12.619980557301643</v>
      </c>
      <c r="T121">
        <v>13.540052659471105</v>
      </c>
      <c r="U121">
        <v>14.498986366301027</v>
      </c>
      <c r="V121">
        <v>3.0484096567401155</v>
      </c>
      <c r="W121">
        <v>3.3352418843906309</v>
      </c>
      <c r="X121">
        <v>3.6471717487624815</v>
      </c>
      <c r="Y121">
        <v>5.989633789921303</v>
      </c>
      <c r="Z121">
        <v>6.5186152474522761</v>
      </c>
      <c r="AA121">
        <v>7.0874189176909113</v>
      </c>
      <c r="AB121">
        <v>12.619835694452174</v>
      </c>
      <c r="AC121">
        <v>13.56398681675574</v>
      </c>
      <c r="AD121">
        <v>14.550716606169498</v>
      </c>
      <c r="AE121">
        <v>3.0499265404714775</v>
      </c>
      <c r="AF121">
        <v>3.3369346657138856</v>
      </c>
      <c r="AG121">
        <v>3.6490332642879633</v>
      </c>
      <c r="AH121">
        <v>5.9929657058156582</v>
      </c>
      <c r="AI121">
        <v>6.5223304689245492</v>
      </c>
      <c r="AJ121">
        <v>7.0915335701448763</v>
      </c>
      <c r="AK121">
        <v>12.628558597688819</v>
      </c>
      <c r="AL121">
        <v>13.573627725461531</v>
      </c>
      <c r="AM121">
        <v>14.561868342393051</v>
      </c>
    </row>
    <row r="122" spans="1:39" x14ac:dyDescent="0.25">
      <c r="A122" s="147">
        <f t="shared" si="1"/>
        <v>8</v>
      </c>
      <c r="C122" s="149">
        <v>7.7499999999999893</v>
      </c>
      <c r="D122" s="2">
        <v>3.0971523044612206</v>
      </c>
      <c r="E122">
        <v>3.3869903192054229</v>
      </c>
      <c r="F122">
        <v>3.7017876437313735</v>
      </c>
      <c r="G122">
        <v>6.0554453229143714</v>
      </c>
      <c r="H122">
        <v>6.5845480081547691</v>
      </c>
      <c r="I122">
        <v>7.1521567197277705</v>
      </c>
      <c r="J122">
        <v>12.606352651626125</v>
      </c>
      <c r="K122">
        <v>13.524374100499145</v>
      </c>
      <c r="L122">
        <v>14.481015971144949</v>
      </c>
      <c r="M122">
        <v>3.0951607775993324</v>
      </c>
      <c r="N122">
        <v>3.3848945193619122</v>
      </c>
      <c r="O122">
        <v>3.6995420965393784</v>
      </c>
      <c r="P122">
        <v>6.0524107098121505</v>
      </c>
      <c r="Q122">
        <v>6.5814471018836933</v>
      </c>
      <c r="R122">
        <v>7.1489988703978895</v>
      </c>
      <c r="S122">
        <v>12.604331873989908</v>
      </c>
      <c r="T122">
        <v>13.522862139505357</v>
      </c>
      <c r="U122">
        <v>14.48011094209075</v>
      </c>
      <c r="V122">
        <v>3.0448790524127984</v>
      </c>
      <c r="W122">
        <v>3.3313437619824233</v>
      </c>
      <c r="X122">
        <v>3.6428665887858473</v>
      </c>
      <c r="Y122">
        <v>5.9820172892933057</v>
      </c>
      <c r="Z122">
        <v>6.5101851581610113</v>
      </c>
      <c r="AA122">
        <v>7.0780851313178133</v>
      </c>
      <c r="AB122">
        <v>12.599943560187615</v>
      </c>
      <c r="AC122">
        <v>13.541924476887264</v>
      </c>
      <c r="AD122">
        <v>14.526247705557847</v>
      </c>
      <c r="AE122">
        <v>3.0463956572914364</v>
      </c>
      <c r="AF122">
        <v>3.3330362606704664</v>
      </c>
      <c r="AG122">
        <v>3.644727787030829</v>
      </c>
      <c r="AH122">
        <v>5.9853487520952822</v>
      </c>
      <c r="AI122">
        <v>6.5138999262417308</v>
      </c>
      <c r="AJ122">
        <v>7.0821992986612212</v>
      </c>
      <c r="AK122">
        <v>12.608665599551664</v>
      </c>
      <c r="AL122">
        <v>13.551564418648177</v>
      </c>
      <c r="AM122">
        <v>14.53739903941662</v>
      </c>
    </row>
    <row r="123" spans="1:39" x14ac:dyDescent="0.25">
      <c r="A123" s="147">
        <f t="shared" si="1"/>
        <v>8</v>
      </c>
      <c r="C123" s="149">
        <v>7.8333333333333224</v>
      </c>
      <c r="D123" s="2">
        <v>3.094064749491154</v>
      </c>
      <c r="E123">
        <v>3.3835931381497142</v>
      </c>
      <c r="F123">
        <v>3.6980494949514937</v>
      </c>
      <c r="G123">
        <v>6.0490107930068593</v>
      </c>
      <c r="H123">
        <v>6.577469850920405</v>
      </c>
      <c r="I123">
        <v>7.1443703033356467</v>
      </c>
      <c r="J123">
        <v>12.590716104403663</v>
      </c>
      <c r="K123">
        <v>13.507198536940077</v>
      </c>
      <c r="L123">
        <v>14.462159025506544</v>
      </c>
      <c r="M123">
        <v>3.0920693631358169</v>
      </c>
      <c r="N123">
        <v>3.3814932564836795</v>
      </c>
      <c r="O123">
        <v>3.6957995141799476</v>
      </c>
      <c r="P123">
        <v>6.045969544245227</v>
      </c>
      <c r="Q123">
        <v>6.5743620103654195</v>
      </c>
      <c r="R123">
        <v>7.1412051828638443</v>
      </c>
      <c r="S123">
        <v>12.588686944002003</v>
      </c>
      <c r="T123">
        <v>13.505678463256114</v>
      </c>
      <c r="U123">
        <v>14.461246257274887</v>
      </c>
      <c r="V123">
        <v>3.0413399501978722</v>
      </c>
      <c r="W123">
        <v>3.3274364549911017</v>
      </c>
      <c r="X123">
        <v>3.6385515225435752</v>
      </c>
      <c r="Y123">
        <v>5.9743863933495902</v>
      </c>
      <c r="Z123">
        <v>6.5017399149153317</v>
      </c>
      <c r="AA123">
        <v>7.0687354938699363</v>
      </c>
      <c r="AB123">
        <v>12.580037069330249</v>
      </c>
      <c r="AC123">
        <v>13.519849986849708</v>
      </c>
      <c r="AD123">
        <v>14.50176976919894</v>
      </c>
      <c r="AE123">
        <v>3.0428562357589382</v>
      </c>
      <c r="AF123">
        <v>3.3291286266482869</v>
      </c>
      <c r="AG123">
        <v>3.6404123549011373</v>
      </c>
      <c r="AH123">
        <v>5.9777173220679707</v>
      </c>
      <c r="AI123">
        <v>6.5054541411185749</v>
      </c>
      <c r="AJ123">
        <v>7.0728490796046923</v>
      </c>
      <c r="AK123">
        <v>12.588758068726444</v>
      </c>
      <c r="AL123">
        <v>13.529488771876395</v>
      </c>
      <c r="AM123">
        <v>14.512920494790283</v>
      </c>
    </row>
    <row r="124" spans="1:39" x14ac:dyDescent="0.25">
      <c r="A124" s="147">
        <f t="shared" si="1"/>
        <v>8</v>
      </c>
      <c r="C124" s="149">
        <v>7.9166666666666554</v>
      </c>
      <c r="D124" s="2">
        <v>3.0909736268991734</v>
      </c>
      <c r="E124">
        <v>3.3801921594095141</v>
      </c>
      <c r="F124">
        <v>3.6943073209412476</v>
      </c>
      <c r="G124">
        <v>6.0425713766553706</v>
      </c>
      <c r="H124">
        <v>6.5703868422106595</v>
      </c>
      <c r="I124">
        <v>7.1365791769718072</v>
      </c>
      <c r="J124">
        <v>12.575083335709575</v>
      </c>
      <c r="K124">
        <v>13.490029841219933</v>
      </c>
      <c r="L124">
        <v>14.443312841116551</v>
      </c>
      <c r="M124">
        <v>3.0889743664887179</v>
      </c>
      <c r="N124">
        <v>3.3780881801739744</v>
      </c>
      <c r="O124">
        <v>3.692052889383433</v>
      </c>
      <c r="P124">
        <v>6.0395234646296352</v>
      </c>
      <c r="Q124">
        <v>6.5672720376723319</v>
      </c>
      <c r="R124">
        <v>7.1334067533905916</v>
      </c>
      <c r="S124">
        <v>12.57304574203949</v>
      </c>
      <c r="T124">
        <v>13.48850160204881</v>
      </c>
      <c r="U124">
        <v>14.442392278845681</v>
      </c>
      <c r="V124">
        <v>3.0377923231731168</v>
      </c>
      <c r="W124">
        <v>3.3235199341568125</v>
      </c>
      <c r="X124">
        <v>3.6342265182724063</v>
      </c>
      <c r="Y124">
        <v>5.9667410526616456</v>
      </c>
      <c r="Z124">
        <v>6.493279464553364</v>
      </c>
      <c r="AA124">
        <v>7.0593699482689143</v>
      </c>
      <c r="AB124">
        <v>12.560116128654062</v>
      </c>
      <c r="AC124">
        <v>13.497763246754396</v>
      </c>
      <c r="AD124">
        <v>14.477282689661706</v>
      </c>
      <c r="AE124">
        <v>3.0393082488567562</v>
      </c>
      <c r="AF124">
        <v>3.3252117342812566</v>
      </c>
      <c r="AG124">
        <v>3.6360869360205084</v>
      </c>
      <c r="AH124">
        <v>5.970071366135401</v>
      </c>
      <c r="AI124">
        <v>6.496993060215484</v>
      </c>
      <c r="AJ124">
        <v>7.0634828556970746</v>
      </c>
      <c r="AK124">
        <v>12.568835911766154</v>
      </c>
      <c r="AL124">
        <v>13.507400685043265</v>
      </c>
      <c r="AM124">
        <v>14.488432600874177</v>
      </c>
    </row>
    <row r="125" spans="1:39" x14ac:dyDescent="0.25">
      <c r="A125" s="147">
        <f t="shared" si="1"/>
        <v>8</v>
      </c>
      <c r="C125" s="149">
        <v>7.9999999999999885</v>
      </c>
      <c r="D125" s="2">
        <v>3.0878789302497109</v>
      </c>
      <c r="E125">
        <v>3.3767873760139238</v>
      </c>
      <c r="F125">
        <v>3.6905611141600461</v>
      </c>
      <c r="G125">
        <v>6.0361270623224392</v>
      </c>
      <c r="H125">
        <v>6.5632989696246771</v>
      </c>
      <c r="I125">
        <v>7.1287833273038306</v>
      </c>
      <c r="J125">
        <v>12.559454320241116</v>
      </c>
      <c r="K125">
        <v>13.472867984644335</v>
      </c>
      <c r="L125">
        <v>14.424477384941465</v>
      </c>
      <c r="M125">
        <v>3.0858757812033284</v>
      </c>
      <c r="N125">
        <v>3.3746792834442392</v>
      </c>
      <c r="O125">
        <v>3.6883022145911526</v>
      </c>
      <c r="P125">
        <v>6.0330724594002785</v>
      </c>
      <c r="Q125">
        <v>6.5601771713770711</v>
      </c>
      <c r="R125">
        <v>7.1256035686178736</v>
      </c>
      <c r="S125">
        <v>12.557408242782437</v>
      </c>
      <c r="T125">
        <v>13.471331527192149</v>
      </c>
      <c r="U125">
        <v>14.423548973776438</v>
      </c>
      <c r="V125">
        <v>3.0342361443364618</v>
      </c>
      <c r="W125">
        <v>3.3195941701332625</v>
      </c>
      <c r="X125">
        <v>3.6298915441139954</v>
      </c>
      <c r="Y125">
        <v>5.959081217653635</v>
      </c>
      <c r="Z125">
        <v>6.4848037537546732</v>
      </c>
      <c r="AA125">
        <v>7.0499884372500894</v>
      </c>
      <c r="AB125">
        <v>12.540180644676035</v>
      </c>
      <c r="AC125">
        <v>13.475664156454247</v>
      </c>
      <c r="AD125">
        <v>14.452786359246165</v>
      </c>
      <c r="AE125">
        <v>3.0357516694819555</v>
      </c>
      <c r="AF125">
        <v>3.3212855541157982</v>
      </c>
      <c r="AG125">
        <v>3.6317514984165213</v>
      </c>
      <c r="AH125">
        <v>5.9624108345514362</v>
      </c>
      <c r="AI125">
        <v>6.4885166300247876</v>
      </c>
      <c r="AJ125">
        <v>7.0541005694909451</v>
      </c>
      <c r="AK125">
        <v>12.54889903497109</v>
      </c>
      <c r="AL125">
        <v>13.485300057791349</v>
      </c>
      <c r="AM125">
        <v>14.463935249777002</v>
      </c>
    </row>
    <row r="126" spans="1:39" x14ac:dyDescent="0.25">
      <c r="A126" s="147">
        <f t="shared" si="1"/>
        <v>9</v>
      </c>
      <c r="C126" s="149">
        <v>8.0833333333333215</v>
      </c>
      <c r="D126" s="2">
        <v>3.1953321506434023</v>
      </c>
      <c r="E126">
        <v>3.4942851731495335</v>
      </c>
      <c r="F126">
        <v>3.8189648688983908</v>
      </c>
      <c r="G126">
        <v>6.2459915928081085</v>
      </c>
      <c r="H126">
        <v>6.7914558021293878</v>
      </c>
      <c r="I126">
        <v>7.3765502356330508</v>
      </c>
      <c r="J126">
        <v>12.994904561016623</v>
      </c>
      <c r="K126">
        <v>13.939742098175792</v>
      </c>
      <c r="L126">
        <v>14.924039047444664</v>
      </c>
      <c r="M126">
        <v>3.1929997233744971</v>
      </c>
      <c r="N126">
        <v>3.4918202032096612</v>
      </c>
      <c r="O126">
        <v>3.8163176547461961</v>
      </c>
      <c r="P126">
        <v>6.2423241591782759</v>
      </c>
      <c r="Q126">
        <v>6.7876743403424404</v>
      </c>
      <c r="R126">
        <v>7.3726613476562788</v>
      </c>
      <c r="S126">
        <v>12.991737552573998</v>
      </c>
      <c r="T126">
        <v>13.937026844853976</v>
      </c>
      <c r="U126">
        <v>14.921872973904902</v>
      </c>
      <c r="V126">
        <v>3.1074214061594869</v>
      </c>
      <c r="W126">
        <v>3.3996230931615212</v>
      </c>
      <c r="X126">
        <v>3.7173539890845326</v>
      </c>
      <c r="Y126">
        <v>6.1020582910353367</v>
      </c>
      <c r="Z126">
        <v>6.6402372967524759</v>
      </c>
      <c r="AA126">
        <v>7.2187808364136528</v>
      </c>
      <c r="AB126">
        <v>12.836728208549623</v>
      </c>
      <c r="AC126">
        <v>13.793557728685728</v>
      </c>
      <c r="AD126">
        <v>14.792811855059428</v>
      </c>
      <c r="AE126">
        <v>3.1089096911286256</v>
      </c>
      <c r="AF126">
        <v>3.4012855754012716</v>
      </c>
      <c r="AG126">
        <v>3.7191825852685532</v>
      </c>
      <c r="AH126">
        <v>6.1053434045098678</v>
      </c>
      <c r="AI126">
        <v>6.6439040665173135</v>
      </c>
      <c r="AJ126">
        <v>7.2228447378023581</v>
      </c>
      <c r="AK126">
        <v>12.845396284377241</v>
      </c>
      <c r="AL126">
        <v>13.80314621933363</v>
      </c>
      <c r="AM126">
        <v>14.803933380907242</v>
      </c>
    </row>
    <row r="127" spans="1:39" x14ac:dyDescent="0.25">
      <c r="A127" s="147">
        <f t="shared" si="1"/>
        <v>9</v>
      </c>
      <c r="C127" s="149">
        <v>8.1666666666666554</v>
      </c>
      <c r="D127" s="2">
        <v>3.1919900038360121</v>
      </c>
      <c r="E127">
        <v>3.4906060515400252</v>
      </c>
      <c r="F127">
        <v>3.8149143529025205</v>
      </c>
      <c r="G127">
        <v>6.238992096850497</v>
      </c>
      <c r="H127">
        <v>6.7837494591111813</v>
      </c>
      <c r="I127">
        <v>7.3680650272528396</v>
      </c>
      <c r="J127">
        <v>12.977724050643815</v>
      </c>
      <c r="K127">
        <v>13.920846194194386</v>
      </c>
      <c r="L127">
        <v>14.903265767506758</v>
      </c>
      <c r="M127">
        <v>3.1896526897938164</v>
      </c>
      <c r="N127">
        <v>3.4881358803032976</v>
      </c>
      <c r="O127">
        <v>3.812261493728426</v>
      </c>
      <c r="P127">
        <v>6.2353161696988124</v>
      </c>
      <c r="Q127">
        <v>6.7799590643441219</v>
      </c>
      <c r="R127">
        <v>7.3641667282256034</v>
      </c>
      <c r="S127">
        <v>12.974545463131204</v>
      </c>
      <c r="T127">
        <v>13.918119505052299</v>
      </c>
      <c r="U127">
        <v>14.901088516397369</v>
      </c>
      <c r="V127">
        <v>3.1038466668617382</v>
      </c>
      <c r="W127">
        <v>3.3956744922723985</v>
      </c>
      <c r="X127">
        <v>3.7129910084479625</v>
      </c>
      <c r="Y127">
        <v>6.0943135564411728</v>
      </c>
      <c r="Z127">
        <v>6.6316592120175946</v>
      </c>
      <c r="AA127">
        <v>7.2092761594382546</v>
      </c>
      <c r="AB127">
        <v>12.816346535931741</v>
      </c>
      <c r="AC127">
        <v>13.770932630431844</v>
      </c>
      <c r="AD127">
        <v>14.76769729696194</v>
      </c>
      <c r="AE127">
        <v>3.1053342399056159</v>
      </c>
      <c r="AF127">
        <v>3.3973362177933852</v>
      </c>
      <c r="AG127">
        <v>3.7148187704436304</v>
      </c>
      <c r="AH127">
        <v>6.0975973737442626</v>
      </c>
      <c r="AI127">
        <v>6.635324610290354</v>
      </c>
      <c r="AJ127">
        <v>7.2133385789228566</v>
      </c>
      <c r="AK127">
        <v>12.825011977931027</v>
      </c>
      <c r="AL127">
        <v>13.780518247817717</v>
      </c>
      <c r="AM127">
        <v>14.778816320769058</v>
      </c>
    </row>
    <row r="128" spans="1:39" x14ac:dyDescent="0.25">
      <c r="A128" s="147">
        <f t="shared" si="1"/>
        <v>9</v>
      </c>
      <c r="C128" s="149">
        <v>8.2499999999999893</v>
      </c>
      <c r="D128" s="2">
        <v>3.1886432667434472</v>
      </c>
      <c r="E128">
        <v>3.4869220219754657</v>
      </c>
      <c r="F128">
        <v>3.8108586081236346</v>
      </c>
      <c r="G128">
        <v>6.2319858796285006</v>
      </c>
      <c r="H128">
        <v>6.776036305955607</v>
      </c>
      <c r="I128">
        <v>7.3595730260185572</v>
      </c>
      <c r="J128">
        <v>12.960544628519603</v>
      </c>
      <c r="K128">
        <v>13.90195450279564</v>
      </c>
      <c r="L128">
        <v>14.882500685711111</v>
      </c>
      <c r="M128">
        <v>3.1863010480996374</v>
      </c>
      <c r="N128">
        <v>3.4844466301036539</v>
      </c>
      <c r="O128">
        <v>3.8082000828280131</v>
      </c>
      <c r="P128">
        <v>6.228301425244144</v>
      </c>
      <c r="Q128">
        <v>6.7722369418842181</v>
      </c>
      <c r="R128">
        <v>7.355665276826544</v>
      </c>
      <c r="S128">
        <v>12.957354400076142</v>
      </c>
      <c r="T128">
        <v>13.899216313144636</v>
      </c>
      <c r="U128">
        <v>14.880312189752615</v>
      </c>
      <c r="V128">
        <v>3.1002627225694166</v>
      </c>
      <c r="W128">
        <v>3.3917159343429981</v>
      </c>
      <c r="X128">
        <v>3.7086172783594291</v>
      </c>
      <c r="Y128">
        <v>6.0865530656129447</v>
      </c>
      <c r="Z128">
        <v>6.6230644996364925</v>
      </c>
      <c r="AA128">
        <v>7.1997540385781598</v>
      </c>
      <c r="AB128">
        <v>12.795947924444596</v>
      </c>
      <c r="AC128">
        <v>13.748292674213499</v>
      </c>
      <c r="AD128">
        <v>14.74257088373712</v>
      </c>
      <c r="AE128">
        <v>3.1017495393626193</v>
      </c>
      <c r="AF128">
        <v>3.3933768545159131</v>
      </c>
      <c r="AG128">
        <v>3.7104441529502994</v>
      </c>
      <c r="AH128">
        <v>6.0898354982643763</v>
      </c>
      <c r="AI128">
        <v>6.6267284297833502</v>
      </c>
      <c r="AJ128">
        <v>7.2038148708325931</v>
      </c>
      <c r="AK128">
        <v>12.804610541477683</v>
      </c>
      <c r="AL128">
        <v>13.757875212535577</v>
      </c>
      <c r="AM128">
        <v>14.753687182202867</v>
      </c>
    </row>
    <row r="129" spans="1:39" x14ac:dyDescent="0.25">
      <c r="A129" s="147">
        <f t="shared" si="1"/>
        <v>9</v>
      </c>
      <c r="C129" s="149">
        <v>8.3333333333333233</v>
      </c>
      <c r="D129" s="2">
        <v>3.1852919300185247</v>
      </c>
      <c r="E129">
        <v>3.4832330743292634</v>
      </c>
      <c r="F129">
        <v>3.8067976236053243</v>
      </c>
      <c r="G129">
        <v>6.2249729244080889</v>
      </c>
      <c r="H129">
        <v>6.7683163246991285</v>
      </c>
      <c r="I129">
        <v>7.3510742126695074</v>
      </c>
      <c r="J129">
        <v>12.943366260564048</v>
      </c>
      <c r="K129">
        <v>13.883066986135285</v>
      </c>
      <c r="L129">
        <v>14.861743759440159</v>
      </c>
      <c r="M129">
        <v>3.1829447889219225</v>
      </c>
      <c r="N129">
        <v>3.4807524424592344</v>
      </c>
      <c r="O129">
        <v>3.8041334110608522</v>
      </c>
      <c r="P129">
        <v>6.2212799090381807</v>
      </c>
      <c r="Q129">
        <v>6.7645079549566915</v>
      </c>
      <c r="R129">
        <v>7.3471569741488167</v>
      </c>
      <c r="S129">
        <v>12.940164329300444</v>
      </c>
      <c r="T129">
        <v>13.880317231244462</v>
      </c>
      <c r="U129">
        <v>14.859543951326076</v>
      </c>
      <c r="V129">
        <v>3.0966695424431285</v>
      </c>
      <c r="W129">
        <v>3.3877473858458744</v>
      </c>
      <c r="X129">
        <v>3.7042327624088305</v>
      </c>
      <c r="Y129">
        <v>6.0787767617530584</v>
      </c>
      <c r="Z129">
        <v>6.6144530984949625</v>
      </c>
      <c r="AA129">
        <v>7.1902144081790844</v>
      </c>
      <c r="AB129">
        <v>12.775532266982946</v>
      </c>
      <c r="AC129">
        <v>13.725637745489182</v>
      </c>
      <c r="AD129">
        <v>14.717432492489273</v>
      </c>
      <c r="AE129">
        <v>3.0981555585428251</v>
      </c>
      <c r="AF129">
        <v>3.3894074519153978</v>
      </c>
      <c r="AG129">
        <v>3.7060586962409712</v>
      </c>
      <c r="AH129">
        <v>6.0820577210669891</v>
      </c>
      <c r="AI129">
        <v>6.6181154636629937</v>
      </c>
      <c r="AJ129">
        <v>7.1942735476420268</v>
      </c>
      <c r="AK129">
        <v>12.784191867631453</v>
      </c>
      <c r="AL129">
        <v>13.735216998660647</v>
      </c>
      <c r="AM129">
        <v>14.728545842054071</v>
      </c>
    </row>
    <row r="130" spans="1:39" x14ac:dyDescent="0.25">
      <c r="A130" s="147">
        <f t="shared" si="1"/>
        <v>9</v>
      </c>
      <c r="C130" s="149">
        <v>8.4166666666666572</v>
      </c>
      <c r="D130" s="2">
        <v>3.1819359842971418</v>
      </c>
      <c r="E130">
        <v>3.4795391984556536</v>
      </c>
      <c r="F130">
        <v>3.802731388367985</v>
      </c>
      <c r="G130">
        <v>6.2179532144169887</v>
      </c>
      <c r="H130">
        <v>6.7605894973492386</v>
      </c>
      <c r="I130">
        <v>7.3425685679018056</v>
      </c>
      <c r="J130">
        <v>12.926188912664259</v>
      </c>
      <c r="K130">
        <v>13.864183606319886</v>
      </c>
      <c r="L130">
        <v>14.840994946046987</v>
      </c>
      <c r="M130">
        <v>3.1795839028698536</v>
      </c>
      <c r="N130">
        <v>3.4770533071964866</v>
      </c>
      <c r="O130">
        <v>3.8000614674171116</v>
      </c>
      <c r="P130">
        <v>6.2142516042656197</v>
      </c>
      <c r="Q130">
        <v>6.7567720855207263</v>
      </c>
      <c r="R130">
        <v>7.3386418008507377</v>
      </c>
      <c r="S130">
        <v>12.922975216651082</v>
      </c>
      <c r="T130">
        <v>13.861422221432761</v>
      </c>
      <c r="U130">
        <v>14.838783758450965</v>
      </c>
      <c r="V130">
        <v>3.0930670955439719</v>
      </c>
      <c r="W130">
        <v>3.3837688131444903</v>
      </c>
      <c r="X130">
        <v>3.6998374240674989</v>
      </c>
      <c r="Y130">
        <v>6.0709845878815418</v>
      </c>
      <c r="Z130">
        <v>6.6058249472776662</v>
      </c>
      <c r="AA130">
        <v>7.1806572023755502</v>
      </c>
      <c r="AB130">
        <v>12.755099456130756</v>
      </c>
      <c r="AC130">
        <v>13.702967729369544</v>
      </c>
      <c r="AD130">
        <v>14.692282000010486</v>
      </c>
      <c r="AE130">
        <v>3.0945522663919007</v>
      </c>
      <c r="AF130">
        <v>3.3854279762291295</v>
      </c>
      <c r="AG130">
        <v>3.7016623636488295</v>
      </c>
      <c r="AH130">
        <v>6.0742639849661497</v>
      </c>
      <c r="AI130">
        <v>6.6094856503942232</v>
      </c>
      <c r="AJ130">
        <v>7.1847145432491963</v>
      </c>
      <c r="AK130">
        <v>12.763755848688611</v>
      </c>
      <c r="AL130">
        <v>13.712543491035348</v>
      </c>
      <c r="AM130">
        <v>14.703392176835148</v>
      </c>
    </row>
    <row r="131" spans="1:39" x14ac:dyDescent="0.25">
      <c r="A131" s="147">
        <f t="shared" si="1"/>
        <v>9</v>
      </c>
      <c r="C131" s="149">
        <v>8.4999999999999911</v>
      </c>
      <c r="D131" s="2">
        <v>3.1742116457104146</v>
      </c>
      <c r="E131">
        <v>3.4706031778583837</v>
      </c>
      <c r="F131">
        <v>3.7923781820067353</v>
      </c>
      <c r="G131">
        <v>6.1935116216072545</v>
      </c>
      <c r="H131">
        <v>6.7320852279990442</v>
      </c>
      <c r="I131">
        <v>7.3093142815637453</v>
      </c>
      <c r="J131">
        <v>12.823768537803399</v>
      </c>
      <c r="K131">
        <v>13.745267987495765</v>
      </c>
      <c r="L131">
        <v>14.703146271515765</v>
      </c>
      <c r="M131">
        <v>3.1718903125840177</v>
      </c>
      <c r="N131">
        <v>3.4681507258675448</v>
      </c>
      <c r="O131">
        <v>3.7897443150816121</v>
      </c>
      <c r="P131">
        <v>6.189864182241072</v>
      </c>
      <c r="Q131">
        <v>6.7283258532240406</v>
      </c>
      <c r="R131">
        <v>7.3054489117941941</v>
      </c>
      <c r="S131">
        <v>12.820614996850894</v>
      </c>
      <c r="T131">
        <v>13.742558902864783</v>
      </c>
      <c r="U131">
        <v>14.700976694455692</v>
      </c>
      <c r="V131">
        <v>3.0860019234688663</v>
      </c>
      <c r="W131">
        <v>3.3756286293099262</v>
      </c>
      <c r="X131">
        <v>3.6904435038746488</v>
      </c>
      <c r="Y131">
        <v>6.0492276566225769</v>
      </c>
      <c r="Z131">
        <v>6.580518125107619</v>
      </c>
      <c r="AA131">
        <v>7.1512032571565394</v>
      </c>
      <c r="AB131">
        <v>12.665201330921011</v>
      </c>
      <c r="AC131">
        <v>13.598595010246257</v>
      </c>
      <c r="AD131">
        <v>14.571258809524338</v>
      </c>
      <c r="AE131">
        <v>3.0874853728511349</v>
      </c>
      <c r="AF131">
        <v>3.3772855211318289</v>
      </c>
      <c r="AG131">
        <v>3.6922653977593178</v>
      </c>
      <c r="AH131">
        <v>6.0524958572423921</v>
      </c>
      <c r="AI131">
        <v>6.5841650576433208</v>
      </c>
      <c r="AJ131">
        <v>7.1552435568747965</v>
      </c>
      <c r="AK131">
        <v>12.673782026205512</v>
      </c>
      <c r="AL131">
        <v>13.608079443293803</v>
      </c>
      <c r="AM131">
        <v>14.582258268202217</v>
      </c>
    </row>
    <row r="132" spans="1:39" x14ac:dyDescent="0.25">
      <c r="A132" s="147">
        <f t="shared" si="1"/>
        <v>9</v>
      </c>
      <c r="C132" s="149">
        <v>8.583333333333325</v>
      </c>
      <c r="D132" s="2">
        <v>3.1708600984290762</v>
      </c>
      <c r="E132">
        <v>3.4669155664063087</v>
      </c>
      <c r="F132">
        <v>3.7883205460021543</v>
      </c>
      <c r="G132">
        <v>6.1865290044317991</v>
      </c>
      <c r="H132">
        <v>6.7244048154881586</v>
      </c>
      <c r="I132">
        <v>7.3008663591302589</v>
      </c>
      <c r="J132">
        <v>12.806841777268062</v>
      </c>
      <c r="K132">
        <v>13.726686281831348</v>
      </c>
      <c r="L132">
        <v>14.68275956739204</v>
      </c>
      <c r="M132">
        <v>3.1685321664511816</v>
      </c>
      <c r="N132">
        <v>3.4644560428661184</v>
      </c>
      <c r="O132">
        <v>3.7856789921141845</v>
      </c>
      <c r="P132">
        <v>6.1828697502126717</v>
      </c>
      <c r="Q132">
        <v>6.7206328993876268</v>
      </c>
      <c r="R132">
        <v>7.2969876639871973</v>
      </c>
      <c r="S132">
        <v>12.803669851749115</v>
      </c>
      <c r="T132">
        <v>13.723958474684705</v>
      </c>
      <c r="U132">
        <v>14.680571022471646</v>
      </c>
      <c r="V132">
        <v>3.0823983440256191</v>
      </c>
      <c r="W132">
        <v>3.3716507683944514</v>
      </c>
      <c r="X132">
        <v>3.686051302873091</v>
      </c>
      <c r="Y132">
        <v>6.0414720074132964</v>
      </c>
      <c r="Z132">
        <v>6.5719380904112201</v>
      </c>
      <c r="AA132">
        <v>7.1417084679754517</v>
      </c>
      <c r="AB132">
        <v>12.64509169016727</v>
      </c>
      <c r="AC132">
        <v>13.576320049795694</v>
      </c>
      <c r="AD132">
        <v>14.54658936590303</v>
      </c>
      <c r="AE132">
        <v>3.0838780927173399</v>
      </c>
      <c r="AF132">
        <v>3.3733036344965965</v>
      </c>
      <c r="AG132">
        <v>3.6878687900427232</v>
      </c>
      <c r="AH132">
        <v>6.0447330624878557</v>
      </c>
      <c r="AI132">
        <v>6.5755772894224975</v>
      </c>
      <c r="AJ132">
        <v>7.1457403748262616</v>
      </c>
      <c r="AK132">
        <v>12.653657589804361</v>
      </c>
      <c r="AL132">
        <v>13.585788569444066</v>
      </c>
      <c r="AM132">
        <v>14.557572373660559</v>
      </c>
    </row>
    <row r="133" spans="1:39" x14ac:dyDescent="0.25">
      <c r="A133" s="147">
        <f t="shared" si="1"/>
        <v>9</v>
      </c>
      <c r="C133" s="149">
        <v>8.666666666666659</v>
      </c>
      <c r="D133" s="2">
        <v>3.1675039235734124</v>
      </c>
      <c r="E133">
        <v>3.4632230074618517</v>
      </c>
      <c r="F133">
        <v>3.7842576393154532</v>
      </c>
      <c r="G133">
        <v>6.1795396035186219</v>
      </c>
      <c r="H133">
        <v>6.7167175232747613</v>
      </c>
      <c r="I133">
        <v>7.2924115647258585</v>
      </c>
      <c r="J133">
        <v>12.789915685866355</v>
      </c>
      <c r="K133">
        <v>13.708108228231954</v>
      </c>
      <c r="L133">
        <v>14.662380308814377</v>
      </c>
      <c r="M133">
        <v>3.1651693775916119</v>
      </c>
      <c r="N133">
        <v>3.4607563960182102</v>
      </c>
      <c r="O133">
        <v>3.781608380696305</v>
      </c>
      <c r="P133">
        <v>6.1758685070679089</v>
      </c>
      <c r="Q133">
        <v>6.7129330366332827</v>
      </c>
      <c r="R133">
        <v>7.2885195130889127</v>
      </c>
      <c r="S133">
        <v>12.786725333080135</v>
      </c>
      <c r="T133">
        <v>13.705361655435057</v>
      </c>
      <c r="U133">
        <v>14.660172753023247</v>
      </c>
      <c r="V133">
        <v>3.0787854383190112</v>
      </c>
      <c r="W133">
        <v>3.3676628220957996</v>
      </c>
      <c r="X133">
        <v>3.6816482170727935</v>
      </c>
      <c r="Y133">
        <v>6.0337004311625577</v>
      </c>
      <c r="Z133">
        <v>6.5633412516273992</v>
      </c>
      <c r="AA133">
        <v>7.1321960524291264</v>
      </c>
      <c r="AB133">
        <v>12.62496471291778</v>
      </c>
      <c r="AC133">
        <v>13.554029725289571</v>
      </c>
      <c r="AD133">
        <v>14.521907404534922</v>
      </c>
      <c r="AE133">
        <v>3.0802614469168006</v>
      </c>
      <c r="AF133">
        <v>3.3693116193432733</v>
      </c>
      <c r="AG133">
        <v>3.6834612504571158</v>
      </c>
      <c r="AH133">
        <v>6.0369542640234171</v>
      </c>
      <c r="AI133">
        <v>6.5669726337771177</v>
      </c>
      <c r="AJ133">
        <v>7.1362194760615747</v>
      </c>
      <c r="AK133">
        <v>12.633515662603832</v>
      </c>
      <c r="AL133">
        <v>13.563482167398366</v>
      </c>
      <c r="AM133">
        <v>14.532873785150606</v>
      </c>
    </row>
    <row r="134" spans="1:39" x14ac:dyDescent="0.25">
      <c r="A134" s="147">
        <f t="shared" si="1"/>
        <v>9</v>
      </c>
      <c r="C134" s="149">
        <v>8.7499999999999929</v>
      </c>
      <c r="D134" s="2">
        <v>3.1641431117291896</v>
      </c>
      <c r="E134">
        <v>3.4595254908298081</v>
      </c>
      <c r="F134">
        <v>3.7801894509167195</v>
      </c>
      <c r="G134">
        <v>6.1725434020554975</v>
      </c>
      <c r="H134">
        <v>6.7090233333280604</v>
      </c>
      <c r="I134">
        <v>7.2839498790376487</v>
      </c>
      <c r="J134">
        <v>12.772990229861126</v>
      </c>
      <c r="K134">
        <v>13.689533789352712</v>
      </c>
      <c r="L134">
        <v>14.642008453945426</v>
      </c>
      <c r="M134">
        <v>3.1618019365674175</v>
      </c>
      <c r="N134">
        <v>3.4570517751028738</v>
      </c>
      <c r="O134">
        <v>3.7775324697712804</v>
      </c>
      <c r="P134">
        <v>6.1688604359585604</v>
      </c>
      <c r="Q134">
        <v>6.7052262468888504</v>
      </c>
      <c r="R134">
        <v>7.280044439732392</v>
      </c>
      <c r="S134">
        <v>12.769781407047006</v>
      </c>
      <c r="T134">
        <v>13.68676840773524</v>
      </c>
      <c r="U134">
        <v>14.639781844228924</v>
      </c>
      <c r="V134">
        <v>3.075163175126101</v>
      </c>
      <c r="W134">
        <v>3.3636647564807172</v>
      </c>
      <c r="X134">
        <v>3.6772342096386765</v>
      </c>
      <c r="Y134">
        <v>6.0259128705846088</v>
      </c>
      <c r="Z134">
        <v>6.5547275471593718</v>
      </c>
      <c r="AA134">
        <v>7.1226659443947256</v>
      </c>
      <c r="AB134">
        <v>12.604820292361724</v>
      </c>
      <c r="AC134">
        <v>13.531723922754804</v>
      </c>
      <c r="AD134">
        <v>14.497212803493625</v>
      </c>
      <c r="AE134">
        <v>3.076635404117257</v>
      </c>
      <c r="AF134">
        <v>3.3653094416221374</v>
      </c>
      <c r="AG134">
        <v>3.6790427420373604</v>
      </c>
      <c r="AH134">
        <v>6.0291594043677872</v>
      </c>
      <c r="AI134">
        <v>6.558351028897734</v>
      </c>
      <c r="AJ134">
        <v>7.1266807942400652</v>
      </c>
      <c r="AK134">
        <v>12.613356137499306</v>
      </c>
      <c r="AL134">
        <v>13.541160122886026</v>
      </c>
      <c r="AM134">
        <v>14.508162380457509</v>
      </c>
    </row>
    <row r="135" spans="1:39" x14ac:dyDescent="0.25">
      <c r="A135" s="147">
        <f t="shared" si="1"/>
        <v>9</v>
      </c>
      <c r="C135" s="149">
        <v>8.8333333333333268</v>
      </c>
      <c r="D135" s="2">
        <v>3.1607776534647911</v>
      </c>
      <c r="E135">
        <v>3.4558230062932536</v>
      </c>
      <c r="F135">
        <v>3.7761159697533118</v>
      </c>
      <c r="G135">
        <v>6.1655403832024342</v>
      </c>
      <c r="H135">
        <v>6.7013222275872497</v>
      </c>
      <c r="I135">
        <v>7.2754812827004329</v>
      </c>
      <c r="J135">
        <v>12.75606537546294</v>
      </c>
      <c r="K135">
        <v>13.670962927821719</v>
      </c>
      <c r="L135">
        <v>14.621643960915991</v>
      </c>
      <c r="M135">
        <v>3.158429833922523</v>
      </c>
      <c r="N135">
        <v>3.4533421698783169</v>
      </c>
      <c r="O135">
        <v>3.7734512482588523</v>
      </c>
      <c r="P135">
        <v>6.1618455199941682</v>
      </c>
      <c r="Q135">
        <v>6.6975125120463961</v>
      </c>
      <c r="R135">
        <v>7.2715624245108827</v>
      </c>
      <c r="S135">
        <v>12.752838039817359</v>
      </c>
      <c r="T135">
        <v>13.668178694151013</v>
      </c>
      <c r="U135">
        <v>14.61939825416755</v>
      </c>
      <c r="V135">
        <v>3.0715315231223386</v>
      </c>
      <c r="W135">
        <v>3.3596565375061731</v>
      </c>
      <c r="X135">
        <v>3.6728092436152107</v>
      </c>
      <c r="Y135">
        <v>6.0181092682056319</v>
      </c>
      <c r="Z135">
        <v>6.5460969152083397</v>
      </c>
      <c r="AA135">
        <v>7.1131180775348417</v>
      </c>
      <c r="AB135">
        <v>12.584658321364845</v>
      </c>
      <c r="AC135">
        <v>13.509402527885351</v>
      </c>
      <c r="AD135">
        <v>14.472505440535665</v>
      </c>
      <c r="AE135">
        <v>3.0729999328879307</v>
      </c>
      <c r="AF135">
        <v>3.3612970671727345</v>
      </c>
      <c r="AG135">
        <v>3.6746132277047492</v>
      </c>
      <c r="AH135">
        <v>6.0213484258585002</v>
      </c>
      <c r="AI135">
        <v>6.5497124127808917</v>
      </c>
      <c r="AJ135">
        <v>7.1171242628027152</v>
      </c>
      <c r="AK135">
        <v>12.593178907069241</v>
      </c>
      <c r="AL135">
        <v>13.518822321315685</v>
      </c>
      <c r="AM135">
        <v>14.483438037028948</v>
      </c>
    </row>
    <row r="136" spans="1:39" x14ac:dyDescent="0.25">
      <c r="A136" s="147">
        <f t="shared" si="1"/>
        <v>9</v>
      </c>
      <c r="C136" s="149">
        <v>8.9166666666666607</v>
      </c>
      <c r="D136" s="2">
        <v>3.1574075393303294</v>
      </c>
      <c r="E136">
        <v>3.4521155436146755</v>
      </c>
      <c r="F136">
        <v>3.7720371847513192</v>
      </c>
      <c r="G136">
        <v>6.158530530079819</v>
      </c>
      <c r="H136">
        <v>6.6936141879509297</v>
      </c>
      <c r="I136">
        <v>7.2670057563192731</v>
      </c>
      <c r="J136">
        <v>12.739141088838753</v>
      </c>
      <c r="K136">
        <v>13.652395606221528</v>
      </c>
      <c r="L136">
        <v>14.601286787815905</v>
      </c>
      <c r="M136">
        <v>3.155053060183814</v>
      </c>
      <c r="N136">
        <v>3.4496275700809935</v>
      </c>
      <c r="O136">
        <v>3.7693647050580132</v>
      </c>
      <c r="P136">
        <v>6.1548237422639938</v>
      </c>
      <c r="Q136">
        <v>6.6897918139652246</v>
      </c>
      <c r="R136">
        <v>7.2630734479848318</v>
      </c>
      <c r="S136">
        <v>12.735895197499479</v>
      </c>
      <c r="T136">
        <v>13.649592477222027</v>
      </c>
      <c r="U136">
        <v>14.59902194088686</v>
      </c>
      <c r="V136">
        <v>3.0678904508832359</v>
      </c>
      <c r="W136">
        <v>3.355638131021546</v>
      </c>
      <c r="X136">
        <v>3.6683732819278028</v>
      </c>
      <c r="Y136">
        <v>6.0102895663694937</v>
      </c>
      <c r="Z136">
        <v>6.5374492937769553</v>
      </c>
      <c r="AA136">
        <v>7.1035523853010272</v>
      </c>
      <c r="AB136">
        <v>12.56447869248175</v>
      </c>
      <c r="AC136">
        <v>13.487065426053389</v>
      </c>
      <c r="AD136">
        <v>14.447785193071908</v>
      </c>
      <c r="AE136">
        <v>3.0693550016967768</v>
      </c>
      <c r="AF136">
        <v>3.3572744617265755</v>
      </c>
      <c r="AG136">
        <v>3.6701726702551838</v>
      </c>
      <c r="AH136">
        <v>6.0135212706416912</v>
      </c>
      <c r="AI136">
        <v>6.5410567232227299</v>
      </c>
      <c r="AJ136">
        <v>7.1075498149811169</v>
      </c>
      <c r="AK136">
        <v>12.572983863567222</v>
      </c>
      <c r="AL136">
        <v>13.496468647768065</v>
      </c>
      <c r="AM136">
        <v>14.458700631983167</v>
      </c>
    </row>
    <row r="137" spans="1:39" x14ac:dyDescent="0.25">
      <c r="A137" s="147">
        <f t="shared" si="1"/>
        <v>9</v>
      </c>
      <c r="C137" s="149">
        <v>8.9999999999999947</v>
      </c>
      <c r="D137" s="2">
        <v>3.1540327598567726</v>
      </c>
      <c r="E137">
        <v>3.4484030925377804</v>
      </c>
      <c r="F137">
        <v>3.7679530848149758</v>
      </c>
      <c r="G137">
        <v>6.1515138257774744</v>
      </c>
      <c r="H137">
        <v>6.685899196280074</v>
      </c>
      <c r="I137">
        <v>7.2585232804608815</v>
      </c>
      <c r="J137">
        <v>12.722217336119211</v>
      </c>
      <c r="K137">
        <v>13.63383178709231</v>
      </c>
      <c r="L137">
        <v>14.580936892708063</v>
      </c>
      <c r="M137">
        <v>3.1516716058565439</v>
      </c>
      <c r="N137">
        <v>3.4459079654301341</v>
      </c>
      <c r="O137">
        <v>3.7652728290440445</v>
      </c>
      <c r="P137">
        <v>6.1477950858129091</v>
      </c>
      <c r="Q137">
        <v>6.682064134459921</v>
      </c>
      <c r="R137">
        <v>7.2545774906719362</v>
      </c>
      <c r="S137">
        <v>12.718952846174009</v>
      </c>
      <c r="T137">
        <v>13.631009719435127</v>
      </c>
      <c r="U137">
        <v>14.578652862394421</v>
      </c>
      <c r="V137">
        <v>3.0642399268850102</v>
      </c>
      <c r="W137">
        <v>3.3516095027647488</v>
      </c>
      <c r="X137">
        <v>3.6639262873855483</v>
      </c>
      <c r="Y137">
        <v>6.0024537072336148</v>
      </c>
      <c r="Z137">
        <v>6.528784620669752</v>
      </c>
      <c r="AA137">
        <v>7.0939688009258397</v>
      </c>
      <c r="AB137">
        <v>12.544281297938451</v>
      </c>
      <c r="AC137">
        <v>13.464712502299506</v>
      </c>
      <c r="AD137">
        <v>14.423051938186363</v>
      </c>
      <c r="AE137">
        <v>3.0657005789099352</v>
      </c>
      <c r="AF137">
        <v>3.3532415909040978</v>
      </c>
      <c r="AG137">
        <v>3.665721032370032</v>
      </c>
      <c r="AH137">
        <v>6.0056778806812288</v>
      </c>
      <c r="AI137">
        <v>6.5323838978166879</v>
      </c>
      <c r="AJ137">
        <v>7.0979573837880992</v>
      </c>
      <c r="AK137">
        <v>12.552770898934309</v>
      </c>
      <c r="AL137">
        <v>13.474098986981467</v>
      </c>
      <c r="AM137">
        <v>14.433950042097855</v>
      </c>
    </row>
    <row r="138" spans="1:39" x14ac:dyDescent="0.25">
      <c r="A138" s="147">
        <f t="shared" si="1"/>
        <v>10</v>
      </c>
      <c r="C138" s="149">
        <v>9.0833333333333286</v>
      </c>
      <c r="D138" s="2">
        <v>3.2559486911196531</v>
      </c>
      <c r="E138">
        <v>3.5598212275236234</v>
      </c>
      <c r="F138">
        <v>3.8896831914039467</v>
      </c>
      <c r="G138">
        <v>6.3500907440537553</v>
      </c>
      <c r="H138">
        <v>6.9016867899080143</v>
      </c>
      <c r="I138">
        <v>7.4927415680050746</v>
      </c>
      <c r="J138">
        <v>13.131639243328479</v>
      </c>
      <c r="K138">
        <v>14.072341747938459</v>
      </c>
      <c r="L138">
        <v>15.049615790195499</v>
      </c>
      <c r="M138">
        <v>3.2532493670217404</v>
      </c>
      <c r="N138">
        <v>3.5569594096236212</v>
      </c>
      <c r="O138">
        <v>3.8866039390468288</v>
      </c>
      <c r="P138">
        <v>6.3457418510579418</v>
      </c>
      <c r="Q138">
        <v>6.8971731145523103</v>
      </c>
      <c r="R138">
        <v>7.4880660249457369</v>
      </c>
      <c r="S138">
        <v>13.12721729537272</v>
      </c>
      <c r="T138">
        <v>14.068301654316333</v>
      </c>
      <c r="U138">
        <v>15.046052070295293</v>
      </c>
      <c r="V138">
        <v>3.1344688365546656</v>
      </c>
      <c r="W138">
        <v>3.4283883631373917</v>
      </c>
      <c r="X138">
        <v>3.7478161009498514</v>
      </c>
      <c r="Y138">
        <v>6.1393259878881006</v>
      </c>
      <c r="Z138">
        <v>6.6775136381977411</v>
      </c>
      <c r="AA138">
        <v>7.2553998203261969</v>
      </c>
      <c r="AB138">
        <v>12.826367398861731</v>
      </c>
      <c r="AC138">
        <v>13.766790113984925</v>
      </c>
      <c r="AD138">
        <v>14.745796591778429</v>
      </c>
      <c r="AE138">
        <v>3.1358947203246643</v>
      </c>
      <c r="AF138">
        <v>3.4299832806896111</v>
      </c>
      <c r="AG138">
        <v>3.7495704571869313</v>
      </c>
      <c r="AH138">
        <v>6.1424906803717736</v>
      </c>
      <c r="AI138">
        <v>6.681050431096315</v>
      </c>
      <c r="AJ138">
        <v>7.2593223277011258</v>
      </c>
      <c r="AK138">
        <v>12.834774051848772</v>
      </c>
      <c r="AL138">
        <v>13.776093912026772</v>
      </c>
      <c r="AM138">
        <v>14.756628297681027</v>
      </c>
    </row>
    <row r="139" spans="1:39" x14ac:dyDescent="0.25">
      <c r="A139" s="147">
        <f t="shared" si="1"/>
        <v>10</v>
      </c>
      <c r="C139" s="149">
        <v>9.1666666666666625</v>
      </c>
      <c r="D139" s="2">
        <v>3.2523513961919592</v>
      </c>
      <c r="E139">
        <v>3.5558619955461483</v>
      </c>
      <c r="F139">
        <v>3.8853252521374735</v>
      </c>
      <c r="G139">
        <v>6.3425734190441343</v>
      </c>
      <c r="H139">
        <v>6.8934139307632218</v>
      </c>
      <c r="I139">
        <v>7.4836371087241318</v>
      </c>
      <c r="J139">
        <v>13.113315942268162</v>
      </c>
      <c r="K139">
        <v>14.052214548469347</v>
      </c>
      <c r="L139">
        <v>15.027520040958287</v>
      </c>
      <c r="M139">
        <v>3.2496441263038269</v>
      </c>
      <c r="N139">
        <v>3.5529916386205835</v>
      </c>
      <c r="O139">
        <v>3.8822367227538948</v>
      </c>
      <c r="P139">
        <v>6.338210253345145</v>
      </c>
      <c r="Q139">
        <v>6.8888850674595989</v>
      </c>
      <c r="R139">
        <v>7.4789454023803064</v>
      </c>
      <c r="S139">
        <v>13.108871296508283</v>
      </c>
      <c r="T139">
        <v>14.048151233769438</v>
      </c>
      <c r="U139">
        <v>15.023932681483469</v>
      </c>
      <c r="V139">
        <v>3.1308109415744738</v>
      </c>
      <c r="W139">
        <v>3.424349293274132</v>
      </c>
      <c r="X139">
        <v>3.743354840579264</v>
      </c>
      <c r="Y139">
        <v>6.1314303254863631</v>
      </c>
      <c r="Z139">
        <v>6.6687745943978687</v>
      </c>
      <c r="AA139">
        <v>7.2457243579352362</v>
      </c>
      <c r="AB139">
        <v>12.805797971846019</v>
      </c>
      <c r="AC139">
        <v>13.743995185226204</v>
      </c>
      <c r="AD139">
        <v>14.720540436362267</v>
      </c>
      <c r="AE139">
        <v>3.1322324455718795</v>
      </c>
      <c r="AF139">
        <v>3.4259394425382155</v>
      </c>
      <c r="AG139">
        <v>3.7451039809582238</v>
      </c>
      <c r="AH139">
        <v>6.1345865633607524</v>
      </c>
      <c r="AI139">
        <v>6.6723022317869436</v>
      </c>
      <c r="AJ139">
        <v>7.2496369322997065</v>
      </c>
      <c r="AK139">
        <v>12.814187183433173</v>
      </c>
      <c r="AL139">
        <v>13.753280241902415</v>
      </c>
      <c r="AM139">
        <v>14.731352620378042</v>
      </c>
    </row>
    <row r="140" spans="1:39" x14ac:dyDescent="0.25">
      <c r="A140" s="147">
        <f t="shared" si="1"/>
        <v>10</v>
      </c>
      <c r="C140" s="149">
        <v>9.2499999999999964</v>
      </c>
      <c r="D140" s="2">
        <v>3.2487483616394366</v>
      </c>
      <c r="E140">
        <v>3.5518966079348395</v>
      </c>
      <c r="F140">
        <v>3.8809607315017054</v>
      </c>
      <c r="G140">
        <v>6.3350472961470281</v>
      </c>
      <c r="H140">
        <v>6.8851320366397735</v>
      </c>
      <c r="I140">
        <v>7.4745234788440236</v>
      </c>
      <c r="J140">
        <v>13.094990161235138</v>
      </c>
      <c r="K140">
        <v>14.032087828080037</v>
      </c>
      <c r="L140">
        <v>15.005428586030366</v>
      </c>
      <c r="M140">
        <v>3.2460331268805138</v>
      </c>
      <c r="N140">
        <v>3.5490176913225078</v>
      </c>
      <c r="O140">
        <v>3.87786290265886</v>
      </c>
      <c r="P140">
        <v>6.3306698231368923</v>
      </c>
      <c r="Q140">
        <v>6.880587948355954</v>
      </c>
      <c r="R140">
        <v>7.4698155696858368</v>
      </c>
      <c r="S140">
        <v>13.090522762140752</v>
      </c>
      <c r="T140">
        <v>14.028001235839168</v>
      </c>
      <c r="U140">
        <v>15.001817530178027</v>
      </c>
      <c r="V140">
        <v>3.127142949960287</v>
      </c>
      <c r="W140">
        <v>3.4202992969012112</v>
      </c>
      <c r="X140">
        <v>3.7388817777754673</v>
      </c>
      <c r="Y140">
        <v>6.1235172599860199</v>
      </c>
      <c r="Z140">
        <v>6.6600171490209625</v>
      </c>
      <c r="AA140">
        <v>7.2360295434009583</v>
      </c>
      <c r="AB140">
        <v>12.785208398845205</v>
      </c>
      <c r="AC140">
        <v>13.721181936771309</v>
      </c>
      <c r="AD140">
        <v>14.695268671366446</v>
      </c>
      <c r="AE140">
        <v>3.1285600303068271</v>
      </c>
      <c r="AF140">
        <v>3.4218846298470389</v>
      </c>
      <c r="AG140">
        <v>3.7406256499017405</v>
      </c>
      <c r="AH140">
        <v>6.1266649580462307</v>
      </c>
      <c r="AI140">
        <v>6.6635355383002546</v>
      </c>
      <c r="AJ140">
        <v>7.2399320844085331</v>
      </c>
      <c r="AK140">
        <v>12.793579998305702</v>
      </c>
      <c r="AL140">
        <v>13.730448070584352</v>
      </c>
      <c r="AM140">
        <v>14.706061138540981</v>
      </c>
    </row>
    <row r="141" spans="1:39" x14ac:dyDescent="0.25">
      <c r="A141" s="147">
        <f t="shared" si="1"/>
        <v>10</v>
      </c>
      <c r="C141" s="149">
        <v>9.3333333333333304</v>
      </c>
      <c r="D141" s="2">
        <v>3.2451395745553659</v>
      </c>
      <c r="E141">
        <v>3.547925050703185</v>
      </c>
      <c r="F141">
        <v>3.8765896143584362</v>
      </c>
      <c r="G141">
        <v>6.3275123522707837</v>
      </c>
      <c r="H141">
        <v>6.8768410827831286</v>
      </c>
      <c r="I141">
        <v>7.465400651861847</v>
      </c>
      <c r="J141">
        <v>13.076661855836512</v>
      </c>
      <c r="K141">
        <v>14.011961538336072</v>
      </c>
      <c r="L141">
        <v>14.983341372009059</v>
      </c>
      <c r="M141">
        <v>3.2424163558131176</v>
      </c>
      <c r="N141">
        <v>3.5450375537069081</v>
      </c>
      <c r="O141">
        <v>3.8734824635868028</v>
      </c>
      <c r="P141">
        <v>6.3231205372856412</v>
      </c>
      <c r="Q141">
        <v>6.8722817324210741</v>
      </c>
      <c r="R141">
        <v>7.4606765002986704</v>
      </c>
      <c r="S141">
        <v>13.072171647809871</v>
      </c>
      <c r="T141">
        <v>14.007851612010006</v>
      </c>
      <c r="U141">
        <v>14.979706562905029</v>
      </c>
      <c r="V141">
        <v>3.123464826081789</v>
      </c>
      <c r="W141">
        <v>3.4162383352863963</v>
      </c>
      <c r="X141">
        <v>3.7343968704786237</v>
      </c>
      <c r="Y141">
        <v>6.1155867258304806</v>
      </c>
      <c r="Z141">
        <v>6.6512412315451597</v>
      </c>
      <c r="AA141">
        <v>7.2263153009919314</v>
      </c>
      <c r="AB141">
        <v>12.764598557584602</v>
      </c>
      <c r="AC141">
        <v>13.698350238340351</v>
      </c>
      <c r="AD141">
        <v>14.669981157726927</v>
      </c>
      <c r="AE141">
        <v>3.1248774387713567</v>
      </c>
      <c r="AF141">
        <v>3.4178188037432813</v>
      </c>
      <c r="AG141">
        <v>3.7361354218046912</v>
      </c>
      <c r="AH141">
        <v>6.1187257986392849</v>
      </c>
      <c r="AI141">
        <v>6.6547502798637401</v>
      </c>
      <c r="AJ141">
        <v>7.2302077080292717</v>
      </c>
      <c r="AK141">
        <v>12.772952373831448</v>
      </c>
      <c r="AL141">
        <v>13.707597267422177</v>
      </c>
      <c r="AM141">
        <v>14.680753712734989</v>
      </c>
    </row>
    <row r="142" spans="1:39" x14ac:dyDescent="0.25">
      <c r="A142" s="147">
        <f t="shared" si="1"/>
        <v>10</v>
      </c>
      <c r="C142" s="149">
        <v>9.4166666666666643</v>
      </c>
      <c r="D142" s="2">
        <v>3.2415250220058818</v>
      </c>
      <c r="E142">
        <v>3.5439473098355201</v>
      </c>
      <c r="F142">
        <v>3.872211885538249</v>
      </c>
      <c r="G142">
        <v>6.3199685642727896</v>
      </c>
      <c r="H142">
        <v>6.8685410443835204</v>
      </c>
      <c r="I142">
        <v>7.4562686012197563</v>
      </c>
      <c r="J142">
        <v>13.058330981608751</v>
      </c>
      <c r="K142">
        <v>13.991835630727184</v>
      </c>
      <c r="L142">
        <v>14.961258345446691</v>
      </c>
      <c r="M142">
        <v>3.2387938001328873</v>
      </c>
      <c r="N142">
        <v>3.5410512117188402</v>
      </c>
      <c r="O142">
        <v>3.8690953903269176</v>
      </c>
      <c r="P142">
        <v>6.3155623725876362</v>
      </c>
      <c r="Q142">
        <v>6.8639663947863347</v>
      </c>
      <c r="R142">
        <v>7.4515281675873606</v>
      </c>
      <c r="S142">
        <v>13.053817908960331</v>
      </c>
      <c r="T142">
        <v>13.987702313687812</v>
      </c>
      <c r="U142">
        <v>14.957599726132997</v>
      </c>
      <c r="V142">
        <v>3.1197765341915491</v>
      </c>
      <c r="W142">
        <v>3.4121663695659636</v>
      </c>
      <c r="X142">
        <v>3.7299000764867944</v>
      </c>
      <c r="Y142">
        <v>6.1076386572397068</v>
      </c>
      <c r="Z142">
        <v>6.6424467712094195</v>
      </c>
      <c r="AA142">
        <v>7.2165815547153525</v>
      </c>
      <c r="AB142">
        <v>12.743968325405628</v>
      </c>
      <c r="AC142">
        <v>13.67549995925199</v>
      </c>
      <c r="AD142">
        <v>14.644677755975502</v>
      </c>
      <c r="AE142">
        <v>3.1211846350880217</v>
      </c>
      <c r="AF142">
        <v>3.4137419252228307</v>
      </c>
      <c r="AG142">
        <v>3.7316332543135862</v>
      </c>
      <c r="AH142">
        <v>6.1107690191248665</v>
      </c>
      <c r="AI142">
        <v>6.6459463854675001</v>
      </c>
      <c r="AJ142">
        <v>7.2204637269050842</v>
      </c>
      <c r="AK142">
        <v>12.752304186987853</v>
      </c>
      <c r="AL142">
        <v>13.684727701369876</v>
      </c>
      <c r="AM142">
        <v>14.65543020310691</v>
      </c>
    </row>
    <row r="143" spans="1:39" x14ac:dyDescent="0.25">
      <c r="A143" s="147">
        <f t="shared" si="1"/>
        <v>10</v>
      </c>
      <c r="C143" s="149">
        <v>9.4999999999999982</v>
      </c>
      <c r="D143" s="2">
        <v>6.072397161332022</v>
      </c>
      <c r="E143">
        <v>6.6362448597330639</v>
      </c>
      <c r="F143">
        <v>7.2478346122289388</v>
      </c>
      <c r="G143">
        <v>11.788521870846292</v>
      </c>
      <c r="H143">
        <v>12.800971021808596</v>
      </c>
      <c r="I143">
        <v>13.883829017080622</v>
      </c>
      <c r="J143">
        <v>24.084508795650866</v>
      </c>
      <c r="K143">
        <v>25.75946094951313</v>
      </c>
      <c r="L143">
        <v>27.489508105564511</v>
      </c>
      <c r="M143">
        <v>6.0712014368636078</v>
      </c>
      <c r="N143">
        <v>6.6350709810683215</v>
      </c>
      <c r="O143">
        <v>7.2466531302380064</v>
      </c>
      <c r="P143">
        <v>11.787928443826718</v>
      </c>
      <c r="Q143">
        <v>12.800699491249365</v>
      </c>
      <c r="R143">
        <v>13.883945948878207</v>
      </c>
      <c r="S143">
        <v>24.091642343764669</v>
      </c>
      <c r="T143">
        <v>25.768378546281198</v>
      </c>
      <c r="U143">
        <v>27.500457365741983</v>
      </c>
      <c r="V143">
        <v>5.4552617989550365</v>
      </c>
      <c r="W143">
        <v>5.9644854039229243</v>
      </c>
      <c r="X143">
        <v>6.5174459820783941</v>
      </c>
      <c r="Y143">
        <v>10.640650801477936</v>
      </c>
      <c r="Z143">
        <v>11.564307680419592</v>
      </c>
      <c r="AA143">
        <v>12.55430941549767</v>
      </c>
      <c r="AB143">
        <v>21.990440419720251</v>
      </c>
      <c r="AC143">
        <v>23.561261737693734</v>
      </c>
      <c r="AD143">
        <v>25.189662979216315</v>
      </c>
      <c r="AE143">
        <v>5.4595367812636031</v>
      </c>
      <c r="AF143">
        <v>5.9692091132276444</v>
      </c>
      <c r="AG143">
        <v>6.5226361877419272</v>
      </c>
      <c r="AH143">
        <v>10.64963140423521</v>
      </c>
      <c r="AI143">
        <v>11.574214898765341</v>
      </c>
      <c r="AJ143">
        <v>12.56520713592499</v>
      </c>
      <c r="AK143">
        <v>22.012076242874439</v>
      </c>
      <c r="AL143">
        <v>23.584925835871459</v>
      </c>
      <c r="AM143">
        <v>25.215970769300831</v>
      </c>
    </row>
    <row r="144" spans="1:39" x14ac:dyDescent="0.25">
      <c r="A144" s="147">
        <f t="shared" si="1"/>
        <v>10</v>
      </c>
      <c r="C144" s="149">
        <v>9.5833333333333321</v>
      </c>
      <c r="D144" s="2">
        <v>6.0608775188868087</v>
      </c>
      <c r="E144">
        <v>6.6236345303523123</v>
      </c>
      <c r="F144">
        <v>7.2340363216602697</v>
      </c>
      <c r="G144">
        <v>11.765751097767023</v>
      </c>
      <c r="H144">
        <v>12.776160284376116</v>
      </c>
      <c r="I144">
        <v>13.856817285334161</v>
      </c>
      <c r="J144">
        <v>24.035630096550442</v>
      </c>
      <c r="K144">
        <v>25.7067490711751</v>
      </c>
      <c r="L144">
        <v>27.432747764103691</v>
      </c>
      <c r="M144">
        <v>6.0596706804441549</v>
      </c>
      <c r="N144">
        <v>6.6224487290636453</v>
      </c>
      <c r="O144">
        <v>7.2328419572813569</v>
      </c>
      <c r="P144">
        <v>11.765138768147247</v>
      </c>
      <c r="Q144">
        <v>12.775868886521646</v>
      </c>
      <c r="R144">
        <v>13.856913394545888</v>
      </c>
      <c r="S144">
        <v>24.042741549318571</v>
      </c>
      <c r="T144">
        <v>25.71564605916322</v>
      </c>
      <c r="U144">
        <v>27.443678531857856</v>
      </c>
      <c r="V144">
        <v>5.4407380803467644</v>
      </c>
      <c r="W144">
        <v>5.9485512673363701</v>
      </c>
      <c r="X144">
        <v>6.4999688798602433</v>
      </c>
      <c r="Y144">
        <v>10.611276134839425</v>
      </c>
      <c r="Z144">
        <v>11.53216646468546</v>
      </c>
      <c r="AA144">
        <v>12.519158524914335</v>
      </c>
      <c r="AB144">
        <v>21.923925144877199</v>
      </c>
      <c r="AC144">
        <v>23.488968238525235</v>
      </c>
      <c r="AD144">
        <v>25.111170861791603</v>
      </c>
      <c r="AE144">
        <v>5.4449941594887106</v>
      </c>
      <c r="AF144">
        <v>5.9532543466188077</v>
      </c>
      <c r="AG144">
        <v>6.5051365582669405</v>
      </c>
      <c r="AH144">
        <v>10.620220301650949</v>
      </c>
      <c r="AI144">
        <v>11.542034195885654</v>
      </c>
      <c r="AJ144">
        <v>12.530013478433107</v>
      </c>
      <c r="AK144">
        <v>21.945488043715887</v>
      </c>
      <c r="AL144">
        <v>23.512554614016764</v>
      </c>
      <c r="AM144">
        <v>25.137396687976576</v>
      </c>
    </row>
    <row r="145" spans="1:39" x14ac:dyDescent="0.25">
      <c r="A145" s="147">
        <f t="shared" si="1"/>
        <v>10</v>
      </c>
      <c r="C145" s="149">
        <v>9.6666666666666661</v>
      </c>
      <c r="D145" s="2">
        <v>6.0493436521613688</v>
      </c>
      <c r="E145">
        <v>6.6110095686061507</v>
      </c>
      <c r="F145">
        <v>7.2202231524601324</v>
      </c>
      <c r="G145">
        <v>11.742970663791157</v>
      </c>
      <c r="H145">
        <v>12.751342928365085</v>
      </c>
      <c r="I145">
        <v>13.829803039159986</v>
      </c>
      <c r="J145">
        <v>23.986842341814729</v>
      </c>
      <c r="K145">
        <v>25.654155749134812</v>
      </c>
      <c r="L145">
        <v>27.376139299317508</v>
      </c>
      <c r="M145">
        <v>6.0481256777858015</v>
      </c>
      <c r="N145">
        <v>6.6098118213105481</v>
      </c>
      <c r="O145">
        <v>7.2190158808382829</v>
      </c>
      <c r="P145">
        <v>11.742339400532966</v>
      </c>
      <c r="Q145">
        <v>12.751031632083889</v>
      </c>
      <c r="R145">
        <v>13.829878295183018</v>
      </c>
      <c r="S145">
        <v>23.993931714995846</v>
      </c>
      <c r="T145">
        <v>25.663032161459547</v>
      </c>
      <c r="U145">
        <v>27.387051629791429</v>
      </c>
      <c r="V145">
        <v>5.4261791172366598</v>
      </c>
      <c r="W145">
        <v>5.9325796945015021</v>
      </c>
      <c r="X145">
        <v>6.4824521971412885</v>
      </c>
      <c r="Y145">
        <v>10.581854351978196</v>
      </c>
      <c r="Z145">
        <v>11.499978694223008</v>
      </c>
      <c r="AA145">
        <v>12.483962696396294</v>
      </c>
      <c r="AB145">
        <v>21.857446016606684</v>
      </c>
      <c r="AC145">
        <v>23.416739017161838</v>
      </c>
      <c r="AD145">
        <v>25.032777918059935</v>
      </c>
      <c r="AE145">
        <v>5.430416206675682</v>
      </c>
      <c r="AF145">
        <v>5.9372620502228175</v>
      </c>
      <c r="AG145">
        <v>6.4875972475419399</v>
      </c>
      <c r="AH145">
        <v>10.590761936940366</v>
      </c>
      <c r="AI145">
        <v>11.509806784598737</v>
      </c>
      <c r="AJ145">
        <v>12.494774722258306</v>
      </c>
      <c r="AK145">
        <v>21.878935837693792</v>
      </c>
      <c r="AL145">
        <v>23.440247534742454</v>
      </c>
      <c r="AM145">
        <v>25.058921667793506</v>
      </c>
    </row>
    <row r="146" spans="1:39" x14ac:dyDescent="0.25">
      <c r="A146" s="147">
        <f t="shared" si="1"/>
        <v>10</v>
      </c>
      <c r="C146" s="149">
        <v>9.75</v>
      </c>
      <c r="D146" s="2">
        <v>6.0377955260262492</v>
      </c>
      <c r="E146">
        <v>6.5983699368369351</v>
      </c>
      <c r="F146">
        <v>7.2063950643095129</v>
      </c>
      <c r="G146">
        <v>11.720180509368818</v>
      </c>
      <c r="H146">
        <v>12.726518889402112</v>
      </c>
      <c r="I146">
        <v>13.802786208484857</v>
      </c>
      <c r="J146">
        <v>23.938145327140077</v>
      </c>
      <c r="K146">
        <v>25.60168072902929</v>
      </c>
      <c r="L146">
        <v>27.319682390167529</v>
      </c>
      <c r="M146">
        <v>6.036566393716555</v>
      </c>
      <c r="N146">
        <v>6.5971602201060247</v>
      </c>
      <c r="O146">
        <v>7.2051748605436998</v>
      </c>
      <c r="P146">
        <v>11.719530281372949</v>
      </c>
      <c r="Q146">
        <v>12.726187663508217</v>
      </c>
      <c r="R146">
        <v>13.802840580640952</v>
      </c>
      <c r="S146">
        <v>23.94521263645052</v>
      </c>
      <c r="T146">
        <v>25.610536598760099</v>
      </c>
      <c r="U146">
        <v>27.330576338454311</v>
      </c>
      <c r="V146">
        <v>5.4115847839690865</v>
      </c>
      <c r="W146">
        <v>5.9165705499833798</v>
      </c>
      <c r="X146">
        <v>6.4648957881864515</v>
      </c>
      <c r="Y146">
        <v>10.552385238508748</v>
      </c>
      <c r="Z146">
        <v>11.467744140549437</v>
      </c>
      <c r="AA146">
        <v>12.448721686505216</v>
      </c>
      <c r="AB146">
        <v>21.791002599528714</v>
      </c>
      <c r="AC146">
        <v>23.344573581883186</v>
      </c>
      <c r="AD146">
        <v>24.954483583058497</v>
      </c>
      <c r="AE146">
        <v>5.4158027969156279</v>
      </c>
      <c r="AF146">
        <v>5.9212320883336043</v>
      </c>
      <c r="AG146">
        <v>6.4700181095402121</v>
      </c>
      <c r="AH146">
        <v>10.56125609530894</v>
      </c>
      <c r="AI146">
        <v>11.477532435994089</v>
      </c>
      <c r="AJ146">
        <v>12.459490623523086</v>
      </c>
      <c r="AK146">
        <v>21.812419188978037</v>
      </c>
      <c r="AL146">
        <v>23.368004105891305</v>
      </c>
      <c r="AM146">
        <v>24.980545143383566</v>
      </c>
    </row>
    <row r="147" spans="1:39" x14ac:dyDescent="0.25">
      <c r="A147" s="147">
        <f t="shared" si="1"/>
        <v>10</v>
      </c>
      <c r="C147" s="149">
        <v>9.8333333333333339</v>
      </c>
      <c r="D147" s="2">
        <v>6.0262331052772957</v>
      </c>
      <c r="E147">
        <v>6.5857155973099974</v>
      </c>
      <c r="F147">
        <v>7.192552016807868</v>
      </c>
      <c r="G147">
        <v>11.697380574852827</v>
      </c>
      <c r="H147">
        <v>12.701688103025646</v>
      </c>
      <c r="I147">
        <v>13.77576672313247</v>
      </c>
      <c r="J147">
        <v>23.88953884860139</v>
      </c>
      <c r="K147">
        <v>25.549323757056079</v>
      </c>
      <c r="L147">
        <v>27.263376716491855</v>
      </c>
      <c r="M147">
        <v>6.0249927929937837</v>
      </c>
      <c r="N147">
        <v>6.5844938876706838</v>
      </c>
      <c r="O147">
        <v>7.1913188559484889</v>
      </c>
      <c r="P147">
        <v>11.696711350952022</v>
      </c>
      <c r="Q147">
        <v>12.701336916253283</v>
      </c>
      <c r="R147">
        <v>13.775800180681895</v>
      </c>
      <c r="S147">
        <v>23.896584109690679</v>
      </c>
      <c r="T147">
        <v>25.558159117203935</v>
      </c>
      <c r="U147">
        <v>27.274252337648569</v>
      </c>
      <c r="V147">
        <v>5.3969549544698872</v>
      </c>
      <c r="W147">
        <v>5.9005236978968636</v>
      </c>
      <c r="X147">
        <v>6.4472995067728123</v>
      </c>
      <c r="Y147">
        <v>10.522868579341033</v>
      </c>
      <c r="Z147">
        <v>11.43546257443937</v>
      </c>
      <c r="AA147">
        <v>12.413435251029718</v>
      </c>
      <c r="AB147">
        <v>21.72459445774971</v>
      </c>
      <c r="AC147">
        <v>23.272471440667722</v>
      </c>
      <c r="AD147">
        <v>24.876287291851952</v>
      </c>
      <c r="AE147">
        <v>5.401153803878926</v>
      </c>
      <c r="AF147">
        <v>5.9051643247910377</v>
      </c>
      <c r="AG147">
        <v>6.4523989977458269</v>
      </c>
      <c r="AH147">
        <v>10.531702561257003</v>
      </c>
      <c r="AI147">
        <v>11.445210920420369</v>
      </c>
      <c r="AJ147">
        <v>12.424160937569489</v>
      </c>
      <c r="AK147">
        <v>21.745937661217532</v>
      </c>
      <c r="AL147">
        <v>23.295823835004008</v>
      </c>
      <c r="AM147">
        <v>24.902266549384532</v>
      </c>
    </row>
    <row r="148" spans="1:39" x14ac:dyDescent="0.25">
      <c r="A148" s="147">
        <f t="shared" si="1"/>
        <v>10</v>
      </c>
      <c r="C148" s="149">
        <v>9.9166666666666679</v>
      </c>
      <c r="D148" s="2">
        <v>6.0146563546402856</v>
      </c>
      <c r="E148">
        <v>6.5730465122080322</v>
      </c>
      <c r="F148">
        <v>7.1786939694680711</v>
      </c>
      <c r="G148">
        <v>11.674570800482224</v>
      </c>
      <c r="H148">
        <v>12.676850504661783</v>
      </c>
      <c r="I148">
        <v>13.748744512836382</v>
      </c>
      <c r="J148">
        <v>23.841022702622247</v>
      </c>
      <c r="K148">
        <v>25.497084580004426</v>
      </c>
      <c r="L148">
        <v>27.207221959024579</v>
      </c>
      <c r="M148">
        <v>6.0134048402983016</v>
      </c>
      <c r="N148">
        <v>6.5718127861464595</v>
      </c>
      <c r="O148">
        <v>7.1774478265212664</v>
      </c>
      <c r="P148">
        <v>11.673882549451204</v>
      </c>
      <c r="Q148">
        <v>12.676479325692799</v>
      </c>
      <c r="R148">
        <v>13.748757024966551</v>
      </c>
      <c r="S148">
        <v>23.848045931078438</v>
      </c>
      <c r="T148">
        <v>25.50589946353611</v>
      </c>
      <c r="U148">
        <v>27.218079308061633</v>
      </c>
      <c r="V148">
        <v>5.3822895022427115</v>
      </c>
      <c r="W148">
        <v>5.8844390019011463</v>
      </c>
      <c r="X148">
        <v>6.4296632061883283</v>
      </c>
      <c r="Y148">
        <v>10.493304158675679</v>
      </c>
      <c r="Z148">
        <v>11.403133765926501</v>
      </c>
      <c r="AA148">
        <v>12.378103144983612</v>
      </c>
      <c r="AB148">
        <v>21.65822115483839</v>
      </c>
      <c r="AC148">
        <v>23.20043210118105</v>
      </c>
      <c r="AD148">
        <v>24.798188479524839</v>
      </c>
      <c r="AE148">
        <v>5.3864691008142893</v>
      </c>
      <c r="AF148">
        <v>5.8890586229789577</v>
      </c>
      <c r="AG148">
        <v>6.4347397651509883</v>
      </c>
      <c r="AH148">
        <v>10.502101118576542</v>
      </c>
      <c r="AI148">
        <v>11.412842007483583</v>
      </c>
      <c r="AJ148">
        <v>12.388785418966634</v>
      </c>
      <c r="AK148">
        <v>21.679490817520801</v>
      </c>
      <c r="AL148">
        <v>23.223706229307815</v>
      </c>
      <c r="AM148">
        <v>24.82408532046604</v>
      </c>
    </row>
    <row r="149" spans="1:39" x14ac:dyDescent="0.25">
      <c r="A149" s="147">
        <f t="shared" si="1"/>
        <v>10</v>
      </c>
      <c r="C149" s="149">
        <v>10.000000000000002</v>
      </c>
      <c r="D149" s="2">
        <v>6.0030652387623071</v>
      </c>
      <c r="E149">
        <v>6.5603626436400067</v>
      </c>
      <c r="F149">
        <v>7.164820881722191</v>
      </c>
      <c r="G149">
        <v>11.651751126400782</v>
      </c>
      <c r="H149">
        <v>12.652006029642013</v>
      </c>
      <c r="I149">
        <v>13.721719507229752</v>
      </c>
      <c r="J149">
        <v>23.792596685967005</v>
      </c>
      <c r="K149">
        <v>25.444962945216112</v>
      </c>
      <c r="L149">
        <v>27.151217799362179</v>
      </c>
      <c r="M149">
        <v>6.0018025002410482</v>
      </c>
      <c r="N149">
        <v>6.5591168775954154</v>
      </c>
      <c r="O149">
        <v>7.1635617316456495</v>
      </c>
      <c r="P149">
        <v>11.651043816947894</v>
      </c>
      <c r="Q149">
        <v>12.651614827081216</v>
      </c>
      <c r="R149">
        <v>13.721711043064985</v>
      </c>
      <c r="S149">
        <v>23.799597897328681</v>
      </c>
      <c r="T149">
        <v>25.453757385052327</v>
      </c>
      <c r="U149">
        <v>27.162056931251826</v>
      </c>
      <c r="V149">
        <v>5.3675883003690714</v>
      </c>
      <c r="W149">
        <v>5.8683163251981432</v>
      </c>
      <c r="X149">
        <v>6.411986739228527</v>
      </c>
      <c r="Y149">
        <v>10.463691760008206</v>
      </c>
      <c r="Z149">
        <v>11.37075748430015</v>
      </c>
      <c r="AA149">
        <v>12.342725122602305</v>
      </c>
      <c r="AB149">
        <v>21.591882253834285</v>
      </c>
      <c r="AC149">
        <v>23.12845507078185</v>
      </c>
      <c r="AD149">
        <v>24.720186581180869</v>
      </c>
      <c r="AE149">
        <v>5.3717485605471058</v>
      </c>
      <c r="AF149">
        <v>5.8729148458242495</v>
      </c>
      <c r="AG149">
        <v>6.4170402642573094</v>
      </c>
      <c r="AH149">
        <v>10.472451550352055</v>
      </c>
      <c r="AI149">
        <v>11.380425466038211</v>
      </c>
      <c r="AJ149">
        <v>12.353363821502494</v>
      </c>
      <c r="AK149">
        <v>21.61307822047252</v>
      </c>
      <c r="AL149">
        <v>23.151650795718108</v>
      </c>
      <c r="AM149">
        <v>24.746000891297935</v>
      </c>
    </row>
    <row r="150" spans="1:39" x14ac:dyDescent="0.25">
      <c r="A150" s="147">
        <f t="shared" si="1"/>
        <v>11</v>
      </c>
      <c r="C150" s="149">
        <v>10.083333333333336</v>
      </c>
      <c r="D150" s="2">
        <v>6.0862626194754235</v>
      </c>
      <c r="E150">
        <v>6.6512906205295241</v>
      </c>
      <c r="F150">
        <v>7.2641321918383035</v>
      </c>
      <c r="G150">
        <v>11.813351706973819</v>
      </c>
      <c r="H150">
        <v>12.827510117839292</v>
      </c>
      <c r="I150">
        <v>13.912090154329121</v>
      </c>
      <c r="J150">
        <v>24.12300319226398</v>
      </c>
      <c r="K150">
        <v>25.798354166688974</v>
      </c>
      <c r="L150">
        <v>27.528355070810321</v>
      </c>
      <c r="M150">
        <v>6.084647270666359</v>
      </c>
      <c r="N150">
        <v>6.6496623523839435</v>
      </c>
      <c r="O150">
        <v>7.2624568898399708</v>
      </c>
      <c r="P150">
        <v>11.811987456600642</v>
      </c>
      <c r="Q150">
        <v>12.826411375339212</v>
      </c>
      <c r="R150">
        <v>13.911320858815461</v>
      </c>
      <c r="S150">
        <v>24.128800215733406</v>
      </c>
      <c r="T150">
        <v>25.805882281725772</v>
      </c>
      <c r="U150">
        <v>27.537865027778309</v>
      </c>
      <c r="V150">
        <v>5.4198648748597869</v>
      </c>
      <c r="W150">
        <v>5.9254275633464655</v>
      </c>
      <c r="X150">
        <v>6.4743381893397043</v>
      </c>
      <c r="Y150">
        <v>10.564798504224909</v>
      </c>
      <c r="Z150">
        <v>11.480462940386973</v>
      </c>
      <c r="AA150">
        <v>12.461609863175951</v>
      </c>
      <c r="AB150">
        <v>21.796043181853619</v>
      </c>
      <c r="AC150">
        <v>23.346353690656301</v>
      </c>
      <c r="AD150">
        <v>24.95213826054702</v>
      </c>
      <c r="AE150">
        <v>5.4239646614869041</v>
      </c>
      <c r="AF150">
        <v>5.9299607789662456</v>
      </c>
      <c r="AG150">
        <v>6.4793205986279583</v>
      </c>
      <c r="AH150">
        <v>10.573448571831374</v>
      </c>
      <c r="AI150">
        <v>11.490013783188379</v>
      </c>
      <c r="AJ150">
        <v>12.472123148065386</v>
      </c>
      <c r="AK150">
        <v>21.817052363350385</v>
      </c>
      <c r="AL150">
        <v>23.36935553645732</v>
      </c>
      <c r="AM150">
        <v>24.977766500378934</v>
      </c>
    </row>
    <row r="151" spans="1:39" x14ac:dyDescent="0.25">
      <c r="A151" s="147">
        <f t="shared" si="1"/>
        <v>11</v>
      </c>
      <c r="C151" s="149">
        <v>10.16666666666667</v>
      </c>
      <c r="D151" s="2">
        <v>6.0736444096050457</v>
      </c>
      <c r="E151">
        <v>6.6374782210933736</v>
      </c>
      <c r="F151">
        <v>7.2490193100917377</v>
      </c>
      <c r="G151">
        <v>11.788424379920396</v>
      </c>
      <c r="H151">
        <v>12.800353927162419</v>
      </c>
      <c r="I151">
        <v>13.882530651928178</v>
      </c>
      <c r="J151">
        <v>24.069686540859344</v>
      </c>
      <c r="K151">
        <v>25.740904188000695</v>
      </c>
      <c r="L151">
        <v>27.466552936867274</v>
      </c>
      <c r="M151">
        <v>6.0720160857474834</v>
      </c>
      <c r="N151">
        <v>6.635836008466196</v>
      </c>
      <c r="O151">
        <v>7.2473289402663692</v>
      </c>
      <c r="P151">
        <v>11.787037926172776</v>
      </c>
      <c r="Q151">
        <v>12.799231786275747</v>
      </c>
      <c r="R151">
        <v>13.881736774412531</v>
      </c>
      <c r="S151">
        <v>24.075456290349315</v>
      </c>
      <c r="T151">
        <v>25.748406425551416</v>
      </c>
      <c r="U151">
        <v>27.47603909246979</v>
      </c>
      <c r="V151">
        <v>5.4044949775137772</v>
      </c>
      <c r="W151">
        <v>5.908570526924418</v>
      </c>
      <c r="X151">
        <v>6.455855410342469</v>
      </c>
      <c r="Y151">
        <v>10.533821552851936</v>
      </c>
      <c r="Z151">
        <v>11.446591655070767</v>
      </c>
      <c r="AA151">
        <v>12.424594754859037</v>
      </c>
      <c r="AB151">
        <v>21.726588866789779</v>
      </c>
      <c r="AC151">
        <v>23.270992027631255</v>
      </c>
      <c r="AD151">
        <v>24.870465184351435</v>
      </c>
      <c r="AE151">
        <v>5.4085739572118579</v>
      </c>
      <c r="AF151">
        <v>5.9130810373552904</v>
      </c>
      <c r="AG151">
        <v>6.4608130353645148</v>
      </c>
      <c r="AH151">
        <v>10.542431618280375</v>
      </c>
      <c r="AI151">
        <v>11.45609916383733</v>
      </c>
      <c r="AJ151">
        <v>12.435061134993973</v>
      </c>
      <c r="AK151">
        <v>21.747518658021274</v>
      </c>
      <c r="AL151">
        <v>23.293909395321254</v>
      </c>
      <c r="AM151">
        <v>24.896004372182897</v>
      </c>
    </row>
    <row r="152" spans="1:39" x14ac:dyDescent="0.25">
      <c r="A152" s="147">
        <f t="shared" si="1"/>
        <v>11</v>
      </c>
      <c r="C152" s="149">
        <v>10.250000000000004</v>
      </c>
      <c r="D152" s="2">
        <v>6.0610081030026777</v>
      </c>
      <c r="E152">
        <v>6.6236470368204836</v>
      </c>
      <c r="F152">
        <v>7.2338871100524322</v>
      </c>
      <c r="G152">
        <v>11.763481390929114</v>
      </c>
      <c r="H152">
        <v>12.773184915415937</v>
      </c>
      <c r="I152">
        <v>13.852962281132649</v>
      </c>
      <c r="J152">
        <v>24.016456811281969</v>
      </c>
      <c r="K152">
        <v>25.683569887442978</v>
      </c>
      <c r="L152">
        <v>27.404901250507983</v>
      </c>
      <c r="M152">
        <v>6.0593667762560575</v>
      </c>
      <c r="N152">
        <v>6.6219908499342175</v>
      </c>
      <c r="O152">
        <v>7.2321816406634882</v>
      </c>
      <c r="P152">
        <v>11.762072692710184</v>
      </c>
      <c r="Q152">
        <v>12.772039334337551</v>
      </c>
      <c r="R152">
        <v>13.852143779754718</v>
      </c>
      <c r="S152">
        <v>24.022199290018541</v>
      </c>
      <c r="T152">
        <v>25.691046268758988</v>
      </c>
      <c r="U152">
        <v>27.414363649057655</v>
      </c>
      <c r="V152">
        <v>5.3890849358053909</v>
      </c>
      <c r="W152">
        <v>5.8916707553094803</v>
      </c>
      <c r="X152">
        <v>6.4373273303585297</v>
      </c>
      <c r="Y152">
        <v>10.502789023589866</v>
      </c>
      <c r="Z152">
        <v>11.412664840240273</v>
      </c>
      <c r="AA152">
        <v>12.387525226506387</v>
      </c>
      <c r="AB152">
        <v>21.657158734889812</v>
      </c>
      <c r="AC152">
        <v>23.195682698929179</v>
      </c>
      <c r="AD152">
        <v>24.788879492329869</v>
      </c>
      <c r="AE152">
        <v>5.3931430110402294</v>
      </c>
      <c r="AF152">
        <v>5.8961584550695623</v>
      </c>
      <c r="AG152">
        <v>6.4422600574462798</v>
      </c>
      <c r="AH152">
        <v>10.511358921339173</v>
      </c>
      <c r="AI152">
        <v>11.422128840363129</v>
      </c>
      <c r="AJ152">
        <v>12.39794451888325</v>
      </c>
      <c r="AK152">
        <v>21.678008952296345</v>
      </c>
      <c r="AL152">
        <v>23.218515422825472</v>
      </c>
      <c r="AM152">
        <v>24.814329484924663</v>
      </c>
    </row>
    <row r="153" spans="1:39" x14ac:dyDescent="0.25">
      <c r="A153" s="147">
        <f t="shared" si="1"/>
        <v>11</v>
      </c>
      <c r="C153" s="149">
        <v>10.333333333333337</v>
      </c>
      <c r="D153" s="2">
        <v>6.04835365238295</v>
      </c>
      <c r="E153">
        <v>6.6097970169967546</v>
      </c>
      <c r="F153">
        <v>7.2187355374064506</v>
      </c>
      <c r="G153">
        <v>11.738522660700028</v>
      </c>
      <c r="H153">
        <v>12.746002997464558</v>
      </c>
      <c r="I153">
        <v>13.823384950091928</v>
      </c>
      <c r="J153">
        <v>23.963313770380406</v>
      </c>
      <c r="K153">
        <v>25.626350980491448</v>
      </c>
      <c r="L153">
        <v>27.343399658925154</v>
      </c>
      <c r="M153">
        <v>6.0466992948515195</v>
      </c>
      <c r="N153">
        <v>6.6081268260116834</v>
      </c>
      <c r="O153">
        <v>7.2170149366505747</v>
      </c>
      <c r="P153">
        <v>11.737091676822384</v>
      </c>
      <c r="Q153">
        <v>12.744833934289876</v>
      </c>
      <c r="R153">
        <v>13.822541782890809</v>
      </c>
      <c r="S153">
        <v>23.969028981512238</v>
      </c>
      <c r="T153">
        <v>25.633801526747057</v>
      </c>
      <c r="U153">
        <v>27.352838344650728</v>
      </c>
      <c r="V153">
        <v>5.3736346002121209</v>
      </c>
      <c r="W153">
        <v>5.8747280872490535</v>
      </c>
      <c r="X153">
        <v>6.4187537757696047</v>
      </c>
      <c r="Y153">
        <v>10.471700660509462</v>
      </c>
      <c r="Z153">
        <v>11.378682223226281</v>
      </c>
      <c r="AA153">
        <v>12.350400987822542</v>
      </c>
      <c r="AB153">
        <v>21.587752287085081</v>
      </c>
      <c r="AC153">
        <v>23.12042514789615</v>
      </c>
      <c r="AD153">
        <v>24.707380553812719</v>
      </c>
      <c r="AE153">
        <v>5.3776716731439276</v>
      </c>
      <c r="AF153">
        <v>5.8791928705296863</v>
      </c>
      <c r="AG153">
        <v>6.423661490903477</v>
      </c>
      <c r="AH153">
        <v>10.480230224579662</v>
      </c>
      <c r="AI153">
        <v>11.388102539570053</v>
      </c>
      <c r="AJ153">
        <v>12.360773008892192</v>
      </c>
      <c r="AK153">
        <v>21.608522746513174</v>
      </c>
      <c r="AL153">
        <v>23.143173061724308</v>
      </c>
      <c r="AM153">
        <v>24.732741207359702</v>
      </c>
    </row>
    <row r="154" spans="1:39" x14ac:dyDescent="0.25">
      <c r="A154" s="147">
        <f t="shared" si="1"/>
        <v>11</v>
      </c>
      <c r="C154" s="149">
        <v>10.416666666666671</v>
      </c>
      <c r="D154" s="2">
        <v>6.0356810103546703</v>
      </c>
      <c r="E154">
        <v>6.5959281107906857</v>
      </c>
      <c r="F154">
        <v>7.2035645377163258</v>
      </c>
      <c r="G154">
        <v>11.713548109776466</v>
      </c>
      <c r="H154">
        <v>12.718808088008995</v>
      </c>
      <c r="I154">
        <v>13.793798566797182</v>
      </c>
      <c r="J154">
        <v>23.91025718532665</v>
      </c>
      <c r="K154">
        <v>25.569247183168216</v>
      </c>
      <c r="L154">
        <v>27.282047810178604</v>
      </c>
      <c r="M154">
        <v>6.0340135940835546</v>
      </c>
      <c r="N154">
        <v>6.5942438858032144</v>
      </c>
      <c r="O154">
        <v>7.201828773723304</v>
      </c>
      <c r="P154">
        <v>11.712094798955738</v>
      </c>
      <c r="Q154">
        <v>12.717615500736473</v>
      </c>
      <c r="R154">
        <v>13.792930691713019</v>
      </c>
      <c r="S154">
        <v>23.915945131890354</v>
      </c>
      <c r="T154">
        <v>25.576671915442304</v>
      </c>
      <c r="U154">
        <v>27.291462827228919</v>
      </c>
      <c r="V154">
        <v>5.3581438206847052</v>
      </c>
      <c r="W154">
        <v>5.8577423609240054</v>
      </c>
      <c r="X154">
        <v>6.4001345723472616</v>
      </c>
      <c r="Y154">
        <v>10.440556206789104</v>
      </c>
      <c r="Z154">
        <v>11.344643530417798</v>
      </c>
      <c r="AA154">
        <v>12.313221747532147</v>
      </c>
      <c r="AB154">
        <v>21.518369023506924</v>
      </c>
      <c r="AC154">
        <v>23.045218817286013</v>
      </c>
      <c r="AD154">
        <v>24.625967737862631</v>
      </c>
      <c r="AE154">
        <v>5.3621597931670024</v>
      </c>
      <c r="AF154">
        <v>5.8621841215849679</v>
      </c>
      <c r="AG154">
        <v>6.4050171611526823</v>
      </c>
      <c r="AH154">
        <v>10.449045270680843</v>
      </c>
      <c r="AI154">
        <v>11.354019987320964</v>
      </c>
      <c r="AJ154">
        <v>12.323546313193493</v>
      </c>
      <c r="AK154">
        <v>21.539059540203073</v>
      </c>
      <c r="AL154">
        <v>23.067881754185294</v>
      </c>
      <c r="AM154">
        <v>24.651238907981586</v>
      </c>
    </row>
    <row r="155" spans="1:39" x14ac:dyDescent="0.25">
      <c r="A155" s="147">
        <f t="shared" si="1"/>
        <v>11</v>
      </c>
      <c r="C155" s="149">
        <v>10.500000000000005</v>
      </c>
      <c r="D155" s="2">
        <v>5.9987869104966105</v>
      </c>
      <c r="E155">
        <v>6.5529909369941697</v>
      </c>
      <c r="F155">
        <v>7.1535378332483006</v>
      </c>
      <c r="G155">
        <v>11.592682470287686</v>
      </c>
      <c r="H155">
        <v>12.577531583622688</v>
      </c>
      <c r="I155">
        <v>13.62870225181069</v>
      </c>
      <c r="J155">
        <v>23.405987196031795</v>
      </c>
      <c r="K155">
        <v>24.986257148479602</v>
      </c>
      <c r="L155">
        <v>26.609681396602326</v>
      </c>
      <c r="M155">
        <v>5.9970256695847288</v>
      </c>
      <c r="N155">
        <v>6.5512026070360818</v>
      </c>
      <c r="O155">
        <v>7.1516863656872944</v>
      </c>
      <c r="P155">
        <v>11.591008321657284</v>
      </c>
      <c r="Q155">
        <v>12.576089081390325</v>
      </c>
      <c r="R155">
        <v>13.627551066820427</v>
      </c>
      <c r="S155">
        <v>23.41089488092717</v>
      </c>
      <c r="T155">
        <v>24.992775527520081</v>
      </c>
      <c r="U155">
        <v>26.618040024652302</v>
      </c>
      <c r="V155">
        <v>5.3231406629602418</v>
      </c>
      <c r="W155">
        <v>5.817342333664751</v>
      </c>
      <c r="X155">
        <v>6.3534400783418512</v>
      </c>
      <c r="Y155">
        <v>10.332046241719032</v>
      </c>
      <c r="Z155">
        <v>11.21850620738612</v>
      </c>
      <c r="AA155">
        <v>12.1665671975416</v>
      </c>
      <c r="AB155">
        <v>21.081345647633693</v>
      </c>
      <c r="AC155">
        <v>22.540818810324645</v>
      </c>
      <c r="AD155">
        <v>24.044978402432282</v>
      </c>
      <c r="AE155">
        <v>5.327125402837666</v>
      </c>
      <c r="AF155">
        <v>5.82174729662621</v>
      </c>
      <c r="AG155">
        <v>6.3582791821240097</v>
      </c>
      <c r="AH155">
        <v>10.340421742301183</v>
      </c>
      <c r="AI155">
        <v>11.227748015267581</v>
      </c>
      <c r="AJ155">
        <v>12.176731962194026</v>
      </c>
      <c r="AK155">
        <v>21.101480331631016</v>
      </c>
      <c r="AL155">
        <v>22.562826188647353</v>
      </c>
      <c r="AM155">
        <v>24.069481655315709</v>
      </c>
    </row>
    <row r="156" spans="1:39" x14ac:dyDescent="0.25">
      <c r="A156" s="147">
        <f t="shared" si="1"/>
        <v>11</v>
      </c>
      <c r="C156" s="149">
        <v>10.583333333333339</v>
      </c>
      <c r="D156" s="2">
        <v>5.9861455516681712</v>
      </c>
      <c r="E156">
        <v>6.5391656599591599</v>
      </c>
      <c r="F156">
        <v>7.1384257438645218</v>
      </c>
      <c r="G156">
        <v>11.567943658527343</v>
      </c>
      <c r="H156">
        <v>12.550627626320729</v>
      </c>
      <c r="I156">
        <v>13.599472536357174</v>
      </c>
      <c r="J156">
        <v>23.354275124417399</v>
      </c>
      <c r="K156">
        <v>24.930730742824178</v>
      </c>
      <c r="L156">
        <v>26.550171051141291</v>
      </c>
      <c r="M156">
        <v>5.984373686984938</v>
      </c>
      <c r="N156">
        <v>6.5373659547814267</v>
      </c>
      <c r="O156">
        <v>7.1365620135240224</v>
      </c>
      <c r="P156">
        <v>11.566251854885257</v>
      </c>
      <c r="Q156">
        <v>12.549166659224751</v>
      </c>
      <c r="R156">
        <v>13.598302110504235</v>
      </c>
      <c r="S156">
        <v>23.359164376813418</v>
      </c>
      <c r="T156">
        <v>24.937232557420259</v>
      </c>
      <c r="U156">
        <v>26.558515627537226</v>
      </c>
      <c r="V156">
        <v>5.307661430130409</v>
      </c>
      <c r="W156">
        <v>5.8003814621080281</v>
      </c>
      <c r="X156">
        <v>6.3348626899192038</v>
      </c>
      <c r="Y156">
        <v>10.301156643433874</v>
      </c>
      <c r="Z156">
        <v>11.184792233156076</v>
      </c>
      <c r="AA156">
        <v>12.129797137749081</v>
      </c>
      <c r="AB156">
        <v>21.013745718606732</v>
      </c>
      <c r="AC156">
        <v>22.467741078763453</v>
      </c>
      <c r="AD156">
        <v>23.96609417119668</v>
      </c>
      <c r="AE156">
        <v>5.3116235155597753</v>
      </c>
      <c r="AF156">
        <v>5.8047617168434167</v>
      </c>
      <c r="AG156">
        <v>6.3396748422496039</v>
      </c>
      <c r="AH156">
        <v>10.309488865691398</v>
      </c>
      <c r="AI156">
        <v>11.193987211793196</v>
      </c>
      <c r="AJ156">
        <v>12.139911281822638</v>
      </c>
      <c r="AK156">
        <v>21.033795930577952</v>
      </c>
      <c r="AL156">
        <v>22.489658810645015</v>
      </c>
      <c r="AM156">
        <v>23.990503147766251</v>
      </c>
    </row>
    <row r="157" spans="1:39" x14ac:dyDescent="0.25">
      <c r="A157" s="147">
        <f t="shared" si="1"/>
        <v>11</v>
      </c>
      <c r="C157" s="149">
        <v>10.666666666666673</v>
      </c>
      <c r="D157" s="2">
        <v>5.9734859413590398</v>
      </c>
      <c r="E157">
        <v>6.5253214289546566</v>
      </c>
      <c r="F157">
        <v>7.1232941483166456</v>
      </c>
      <c r="G157">
        <v>11.543188650210766</v>
      </c>
      <c r="H157">
        <v>12.523710154264457</v>
      </c>
      <c r="I157">
        <v>13.570233039291693</v>
      </c>
      <c r="J157">
        <v>23.302642138523787</v>
      </c>
      <c r="K157">
        <v>24.875309590605358</v>
      </c>
      <c r="L157">
        <v>26.490797347001443</v>
      </c>
      <c r="M157">
        <v>5.9717034131474556</v>
      </c>
      <c r="N157">
        <v>6.5235103055841535</v>
      </c>
      <c r="O157">
        <v>7.1214181088413628</v>
      </c>
      <c r="P157">
        <v>11.541479124031989</v>
      </c>
      <c r="Q157">
        <v>12.522230651105687</v>
      </c>
      <c r="R157">
        <v>13.569043297994192</v>
      </c>
      <c r="S157">
        <v>23.307512887597859</v>
      </c>
      <c r="T157">
        <v>24.881794778852608</v>
      </c>
      <c r="U157">
        <v>26.499127822525359</v>
      </c>
      <c r="V157">
        <v>5.292141497581035</v>
      </c>
      <c r="W157">
        <v>5.7833772666299978</v>
      </c>
      <c r="X157">
        <v>6.3162393756525717</v>
      </c>
      <c r="Y157">
        <v>10.270210460326718</v>
      </c>
      <c r="Z157">
        <v>11.151021574628281</v>
      </c>
      <c r="AA157">
        <v>12.092971301442761</v>
      </c>
      <c r="AB157">
        <v>20.946161862544574</v>
      </c>
      <c r="AC157">
        <v>22.394704928052253</v>
      </c>
      <c r="AD157">
        <v>23.887283068219517</v>
      </c>
      <c r="AE157">
        <v>5.2960808387130278</v>
      </c>
      <c r="AF157">
        <v>5.7877327162126315</v>
      </c>
      <c r="AG157">
        <v>6.3210244723951092</v>
      </c>
      <c r="AH157">
        <v>10.278499256379327</v>
      </c>
      <c r="AI157">
        <v>11.160169569012565</v>
      </c>
      <c r="AJ157">
        <v>12.103034663719567</v>
      </c>
      <c r="AK157">
        <v>20.966127462150041</v>
      </c>
      <c r="AL157">
        <v>22.416532894062549</v>
      </c>
      <c r="AM157">
        <v>23.911597674179646</v>
      </c>
    </row>
    <row r="158" spans="1:39" x14ac:dyDescent="0.25">
      <c r="A158" s="147">
        <f t="shared" ref="A158:A221" si="2">ROUNDUP(C158,0)</f>
        <v>11</v>
      </c>
      <c r="C158" s="149">
        <v>10.750000000000007</v>
      </c>
      <c r="D158" s="2">
        <v>5.9608080319823795</v>
      </c>
      <c r="E158">
        <v>6.511458192962861</v>
      </c>
      <c r="F158">
        <v>7.1081429919851526</v>
      </c>
      <c r="G158">
        <v>11.518417365996896</v>
      </c>
      <c r="H158">
        <v>12.496779082440035</v>
      </c>
      <c r="I158">
        <v>13.540983669124664</v>
      </c>
      <c r="J158">
        <v>23.251088018316509</v>
      </c>
      <c r="K158">
        <v>24.819993426681954</v>
      </c>
      <c r="L158">
        <v>26.431559959792445</v>
      </c>
      <c r="M158">
        <v>5.9590148004183945</v>
      </c>
      <c r="N158">
        <v>6.5096356083530686</v>
      </c>
      <c r="O158">
        <v>7.1062545969460107</v>
      </c>
      <c r="P158">
        <v>11.516690049669014</v>
      </c>
      <c r="Q158">
        <v>12.495280971922282</v>
      </c>
      <c r="R158">
        <v>13.539774537712258</v>
      </c>
      <c r="S158">
        <v>23.255940193280352</v>
      </c>
      <c r="T158">
        <v>24.826461926761002</v>
      </c>
      <c r="U158">
        <v>26.439876285362757</v>
      </c>
      <c r="V158">
        <v>5.276580713946772</v>
      </c>
      <c r="W158">
        <v>5.7663295840631923</v>
      </c>
      <c r="X158">
        <v>6.2975699599438446</v>
      </c>
      <c r="Y158">
        <v>10.239207434563131</v>
      </c>
      <c r="Z158">
        <v>11.117193957401534</v>
      </c>
      <c r="AA158">
        <v>12.056089396871545</v>
      </c>
      <c r="AB158">
        <v>20.878593592378209</v>
      </c>
      <c r="AC158">
        <v>22.32170982002074</v>
      </c>
      <c r="AD158">
        <v>23.808544490690494</v>
      </c>
      <c r="AE158">
        <v>5.2804972206365726</v>
      </c>
      <c r="AF158">
        <v>5.7706601312481798</v>
      </c>
      <c r="AG158">
        <v>6.3023278966217235</v>
      </c>
      <c r="AH158">
        <v>10.247452656042014</v>
      </c>
      <c r="AI158">
        <v>11.126294812006698</v>
      </c>
      <c r="AJ158">
        <v>12.066101815589709</v>
      </c>
      <c r="AK158">
        <v>20.898474438600989</v>
      </c>
      <c r="AL158">
        <v>22.343447900036566</v>
      </c>
      <c r="AM158">
        <v>23.832764631040114</v>
      </c>
    </row>
    <row r="159" spans="1:39" x14ac:dyDescent="0.25">
      <c r="A159" s="147">
        <f t="shared" si="2"/>
        <v>11</v>
      </c>
      <c r="C159" s="149">
        <v>10.833333333333341</v>
      </c>
      <c r="D159" s="2">
        <v>5.9481117758429614</v>
      </c>
      <c r="E159">
        <v>6.4975759008467255</v>
      </c>
      <c r="F159">
        <v>7.0929722201313101</v>
      </c>
      <c r="G159">
        <v>11.493629726391685</v>
      </c>
      <c r="H159">
        <v>12.469834325663077</v>
      </c>
      <c r="I159">
        <v>13.51172433420734</v>
      </c>
      <c r="J159">
        <v>23.199612544009639</v>
      </c>
      <c r="K159">
        <v>24.76478198636876</v>
      </c>
      <c r="L159">
        <v>26.372458565870481</v>
      </c>
      <c r="M159">
        <v>5.9463078010348731</v>
      </c>
      <c r="N159">
        <v>6.4957418118790438</v>
      </c>
      <c r="O159">
        <v>7.0910714230222913</v>
      </c>
      <c r="P159">
        <v>11.491884552206777</v>
      </c>
      <c r="Q159">
        <v>12.468317536403717</v>
      </c>
      <c r="R159">
        <v>13.510495737920159</v>
      </c>
      <c r="S159">
        <v>23.204446074124075</v>
      </c>
      <c r="T159">
        <v>24.771233736548936</v>
      </c>
      <c r="U159">
        <v>26.380760692532562</v>
      </c>
      <c r="V159">
        <v>5.2609789273282095</v>
      </c>
      <c r="W159">
        <v>5.7492382506630433</v>
      </c>
      <c r="X159">
        <v>6.2788542665750864</v>
      </c>
      <c r="Y159">
        <v>10.208147307410551</v>
      </c>
      <c r="Z159">
        <v>11.083309106128262</v>
      </c>
      <c r="AA159">
        <v>12.019151131289297</v>
      </c>
      <c r="AB159">
        <v>20.811040420178365</v>
      </c>
      <c r="AC159">
        <v>22.248755215827973</v>
      </c>
      <c r="AD159">
        <v>23.729877835412498</v>
      </c>
      <c r="AE159">
        <v>5.2648725091381756</v>
      </c>
      <c r="AF159">
        <v>5.7535437978888915</v>
      </c>
      <c r="AG159">
        <v>6.2835849383707796</v>
      </c>
      <c r="AH159">
        <v>10.216348805456606</v>
      </c>
      <c r="AI159">
        <v>11.092362664910343</v>
      </c>
      <c r="AJ159">
        <v>12.029112444144484</v>
      </c>
      <c r="AK159">
        <v>20.830836371308472</v>
      </c>
      <c r="AL159">
        <v>22.270403289025676</v>
      </c>
      <c r="AM159">
        <v>23.754003414430596</v>
      </c>
    </row>
    <row r="160" spans="1:39" x14ac:dyDescent="0.25">
      <c r="A160" s="147">
        <f t="shared" si="2"/>
        <v>11</v>
      </c>
      <c r="C160" s="149">
        <v>10.916666666666675</v>
      </c>
      <c r="D160" s="2">
        <v>5.9353971251371433</v>
      </c>
      <c r="E160">
        <v>6.483674501353283</v>
      </c>
      <c r="F160">
        <v>7.0777817778884904</v>
      </c>
      <c r="G160">
        <v>11.468825651732399</v>
      </c>
      <c r="H160">
        <v>12.442875798592629</v>
      </c>
      <c r="I160">
        <v>13.482454942725933</v>
      </c>
      <c r="J160">
        <v>23.14821549607101</v>
      </c>
      <c r="K160">
        <v>24.709675005435361</v>
      </c>
      <c r="L160">
        <v>26.313492842308527</v>
      </c>
      <c r="M160">
        <v>5.9335823671259842</v>
      </c>
      <c r="N160">
        <v>6.4818288648383753</v>
      </c>
      <c r="O160">
        <v>7.0758685321258916</v>
      </c>
      <c r="P160">
        <v>11.467062551893726</v>
      </c>
      <c r="Q160">
        <v>12.441340259116984</v>
      </c>
      <c r="R160">
        <v>13.481206806716175</v>
      </c>
      <c r="S160">
        <v>23.153030310636098</v>
      </c>
      <c r="T160">
        <v>24.716109944062573</v>
      </c>
      <c r="U160">
        <v>26.321780721270407</v>
      </c>
      <c r="V160">
        <v>5.2453359852923986</v>
      </c>
      <c r="W160">
        <v>5.7321031021101021</v>
      </c>
      <c r="X160">
        <v>6.2600921187071137</v>
      </c>
      <c r="Y160">
        <v>10.177029819237076</v>
      </c>
      <c r="Z160">
        <v>11.049366744510261</v>
      </c>
      <c r="AA160">
        <v>11.982156210955569</v>
      </c>
      <c r="AB160">
        <v>20.743501857135399</v>
      </c>
      <c r="AC160">
        <v>22.17584057593993</v>
      </c>
      <c r="AD160">
        <v>23.651282498780862</v>
      </c>
      <c r="AE160">
        <v>5.2492065514888182</v>
      </c>
      <c r="AF160">
        <v>5.7363835514958614</v>
      </c>
      <c r="AG160">
        <v>6.2647954204610912</v>
      </c>
      <c r="AH160">
        <v>10.185187444496366</v>
      </c>
      <c r="AI160">
        <v>11.058372850901902</v>
      </c>
      <c r="AJ160">
        <v>11.99206625509469</v>
      </c>
      <c r="AK160">
        <v>20.763212770776406</v>
      </c>
      <c r="AL160">
        <v>22.197398520799446</v>
      </c>
      <c r="AM160">
        <v>23.675313420034932</v>
      </c>
    </row>
    <row r="161" spans="1:39" x14ac:dyDescent="0.25">
      <c r="A161" s="147">
        <f t="shared" si="2"/>
        <v>11</v>
      </c>
      <c r="C161" s="149">
        <v>11.000000000000009</v>
      </c>
      <c r="D161" s="2">
        <v>5.9226640319517454</v>
      </c>
      <c r="E161">
        <v>6.4697539431143021</v>
      </c>
      <c r="F161">
        <v>7.0625716102654561</v>
      </c>
      <c r="G161">
        <v>11.444005062197455</v>
      </c>
      <c r="H161">
        <v>12.415903415723886</v>
      </c>
      <c r="I161">
        <v>13.453175402715981</v>
      </c>
      <c r="J161">
        <v>23.096896655227418</v>
      </c>
      <c r="K161">
        <v>24.654672220098647</v>
      </c>
      <c r="L161">
        <v>26.254662466929229</v>
      </c>
      <c r="M161">
        <v>5.9208384507104768</v>
      </c>
      <c r="N161">
        <v>6.4678967157893759</v>
      </c>
      <c r="O161">
        <v>7.0606458691935314</v>
      </c>
      <c r="P161">
        <v>11.442223968818109</v>
      </c>
      <c r="Q161">
        <v>12.414349054463342</v>
      </c>
      <c r="R161">
        <v>13.45190765204249</v>
      </c>
      <c r="S161">
        <v>23.101692683578165</v>
      </c>
      <c r="T161">
        <v>24.661090285611827</v>
      </c>
      <c r="U161">
        <v>26.262936049522931</v>
      </c>
      <c r="V161">
        <v>5.2296517348695701</v>
      </c>
      <c r="W161">
        <v>5.714923973505595</v>
      </c>
      <c r="X161">
        <v>6.2412833388783824</v>
      </c>
      <c r="Y161">
        <v>10.145854709499613</v>
      </c>
      <c r="Z161">
        <v>11.015366595291351</v>
      </c>
      <c r="AA161">
        <v>11.945104341127749</v>
      </c>
      <c r="AB161">
        <v>20.675977413565505</v>
      </c>
      <c r="AC161">
        <v>22.102965360138498</v>
      </c>
      <c r="AD161">
        <v>23.57275787678093</v>
      </c>
      <c r="AE161">
        <v>5.2334991944229605</v>
      </c>
      <c r="AF161">
        <v>5.719179226851228</v>
      </c>
      <c r="AG161">
        <v>6.2459591650866457</v>
      </c>
      <c r="AH161">
        <v>10.153968312125986</v>
      </c>
      <c r="AI161">
        <v>11.024325092204872</v>
      </c>
      <c r="AJ161">
        <v>11.954962953149085</v>
      </c>
      <c r="AK161">
        <v>20.695603146634248</v>
      </c>
      <c r="AL161">
        <v>22.124433054434387</v>
      </c>
      <c r="AM161">
        <v>23.596694043116955</v>
      </c>
    </row>
    <row r="162" spans="1:39" x14ac:dyDescent="0.25">
      <c r="A162" s="147">
        <f t="shared" si="2"/>
        <v>12</v>
      </c>
      <c r="C162" s="149">
        <v>11.083333333333343</v>
      </c>
      <c r="D162" s="2">
        <v>5.5011496102331146</v>
      </c>
      <c r="E162">
        <v>6.0091934128122819</v>
      </c>
      <c r="F162">
        <v>6.5596894220681907</v>
      </c>
      <c r="G162">
        <v>10.627501271373255</v>
      </c>
      <c r="H162">
        <v>11.529608625311884</v>
      </c>
      <c r="I162">
        <v>12.492335503103805</v>
      </c>
      <c r="J162">
        <v>21.438601686821077</v>
      </c>
      <c r="K162">
        <v>22.88281685021698</v>
      </c>
      <c r="L162">
        <v>24.365805052707572</v>
      </c>
      <c r="M162">
        <v>5.5011060481442913</v>
      </c>
      <c r="N162">
        <v>6.0092713057277223</v>
      </c>
      <c r="O162">
        <v>6.5598699979965591</v>
      </c>
      <c r="P162">
        <v>10.629061096036594</v>
      </c>
      <c r="Q162">
        <v>11.531658234341467</v>
      </c>
      <c r="R162">
        <v>12.494949191290059</v>
      </c>
      <c r="S162">
        <v>21.449652676957506</v>
      </c>
      <c r="T162">
        <v>22.89583810088342</v>
      </c>
      <c r="U162">
        <v>24.381038985660524</v>
      </c>
      <c r="V162">
        <v>4.924143865269544</v>
      </c>
      <c r="W162">
        <v>5.3809904648606866</v>
      </c>
      <c r="X162">
        <v>5.8765030619169831</v>
      </c>
      <c r="Y162">
        <v>9.5516994590849045</v>
      </c>
      <c r="Z162">
        <v>10.369994831305263</v>
      </c>
      <c r="AA162">
        <v>11.24491287707405</v>
      </c>
      <c r="AB162">
        <v>19.45772905791334</v>
      </c>
      <c r="AC162">
        <v>20.799386305905955</v>
      </c>
      <c r="AD162">
        <v>22.181128336685298</v>
      </c>
      <c r="AE162">
        <v>4.9282514777841584</v>
      </c>
      <c r="AF162">
        <v>5.3855266315552619</v>
      </c>
      <c r="AG162">
        <v>5.8814849048880466</v>
      </c>
      <c r="AH162">
        <v>9.5602863755475749</v>
      </c>
      <c r="AI162">
        <v>10.379458920745487</v>
      </c>
      <c r="AJ162">
        <v>11.255313259234676</v>
      </c>
      <c r="AK162">
        <v>19.478171591362219</v>
      </c>
      <c r="AL162">
        <v>20.821704658670399</v>
      </c>
      <c r="AM162">
        <v>22.205882850051282</v>
      </c>
    </row>
    <row r="163" spans="1:39" x14ac:dyDescent="0.25">
      <c r="A163" s="147">
        <f t="shared" si="2"/>
        <v>12</v>
      </c>
      <c r="C163" s="149">
        <v>11.166666666666677</v>
      </c>
      <c r="D163" s="2">
        <v>5.4939426295789335</v>
      </c>
      <c r="E163">
        <v>6.001345031811594</v>
      </c>
      <c r="F163">
        <v>6.5511504627869579</v>
      </c>
      <c r="G163">
        <v>10.614028460737956</v>
      </c>
      <c r="H163">
        <v>11.515084913834972</v>
      </c>
      <c r="I163">
        <v>12.476707102779804</v>
      </c>
      <c r="J163">
        <v>21.413704403975792</v>
      </c>
      <c r="K163">
        <v>22.856621694676321</v>
      </c>
      <c r="L163">
        <v>24.338348316480975</v>
      </c>
      <c r="M163">
        <v>5.4938951170040706</v>
      </c>
      <c r="N163">
        <v>6.0014188166625466</v>
      </c>
      <c r="O163">
        <v>6.5513266283631815</v>
      </c>
      <c r="P163">
        <v>10.615582537434964</v>
      </c>
      <c r="Q163">
        <v>11.51712883694803</v>
      </c>
      <c r="R163">
        <v>12.479315196769425</v>
      </c>
      <c r="S163">
        <v>21.424756894788697</v>
      </c>
      <c r="T163">
        <v>22.869647039656428</v>
      </c>
      <c r="U163">
        <v>24.353589502149362</v>
      </c>
      <c r="V163">
        <v>4.9118594630796837</v>
      </c>
      <c r="W163">
        <v>5.3675523197011792</v>
      </c>
      <c r="X163">
        <v>5.8618105497545976</v>
      </c>
      <c r="Y163">
        <v>9.52760496688831</v>
      </c>
      <c r="Z163">
        <v>10.343781524458587</v>
      </c>
      <c r="AA163">
        <v>11.216422913868206</v>
      </c>
      <c r="AB163">
        <v>19.407209984179371</v>
      </c>
      <c r="AC163">
        <v>20.745133726090124</v>
      </c>
      <c r="AD163">
        <v>22.122977453347772</v>
      </c>
      <c r="AE163">
        <v>4.9159508409054116</v>
      </c>
      <c r="AF163">
        <v>5.3720708099475178</v>
      </c>
      <c r="AG163">
        <v>5.8667731282748132</v>
      </c>
      <c r="AH163">
        <v>9.536161291187927</v>
      </c>
      <c r="AI163">
        <v>10.353212621202038</v>
      </c>
      <c r="AJ163">
        <v>11.226787741739573</v>
      </c>
      <c r="AK163">
        <v>19.427595478945626</v>
      </c>
      <c r="AL163">
        <v>20.767392081568754</v>
      </c>
      <c r="AM163">
        <v>22.147669988779285</v>
      </c>
    </row>
    <row r="164" spans="1:39" x14ac:dyDescent="0.25">
      <c r="A164" s="147">
        <f t="shared" si="2"/>
        <v>12</v>
      </c>
      <c r="C164" s="149">
        <v>11.250000000000011</v>
      </c>
      <c r="D164" s="2">
        <v>5.4867324316998802</v>
      </c>
      <c r="E164">
        <v>5.9934937208894219</v>
      </c>
      <c r="F164">
        <v>6.5426090090405875</v>
      </c>
      <c r="G164">
        <v>10.600560785461299</v>
      </c>
      <c r="H164">
        <v>11.500569194433622</v>
      </c>
      <c r="I164">
        <v>12.461090263811414</v>
      </c>
      <c r="J164">
        <v>21.388884324177116</v>
      </c>
      <c r="K164">
        <v>22.830521434240602</v>
      </c>
      <c r="L164">
        <v>24.311007354630359</v>
      </c>
      <c r="M164">
        <v>5.4866809533691718</v>
      </c>
      <c r="N164">
        <v>5.99356338141446</v>
      </c>
      <c r="O164">
        <v>6.5427807467364207</v>
      </c>
      <c r="P164">
        <v>10.602109089708776</v>
      </c>
      <c r="Q164">
        <v>11.502607406377345</v>
      </c>
      <c r="R164">
        <v>12.463692737738278</v>
      </c>
      <c r="S164">
        <v>21.399938304776413</v>
      </c>
      <c r="T164">
        <v>22.84355087019977</v>
      </c>
      <c r="U164">
        <v>24.326255799709912</v>
      </c>
      <c r="V164">
        <v>4.8995530108029888</v>
      </c>
      <c r="W164">
        <v>5.3540909940330987</v>
      </c>
      <c r="X164">
        <v>5.8470938246363042</v>
      </c>
      <c r="Y164">
        <v>9.5034854343427817</v>
      </c>
      <c r="Z164">
        <v>10.317544786029817</v>
      </c>
      <c r="AA164">
        <v>11.18791203667249</v>
      </c>
      <c r="AB164">
        <v>19.356743141181692</v>
      </c>
      <c r="AC164">
        <v>20.690956028420217</v>
      </c>
      <c r="AD164">
        <v>22.064928858424992</v>
      </c>
      <c r="AE164">
        <v>4.9036281036119949</v>
      </c>
      <c r="AF164">
        <v>5.3585917538357712</v>
      </c>
      <c r="AG164">
        <v>5.8520370810114368</v>
      </c>
      <c r="AH164">
        <v>9.5120110890722671</v>
      </c>
      <c r="AI164">
        <v>10.326942810335305</v>
      </c>
      <c r="AJ164">
        <v>11.19824122903211</v>
      </c>
      <c r="AK164">
        <v>19.377071562856628</v>
      </c>
      <c r="AL164">
        <v>20.7131543732918</v>
      </c>
      <c r="AM164">
        <v>22.089559427416347</v>
      </c>
    </row>
    <row r="165" spans="1:39" x14ac:dyDescent="0.25">
      <c r="A165" s="147">
        <f t="shared" si="2"/>
        <v>12</v>
      </c>
      <c r="C165" s="149">
        <v>11.333333333333345</v>
      </c>
      <c r="D165" s="2">
        <v>5.4795190096730702</v>
      </c>
      <c r="E165">
        <v>5.9856394725808961</v>
      </c>
      <c r="F165">
        <v>6.5340650527549471</v>
      </c>
      <c r="G165">
        <v>10.587098230957174</v>
      </c>
      <c r="H165">
        <v>11.486061450206437</v>
      </c>
      <c r="I165">
        <v>12.445484966268459</v>
      </c>
      <c r="J165">
        <v>21.364141343641379</v>
      </c>
      <c r="K165">
        <v>22.804515934805284</v>
      </c>
      <c r="L165">
        <v>24.283781993756783</v>
      </c>
      <c r="M165">
        <v>5.4794635503074138</v>
      </c>
      <c r="N165">
        <v>5.9857049925105041</v>
      </c>
      <c r="O165">
        <v>6.5342323450335957</v>
      </c>
      <c r="P165">
        <v>10.588640738278903</v>
      </c>
      <c r="Q165">
        <v>11.488093925737362</v>
      </c>
      <c r="R165">
        <v>12.448081794279489</v>
      </c>
      <c r="S165">
        <v>21.375196803251391</v>
      </c>
      <c r="T165">
        <v>22.817549458553394</v>
      </c>
      <c r="U165">
        <v>24.299037705117335</v>
      </c>
      <c r="V165">
        <v>4.8872244443934925</v>
      </c>
      <c r="W165">
        <v>5.3406064190289948</v>
      </c>
      <c r="X165">
        <v>5.8323528127179447</v>
      </c>
      <c r="Y165">
        <v>9.4793407541221022</v>
      </c>
      <c r="Z165">
        <v>10.291284501584785</v>
      </c>
      <c r="AA165">
        <v>11.159380123307301</v>
      </c>
      <c r="AB165">
        <v>19.306328286029917</v>
      </c>
      <c r="AC165">
        <v>20.636852931312539</v>
      </c>
      <c r="AD165">
        <v>22.006982219958935</v>
      </c>
      <c r="AE165">
        <v>4.8912832017414729</v>
      </c>
      <c r="AF165">
        <v>5.3450893942663491</v>
      </c>
      <c r="AG165">
        <v>5.8372766891213246</v>
      </c>
      <c r="AH165">
        <v>9.4878356616970905</v>
      </c>
      <c r="AI165">
        <v>10.300649373522482</v>
      </c>
      <c r="AJ165">
        <v>11.169673598741344</v>
      </c>
      <c r="AK165">
        <v>19.326599600004329</v>
      </c>
      <c r="AL165">
        <v>20.65899125205668</v>
      </c>
      <c r="AM165">
        <v>22.031550833801059</v>
      </c>
    </row>
    <row r="166" spans="1:39" x14ac:dyDescent="0.25">
      <c r="A166" s="147">
        <f t="shared" si="2"/>
        <v>12</v>
      </c>
      <c r="C166" s="149">
        <v>11.416666666666679</v>
      </c>
      <c r="D166" s="2">
        <v>5.4723023565680089</v>
      </c>
      <c r="E166">
        <v>5.9777822794120539</v>
      </c>
      <c r="F166">
        <v>6.5255185858446501</v>
      </c>
      <c r="G166">
        <v>10.573640782638593</v>
      </c>
      <c r="H166">
        <v>11.471561664251261</v>
      </c>
      <c r="I166">
        <v>12.429891190228268</v>
      </c>
      <c r="J166">
        <v>21.339475358874999</v>
      </c>
      <c r="K166">
        <v>22.778605062688122</v>
      </c>
      <c r="L166">
        <v>24.256672061044</v>
      </c>
      <c r="M166">
        <v>5.4722429008795954</v>
      </c>
      <c r="N166">
        <v>5.9778436424674082</v>
      </c>
      <c r="O166">
        <v>6.5256814151600224</v>
      </c>
      <c r="P166">
        <v>10.575177468559719</v>
      </c>
      <c r="Q166">
        <v>11.473588378133105</v>
      </c>
      <c r="R166">
        <v>12.432482346482651</v>
      </c>
      <c r="S166">
        <v>21.350532286837485</v>
      </c>
      <c r="T166">
        <v>22.791642671171431</v>
      </c>
      <c r="U166">
        <v>24.271935045729329</v>
      </c>
      <c r="V166">
        <v>4.8748736996377691</v>
      </c>
      <c r="W166">
        <v>5.3270985256799204</v>
      </c>
      <c r="X166">
        <v>5.8175874399604055</v>
      </c>
      <c r="Y166">
        <v>9.4551708186324284</v>
      </c>
      <c r="Z166">
        <v>10.265000556410982</v>
      </c>
      <c r="AA166">
        <v>11.130827051316045</v>
      </c>
      <c r="AB166">
        <v>19.255965175862151</v>
      </c>
      <c r="AC166">
        <v>20.582824153378215</v>
      </c>
      <c r="AD166">
        <v>21.949137206437726</v>
      </c>
      <c r="AE166">
        <v>4.8789160709630925</v>
      </c>
      <c r="AF166">
        <v>5.3315636621060207</v>
      </c>
      <c r="AG166">
        <v>5.8224918784319843</v>
      </c>
      <c r="AH166">
        <v>9.4636349012871754</v>
      </c>
      <c r="AI166">
        <v>10.274332195865899</v>
      </c>
      <c r="AJ166">
        <v>11.141084728217036</v>
      </c>
      <c r="AK166">
        <v>19.276179347327346</v>
      </c>
      <c r="AL166">
        <v>20.604902436267768</v>
      </c>
      <c r="AM166">
        <v>21.97364387621661</v>
      </c>
    </row>
    <row r="167" spans="1:39" x14ac:dyDescent="0.25">
      <c r="A167" s="147">
        <f t="shared" si="2"/>
        <v>12</v>
      </c>
      <c r="C167" s="149">
        <v>11.500000000000012</v>
      </c>
      <c r="D167" s="2">
        <v>5.441475845351027</v>
      </c>
      <c r="E167">
        <v>5.9415734297307203</v>
      </c>
      <c r="F167">
        <v>6.4829617815230929</v>
      </c>
      <c r="G167">
        <v>10.466791120673967</v>
      </c>
      <c r="H167">
        <v>11.346070955901304</v>
      </c>
      <c r="I167">
        <v>12.282626012930294</v>
      </c>
      <c r="J167">
        <v>20.883763354618488</v>
      </c>
      <c r="K167">
        <v>22.252073160256487</v>
      </c>
      <c r="L167">
        <v>23.650133502951128</v>
      </c>
      <c r="M167">
        <v>5.4410725457368461</v>
      </c>
      <c r="N167">
        <v>5.9412576644117188</v>
      </c>
      <c r="O167">
        <v>6.482711260822426</v>
      </c>
      <c r="P167">
        <v>10.467624321870026</v>
      </c>
      <c r="Q167">
        <v>11.347322851160587</v>
      </c>
      <c r="R167">
        <v>12.284364722680685</v>
      </c>
      <c r="S167">
        <v>20.893072053538319</v>
      </c>
      <c r="T167">
        <v>22.263174223573174</v>
      </c>
      <c r="U167">
        <v>23.663245061852166</v>
      </c>
      <c r="V167">
        <v>4.8431142428580376</v>
      </c>
      <c r="W167">
        <v>5.2903301029288272</v>
      </c>
      <c r="X167">
        <v>5.7749678898044365</v>
      </c>
      <c r="Y167">
        <v>9.3549342861510691</v>
      </c>
      <c r="Z167">
        <v>10.148342135957538</v>
      </c>
      <c r="AA167">
        <v>10.995075149667773</v>
      </c>
      <c r="AB167">
        <v>18.853292830947662</v>
      </c>
      <c r="AC167">
        <v>20.119132378771294</v>
      </c>
      <c r="AD167">
        <v>21.416491912952281</v>
      </c>
      <c r="AE167">
        <v>4.8472411048770052</v>
      </c>
      <c r="AF167">
        <v>5.2948849889250704</v>
      </c>
      <c r="AG167">
        <v>5.779967078756167</v>
      </c>
      <c r="AH167">
        <v>9.3635119812863721</v>
      </c>
      <c r="AI167">
        <v>10.157786590736775</v>
      </c>
      <c r="AJ167">
        <v>11.00544225822566</v>
      </c>
      <c r="AK167">
        <v>18.873437851468974</v>
      </c>
      <c r="AL167">
        <v>20.141081398685888</v>
      </c>
      <c r="AM167">
        <v>21.4407956653843</v>
      </c>
    </row>
    <row r="168" spans="1:39" x14ac:dyDescent="0.25">
      <c r="A168" s="147">
        <f t="shared" si="2"/>
        <v>12</v>
      </c>
      <c r="C168" s="149">
        <v>11.583333333333346</v>
      </c>
      <c r="D168" s="2">
        <v>5.4342801274040191</v>
      </c>
      <c r="E168">
        <v>5.9337437878655628</v>
      </c>
      <c r="F168">
        <v>6.4744508873259772</v>
      </c>
      <c r="G168">
        <v>10.45345444503047</v>
      </c>
      <c r="H168">
        <v>11.33171659075539</v>
      </c>
      <c r="I168">
        <v>12.267206066184155</v>
      </c>
      <c r="J168">
        <v>20.859610431290399</v>
      </c>
      <c r="K168">
        <v>22.226735786583465</v>
      </c>
      <c r="L168">
        <v>23.623657674682867</v>
      </c>
      <c r="M168">
        <v>5.4338794460073769</v>
      </c>
      <c r="N168">
        <v>5.933431070749398</v>
      </c>
      <c r="O168">
        <v>6.4742037428078625</v>
      </c>
      <c r="P168">
        <v>10.454294209426255</v>
      </c>
      <c r="Q168">
        <v>11.332976080451257</v>
      </c>
      <c r="R168">
        <v>12.268953476406569</v>
      </c>
      <c r="S168">
        <v>20.868943227783557</v>
      </c>
      <c r="T168">
        <v>22.237864627965934</v>
      </c>
      <c r="U168">
        <v>23.6368011837653</v>
      </c>
      <c r="V168">
        <v>4.8307906330330308</v>
      </c>
      <c r="W168">
        <v>5.2768605836095936</v>
      </c>
      <c r="X168">
        <v>5.7602548148778778</v>
      </c>
      <c r="Y168">
        <v>9.3309778971291131</v>
      </c>
      <c r="Z168">
        <v>10.122322017323373</v>
      </c>
      <c r="AA168">
        <v>10.966845679563129</v>
      </c>
      <c r="AB168">
        <v>18.804143151108271</v>
      </c>
      <c r="AC168">
        <v>20.066524535036439</v>
      </c>
      <c r="AD168">
        <v>21.36030217489386</v>
      </c>
      <c r="AE168">
        <v>4.8348950724730599</v>
      </c>
      <c r="AF168">
        <v>5.2813910514634763</v>
      </c>
      <c r="AG168">
        <v>5.7652274020046814</v>
      </c>
      <c r="AH168">
        <v>9.3395133716065271</v>
      </c>
      <c r="AI168">
        <v>10.131720927968837</v>
      </c>
      <c r="AJ168">
        <v>10.977163710801783</v>
      </c>
      <c r="AK168">
        <v>18.824209252743259</v>
      </c>
      <c r="AL168">
        <v>20.088390449193685</v>
      </c>
      <c r="AM168">
        <v>21.384519620194354</v>
      </c>
    </row>
    <row r="169" spans="1:39" x14ac:dyDescent="0.25">
      <c r="A169" s="147">
        <f t="shared" si="2"/>
        <v>12</v>
      </c>
      <c r="C169" s="149">
        <v>11.66666666666668</v>
      </c>
      <c r="D169" s="2">
        <v>5.4270811914262778</v>
      </c>
      <c r="E169">
        <v>5.9259112090241945</v>
      </c>
      <c r="F169">
        <v>6.4659374818041444</v>
      </c>
      <c r="G169">
        <v>10.440122656893053</v>
      </c>
      <c r="H169">
        <v>11.317369862533337</v>
      </c>
      <c r="I169">
        <v>12.251797179329809</v>
      </c>
      <c r="J169">
        <v>20.835529997962631</v>
      </c>
      <c r="K169">
        <v>22.201487103173037</v>
      </c>
      <c r="L169">
        <v>23.5972895022412</v>
      </c>
      <c r="M169">
        <v>5.4266830870653742</v>
      </c>
      <c r="N169">
        <v>5.9256014951260294</v>
      </c>
      <c r="O169">
        <v>6.4656936640814386</v>
      </c>
      <c r="P169">
        <v>10.440968902153307</v>
      </c>
      <c r="Q169">
        <v>11.318636857082817</v>
      </c>
      <c r="R169">
        <v>12.253553192606372</v>
      </c>
      <c r="S169">
        <v>20.844886724911333</v>
      </c>
      <c r="T169">
        <v>22.212643545844454</v>
      </c>
      <c r="U169">
        <v>23.610464775801852</v>
      </c>
      <c r="V169">
        <v>4.8184447061081386</v>
      </c>
      <c r="W169">
        <v>5.2633675959078818</v>
      </c>
      <c r="X169">
        <v>5.7455172145515245</v>
      </c>
      <c r="Y169">
        <v>9.3069958221445965</v>
      </c>
      <c r="Z169">
        <v>10.096277684905541</v>
      </c>
      <c r="AA169">
        <v>10.938594328828135</v>
      </c>
      <c r="AB169">
        <v>18.755039245766465</v>
      </c>
      <c r="AC169">
        <v>20.013983111929758</v>
      </c>
      <c r="AD169">
        <v>21.30420366572633</v>
      </c>
      <c r="AE169">
        <v>4.8225267074759328</v>
      </c>
      <c r="AF169">
        <v>5.2678736301056066</v>
      </c>
      <c r="AG169">
        <v>5.7504631846803438</v>
      </c>
      <c r="AH169">
        <v>9.3154890736569413</v>
      </c>
      <c r="AI169">
        <v>10.105631054659174</v>
      </c>
      <c r="AJ169">
        <v>10.948863293199286</v>
      </c>
      <c r="AK169">
        <v>18.77502657986448</v>
      </c>
      <c r="AL169">
        <v>20.035766110123735</v>
      </c>
      <c r="AM169">
        <v>21.328335036913302</v>
      </c>
    </row>
    <row r="170" spans="1:39" x14ac:dyDescent="0.25">
      <c r="A170" s="147">
        <f t="shared" si="2"/>
        <v>12</v>
      </c>
      <c r="C170" s="149">
        <v>11.750000000000014</v>
      </c>
      <c r="D170" s="2">
        <v>5.4198790304876967</v>
      </c>
      <c r="E170">
        <v>5.9180756857362589</v>
      </c>
      <c r="F170">
        <v>6.4574215568801989</v>
      </c>
      <c r="G170">
        <v>10.426795741831778</v>
      </c>
      <c r="H170">
        <v>11.303030754583277</v>
      </c>
      <c r="I170">
        <v>12.236399332833155</v>
      </c>
      <c r="J170">
        <v>20.811521958602501</v>
      </c>
      <c r="K170">
        <v>22.176326987104424</v>
      </c>
      <c r="L170">
        <v>23.57102882822565</v>
      </c>
      <c r="M170">
        <v>5.4194834619735426</v>
      </c>
      <c r="N170">
        <v>5.9177689300669405</v>
      </c>
      <c r="O170">
        <v>6.4571810165646362</v>
      </c>
      <c r="P170">
        <v>10.427648385669505</v>
      </c>
      <c r="Q170">
        <v>11.304305164469906</v>
      </c>
      <c r="R170">
        <v>12.238163851828954</v>
      </c>
      <c r="S170">
        <v>20.82090244936861</v>
      </c>
      <c r="T170">
        <v>22.187510854874009</v>
      </c>
      <c r="U170">
        <v>23.584235681256157</v>
      </c>
      <c r="V170">
        <v>4.8060763974518288</v>
      </c>
      <c r="W170">
        <v>5.2498510703954393</v>
      </c>
      <c r="X170">
        <v>5.7307550143695849</v>
      </c>
      <c r="Y170">
        <v>9.2829879534572708</v>
      </c>
      <c r="Z170">
        <v>10.070209023992469</v>
      </c>
      <c r="AA170">
        <v>10.910320975213761</v>
      </c>
      <c r="AB170">
        <v>18.705980881738377</v>
      </c>
      <c r="AC170">
        <v>19.961507842176733</v>
      </c>
      <c r="AD170">
        <v>21.248196074345604</v>
      </c>
      <c r="AE170">
        <v>4.8101359451773478</v>
      </c>
      <c r="AF170">
        <v>5.2543326553372633</v>
      </c>
      <c r="AG170">
        <v>5.7356743522357725</v>
      </c>
      <c r="AH170">
        <v>9.2914389795351315</v>
      </c>
      <c r="AI170">
        <v>10.07951685591499</v>
      </c>
      <c r="AJ170">
        <v>10.920540882969924</v>
      </c>
      <c r="AK170">
        <v>18.725889599124869</v>
      </c>
      <c r="AL170">
        <v>19.983208113582862</v>
      </c>
      <c r="AM170">
        <v>21.272241603713766</v>
      </c>
    </row>
    <row r="171" spans="1:39" x14ac:dyDescent="0.25">
      <c r="A171" s="147">
        <f t="shared" si="2"/>
        <v>12</v>
      </c>
      <c r="C171" s="149">
        <v>11.833333333333348</v>
      </c>
      <c r="D171" s="2">
        <v>5.4126736376511033</v>
      </c>
      <c r="E171">
        <v>5.9102372105222294</v>
      </c>
      <c r="F171">
        <v>6.4489031044688083</v>
      </c>
      <c r="G171">
        <v>10.413473685411041</v>
      </c>
      <c r="H171">
        <v>11.288699250250502</v>
      </c>
      <c r="I171">
        <v>12.221012507160747</v>
      </c>
      <c r="J171">
        <v>20.787586217446275</v>
      </c>
      <c r="K171">
        <v>22.151255315838718</v>
      </c>
      <c r="L171">
        <v>23.54487549575499</v>
      </c>
      <c r="M171">
        <v>5.4122805637864335</v>
      </c>
      <c r="N171">
        <v>5.9099333680873869</v>
      </c>
      <c r="O171">
        <v>6.4486657921695505</v>
      </c>
      <c r="P171">
        <v>10.414332645587333</v>
      </c>
      <c r="Q171">
        <v>11.289980986023561</v>
      </c>
      <c r="R171">
        <v>12.222785434632925</v>
      </c>
      <c r="S171">
        <v>20.796990305864213</v>
      </c>
      <c r="T171">
        <v>22.162466433081107</v>
      </c>
      <c r="U171">
        <v>23.558113743940801</v>
      </c>
      <c r="V171">
        <v>4.7936856422636485</v>
      </c>
      <c r="W171">
        <v>5.2363109374602361</v>
      </c>
      <c r="X171">
        <v>5.715968139679898</v>
      </c>
      <c r="Y171">
        <v>9.2589541830541719</v>
      </c>
      <c r="Z171">
        <v>10.044115919593469</v>
      </c>
      <c r="AA171">
        <v>10.882025496185445</v>
      </c>
      <c r="AB171">
        <v>18.656967825828811</v>
      </c>
      <c r="AC171">
        <v>19.909098458637985</v>
      </c>
      <c r="AD171">
        <v>21.192279089997903</v>
      </c>
      <c r="AE171">
        <v>4.797722720699511</v>
      </c>
      <c r="AF171">
        <v>5.2407680574624429</v>
      </c>
      <c r="AG171">
        <v>5.7208608299256687</v>
      </c>
      <c r="AH171">
        <v>9.2673629810689171</v>
      </c>
      <c r="AI171">
        <v>10.053378216568435</v>
      </c>
      <c r="AJ171">
        <v>10.892196357377276</v>
      </c>
      <c r="AK171">
        <v>18.676798076805113</v>
      </c>
      <c r="AL171">
        <v>19.930716191818718</v>
      </c>
      <c r="AM171">
        <v>21.216239009119903</v>
      </c>
    </row>
    <row r="172" spans="1:39" x14ac:dyDescent="0.25">
      <c r="A172" s="147">
        <f t="shared" si="2"/>
        <v>12</v>
      </c>
      <c r="C172" s="149">
        <v>11.916666666666682</v>
      </c>
      <c r="D172" s="2">
        <v>5.4054650059708518</v>
      </c>
      <c r="E172">
        <v>5.9023957758948713</v>
      </c>
      <c r="F172">
        <v>6.4403821164748853</v>
      </c>
      <c r="G172">
        <v>10.40015647319141</v>
      </c>
      <c r="H172">
        <v>11.274375332881363</v>
      </c>
      <c r="I172">
        <v>12.205636682789693</v>
      </c>
      <c r="J172">
        <v>20.763722678992075</v>
      </c>
      <c r="K172">
        <v>22.126271967205891</v>
      </c>
      <c r="L172">
        <v>23.518829348479535</v>
      </c>
      <c r="M172">
        <v>5.4050743855508578</v>
      </c>
      <c r="N172">
        <v>5.9020948016957835</v>
      </c>
      <c r="O172">
        <v>6.4401479828001147</v>
      </c>
      <c r="P172">
        <v>10.401021667516074</v>
      </c>
      <c r="Q172">
        <v>11.275664305156809</v>
      </c>
      <c r="R172">
        <v>12.207417921581008</v>
      </c>
      <c r="S172">
        <v>20.773150199361567</v>
      </c>
      <c r="T172">
        <v>22.137510158872402</v>
      </c>
      <c r="U172">
        <v>23.532098808193588</v>
      </c>
      <c r="V172">
        <v>4.7812723755717119</v>
      </c>
      <c r="W172">
        <v>5.2227471273069517</v>
      </c>
      <c r="X172">
        <v>5.7011565156348922</v>
      </c>
      <c r="Y172">
        <v>9.2348944026560496</v>
      </c>
      <c r="Z172">
        <v>10.017998256437515</v>
      </c>
      <c r="AA172">
        <v>10.853707768919058</v>
      </c>
      <c r="AB172">
        <v>18.607999844831937</v>
      </c>
      <c r="AC172">
        <v>19.856754694317154</v>
      </c>
      <c r="AD172">
        <v>21.136452402277833</v>
      </c>
      <c r="AE172">
        <v>4.7852869689919011</v>
      </c>
      <c r="AF172">
        <v>5.2271797665999111</v>
      </c>
      <c r="AG172">
        <v>5.7060225428092899</v>
      </c>
      <c r="AH172">
        <v>9.243260969815676</v>
      </c>
      <c r="AI172">
        <v>10.02721502116859</v>
      </c>
      <c r="AJ172">
        <v>10.863829593400855</v>
      </c>
      <c r="AK172">
        <v>18.627751779169632</v>
      </c>
      <c r="AL172">
        <v>19.878290077217848</v>
      </c>
      <c r="AM172">
        <v>21.160326942002101</v>
      </c>
    </row>
    <row r="173" spans="1:39" x14ac:dyDescent="0.25">
      <c r="A173" s="147">
        <f t="shared" si="2"/>
        <v>12</v>
      </c>
      <c r="C173" s="149">
        <v>12.000000000000016</v>
      </c>
      <c r="D173" s="2">
        <v>5.3982531284920059</v>
      </c>
      <c r="E173">
        <v>5.89455137435775</v>
      </c>
      <c r="F173">
        <v>6.4318585847941776</v>
      </c>
      <c r="G173">
        <v>10.386844090731403</v>
      </c>
      <c r="H173">
        <v>11.260058985822694</v>
      </c>
      <c r="I173">
        <v>12.190271840199689</v>
      </c>
      <c r="J173">
        <v>20.739931247995244</v>
      </c>
      <c r="K173">
        <v>22.101376819404912</v>
      </c>
      <c r="L173">
        <v>23.492890230561869</v>
      </c>
      <c r="M173">
        <v>5.3978649203042783</v>
      </c>
      <c r="N173">
        <v>5.894253223389752</v>
      </c>
      <c r="O173">
        <v>6.4316275803508027</v>
      </c>
      <c r="P173">
        <v>10.3877154370615</v>
      </c>
      <c r="Q173">
        <v>11.261355105282767</v>
      </c>
      <c r="R173">
        <v>12.192061293241157</v>
      </c>
      <c r="S173">
        <v>20.749382035093703</v>
      </c>
      <c r="T173">
        <v>22.1126419110157</v>
      </c>
      <c r="U173">
        <v>23.506190718871164</v>
      </c>
      <c r="V173">
        <v>4.7688365322322417</v>
      </c>
      <c r="W173">
        <v>5.2091595699574409</v>
      </c>
      <c r="X173">
        <v>5.6863200671887357</v>
      </c>
      <c r="Y173">
        <v>9.2108085037091385</v>
      </c>
      <c r="Z173">
        <v>9.9918559189724263</v>
      </c>
      <c r="AA173">
        <v>10.825367670311099</v>
      </c>
      <c r="AB173">
        <v>18.559076705523125</v>
      </c>
      <c r="AC173">
        <v>19.804476282343632</v>
      </c>
      <c r="AD173">
        <v>21.08071570112287</v>
      </c>
      <c r="AE173">
        <v>4.7728286248345233</v>
      </c>
      <c r="AF173">
        <v>5.2135677126855731</v>
      </c>
      <c r="AG173">
        <v>5.6911594157468031</v>
      </c>
      <c r="AH173">
        <v>9.2191328370619416</v>
      </c>
      <c r="AI173">
        <v>10.001027153982744</v>
      </c>
      <c r="AJ173">
        <v>10.835440467731644</v>
      </c>
      <c r="AK173">
        <v>18.578750472477964</v>
      </c>
      <c r="AL173">
        <v>19.825929502304795</v>
      </c>
      <c r="AM173">
        <v>21.104505091581672</v>
      </c>
    </row>
    <row r="174" spans="1:39" x14ac:dyDescent="0.25">
      <c r="A174" s="147">
        <f t="shared" si="2"/>
        <v>13</v>
      </c>
      <c r="C174" s="149">
        <v>12.08333333333335</v>
      </c>
      <c r="D174" s="2">
        <v>5.3910379982529939</v>
      </c>
      <c r="E174">
        <v>5.8867039984068184</v>
      </c>
      <c r="F174">
        <v>6.4233325013148344</v>
      </c>
      <c r="G174">
        <v>10.373536523580615</v>
      </c>
      <c r="H174">
        <v>11.24575019241991</v>
      </c>
      <c r="I174">
        <v>12.17491795987608</v>
      </c>
      <c r="J174">
        <v>20.716211829480009</v>
      </c>
      <c r="K174">
        <v>22.076569751011107</v>
      </c>
      <c r="L174">
        <v>23.467057986692467</v>
      </c>
      <c r="M174">
        <v>5.3906521610770657</v>
      </c>
      <c r="N174">
        <v>5.886408625660569</v>
      </c>
      <c r="O174">
        <v>6.4231045767073889</v>
      </c>
      <c r="P174">
        <v>10.374413939824763</v>
      </c>
      <c r="Q174">
        <v>11.247053369810677</v>
      </c>
      <c r="R174">
        <v>12.176715530186943</v>
      </c>
      <c r="S174">
        <v>20.72568571854449</v>
      </c>
      <c r="T174">
        <v>22.087861568654837</v>
      </c>
      <c r="U174">
        <v>23.480389321349492</v>
      </c>
      <c r="V174">
        <v>4.7563780469307151</v>
      </c>
      <c r="W174">
        <v>5.1955481952474916</v>
      </c>
      <c r="X174">
        <v>5.6714587190978154</v>
      </c>
      <c r="Y174">
        <v>9.1866963773904846</v>
      </c>
      <c r="Z174">
        <v>9.965688791366361</v>
      </c>
      <c r="AA174">
        <v>10.797005076960417</v>
      </c>
      <c r="AB174">
        <v>18.510198174667064</v>
      </c>
      <c r="AC174">
        <v>19.75226295599261</v>
      </c>
      <c r="AD174">
        <v>21.025068676819007</v>
      </c>
      <c r="AE174">
        <v>4.7603476228339821</v>
      </c>
      <c r="AF174">
        <v>5.1999318254710332</v>
      </c>
      <c r="AG174">
        <v>5.6762713734023684</v>
      </c>
      <c r="AH174">
        <v>9.1949784738212479</v>
      </c>
      <c r="AI174">
        <v>9.9748144989994589</v>
      </c>
      <c r="AJ174">
        <v>10.807028856773179</v>
      </c>
      <c r="AK174">
        <v>18.529793922970594</v>
      </c>
      <c r="AL174">
        <v>19.773634199738961</v>
      </c>
      <c r="AM174">
        <v>21.048773147422079</v>
      </c>
    </row>
    <row r="175" spans="1:39" x14ac:dyDescent="0.25">
      <c r="A175" s="147">
        <f t="shared" si="2"/>
        <v>13</v>
      </c>
      <c r="C175" s="149">
        <v>12.166666666666684</v>
      </c>
      <c r="D175" s="2">
        <v>5.3838196082822689</v>
      </c>
      <c r="E175">
        <v>5.8788536405273195</v>
      </c>
      <c r="F175">
        <v>6.4148038579142286</v>
      </c>
      <c r="G175">
        <v>10.360233757291288</v>
      </c>
      <c r="H175">
        <v>11.231448936017461</v>
      </c>
      <c r="I175">
        <v>12.159575022312392</v>
      </c>
      <c r="J175">
        <v>20.692564328722689</v>
      </c>
      <c r="K175">
        <v>22.051850640967992</v>
      </c>
      <c r="L175">
        <v>23.441332462082435</v>
      </c>
      <c r="M175">
        <v>5.383436100890207</v>
      </c>
      <c r="N175">
        <v>5.8785610009893396</v>
      </c>
      <c r="O175">
        <v>6.4145789637464556</v>
      </c>
      <c r="P175">
        <v>10.361117161402099</v>
      </c>
      <c r="Q175">
        <v>11.232759082153798</v>
      </c>
      <c r="R175">
        <v>12.161380612996709</v>
      </c>
      <c r="S175">
        <v>20.702061155463653</v>
      </c>
      <c r="T175">
        <v>22.063169011301426</v>
      </c>
      <c r="U175">
        <v>23.454694461518251</v>
      </c>
      <c r="V175">
        <v>4.7438968541803774</v>
      </c>
      <c r="W175">
        <v>5.1819129328281504</v>
      </c>
      <c r="X175">
        <v>5.6565723959215699</v>
      </c>
      <c r="Y175">
        <v>9.1625579146004412</v>
      </c>
      <c r="Z175">
        <v>9.9394967575038624</v>
      </c>
      <c r="AA175">
        <v>10.768619865185727</v>
      </c>
      <c r="AB175">
        <v>18.461364019012823</v>
      </c>
      <c r="AC175">
        <v>19.70011444866411</v>
      </c>
      <c r="AD175">
        <v>20.969511019992517</v>
      </c>
      <c r="AE175">
        <v>4.7478438974252182</v>
      </c>
      <c r="AF175">
        <v>5.1862720345203748</v>
      </c>
      <c r="AG175">
        <v>5.6613583402403496</v>
      </c>
      <c r="AH175">
        <v>9.1707977708337189</v>
      </c>
      <c r="AI175">
        <v>9.9485769399223649</v>
      </c>
      <c r="AJ175">
        <v>10.778594636639099</v>
      </c>
      <c r="AK175">
        <v>18.480881896869359</v>
      </c>
      <c r="AL175">
        <v>19.721403902310762</v>
      </c>
      <c r="AM175">
        <v>20.993130799436472</v>
      </c>
    </row>
    <row r="176" spans="1:39" x14ac:dyDescent="0.25">
      <c r="A176" s="147">
        <f t="shared" si="2"/>
        <v>13</v>
      </c>
      <c r="C176" s="149">
        <v>12.250000000000018</v>
      </c>
      <c r="D176" s="2">
        <v>5.3765979516017843</v>
      </c>
      <c r="E176">
        <v>5.8710002931980059</v>
      </c>
      <c r="F176">
        <v>6.4062726464622539</v>
      </c>
      <c r="G176">
        <v>10.346935777406632</v>
      </c>
      <c r="H176">
        <v>11.217155199962011</v>
      </c>
      <c r="I176">
        <v>12.14424300800534</v>
      </c>
      <c r="J176">
        <v>20.668988651267505</v>
      </c>
      <c r="K176">
        <v>22.027219368587954</v>
      </c>
      <c r="L176">
        <v>23.415713502457695</v>
      </c>
      <c r="M176">
        <v>5.3762167327577792</v>
      </c>
      <c r="N176">
        <v>5.8707103418484081</v>
      </c>
      <c r="O176">
        <v>6.4060507333351353</v>
      </c>
      <c r="P176">
        <v>10.347825087385051</v>
      </c>
      <c r="Q176">
        <v>11.218472225721111</v>
      </c>
      <c r="R176">
        <v>12.146056522255993</v>
      </c>
      <c r="S176">
        <v>20.678508251857487</v>
      </c>
      <c r="T176">
        <v>22.038564118832298</v>
      </c>
      <c r="U176">
        <v>23.429105985793008</v>
      </c>
      <c r="V176">
        <v>4.7313928883212242</v>
      </c>
      <c r="W176">
        <v>5.1682537121663223</v>
      </c>
      <c r="X176">
        <v>5.6416610220195587</v>
      </c>
      <c r="Y176">
        <v>9.1383930059716398</v>
      </c>
      <c r="Z176">
        <v>9.9132797009863527</v>
      </c>
      <c r="AA176">
        <v>10.740211911008064</v>
      </c>
      <c r="AB176">
        <v>18.412574005283613</v>
      </c>
      <c r="AC176">
        <v>19.648030493893632</v>
      </c>
      <c r="AD176">
        <v>20.914042421610574</v>
      </c>
      <c r="AE176">
        <v>4.7353173828706305</v>
      </c>
      <c r="AF176">
        <v>5.1725882692153284</v>
      </c>
      <c r="AG176">
        <v>5.6464202405261661</v>
      </c>
      <c r="AH176">
        <v>9.1465906185666075</v>
      </c>
      <c r="AI176">
        <v>9.9223143601725905</v>
      </c>
      <c r="AJ176">
        <v>10.750137683153445</v>
      </c>
      <c r="AK176">
        <v>18.432014160382828</v>
      </c>
      <c r="AL176">
        <v>19.669238342945935</v>
      </c>
      <c r="AM176">
        <v>20.937577737872445</v>
      </c>
    </row>
    <row r="177" spans="1:39" x14ac:dyDescent="0.25">
      <c r="A177" s="147">
        <f t="shared" si="2"/>
        <v>13</v>
      </c>
      <c r="C177" s="149">
        <v>12.333333333333352</v>
      </c>
      <c r="D177" s="2">
        <v>5.3693730212248596</v>
      </c>
      <c r="E177">
        <v>5.8631439488877035</v>
      </c>
      <c r="F177">
        <v>6.3977388588188262</v>
      </c>
      <c r="G177">
        <v>10.333642569465415</v>
      </c>
      <c r="H177">
        <v>11.202868967598127</v>
      </c>
      <c r="I177">
        <v>12.128921897455935</v>
      </c>
      <c r="J177">
        <v>20.645484702919173</v>
      </c>
      <c r="K177">
        <v>22.002675813558962</v>
      </c>
      <c r="L177">
        <v>23.390200954070515</v>
      </c>
      <c r="M177">
        <v>5.368994049684602</v>
      </c>
      <c r="N177">
        <v>5.8628566407021276</v>
      </c>
      <c r="O177">
        <v>6.3975198773323516</v>
      </c>
      <c r="P177">
        <v>10.334537703363925</v>
      </c>
      <c r="Q177">
        <v>11.204192783924491</v>
      </c>
      <c r="R177">
        <v>12.130743238554253</v>
      </c>
      <c r="S177">
        <v>20.655026913991634</v>
      </c>
      <c r="T177">
        <v>22.014046771495345</v>
      </c>
      <c r="U177">
        <v>23.4036237411025</v>
      </c>
      <c r="V177">
        <v>4.7188660835211635</v>
      </c>
      <c r="W177">
        <v>5.1545704625418773</v>
      </c>
      <c r="X177">
        <v>5.6267245215511323</v>
      </c>
      <c r="Y177">
        <v>9.1142015418563922</v>
      </c>
      <c r="Z177">
        <v>9.8870375051321897</v>
      </c>
      <c r="AA177">
        <v>10.71178109016525</v>
      </c>
      <c r="AB177">
        <v>18.363827900195584</v>
      </c>
      <c r="AC177">
        <v>19.596010825344695</v>
      </c>
      <c r="AD177">
        <v>20.858662572978325</v>
      </c>
      <c r="AE177">
        <v>4.7227680132594072</v>
      </c>
      <c r="AF177">
        <v>5.1588804587483086</v>
      </c>
      <c r="AG177">
        <v>5.6314569983260228</v>
      </c>
      <c r="AH177">
        <v>9.1223569072133373</v>
      </c>
      <c r="AI177">
        <v>9.8960266428874988</v>
      </c>
      <c r="AJ177">
        <v>10.721657871848933</v>
      </c>
      <c r="AK177">
        <v>18.383190479700275</v>
      </c>
      <c r="AL177">
        <v>19.6171372547016</v>
      </c>
      <c r="AM177">
        <v>20.882113653326332</v>
      </c>
    </row>
    <row r="178" spans="1:39" x14ac:dyDescent="0.25">
      <c r="A178" s="147">
        <f t="shared" si="2"/>
        <v>13</v>
      </c>
      <c r="C178" s="149">
        <v>12.416666666666686</v>
      </c>
      <c r="D178" s="2">
        <v>5.362144810154561</v>
      </c>
      <c r="E178">
        <v>5.8552846000567254</v>
      </c>
      <c r="F178">
        <v>6.3892024868358037</v>
      </c>
      <c r="G178">
        <v>10.320354119006744</v>
      </c>
      <c r="H178">
        <v>11.188590222270486</v>
      </c>
      <c r="I178">
        <v>12.113611671175661</v>
      </c>
      <c r="J178">
        <v>20.622052389734357</v>
      </c>
      <c r="K178">
        <v>21.978219855929673</v>
      </c>
      <c r="L178">
        <v>23.364794663686943</v>
      </c>
      <c r="M178">
        <v>5.3617680446667011</v>
      </c>
      <c r="N178">
        <v>5.8549998900058782</v>
      </c>
      <c r="O178">
        <v>6.3889863875876678</v>
      </c>
      <c r="P178">
        <v>10.321254994920555</v>
      </c>
      <c r="Q178">
        <v>11.189920740173807</v>
      </c>
      <c r="R178">
        <v>12.115440742485987</v>
      </c>
      <c r="S178">
        <v>20.631617048389288</v>
      </c>
      <c r="T178">
        <v>21.989616849904131</v>
      </c>
      <c r="U178">
        <v>23.378247574886124</v>
      </c>
      <c r="V178">
        <v>4.7063163737736318</v>
      </c>
      <c r="W178">
        <v>5.1408631130475602</v>
      </c>
      <c r="X178">
        <v>5.6117628184787209</v>
      </c>
      <c r="Y178">
        <v>9.0899834123368564</v>
      </c>
      <c r="Z178">
        <v>9.8607700529734714</v>
      </c>
      <c r="AA178">
        <v>10.683327278098259</v>
      </c>
      <c r="AB178">
        <v>18.315125470430495</v>
      </c>
      <c r="AC178">
        <v>19.544055176806374</v>
      </c>
      <c r="AD178">
        <v>20.803371165736927</v>
      </c>
      <c r="AE178">
        <v>4.710195722505949</v>
      </c>
      <c r="AF178">
        <v>5.1451485321272274</v>
      </c>
      <c r="AG178">
        <v>5.616468537506111</v>
      </c>
      <c r="AH178">
        <v>9.0980965266892557</v>
      </c>
      <c r="AI178">
        <v>9.8697136709194613</v>
      </c>
      <c r="AJ178">
        <v>10.6931550779669</v>
      </c>
      <c r="AK178">
        <v>18.334410620987775</v>
      </c>
      <c r="AL178">
        <v>19.565100370763084</v>
      </c>
      <c r="AM178">
        <v>20.826738236726015</v>
      </c>
    </row>
    <row r="179" spans="1:39" x14ac:dyDescent="0.25">
      <c r="A179" s="147">
        <f t="shared" si="2"/>
        <v>13</v>
      </c>
      <c r="C179" s="149">
        <v>12.50000000000002</v>
      </c>
      <c r="D179" s="2">
        <v>4.7980610515562798</v>
      </c>
      <c r="E179">
        <v>5.2373311276355654</v>
      </c>
      <c r="F179">
        <v>5.7125084722460766</v>
      </c>
      <c r="G179">
        <v>9.1977802134113364</v>
      </c>
      <c r="H179">
        <v>9.9642020423850024</v>
      </c>
      <c r="I179">
        <v>10.779281696193287</v>
      </c>
      <c r="J179">
        <v>18.19651657072</v>
      </c>
      <c r="K179">
        <v>19.363147553842918</v>
      </c>
      <c r="L179">
        <v>20.550654707249613</v>
      </c>
      <c r="M179">
        <v>4.7965675477663918</v>
      </c>
      <c r="N179">
        <v>5.235817001603694</v>
      </c>
      <c r="O179">
        <v>5.7109393559647987</v>
      </c>
      <c r="P179">
        <v>9.1963354843458447</v>
      </c>
      <c r="Q179">
        <v>9.962945522193527</v>
      </c>
      <c r="R179">
        <v>10.778260531217512</v>
      </c>
      <c r="S179">
        <v>18.200360107894241</v>
      </c>
      <c r="T179">
        <v>19.368270609537717</v>
      </c>
      <c r="U179">
        <v>20.557225869214882</v>
      </c>
      <c r="V179">
        <v>4.2352018924268293</v>
      </c>
      <c r="W179">
        <v>4.6246301348319179</v>
      </c>
      <c r="X179">
        <v>5.0463077738222912</v>
      </c>
      <c r="Y179">
        <v>8.1499827927570223</v>
      </c>
      <c r="Z179">
        <v>8.8350045663856438</v>
      </c>
      <c r="AA179">
        <v>9.5648562883242239</v>
      </c>
      <c r="AB179">
        <v>16.270581341302066</v>
      </c>
      <c r="AC179">
        <v>17.337462461278179</v>
      </c>
      <c r="AD179">
        <v>18.426093133362084</v>
      </c>
      <c r="AE179">
        <v>4.2379780609314999</v>
      </c>
      <c r="AF179">
        <v>4.627705236729259</v>
      </c>
      <c r="AG179">
        <v>5.0496860334152203</v>
      </c>
      <c r="AH179">
        <v>8.1558617524234744</v>
      </c>
      <c r="AI179">
        <v>8.8415031364806058</v>
      </c>
      <c r="AJ179">
        <v>9.5720098351009799</v>
      </c>
      <c r="AK179">
        <v>16.2848272674245</v>
      </c>
      <c r="AL179">
        <v>17.35303728136973</v>
      </c>
      <c r="AM179">
        <v>18.443558552383259</v>
      </c>
    </row>
    <row r="180" spans="1:39" x14ac:dyDescent="0.25">
      <c r="A180" s="147">
        <f t="shared" si="2"/>
        <v>13</v>
      </c>
      <c r="C180" s="149">
        <v>12.583333333333353</v>
      </c>
      <c r="D180" s="2">
        <v>4.7916767294574232</v>
      </c>
      <c r="E180">
        <v>5.2303870653634377</v>
      </c>
      <c r="F180">
        <v>5.7049633791688814</v>
      </c>
      <c r="G180">
        <v>9.1859953263194285</v>
      </c>
      <c r="H180">
        <v>9.9515274960268343</v>
      </c>
      <c r="I180">
        <v>10.765677360719057</v>
      </c>
      <c r="J180">
        <v>18.175383491766702</v>
      </c>
      <c r="K180">
        <v>19.3410113650211</v>
      </c>
      <c r="L180">
        <v>20.527561116997965</v>
      </c>
      <c r="M180">
        <v>4.7901966374705598</v>
      </c>
      <c r="N180">
        <v>5.228887716071128</v>
      </c>
      <c r="O180">
        <v>5.7034103633355375</v>
      </c>
      <c r="P180">
        <v>9.1845768127162479</v>
      </c>
      <c r="Q180">
        <v>9.9502996483619235</v>
      </c>
      <c r="R180">
        <v>10.764687439109542</v>
      </c>
      <c r="S180">
        <v>18.179284154000463</v>
      </c>
      <c r="T180">
        <v>19.346196267849983</v>
      </c>
      <c r="U180">
        <v>20.534199130224145</v>
      </c>
      <c r="V180">
        <v>4.2241740171529312</v>
      </c>
      <c r="W180">
        <v>4.6125869502114911</v>
      </c>
      <c r="X180">
        <v>5.0331648146882584</v>
      </c>
      <c r="Y180">
        <v>8.1287353098890769</v>
      </c>
      <c r="Z180">
        <v>8.811965334163073</v>
      </c>
      <c r="AA180">
        <v>9.5399064504752911</v>
      </c>
      <c r="AB180">
        <v>16.227976302865187</v>
      </c>
      <c r="AC180">
        <v>17.29202571041888</v>
      </c>
      <c r="AD180">
        <v>18.377753292567785</v>
      </c>
      <c r="AE180">
        <v>4.2269450943942477</v>
      </c>
      <c r="AF180">
        <v>4.6156565466517208</v>
      </c>
      <c r="AG180">
        <v>5.0365370949831032</v>
      </c>
      <c r="AH180">
        <v>8.1346051861013606</v>
      </c>
      <c r="AI180">
        <v>8.8184542372824275</v>
      </c>
      <c r="AJ180">
        <v>9.5470497058427597</v>
      </c>
      <c r="AK180">
        <v>16.242208147194759</v>
      </c>
      <c r="AL180">
        <v>17.307586263797575</v>
      </c>
      <c r="AM180">
        <v>18.395205181038335</v>
      </c>
    </row>
    <row r="181" spans="1:39" x14ac:dyDescent="0.25">
      <c r="A181" s="147">
        <f t="shared" si="2"/>
        <v>13</v>
      </c>
      <c r="C181" s="149">
        <v>12.666666666666687</v>
      </c>
      <c r="D181" s="2">
        <v>4.7852891185984667</v>
      </c>
      <c r="E181">
        <v>5.2234398583559063</v>
      </c>
      <c r="F181">
        <v>5.6974153895153963</v>
      </c>
      <c r="G181">
        <v>9.1742125737549358</v>
      </c>
      <c r="H181">
        <v>9.9388570212981726</v>
      </c>
      <c r="I181">
        <v>10.752079520184651</v>
      </c>
      <c r="J181">
        <v>18.154300332509692</v>
      </c>
      <c r="K181">
        <v>19.318936396501101</v>
      </c>
      <c r="L181">
        <v>20.504541889684027</v>
      </c>
      <c r="M181">
        <v>4.783822359640542</v>
      </c>
      <c r="N181">
        <v>5.2219551991969189</v>
      </c>
      <c r="O181">
        <v>5.6958783786217762</v>
      </c>
      <c r="P181">
        <v>9.1728201101594777</v>
      </c>
      <c r="Q181">
        <v>9.937657664332967</v>
      </c>
      <c r="R181">
        <v>10.751120642120599</v>
      </c>
      <c r="S181">
        <v>18.158257733340882</v>
      </c>
      <c r="T181">
        <v>19.324182727004349</v>
      </c>
      <c r="U181">
        <v>20.511246300206764</v>
      </c>
      <c r="V181">
        <v>4.2131252241197163</v>
      </c>
      <c r="W181">
        <v>4.6005216359250287</v>
      </c>
      <c r="X181">
        <v>5.01999856099558</v>
      </c>
      <c r="Y181">
        <v>8.1074610343236895</v>
      </c>
      <c r="Z181">
        <v>8.7888998434682968</v>
      </c>
      <c r="AA181">
        <v>9.5149314924888237</v>
      </c>
      <c r="AB181">
        <v>16.185389923441576</v>
      </c>
      <c r="AC181">
        <v>17.24662148020812</v>
      </c>
      <c r="AD181">
        <v>18.32946264448524</v>
      </c>
      <c r="AE181">
        <v>4.2158911084481714</v>
      </c>
      <c r="AF181">
        <v>4.6035856160791848</v>
      </c>
      <c r="AG181">
        <v>5.0233647413385771</v>
      </c>
      <c r="AH181">
        <v>8.1133216357737297</v>
      </c>
      <c r="AI181">
        <v>8.7953788731822922</v>
      </c>
      <c r="AJ181">
        <v>9.5220642342251267</v>
      </c>
      <c r="AK181">
        <v>16.19960733618862</v>
      </c>
      <c r="AL181">
        <v>17.262167400934953</v>
      </c>
      <c r="AM181">
        <v>18.346900619788094</v>
      </c>
    </row>
    <row r="182" spans="1:39" x14ac:dyDescent="0.25">
      <c r="A182" s="147">
        <f t="shared" si="2"/>
        <v>13</v>
      </c>
      <c r="C182" s="149">
        <v>12.750000000000021</v>
      </c>
      <c r="D182" s="2">
        <v>4.7788982127948527</v>
      </c>
      <c r="E182">
        <v>5.2164894999573521</v>
      </c>
      <c r="F182">
        <v>5.6898644961110474</v>
      </c>
      <c r="G182">
        <v>9.1624319437060286</v>
      </c>
      <c r="H182">
        <v>9.9261906046456598</v>
      </c>
      <c r="I182">
        <v>10.738488159088721</v>
      </c>
      <c r="J182">
        <v>18.133267030169279</v>
      </c>
      <c r="K182">
        <v>19.296922569479094</v>
      </c>
      <c r="L182">
        <v>20.481596926175822</v>
      </c>
      <c r="M182">
        <v>4.7774447080834124</v>
      </c>
      <c r="N182">
        <v>5.2150194443202427</v>
      </c>
      <c r="O182">
        <v>5.6883433946499959</v>
      </c>
      <c r="P182">
        <v>9.1610653647542453</v>
      </c>
      <c r="Q182">
        <v>9.9250195566749646</v>
      </c>
      <c r="R182">
        <v>10.737560124910159</v>
      </c>
      <c r="S182">
        <v>18.137280783950153</v>
      </c>
      <c r="T182">
        <v>19.302229909186323</v>
      </c>
      <c r="U182">
        <v>20.488367281220821</v>
      </c>
      <c r="V182">
        <v>4.2020554538703898</v>
      </c>
      <c r="W182">
        <v>4.5884341280207392</v>
      </c>
      <c r="X182">
        <v>5.0068089440781911</v>
      </c>
      <c r="Y182">
        <v>8.0861598665003971</v>
      </c>
      <c r="Z182">
        <v>8.7658079885087758</v>
      </c>
      <c r="AA182">
        <v>9.4899313020049867</v>
      </c>
      <c r="AB182">
        <v>16.142822012850612</v>
      </c>
      <c r="AC182">
        <v>17.201249559860273</v>
      </c>
      <c r="AD182">
        <v>18.281220952593628</v>
      </c>
      <c r="AE182">
        <v>4.2048160434587274</v>
      </c>
      <c r="AF182">
        <v>4.5914923808735866</v>
      </c>
      <c r="AG182">
        <v>5.0101689036197232</v>
      </c>
      <c r="AH182">
        <v>8.0920110016552727</v>
      </c>
      <c r="AI182">
        <v>8.7722769381655059</v>
      </c>
      <c r="AJ182">
        <v>9.4970533076807104</v>
      </c>
      <c r="AK182">
        <v>16.157024644379074</v>
      </c>
      <c r="AL182">
        <v>17.216780482259729</v>
      </c>
      <c r="AM182">
        <v>18.29864463250766</v>
      </c>
    </row>
    <row r="183" spans="1:39" x14ac:dyDescent="0.25">
      <c r="A183" s="147">
        <f t="shared" si="2"/>
        <v>13</v>
      </c>
      <c r="C183" s="149">
        <v>12.833333333333355</v>
      </c>
      <c r="D183" s="2">
        <v>4.7725040058545325</v>
      </c>
      <c r="E183">
        <v>5.2095359835020725</v>
      </c>
      <c r="F183">
        <v>5.6823106917705761</v>
      </c>
      <c r="G183">
        <v>9.1506534241536137</v>
      </c>
      <c r="H183">
        <v>9.913528232509762</v>
      </c>
      <c r="I183">
        <v>10.724903261929647</v>
      </c>
      <c r="J183">
        <v>18.112283522097371</v>
      </c>
      <c r="K183">
        <v>19.274969805351219</v>
      </c>
      <c r="L183">
        <v>20.458726127625233</v>
      </c>
      <c r="M183">
        <v>4.7710636765984606</v>
      </c>
      <c r="N183">
        <v>5.2080804447721931</v>
      </c>
      <c r="O183">
        <v>5.6808054042393614</v>
      </c>
      <c r="P183">
        <v>9.1493125645718578</v>
      </c>
      <c r="Q183">
        <v>9.9123853119529954</v>
      </c>
      <c r="R183">
        <v>10.724005872135686</v>
      </c>
      <c r="S183">
        <v>18.116353243999189</v>
      </c>
      <c r="T183">
        <v>19.280337736778502</v>
      </c>
      <c r="U183">
        <v>20.465561975602768</v>
      </c>
      <c r="V183">
        <v>4.1909646467900128</v>
      </c>
      <c r="W183">
        <v>4.5763243623779566</v>
      </c>
      <c r="X183">
        <v>4.9935958950884789</v>
      </c>
      <c r="Y183">
        <v>8.0648317066007458</v>
      </c>
      <c r="Z183">
        <v>8.742689663221805</v>
      </c>
      <c r="AA183">
        <v>9.4649057663863587</v>
      </c>
      <c r="AB183">
        <v>16.100272380756547</v>
      </c>
      <c r="AC183">
        <v>17.155909738499862</v>
      </c>
      <c r="AD183">
        <v>18.233027980409716</v>
      </c>
      <c r="AE183">
        <v>4.1937198396339346</v>
      </c>
      <c r="AF183">
        <v>4.5793767767261642</v>
      </c>
      <c r="AG183">
        <v>4.9969495127811996</v>
      </c>
      <c r="AH183">
        <v>8.0706731837024659</v>
      </c>
      <c r="AI183">
        <v>8.7491483259491183</v>
      </c>
      <c r="AJ183">
        <v>9.4720168133577722</v>
      </c>
      <c r="AK183">
        <v>16.11445988157617</v>
      </c>
      <c r="AL183">
        <v>17.171425297159107</v>
      </c>
      <c r="AM183">
        <v>18.250436983100862</v>
      </c>
    </row>
    <row r="184" spans="1:39" x14ac:dyDescent="0.25">
      <c r="A184" s="147">
        <f t="shared" si="2"/>
        <v>13</v>
      </c>
      <c r="C184" s="149">
        <v>12.916666666666689</v>
      </c>
      <c r="D184" s="2">
        <v>4.766106491577764</v>
      </c>
      <c r="E184">
        <v>5.2025793023185756</v>
      </c>
      <c r="F184">
        <v>5.6747539693020386</v>
      </c>
      <c r="G184">
        <v>9.1388770030681634</v>
      </c>
      <c r="H184">
        <v>9.9008698913261952</v>
      </c>
      <c r="I184">
        <v>10.711324813200601</v>
      </c>
      <c r="J184">
        <v>18.091349745792751</v>
      </c>
      <c r="K184">
        <v>19.253078025714252</v>
      </c>
      <c r="L184">
        <v>20.435929395464875</v>
      </c>
      <c r="M184">
        <v>4.7646792589772335</v>
      </c>
      <c r="N184">
        <v>5.2011381938766954</v>
      </c>
      <c r="O184">
        <v>5.6732644001979171</v>
      </c>
      <c r="P184">
        <v>9.1375616976783824</v>
      </c>
      <c r="Q184">
        <v>9.8997549167255734</v>
      </c>
      <c r="R184">
        <v>10.710457868453091</v>
      </c>
      <c r="S184">
        <v>18.095475051801735</v>
      </c>
      <c r="T184">
        <v>19.258506132364051</v>
      </c>
      <c r="U184">
        <v>20.442830285971773</v>
      </c>
      <c r="V184">
        <v>4.1798527431069612</v>
      </c>
      <c r="W184">
        <v>4.5641922747073158</v>
      </c>
      <c r="X184">
        <v>4.9803593449984955</v>
      </c>
      <c r="Y184">
        <v>8.0434764545507615</v>
      </c>
      <c r="Z184">
        <v>8.7195447612783497</v>
      </c>
      <c r="AA184">
        <v>9.4398547727189204</v>
      </c>
      <c r="AB184">
        <v>16.057740836653451</v>
      </c>
      <c r="AC184">
        <v>17.110601805170123</v>
      </c>
      <c r="AD184">
        <v>18.184883491461317</v>
      </c>
      <c r="AE184">
        <v>4.1826024370247836</v>
      </c>
      <c r="AF184">
        <v>4.5672387391588067</v>
      </c>
      <c r="AG184">
        <v>4.9837064995971243</v>
      </c>
      <c r="AH184">
        <v>8.0493080816130842</v>
      </c>
      <c r="AI184">
        <v>8.725992929979796</v>
      </c>
      <c r="AJ184">
        <v>9.4469546381329828</v>
      </c>
      <c r="AK184">
        <v>16.071912857419406</v>
      </c>
      <c r="AL184">
        <v>17.126101634925018</v>
      </c>
      <c r="AM184">
        <v>18.202277435483477</v>
      </c>
    </row>
    <row r="185" spans="1:39" x14ac:dyDescent="0.25">
      <c r="A185" s="147">
        <f t="shared" si="2"/>
        <v>13</v>
      </c>
      <c r="C185" s="149">
        <v>13.000000000000023</v>
      </c>
      <c r="D185" s="2">
        <v>4.7597056637583313</v>
      </c>
      <c r="E185">
        <v>5.1956194497252506</v>
      </c>
      <c r="F185">
        <v>5.6671943215046277</v>
      </c>
      <c r="G185">
        <v>9.1271026684179777</v>
      </c>
      <c r="H185">
        <v>9.8882155675264816</v>
      </c>
      <c r="I185">
        <v>10.697752797395079</v>
      </c>
      <c r="J185">
        <v>18.070465638892887</v>
      </c>
      <c r="K185">
        <v>19.231247152368173</v>
      </c>
      <c r="L185">
        <v>20.41320663141585</v>
      </c>
      <c r="M185">
        <v>4.7582914490040036</v>
      </c>
      <c r="N185">
        <v>5.1941926849507771</v>
      </c>
      <c r="O185">
        <v>5.6657203753292418</v>
      </c>
      <c r="P185">
        <v>9.1258127521294483</v>
      </c>
      <c r="Q185">
        <v>9.8871283575431352</v>
      </c>
      <c r="R185">
        <v>10.696916098513825</v>
      </c>
      <c r="S185">
        <v>18.074646145807979</v>
      </c>
      <c r="T185">
        <v>19.236735018722356</v>
      </c>
      <c r="U185">
        <v>20.420172115220407</v>
      </c>
      <c r="V185">
        <v>4.1687196828924584</v>
      </c>
      <c r="W185">
        <v>4.552037800548816</v>
      </c>
      <c r="X185">
        <v>4.9670992245960397</v>
      </c>
      <c r="Y185">
        <v>8.0220940100182947</v>
      </c>
      <c r="Z185">
        <v>8.6963731760803711</v>
      </c>
      <c r="AA185">
        <v>9.4147782078096434</v>
      </c>
      <c r="AB185">
        <v>16.015227189867474</v>
      </c>
      <c r="AC185">
        <v>17.065325548817945</v>
      </c>
      <c r="AD185">
        <v>18.136787249308412</v>
      </c>
      <c r="AE185">
        <v>4.1714637755236694</v>
      </c>
      <c r="AF185">
        <v>4.5550782035237329</v>
      </c>
      <c r="AG185">
        <v>4.9704397946571657</v>
      </c>
      <c r="AH185">
        <v>8.0279155948296168</v>
      </c>
      <c r="AI185">
        <v>8.7028106434376014</v>
      </c>
      <c r="AJ185">
        <v>9.4218666685953405</v>
      </c>
      <c r="AK185">
        <v>16.029383381379777</v>
      </c>
      <c r="AL185">
        <v>17.080809284766165</v>
      </c>
      <c r="AM185">
        <v>18.154165753595123</v>
      </c>
    </row>
    <row r="186" spans="1:39" x14ac:dyDescent="0.25">
      <c r="A186" s="147">
        <f t="shared" si="2"/>
        <v>14</v>
      </c>
      <c r="C186" s="149">
        <v>13.083333333333357</v>
      </c>
      <c r="D186" s="2">
        <v>4.7533015161811347</v>
      </c>
      <c r="E186">
        <v>5.1886564190345199</v>
      </c>
      <c r="F186">
        <v>5.659631741168262</v>
      </c>
      <c r="G186">
        <v>9.115330408161201</v>
      </c>
      <c r="H186">
        <v>9.8755652475346789</v>
      </c>
      <c r="I186">
        <v>10.684187199006391</v>
      </c>
      <c r="J186">
        <v>18.04963113918112</v>
      </c>
      <c r="K186">
        <v>19.209477107312885</v>
      </c>
      <c r="L186">
        <v>20.390557737476488</v>
      </c>
      <c r="M186">
        <v>4.7519002404557931</v>
      </c>
      <c r="N186">
        <v>5.187243911300385</v>
      </c>
      <c r="O186">
        <v>5.6581733224254105</v>
      </c>
      <c r="P186">
        <v>9.114065715975439</v>
      </c>
      <c r="Q186">
        <v>9.874505620955631</v>
      </c>
      <c r="R186">
        <v>10.683380546970366</v>
      </c>
      <c r="S186">
        <v>18.053866464605846</v>
      </c>
      <c r="T186">
        <v>19.215024318832576</v>
      </c>
      <c r="U186">
        <v>20.397587366529272</v>
      </c>
      <c r="V186">
        <v>4.1575654060591045</v>
      </c>
      <c r="W186">
        <v>4.5398608752734546</v>
      </c>
      <c r="X186">
        <v>4.9538154644875423</v>
      </c>
      <c r="Y186">
        <v>8.0006842724146381</v>
      </c>
      <c r="Z186">
        <v>8.6731748007579377</v>
      </c>
      <c r="AA186">
        <v>9.3896759581835916</v>
      </c>
      <c r="AB186">
        <v>15.972731249559923</v>
      </c>
      <c r="AC186">
        <v>17.020080758307223</v>
      </c>
      <c r="AD186">
        <v>18.088739017523185</v>
      </c>
      <c r="AE186">
        <v>4.1603037948648875</v>
      </c>
      <c r="AF186">
        <v>4.5428951050018247</v>
      </c>
      <c r="AG186">
        <v>4.9571493283686046</v>
      </c>
      <c r="AH186">
        <v>8.0064956225329507</v>
      </c>
      <c r="AI186">
        <v>8.679601359228684</v>
      </c>
      <c r="AJ186">
        <v>9.3967527910591446</v>
      </c>
      <c r="AK186">
        <v>15.986871262757333</v>
      </c>
      <c r="AL186">
        <v>17.035548035791372</v>
      </c>
      <c r="AM186">
        <v>18.106101701391239</v>
      </c>
    </row>
    <row r="187" spans="1:39" x14ac:dyDescent="0.25">
      <c r="A187" s="147">
        <f t="shared" si="2"/>
        <v>14</v>
      </c>
      <c r="C187" s="149">
        <v>13.166666666666691</v>
      </c>
      <c r="D187" s="2">
        <v>4.746894042624433</v>
      </c>
      <c r="E187">
        <v>5.1816902035496817</v>
      </c>
      <c r="F187">
        <v>5.652066221076371</v>
      </c>
      <c r="G187">
        <v>9.1035602102511124</v>
      </c>
      <c r="H187">
        <v>9.8629189177729426</v>
      </c>
      <c r="I187">
        <v>10.670628002520285</v>
      </c>
      <c r="J187">
        <v>18.028846184574302</v>
      </c>
      <c r="K187">
        <v>19.187767812750124</v>
      </c>
      <c r="L187">
        <v>20.367982615931382</v>
      </c>
      <c r="M187">
        <v>4.7455056271018448</v>
      </c>
      <c r="N187">
        <v>5.180291866226403</v>
      </c>
      <c r="O187">
        <v>5.6506232342718015</v>
      </c>
      <c r="P187">
        <v>9.1023205772599969</v>
      </c>
      <c r="Q187">
        <v>9.8618866935048874</v>
      </c>
      <c r="R187">
        <v>10.669851198470022</v>
      </c>
      <c r="S187">
        <v>18.033135946926791</v>
      </c>
      <c r="T187">
        <v>19.193373955871468</v>
      </c>
      <c r="U187">
        <v>20.375075943348691</v>
      </c>
      <c r="V187">
        <v>4.1463898523616383</v>
      </c>
      <c r="W187">
        <v>4.52766143408153</v>
      </c>
      <c r="X187">
        <v>4.9405079950963096</v>
      </c>
      <c r="Y187">
        <v>7.9792471408907222</v>
      </c>
      <c r="Z187">
        <v>8.6499495281735364</v>
      </c>
      <c r="AA187">
        <v>9.3645479100877473</v>
      </c>
      <c r="AB187">
        <v>15.930252824720679</v>
      </c>
      <c r="AC187">
        <v>16.974867222405027</v>
      </c>
      <c r="AD187">
        <v>18.040738559705652</v>
      </c>
      <c r="AE187">
        <v>4.1491224346233206</v>
      </c>
      <c r="AF187">
        <v>4.5306893786033475</v>
      </c>
      <c r="AG187">
        <v>4.943835030955591</v>
      </c>
      <c r="AH187">
        <v>7.9850480636460599</v>
      </c>
      <c r="AI187">
        <v>8.6563649699887613</v>
      </c>
      <c r="AJ187">
        <v>9.3716128915518944</v>
      </c>
      <c r="AK187">
        <v>15.944376310681449</v>
      </c>
      <c r="AL187">
        <v>16.990317677021025</v>
      </c>
      <c r="AM187">
        <v>18.058085042841626</v>
      </c>
    </row>
    <row r="188" spans="1:39" x14ac:dyDescent="0.25">
      <c r="A188" s="147">
        <f t="shared" si="2"/>
        <v>14</v>
      </c>
      <c r="C188" s="149">
        <v>13.250000000000025</v>
      </c>
      <c r="D188" s="2">
        <v>4.7404832368596166</v>
      </c>
      <c r="E188">
        <v>5.1747207965663407</v>
      </c>
      <c r="F188">
        <v>5.6444977540023675</v>
      </c>
      <c r="G188">
        <v>9.0917920626311535</v>
      </c>
      <c r="H188">
        <v>9.850276564657598</v>
      </c>
      <c r="I188">
        <v>10.657075192427646</v>
      </c>
      <c r="J188">
        <v>18.008110713134066</v>
      </c>
      <c r="K188">
        <v>19.166119191081428</v>
      </c>
      <c r="L188">
        <v>20.345481169341546</v>
      </c>
      <c r="M188">
        <v>4.7391076027039922</v>
      </c>
      <c r="N188">
        <v>5.1733365430201506</v>
      </c>
      <c r="O188">
        <v>5.6430701036439368</v>
      </c>
      <c r="P188">
        <v>9.0905773240167811</v>
      </c>
      <c r="Q188">
        <v>9.8492715617264395</v>
      </c>
      <c r="R188">
        <v>10.656328037660359</v>
      </c>
      <c r="S188">
        <v>18.012454531630453</v>
      </c>
      <c r="T188">
        <v>19.171783853214666</v>
      </c>
      <c r="U188">
        <v>20.35263774941345</v>
      </c>
      <c r="V188">
        <v>4.1351929613958287</v>
      </c>
      <c r="W188">
        <v>4.5154394120009158</v>
      </c>
      <c r="X188">
        <v>4.9271767466607619</v>
      </c>
      <c r="Y188">
        <v>7.9577825143393408</v>
      </c>
      <c r="Z188">
        <v>8.6266972509164805</v>
      </c>
      <c r="AA188">
        <v>9.3393939494858529</v>
      </c>
      <c r="AB188">
        <v>15.887791724169146</v>
      </c>
      <c r="AC188">
        <v>16.929684729791116</v>
      </c>
      <c r="AD188">
        <v>17.99278563946439</v>
      </c>
      <c r="AE188">
        <v>4.1379196342152413</v>
      </c>
      <c r="AF188">
        <v>4.5184609591670331</v>
      </c>
      <c r="AG188">
        <v>4.9304968324560488</v>
      </c>
      <c r="AH188">
        <v>7.9635728168299842</v>
      </c>
      <c r="AI188">
        <v>8.633101368081201</v>
      </c>
      <c r="AJ188">
        <v>9.3464468558235616</v>
      </c>
      <c r="AK188">
        <v>15.901898334107599</v>
      </c>
      <c r="AL188">
        <v>16.945117997374389</v>
      </c>
      <c r="AM188">
        <v>18.010115541929849</v>
      </c>
    </row>
    <row r="189" spans="1:39" x14ac:dyDescent="0.25">
      <c r="A189" s="147">
        <f t="shared" si="2"/>
        <v>14</v>
      </c>
      <c r="C189" s="149">
        <v>13.333333333333359</v>
      </c>
      <c r="D189" s="2">
        <v>4.7340690926485687</v>
      </c>
      <c r="E189">
        <v>5.1677481913721675</v>
      </c>
      <c r="F189">
        <v>5.6369263327117682</v>
      </c>
      <c r="G189">
        <v>9.0800259532398826</v>
      </c>
      <c r="H189">
        <v>9.8376381745969574</v>
      </c>
      <c r="I189">
        <v>10.643528753211733</v>
      </c>
      <c r="J189">
        <v>17.987424663062967</v>
      </c>
      <c r="K189">
        <v>19.144531164910127</v>
      </c>
      <c r="L189">
        <v>20.323053300556836</v>
      </c>
      <c r="M189">
        <v>4.7327061610164201</v>
      </c>
      <c r="N189">
        <v>5.1663779349656398</v>
      </c>
      <c r="O189">
        <v>5.6355139233100955</v>
      </c>
      <c r="P189">
        <v>9.0788359442765696</v>
      </c>
      <c r="Q189">
        <v>9.836660212153733</v>
      </c>
      <c r="R189">
        <v>10.642811049183663</v>
      </c>
      <c r="S189">
        <v>17.991822157726347</v>
      </c>
      <c r="T189">
        <v>19.150253934429301</v>
      </c>
      <c r="U189">
        <v>20.330272688730712</v>
      </c>
      <c r="V189">
        <v>4.1239746725977122</v>
      </c>
      <c r="W189">
        <v>4.5031947438904174</v>
      </c>
      <c r="X189">
        <v>4.9138216492366595</v>
      </c>
      <c r="Y189">
        <v>7.9362902913918205</v>
      </c>
      <c r="Z189">
        <v>8.6034178613045977</v>
      </c>
      <c r="AA189">
        <v>9.3142139620610553</v>
      </c>
      <c r="AB189">
        <v>15.845347756557196</v>
      </c>
      <c r="AC189">
        <v>16.884533069049901</v>
      </c>
      <c r="AD189">
        <v>17.944880020432404</v>
      </c>
      <c r="AE189">
        <v>4.1266953328969045</v>
      </c>
      <c r="AF189">
        <v>4.5062097813592468</v>
      </c>
      <c r="AG189">
        <v>4.9171346627250667</v>
      </c>
      <c r="AH189">
        <v>7.9420697804865412</v>
      </c>
      <c r="AI189">
        <v>8.6098104455978959</v>
      </c>
      <c r="AJ189">
        <v>9.3212545693373237</v>
      </c>
      <c r="AK189">
        <v>15.859437141816009</v>
      </c>
      <c r="AL189">
        <v>16.899948785677619</v>
      </c>
      <c r="AM189">
        <v>17.962192962656246</v>
      </c>
    </row>
    <row r="190" spans="1:39" x14ac:dyDescent="0.25">
      <c r="A190" s="147">
        <f t="shared" si="2"/>
        <v>14</v>
      </c>
      <c r="C190" s="149">
        <v>13.416666666666693</v>
      </c>
      <c r="D190" s="2">
        <v>4.7276516037479759</v>
      </c>
      <c r="E190">
        <v>5.1607723812474431</v>
      </c>
      <c r="F190">
        <v>5.6293519499617561</v>
      </c>
      <c r="G190">
        <v>9.0682618700084117</v>
      </c>
      <c r="H190">
        <v>9.8250037339985301</v>
      </c>
      <c r="I190">
        <v>10.629988669357452</v>
      </c>
      <c r="J190">
        <v>17.96678797270059</v>
      </c>
      <c r="K190">
        <v>19.123003657037881</v>
      </c>
      <c r="L190">
        <v>20.300698912703346</v>
      </c>
      <c r="M190">
        <v>4.7263012957858415</v>
      </c>
      <c r="N190">
        <v>5.1594160353386638</v>
      </c>
      <c r="O190">
        <v>5.6279546860298542</v>
      </c>
      <c r="P190">
        <v>9.0670964260576419</v>
      </c>
      <c r="Q190">
        <v>9.8240526313108543</v>
      </c>
      <c r="R190">
        <v>10.629300217683761</v>
      </c>
      <c r="S190">
        <v>17.971238764356507</v>
      </c>
      <c r="T190">
        <v>19.128784123292725</v>
      </c>
      <c r="U190">
        <v>20.307980665589064</v>
      </c>
      <c r="V190">
        <v>4.1127349252445571</v>
      </c>
      <c r="W190">
        <v>4.4909273644347092</v>
      </c>
      <c r="X190">
        <v>4.900442632694098</v>
      </c>
      <c r="Y190">
        <v>7.914770370419749</v>
      </c>
      <c r="Z190">
        <v>8.580111251383709</v>
      </c>
      <c r="AA190">
        <v>9.2890078332130805</v>
      </c>
      <c r="AB190">
        <v>15.802920730357828</v>
      </c>
      <c r="AC190">
        <v>16.839412028668331</v>
      </c>
      <c r="AD190">
        <v>17.897021466253758</v>
      </c>
      <c r="AE190">
        <v>4.11544946976408</v>
      </c>
      <c r="AF190">
        <v>4.4939357796744144</v>
      </c>
      <c r="AG190">
        <v>4.9037484514312855</v>
      </c>
      <c r="AH190">
        <v>7.9205388527541656</v>
      </c>
      <c r="AI190">
        <v>8.5864920943542771</v>
      </c>
      <c r="AJ190">
        <v>9.2960359172740308</v>
      </c>
      <c r="AK190">
        <v>15.816992542414944</v>
      </c>
      <c r="AL190">
        <v>16.854809830658692</v>
      </c>
      <c r="AM190">
        <v>17.914317069030595</v>
      </c>
    </row>
    <row r="191" spans="1:39" x14ac:dyDescent="0.25">
      <c r="A191" s="147">
        <f t="shared" si="2"/>
        <v>14</v>
      </c>
      <c r="C191" s="149">
        <v>13.500000000000027</v>
      </c>
      <c r="D191" s="2">
        <v>4.70435385264964</v>
      </c>
      <c r="E191">
        <v>5.1333989014446697</v>
      </c>
      <c r="F191">
        <v>5.597176441239295</v>
      </c>
      <c r="G191">
        <v>8.9878847521751037</v>
      </c>
      <c r="H191">
        <v>9.7307904521943733</v>
      </c>
      <c r="I191">
        <v>10.519679460348595</v>
      </c>
      <c r="J191">
        <v>17.635091284407931</v>
      </c>
      <c r="K191">
        <v>18.741969344437067</v>
      </c>
      <c r="L191">
        <v>19.864523721640182</v>
      </c>
      <c r="M191">
        <v>4.7017193461040536</v>
      </c>
      <c r="N191">
        <v>5.1306398087101019</v>
      </c>
      <c r="O191">
        <v>5.59424891602327</v>
      </c>
      <c r="P191">
        <v>8.9842285263326893</v>
      </c>
      <c r="Q191">
        <v>9.7271286776047781</v>
      </c>
      <c r="R191">
        <v>10.516047416032571</v>
      </c>
      <c r="S191">
        <v>17.634362869242185</v>
      </c>
      <c r="T191">
        <v>18.742186311381467</v>
      </c>
      <c r="U191">
        <v>19.865829586660126</v>
      </c>
      <c r="V191">
        <v>4.0873562450756289</v>
      </c>
      <c r="W191">
        <v>4.4616435063337736</v>
      </c>
      <c r="X191">
        <v>4.866614430881536</v>
      </c>
      <c r="Y191">
        <v>7.8369373171267096</v>
      </c>
      <c r="Z191">
        <v>8.4899245298440764</v>
      </c>
      <c r="AA191">
        <v>9.1845416671539066</v>
      </c>
      <c r="AB191">
        <v>15.505826029902284</v>
      </c>
      <c r="AC191">
        <v>16.499747334619379</v>
      </c>
      <c r="AD191">
        <v>17.509787815637537</v>
      </c>
      <c r="AE191">
        <v>4.0892384860523991</v>
      </c>
      <c r="AF191">
        <v>4.4637409962159271</v>
      </c>
      <c r="AG191">
        <v>4.8689239536137165</v>
      </c>
      <c r="AH191">
        <v>7.8410601528411537</v>
      </c>
      <c r="AI191">
        <v>8.4945115257783392</v>
      </c>
      <c r="AJ191">
        <v>9.1896163711454761</v>
      </c>
      <c r="AK191">
        <v>15.516364473611617</v>
      </c>
      <c r="AL191">
        <v>16.511333723338012</v>
      </c>
      <c r="AM191">
        <v>17.522996592586257</v>
      </c>
    </row>
    <row r="192" spans="1:39" x14ac:dyDescent="0.25">
      <c r="A192" s="147">
        <f t="shared" si="2"/>
        <v>14</v>
      </c>
      <c r="C192" s="149">
        <v>13.583333333333361</v>
      </c>
      <c r="D192" s="2">
        <v>4.6979362167050045</v>
      </c>
      <c r="E192">
        <v>5.1264266072639408</v>
      </c>
      <c r="F192">
        <v>5.589610202029748</v>
      </c>
      <c r="G192">
        <v>8.9761825455652851</v>
      </c>
      <c r="H192">
        <v>9.7182340483329561</v>
      </c>
      <c r="I192">
        <v>10.506236184528827</v>
      </c>
      <c r="J192">
        <v>17.614777596261138</v>
      </c>
      <c r="K192">
        <v>18.72080486178865</v>
      </c>
      <c r="L192">
        <v>19.842572349676757</v>
      </c>
      <c r="M192">
        <v>4.695329792086449</v>
      </c>
      <c r="N192">
        <v>5.1236982247142873</v>
      </c>
      <c r="O192">
        <v>5.5867160548113359</v>
      </c>
      <c r="P192">
        <v>8.9725791641931067</v>
      </c>
      <c r="Q192">
        <v>9.7146295088638723</v>
      </c>
      <c r="R192">
        <v>10.502665937715925</v>
      </c>
      <c r="S192">
        <v>17.614151825378915</v>
      </c>
      <c r="T192">
        <v>18.721130939331225</v>
      </c>
      <c r="U192">
        <v>19.843993898619591</v>
      </c>
      <c r="V192">
        <v>4.0761050131689807</v>
      </c>
      <c r="W192">
        <v>4.4493702852310824</v>
      </c>
      <c r="X192">
        <v>4.8532369883933528</v>
      </c>
      <c r="Y192">
        <v>7.8155160653094615</v>
      </c>
      <c r="Z192">
        <v>8.4667483473026905</v>
      </c>
      <c r="AA192">
        <v>9.1595040301316608</v>
      </c>
      <c r="AB192">
        <v>15.464133696418781</v>
      </c>
      <c r="AC192">
        <v>16.455489786080005</v>
      </c>
      <c r="AD192">
        <v>17.462936421552957</v>
      </c>
      <c r="AE192">
        <v>4.0779996088210577</v>
      </c>
      <c r="AF192">
        <v>4.451481282471109</v>
      </c>
      <c r="AG192">
        <v>4.8555612333040123</v>
      </c>
      <c r="AH192">
        <v>7.8196627274372501</v>
      </c>
      <c r="AI192">
        <v>8.4713612217300653</v>
      </c>
      <c r="AJ192">
        <v>9.1646067693699838</v>
      </c>
      <c r="AK192">
        <v>15.474720488088419</v>
      </c>
      <c r="AL192">
        <v>16.467127897620127</v>
      </c>
      <c r="AM192">
        <v>17.476201106393045</v>
      </c>
    </row>
    <row r="193" spans="1:39" x14ac:dyDescent="0.25">
      <c r="A193" s="147">
        <f t="shared" si="2"/>
        <v>14</v>
      </c>
      <c r="C193" s="149">
        <v>13.666666666666694</v>
      </c>
      <c r="D193" s="2">
        <v>4.6915153016083977</v>
      </c>
      <c r="E193">
        <v>5.1194511767985986</v>
      </c>
      <c r="F193">
        <v>5.5820410716888524</v>
      </c>
      <c r="G193">
        <v>8.9644823583821509</v>
      </c>
      <c r="H193">
        <v>9.7056815386650257</v>
      </c>
      <c r="I193">
        <v>10.492799139450238</v>
      </c>
      <c r="J193">
        <v>17.59451100620177</v>
      </c>
      <c r="K193">
        <v>18.699697888456093</v>
      </c>
      <c r="L193">
        <v>19.82069050333941</v>
      </c>
      <c r="M193">
        <v>4.6889368223722414</v>
      </c>
      <c r="N193">
        <v>5.1167533540169083</v>
      </c>
      <c r="O193">
        <v>5.5791801364602707</v>
      </c>
      <c r="P193">
        <v>8.9609315318090026</v>
      </c>
      <c r="Q193">
        <v>9.7021339153413706</v>
      </c>
      <c r="R193">
        <v>10.489290338934914</v>
      </c>
      <c r="S193">
        <v>17.593987188451472</v>
      </c>
      <c r="T193">
        <v>18.700132324067368</v>
      </c>
      <c r="U193">
        <v>19.822226918919366</v>
      </c>
      <c r="V193">
        <v>4.064832321920508</v>
      </c>
      <c r="W193">
        <v>4.4370743564895694</v>
      </c>
      <c r="X193">
        <v>4.8398356345518723</v>
      </c>
      <c r="Y193">
        <v>7.7940670749625518</v>
      </c>
      <c r="Z193">
        <v>8.4435448595636053</v>
      </c>
      <c r="AA193">
        <v>9.134440098572453</v>
      </c>
      <c r="AB193">
        <v>15.422455560230645</v>
      </c>
      <c r="AC193">
        <v>16.411259142401153</v>
      </c>
      <c r="AD193">
        <v>17.416127126530981</v>
      </c>
      <c r="AE193">
        <v>4.066739065264585</v>
      </c>
      <c r="AF193">
        <v>4.4391986343147929</v>
      </c>
      <c r="AG193">
        <v>4.842174353371659</v>
      </c>
      <c r="AH193">
        <v>7.7982371525961574</v>
      </c>
      <c r="AI193">
        <v>8.4481831646266254</v>
      </c>
      <c r="AJ193">
        <v>9.1395703855188355</v>
      </c>
      <c r="AK193">
        <v>15.433089830110482</v>
      </c>
      <c r="AL193">
        <v>16.422948043560027</v>
      </c>
      <c r="AM193">
        <v>17.429446718732905</v>
      </c>
    </row>
    <row r="194" spans="1:39" x14ac:dyDescent="0.25">
      <c r="A194" s="147">
        <f t="shared" si="2"/>
        <v>14</v>
      </c>
      <c r="C194" s="149">
        <v>13.750000000000028</v>
      </c>
      <c r="D194" s="2">
        <v>4.6850911011115901</v>
      </c>
      <c r="E194">
        <v>5.1124726033216898</v>
      </c>
      <c r="F194">
        <v>5.5744690429644681</v>
      </c>
      <c r="G194">
        <v>8.9527841785566693</v>
      </c>
      <c r="H194">
        <v>9.6931329096221486</v>
      </c>
      <c r="I194">
        <v>10.479368309663139</v>
      </c>
      <c r="J194">
        <v>17.574291455505161</v>
      </c>
      <c r="K194">
        <v>18.678648351534921</v>
      </c>
      <c r="L194">
        <v>19.798878091939571</v>
      </c>
      <c r="M194">
        <v>4.6825404307060809</v>
      </c>
      <c r="N194">
        <v>5.1098051898928549</v>
      </c>
      <c r="O194">
        <v>5.571641153732183</v>
      </c>
      <c r="P194">
        <v>8.9492856172849287</v>
      </c>
      <c r="Q194">
        <v>9.6896418836942892</v>
      </c>
      <c r="R194">
        <v>10.475920604533062</v>
      </c>
      <c r="S194">
        <v>17.573868901128517</v>
      </c>
      <c r="T194">
        <v>18.679190394354197</v>
      </c>
      <c r="U194">
        <v>19.800528558860041</v>
      </c>
      <c r="V194">
        <v>4.0535381103341583</v>
      </c>
      <c r="W194">
        <v>4.4247556545159661</v>
      </c>
      <c r="X194">
        <v>4.8264102989441309</v>
      </c>
      <c r="Y194">
        <v>7.7725902442309796</v>
      </c>
      <c r="Z194">
        <v>8.4203139584879008</v>
      </c>
      <c r="AA194">
        <v>9.1093497577596203</v>
      </c>
      <c r="AB194">
        <v>15.380791433212325</v>
      </c>
      <c r="AC194">
        <v>16.36705519715662</v>
      </c>
      <c r="AD194">
        <v>17.3693597016957</v>
      </c>
      <c r="AE194">
        <v>4.0554567940796487</v>
      </c>
      <c r="AF194">
        <v>4.4268929858308859</v>
      </c>
      <c r="AG194">
        <v>4.8287632430682272</v>
      </c>
      <c r="AH194">
        <v>7.7767833261320503</v>
      </c>
      <c r="AI194">
        <v>8.42497724602738</v>
      </c>
      <c r="AJ194">
        <v>9.1145071046105226</v>
      </c>
      <c r="AK194">
        <v>15.391472312283124</v>
      </c>
      <c r="AL194">
        <v>16.378793955751277</v>
      </c>
      <c r="AM194">
        <v>17.382733202087064</v>
      </c>
    </row>
    <row r="195" spans="1:39" x14ac:dyDescent="0.25">
      <c r="A195" s="147">
        <f t="shared" si="2"/>
        <v>14</v>
      </c>
      <c r="C195" s="149">
        <v>13.833333333333362</v>
      </c>
      <c r="D195" s="2">
        <v>4.6786636089582476</v>
      </c>
      <c r="E195">
        <v>5.1054908800973768</v>
      </c>
      <c r="F195">
        <v>5.5668941085952532</v>
      </c>
      <c r="G195">
        <v>8.941087994014195</v>
      </c>
      <c r="H195">
        <v>9.6805881476289706</v>
      </c>
      <c r="I195">
        <v>10.465943679718334</v>
      </c>
      <c r="J195">
        <v>17.554118885577665</v>
      </c>
      <c r="K195">
        <v>18.657656178303014</v>
      </c>
      <c r="L195">
        <v>19.777135025043528</v>
      </c>
      <c r="M195">
        <v>4.6761406108254739</v>
      </c>
      <c r="N195">
        <v>5.1028537256100677</v>
      </c>
      <c r="O195">
        <v>5.5640990993784882</v>
      </c>
      <c r="P195">
        <v>8.9376414087166971</v>
      </c>
      <c r="Q195">
        <v>9.6771534005740278</v>
      </c>
      <c r="R195">
        <v>10.462556719351795</v>
      </c>
      <c r="S195">
        <v>17.553796906201459</v>
      </c>
      <c r="T195">
        <v>18.658305079132546</v>
      </c>
      <c r="U195">
        <v>19.778898729995277</v>
      </c>
      <c r="V195">
        <v>4.0422223172529845</v>
      </c>
      <c r="W195">
        <v>4.4124141135430461</v>
      </c>
      <c r="X195">
        <v>4.8129609109697959</v>
      </c>
      <c r="Y195">
        <v>7.7510854709962667</v>
      </c>
      <c r="Z195">
        <v>8.3970555356630037</v>
      </c>
      <c r="AA195">
        <v>9.0842328926910554</v>
      </c>
      <c r="AB195">
        <v>15.339141127048642</v>
      </c>
      <c r="AC195">
        <v>16.322877743805673</v>
      </c>
      <c r="AD195">
        <v>17.322633918149577</v>
      </c>
      <c r="AE195">
        <v>4.0441527338009688</v>
      </c>
      <c r="AF195">
        <v>4.4145642709295911</v>
      </c>
      <c r="AG195">
        <v>4.8153278314588484</v>
      </c>
      <c r="AH195">
        <v>7.7553011455950243</v>
      </c>
      <c r="AI195">
        <v>8.4017433572125562</v>
      </c>
      <c r="AJ195">
        <v>9.0894168113747682</v>
      </c>
      <c r="AK195">
        <v>15.349867747014082</v>
      </c>
      <c r="AL195">
        <v>16.334665428663321</v>
      </c>
      <c r="AM195">
        <v>17.336060328904701</v>
      </c>
    </row>
    <row r="196" spans="1:39" x14ac:dyDescent="0.25">
      <c r="A196" s="147">
        <f t="shared" si="2"/>
        <v>14</v>
      </c>
      <c r="C196" s="149">
        <v>13.916666666666696</v>
      </c>
      <c r="D196" s="2">
        <v>4.6722328188849387</v>
      </c>
      <c r="E196">
        <v>5.0985060003833969</v>
      </c>
      <c r="F196">
        <v>5.5593162613110598</v>
      </c>
      <c r="G196">
        <v>8.929393792672105</v>
      </c>
      <c r="H196">
        <v>9.6680472391062544</v>
      </c>
      <c r="I196">
        <v>10.452525234163016</v>
      </c>
      <c r="J196">
        <v>17.533993237952348</v>
      </c>
      <c r="K196">
        <v>18.636721296224191</v>
      </c>
      <c r="L196">
        <v>19.755461212471182</v>
      </c>
      <c r="M196">
        <v>4.6697373564597022</v>
      </c>
      <c r="N196">
        <v>5.0958989544278523</v>
      </c>
      <c r="O196">
        <v>5.5565539661452146</v>
      </c>
      <c r="P196">
        <v>8.9259988941949224</v>
      </c>
      <c r="Q196">
        <v>9.6646684526262998</v>
      </c>
      <c r="R196">
        <v>10.449198668229421</v>
      </c>
      <c r="S196">
        <v>17.533771146587092</v>
      </c>
      <c r="T196">
        <v>18.637476307527308</v>
      </c>
      <c r="U196">
        <v>19.757337344125904</v>
      </c>
      <c r="V196">
        <v>4.0308848813593583</v>
      </c>
      <c r="W196">
        <v>4.4000496676305403</v>
      </c>
      <c r="X196">
        <v>4.7994873998433452</v>
      </c>
      <c r="Y196">
        <v>7.7295526528784482</v>
      </c>
      <c r="Z196">
        <v>8.3737694824019915</v>
      </c>
      <c r="AA196">
        <v>9.0590893880798848</v>
      </c>
      <c r="AB196">
        <v>15.297504453234898</v>
      </c>
      <c r="AC196">
        <v>16.278726575684569</v>
      </c>
      <c r="AD196">
        <v>17.275949546977053</v>
      </c>
      <c r="AE196">
        <v>4.032826822801999</v>
      </c>
      <c r="AF196">
        <v>4.4022124233469029</v>
      </c>
      <c r="AG196">
        <v>4.801868047420351</v>
      </c>
      <c r="AH196">
        <v>7.7337905082704621</v>
      </c>
      <c r="AI196">
        <v>8.3784813891873799</v>
      </c>
      <c r="AJ196">
        <v>9.0642993902556697</v>
      </c>
      <c r="AK196">
        <v>15.308275946519625</v>
      </c>
      <c r="AL196">
        <v>16.290562256637394</v>
      </c>
      <c r="AM196">
        <v>17.289427871610897</v>
      </c>
    </row>
    <row r="197" spans="1:39" x14ac:dyDescent="0.25">
      <c r="A197" s="147">
        <f t="shared" si="2"/>
        <v>14</v>
      </c>
      <c r="C197" s="149">
        <v>14.00000000000003</v>
      </c>
      <c r="D197" s="2">
        <v>4.6657987246202888</v>
      </c>
      <c r="E197">
        <v>5.0915179574272926</v>
      </c>
      <c r="F197">
        <v>5.5517354938345491</v>
      </c>
      <c r="G197">
        <v>8.9177015624407918</v>
      </c>
      <c r="H197">
        <v>9.6555101704687711</v>
      </c>
      <c r="I197">
        <v>10.439112957543561</v>
      </c>
      <c r="J197">
        <v>17.513914454296188</v>
      </c>
      <c r="K197">
        <v>18.615843632943054</v>
      </c>
      <c r="L197">
        <v>19.733856564305128</v>
      </c>
      <c r="M197">
        <v>4.6633306613312424</v>
      </c>
      <c r="N197">
        <v>5.0889408695968434</v>
      </c>
      <c r="O197">
        <v>5.5490057467674774</v>
      </c>
      <c r="P197">
        <v>8.9143580618003249</v>
      </c>
      <c r="Q197">
        <v>9.6521870264908145</v>
      </c>
      <c r="R197">
        <v>10.435846436002047</v>
      </c>
      <c r="S197">
        <v>17.513791565331204</v>
      </c>
      <c r="T197">
        <v>18.616704008837349</v>
      </c>
      <c r="U197">
        <v>19.735844313303023</v>
      </c>
      <c r="V197">
        <v>4.0195257411731724</v>
      </c>
      <c r="W197">
        <v>4.3876622506641025</v>
      </c>
      <c r="X197">
        <v>4.785989694591775</v>
      </c>
      <c r="Y197">
        <v>7.7079916872310426</v>
      </c>
      <c r="Z197">
        <v>8.3504556897418141</v>
      </c>
      <c r="AA197">
        <v>9.0339191283516698</v>
      </c>
      <c r="AB197">
        <v>15.255881223079918</v>
      </c>
      <c r="AC197">
        <v>16.234601486010177</v>
      </c>
      <c r="AD197">
        <v>17.229306359236904</v>
      </c>
      <c r="AE197">
        <v>4.0214789992929489</v>
      </c>
      <c r="AF197">
        <v>4.3898373766431309</v>
      </c>
      <c r="AG197">
        <v>4.7883838196428341</v>
      </c>
      <c r="AH197">
        <v>7.7122513111783348</v>
      </c>
      <c r="AI197">
        <v>8.3551912326789992</v>
      </c>
      <c r="AJ197">
        <v>9.0391547254086042</v>
      </c>
      <c r="AK197">
        <v>15.266696722818864</v>
      </c>
      <c r="AL197">
        <v>16.246484233891067</v>
      </c>
      <c r="AM197">
        <v>17.242835602593686</v>
      </c>
    </row>
    <row r="198" spans="1:39" x14ac:dyDescent="0.25">
      <c r="A198" s="147">
        <f t="shared" si="2"/>
        <v>15</v>
      </c>
      <c r="C198" s="149">
        <v>14.083333333333364</v>
      </c>
      <c r="D198" s="2">
        <v>4.6593613198853969</v>
      </c>
      <c r="E198">
        <v>5.0845267444705238</v>
      </c>
      <c r="F198">
        <v>5.5441517988786844</v>
      </c>
      <c r="G198">
        <v>8.9060112912229652</v>
      </c>
      <c r="H198">
        <v>9.6429769281263731</v>
      </c>
      <c r="I198">
        <v>10.425706834401977</v>
      </c>
      <c r="J198">
        <v>17.493882476402174</v>
      </c>
      <c r="K198">
        <v>18.59502311629204</v>
      </c>
      <c r="L198">
        <v>19.71232099087613</v>
      </c>
      <c r="M198">
        <v>4.6569205191542533</v>
      </c>
      <c r="N198">
        <v>5.0819794643606233</v>
      </c>
      <c r="O198">
        <v>5.5414544339735361</v>
      </c>
      <c r="P198">
        <v>8.9027188996080806</v>
      </c>
      <c r="Q198">
        <v>9.6397091088029008</v>
      </c>
      <c r="R198">
        <v>10.4225000075014</v>
      </c>
      <c r="S198">
        <v>17.493858105602087</v>
      </c>
      <c r="T198">
        <v>18.595988112545363</v>
      </c>
      <c r="U198">
        <v>19.714419549828861</v>
      </c>
      <c r="V198">
        <v>4.0081448350534776</v>
      </c>
      <c r="W198">
        <v>4.3752517963549646</v>
      </c>
      <c r="X198">
        <v>4.7724677240552786</v>
      </c>
      <c r="Y198">
        <v>7.6864024711464136</v>
      </c>
      <c r="Z198">
        <v>8.3271140484422492</v>
      </c>
      <c r="AA198">
        <v>9.0087219976464361</v>
      </c>
      <c r="AB198">
        <v>15.214271247694674</v>
      </c>
      <c r="AC198">
        <v>16.190502267878742</v>
      </c>
      <c r="AD198">
        <v>17.182704125966858</v>
      </c>
      <c r="AE198">
        <v>4.0101092013215043</v>
      </c>
      <c r="AF198">
        <v>4.3774390642038998</v>
      </c>
      <c r="AG198">
        <v>4.7748750766271257</v>
      </c>
      <c r="AH198">
        <v>7.6906834510730153</v>
      </c>
      <c r="AI198">
        <v>8.3318727781360931</v>
      </c>
      <c r="AJ198">
        <v>9.0139827006996978</v>
      </c>
      <c r="AK198">
        <v>15.225129887733786</v>
      </c>
      <c r="AL198">
        <v>16.202431154508318</v>
      </c>
      <c r="AM198">
        <v>17.19628329421451</v>
      </c>
    </row>
    <row r="199" spans="1:39" x14ac:dyDescent="0.25">
      <c r="A199" s="147">
        <f t="shared" si="2"/>
        <v>15</v>
      </c>
      <c r="C199" s="149">
        <v>14.166666666666698</v>
      </c>
      <c r="D199" s="2">
        <v>4.652920598394342</v>
      </c>
      <c r="E199">
        <v>5.0775323547457498</v>
      </c>
      <c r="F199">
        <v>5.5365651691487745</v>
      </c>
      <c r="G199">
        <v>8.8943229669153698</v>
      </c>
      <c r="H199">
        <v>9.6304474984832389</v>
      </c>
      <c r="I199">
        <v>10.412306849279913</v>
      </c>
      <c r="J199">
        <v>17.473897246194344</v>
      </c>
      <c r="K199">
        <v>18.574259674283457</v>
      </c>
      <c r="L199">
        <v>19.690854402774505</v>
      </c>
      <c r="M199">
        <v>4.6505069236357466</v>
      </c>
      <c r="N199">
        <v>5.0750147319545942</v>
      </c>
      <c r="O199">
        <v>5.5339000204817896</v>
      </c>
      <c r="P199">
        <v>8.8910813956840951</v>
      </c>
      <c r="Q199">
        <v>9.6272346861901639</v>
      </c>
      <c r="R199">
        <v>10.409159367558759</v>
      </c>
      <c r="S199">
        <v>17.473970710693944</v>
      </c>
      <c r="T199">
        <v>18.575328548305727</v>
      </c>
      <c r="U199">
        <v>19.693062966250405</v>
      </c>
      <c r="V199">
        <v>3.9967421011951627</v>
      </c>
      <c r="W199">
        <v>4.3628182382390515</v>
      </c>
      <c r="X199">
        <v>4.7589214168853893</v>
      </c>
      <c r="Y199">
        <v>7.664784901449158</v>
      </c>
      <c r="Z199">
        <v>8.3037444489873717</v>
      </c>
      <c r="AA199">
        <v>8.9834978798160101</v>
      </c>
      <c r="AB199">
        <v>15.172674338002665</v>
      </c>
      <c r="AC199">
        <v>16.146428714263774</v>
      </c>
      <c r="AD199">
        <v>17.13614261817786</v>
      </c>
      <c r="AE199">
        <v>3.9987173667716984</v>
      </c>
      <c r="AF199">
        <v>4.3650174192387627</v>
      </c>
      <c r="AG199">
        <v>4.7613417466857335</v>
      </c>
      <c r="AH199">
        <v>7.6690868244418873</v>
      </c>
      <c r="AI199">
        <v>8.3085259157280973</v>
      </c>
      <c r="AJ199">
        <v>8.9887831997047947</v>
      </c>
      <c r="AK199">
        <v>15.183575252886504</v>
      </c>
      <c r="AL199">
        <v>16.158402812448369</v>
      </c>
      <c r="AM199">
        <v>17.149770718797765</v>
      </c>
    </row>
    <row r="200" spans="1:39" x14ac:dyDescent="0.25">
      <c r="A200" s="147">
        <f t="shared" si="2"/>
        <v>15</v>
      </c>
      <c r="C200" s="149">
        <v>14.250000000000032</v>
      </c>
      <c r="D200" s="2">
        <v>4.6464765538529189</v>
      </c>
      <c r="E200">
        <v>5.0705347814775088</v>
      </c>
      <c r="F200">
        <v>5.5289755973414163</v>
      </c>
      <c r="G200">
        <v>8.8826365774067675</v>
      </c>
      <c r="H200">
        <v>9.6179218679388505</v>
      </c>
      <c r="I200">
        <v>10.398912986716235</v>
      </c>
      <c r="J200">
        <v>17.453958705725356</v>
      </c>
      <c r="K200">
        <v>18.553553235112208</v>
      </c>
      <c r="L200">
        <v>19.669456710845534</v>
      </c>
      <c r="M200">
        <v>4.6440898684749108</v>
      </c>
      <c r="N200">
        <v>5.0680466656049701</v>
      </c>
      <c r="O200">
        <v>5.5263424990028911</v>
      </c>
      <c r="P200">
        <v>8.879445538088758</v>
      </c>
      <c r="Q200">
        <v>9.6147637452752139</v>
      </c>
      <c r="R200">
        <v>10.395824501000444</v>
      </c>
      <c r="S200">
        <v>17.45412932402844</v>
      </c>
      <c r="T200">
        <v>18.554725245957137</v>
      </c>
      <c r="U200">
        <v>19.671774475369403</v>
      </c>
      <c r="V200">
        <v>3.9853174776317468</v>
      </c>
      <c r="W200">
        <v>4.3503615096776329</v>
      </c>
      <c r="X200">
        <v>4.7453507015459264</v>
      </c>
      <c r="Y200">
        <v>7.643138874699293</v>
      </c>
      <c r="Z200">
        <v>8.2803467815804872</v>
      </c>
      <c r="AA200">
        <v>8.9582466584229685</v>
      </c>
      <c r="AB200">
        <v>15.131090304732153</v>
      </c>
      <c r="AC200">
        <v>16.102380618011367</v>
      </c>
      <c r="AD200">
        <v>17.089621606853271</v>
      </c>
      <c r="AE200">
        <v>3.9873034333641573</v>
      </c>
      <c r="AF200">
        <v>4.3525723747808147</v>
      </c>
      <c r="AG200">
        <v>4.7477837579415683</v>
      </c>
      <c r="AH200">
        <v>7.6474613275034304</v>
      </c>
      <c r="AI200">
        <v>8.285150535344922</v>
      </c>
      <c r="AJ200">
        <v>8.9635561057098574</v>
      </c>
      <c r="AK200">
        <v>15.142032629702918</v>
      </c>
      <c r="AL200">
        <v>16.114399001534444</v>
      </c>
      <c r="AM200">
        <v>17.103297648634239</v>
      </c>
    </row>
    <row r="201" spans="1:39" x14ac:dyDescent="0.25">
      <c r="A201" s="147">
        <f t="shared" si="2"/>
        <v>15</v>
      </c>
      <c r="C201" s="149">
        <v>14.333333333333366</v>
      </c>
      <c r="D201" s="2">
        <v>4.6400291799602282</v>
      </c>
      <c r="E201">
        <v>5.0635340178827795</v>
      </c>
      <c r="F201">
        <v>5.5213830761446392</v>
      </c>
      <c r="G201">
        <v>8.8709521105781661</v>
      </c>
      <c r="H201">
        <v>9.6054000228866787</v>
      </c>
      <c r="I201">
        <v>10.385525231245966</v>
      </c>
      <c r="J201">
        <v>17.434066797176474</v>
      </c>
      <c r="K201">
        <v>18.532903727159667</v>
      </c>
      <c r="L201">
        <v>19.648127826187839</v>
      </c>
      <c r="M201">
        <v>4.6376693473641275</v>
      </c>
      <c r="N201">
        <v>5.0610752585315275</v>
      </c>
      <c r="O201">
        <v>5.5187818622387859</v>
      </c>
      <c r="P201">
        <v>8.8678113148721422</v>
      </c>
      <c r="Q201">
        <v>9.6022962726761634</v>
      </c>
      <c r="R201">
        <v>10.382495392651224</v>
      </c>
      <c r="S201">
        <v>17.434333889149137</v>
      </c>
      <c r="T201">
        <v>18.534178135511105</v>
      </c>
      <c r="U201">
        <v>19.650553990230538</v>
      </c>
      <c r="V201">
        <v>3.9738709022326537</v>
      </c>
      <c r="W201">
        <v>4.3378815438550644</v>
      </c>
      <c r="X201">
        <v>4.7317555063113961</v>
      </c>
      <c r="Y201">
        <v>7.621464287189653</v>
      </c>
      <c r="Z201">
        <v>8.2569209361485214</v>
      </c>
      <c r="AA201">
        <v>8.9329682167412958</v>
      </c>
      <c r="AB201">
        <v>15.089518958415114</v>
      </c>
      <c r="AC201">
        <v>16.058357771846069</v>
      </c>
      <c r="AD201">
        <v>17.043140862951159</v>
      </c>
      <c r="AE201">
        <v>3.9758673386548846</v>
      </c>
      <c r="AF201">
        <v>4.3401038636868332</v>
      </c>
      <c r="AG201">
        <v>4.7342010383273569</v>
      </c>
      <c r="AH201">
        <v>7.6258068562098895</v>
      </c>
      <c r="AI201">
        <v>8.2617465265958554</v>
      </c>
      <c r="AJ201">
        <v>8.9383013017092914</v>
      </c>
      <c r="AK201">
        <v>15.100501829404568</v>
      </c>
      <c r="AL201">
        <v>16.070419515462238</v>
      </c>
      <c r="AM201">
        <v>17.056863855979088</v>
      </c>
    </row>
    <row r="202" spans="1:39" x14ac:dyDescent="0.25">
      <c r="A202" s="147">
        <f t="shared" si="2"/>
        <v>15</v>
      </c>
      <c r="C202" s="149">
        <v>14.4166666666667</v>
      </c>
      <c r="D202" s="2">
        <v>4.6335784704068299</v>
      </c>
      <c r="E202">
        <v>5.0565300571698053</v>
      </c>
      <c r="F202">
        <v>5.5137875982381761</v>
      </c>
      <c r="G202">
        <v>8.859269554304456</v>
      </c>
      <c r="H202">
        <v>9.5928819497152862</v>
      </c>
      <c r="I202">
        <v>10.372143567405342</v>
      </c>
      <c r="J202">
        <v>17.414221462859096</v>
      </c>
      <c r="K202">
        <v>18.512311078986833</v>
      </c>
      <c r="L202">
        <v>19.626867660152978</v>
      </c>
      <c r="M202">
        <v>4.6312453539863334</v>
      </c>
      <c r="N202">
        <v>5.05410050394467</v>
      </c>
      <c r="O202">
        <v>5.5112181028827809</v>
      </c>
      <c r="P202">
        <v>8.8561787140794408</v>
      </c>
      <c r="Q202">
        <v>9.5898322550033512</v>
      </c>
      <c r="R202">
        <v>10.369172027331807</v>
      </c>
      <c r="S202">
        <v>17.414584349727107</v>
      </c>
      <c r="T202">
        <v>18.513687147160141</v>
      </c>
      <c r="U202">
        <v>19.629401424129412</v>
      </c>
      <c r="V202">
        <v>3.9624023127034569</v>
      </c>
      <c r="W202">
        <v>4.3253782737809727</v>
      </c>
      <c r="X202">
        <v>4.7181357592675699</v>
      </c>
      <c r="Y202">
        <v>7.5997610349458551</v>
      </c>
      <c r="Z202">
        <v>8.2334668023379241</v>
      </c>
      <c r="AA202">
        <v>8.9076624377534994</v>
      </c>
      <c r="AB202">
        <v>15.047960109389141</v>
      </c>
      <c r="AC202">
        <v>16.014359968361845</v>
      </c>
      <c r="AD202">
        <v>16.996700157396624</v>
      </c>
      <c r="AE202">
        <v>3.9644090200357769</v>
      </c>
      <c r="AF202">
        <v>4.3276118186356189</v>
      </c>
      <c r="AG202">
        <v>4.7205935155861383</v>
      </c>
      <c r="AH202">
        <v>7.604123306242812</v>
      </c>
      <c r="AI202">
        <v>8.238313778807747</v>
      </c>
      <c r="AJ202">
        <v>8.9130186704050463</v>
      </c>
      <c r="AK202">
        <v>15.058982663013246</v>
      </c>
      <c r="AL202">
        <v>16.026464147789085</v>
      </c>
      <c r="AM202">
        <v>17.010469113048192</v>
      </c>
    </row>
    <row r="203" spans="1:39" x14ac:dyDescent="0.25">
      <c r="A203" s="147">
        <f t="shared" si="2"/>
        <v>15</v>
      </c>
      <c r="C203" s="149">
        <v>14.500000000000034</v>
      </c>
      <c r="D203" s="2">
        <v>4.6108916468263548</v>
      </c>
      <c r="E203">
        <v>5.029861654269383</v>
      </c>
      <c r="F203">
        <v>5.4824299141241903</v>
      </c>
      <c r="G203">
        <v>8.7810045343232019</v>
      </c>
      <c r="H203">
        <v>9.501208044881432</v>
      </c>
      <c r="I203">
        <v>10.264899611680582</v>
      </c>
      <c r="J203">
        <v>17.095587555150626</v>
      </c>
      <c r="K203">
        <v>18.14718798474189</v>
      </c>
      <c r="L203">
        <v>19.210030902056147</v>
      </c>
      <c r="M203">
        <v>4.6069675367176952</v>
      </c>
      <c r="N203">
        <v>5.025694919093219</v>
      </c>
      <c r="O203">
        <v>5.4779659744888383</v>
      </c>
      <c r="P203">
        <v>8.7748429120680917</v>
      </c>
      <c r="Q203">
        <v>9.4948207700100955</v>
      </c>
      <c r="R203">
        <v>10.258308257575841</v>
      </c>
      <c r="S203">
        <v>17.089672057017406</v>
      </c>
      <c r="T203">
        <v>18.141840429181119</v>
      </c>
      <c r="U203">
        <v>19.20536850160169</v>
      </c>
      <c r="V203">
        <v>3.9369708295759263</v>
      </c>
      <c r="W203">
        <v>4.2960758015042204</v>
      </c>
      <c r="X203">
        <v>4.6843366340642456</v>
      </c>
      <c r="Y203">
        <v>7.5227415683338572</v>
      </c>
      <c r="Z203">
        <v>8.1443964671478266</v>
      </c>
      <c r="AA203">
        <v>8.8046998092823685</v>
      </c>
      <c r="AB203">
        <v>14.760553983073454</v>
      </c>
      <c r="AC203">
        <v>15.686805324508105</v>
      </c>
      <c r="AD203">
        <v>16.624512985015752</v>
      </c>
      <c r="AE203">
        <v>3.9381384248837201</v>
      </c>
      <c r="AF203">
        <v>4.297391162620511</v>
      </c>
      <c r="AG203">
        <v>4.6857903344103953</v>
      </c>
      <c r="AH203">
        <v>7.5254491843754368</v>
      </c>
      <c r="AI203">
        <v>8.1474408721759737</v>
      </c>
      <c r="AJ203">
        <v>8.8080943843037023</v>
      </c>
      <c r="AK203">
        <v>14.768053024717631</v>
      </c>
      <c r="AL203">
        <v>15.695114588327218</v>
      </c>
      <c r="AM203">
        <v>16.63421687987497</v>
      </c>
    </row>
    <row r="204" spans="1:39" x14ac:dyDescent="0.25">
      <c r="A204" s="147">
        <f t="shared" si="2"/>
        <v>15</v>
      </c>
      <c r="C204" s="149">
        <v>14.583333333333368</v>
      </c>
      <c r="D204" s="2">
        <v>4.604438703146255</v>
      </c>
      <c r="E204">
        <v>5.0228588675996111</v>
      </c>
      <c r="F204">
        <v>5.4748399376101808</v>
      </c>
      <c r="G204">
        <v>8.7693778761967778</v>
      </c>
      <c r="H204">
        <v>9.4887609424836903</v>
      </c>
      <c r="I204">
        <v>10.2516063575145</v>
      </c>
      <c r="J204">
        <v>17.076033150660361</v>
      </c>
      <c r="K204">
        <v>18.126920139716759</v>
      </c>
      <c r="L204">
        <v>19.18912845620331</v>
      </c>
      <c r="M204">
        <v>4.6005575032836763</v>
      </c>
      <c r="N204">
        <v>5.0187389154691431</v>
      </c>
      <c r="O204">
        <v>5.470426765974814</v>
      </c>
      <c r="P204">
        <v>8.7632954434141652</v>
      </c>
      <c r="Q204">
        <v>9.4824590472623509</v>
      </c>
      <c r="R204">
        <v>10.24510677459384</v>
      </c>
      <c r="S204">
        <v>17.070262837099424</v>
      </c>
      <c r="T204">
        <v>18.121725450056665</v>
      </c>
      <c r="U204">
        <v>19.184626483991092</v>
      </c>
      <c r="V204">
        <v>3.9254918930862308</v>
      </c>
      <c r="W204">
        <v>4.283567799577777</v>
      </c>
      <c r="X204">
        <v>4.6707194913514822</v>
      </c>
      <c r="Y204">
        <v>7.5011351811616862</v>
      </c>
      <c r="Z204">
        <v>8.1210696092116308</v>
      </c>
      <c r="AA204">
        <v>8.7795575593595068</v>
      </c>
      <c r="AB204">
        <v>14.719680361193856</v>
      </c>
      <c r="AC204">
        <v>15.64360769861514</v>
      </c>
      <c r="AD204">
        <v>16.578999226558985</v>
      </c>
      <c r="AE204">
        <v>3.9266845714414709</v>
      </c>
      <c r="AF204">
        <v>4.2849105102047229</v>
      </c>
      <c r="AG204">
        <v>4.6722029506936895</v>
      </c>
      <c r="AH204">
        <v>7.5038901080520519</v>
      </c>
      <c r="AI204">
        <v>8.1241651530652419</v>
      </c>
      <c r="AJ204">
        <v>8.7830072837736601</v>
      </c>
      <c r="AK204">
        <v>14.727269856751047</v>
      </c>
      <c r="AL204">
        <v>15.652012796957198</v>
      </c>
      <c r="AM204">
        <v>16.588804980389181</v>
      </c>
    </row>
    <row r="205" spans="1:39" x14ac:dyDescent="0.25">
      <c r="A205" s="147">
        <f t="shared" si="2"/>
        <v>15</v>
      </c>
      <c r="C205" s="149">
        <v>14.666666666666702</v>
      </c>
      <c r="D205" s="2">
        <v>4.5979824964928788</v>
      </c>
      <c r="E205">
        <v>5.0158529603314843</v>
      </c>
      <c r="F205">
        <v>5.4672470834224427</v>
      </c>
      <c r="G205">
        <v>8.7577531404742075</v>
      </c>
      <c r="H205">
        <v>9.4763175791333349</v>
      </c>
      <c r="I205">
        <v>10.238319098029775</v>
      </c>
      <c r="J205">
        <v>17.056523272348453</v>
      </c>
      <c r="K205">
        <v>18.106706435997069</v>
      </c>
      <c r="L205">
        <v>19.168291168310482</v>
      </c>
      <c r="M205">
        <v>4.5941440084674472</v>
      </c>
      <c r="N205">
        <v>5.0117795726338983</v>
      </c>
      <c r="O205">
        <v>5.462884438597313</v>
      </c>
      <c r="P205">
        <v>8.7517494771894846</v>
      </c>
      <c r="Q205">
        <v>9.4701006012577267</v>
      </c>
      <c r="R205">
        <v>10.231910777530823</v>
      </c>
      <c r="S205">
        <v>17.050897148021953</v>
      </c>
      <c r="T205">
        <v>18.101663529665895</v>
      </c>
      <c r="U205">
        <v>19.163948449900246</v>
      </c>
      <c r="V205">
        <v>3.9139909207750989</v>
      </c>
      <c r="W205">
        <v>4.2710364740201241</v>
      </c>
      <c r="X205">
        <v>4.6570777791250828</v>
      </c>
      <c r="Y205">
        <v>7.479500047418302</v>
      </c>
      <c r="Z205">
        <v>8.0977143345231219</v>
      </c>
      <c r="AA205">
        <v>8.7543877743726792</v>
      </c>
      <c r="AB205">
        <v>14.678816604094397</v>
      </c>
      <c r="AC205">
        <v>15.600431598113204</v>
      </c>
      <c r="AD205">
        <v>16.533520861973731</v>
      </c>
      <c r="AE205">
        <v>3.9152083858509754</v>
      </c>
      <c r="AF205">
        <v>4.2724062093059239</v>
      </c>
      <c r="AG205">
        <v>4.6585906415607816</v>
      </c>
      <c r="AH205">
        <v>7.4823016931251818</v>
      </c>
      <c r="AI205">
        <v>8.1008603712316969</v>
      </c>
      <c r="AJ205">
        <v>8.7578919441137604</v>
      </c>
      <c r="AK205">
        <v>14.686495282218019</v>
      </c>
      <c r="AL205">
        <v>15.60893116390117</v>
      </c>
      <c r="AM205">
        <v>16.543427006474829</v>
      </c>
    </row>
    <row r="206" spans="1:39" x14ac:dyDescent="0.25">
      <c r="A206" s="147">
        <f t="shared" si="2"/>
        <v>15</v>
      </c>
      <c r="C206" s="149">
        <v>14.750000000000036</v>
      </c>
      <c r="D206" s="2">
        <v>4.5915230205504294</v>
      </c>
      <c r="E206">
        <v>5.0088439256630997</v>
      </c>
      <c r="F206">
        <v>5.4596513442265087</v>
      </c>
      <c r="G206">
        <v>8.7461303150155913</v>
      </c>
      <c r="H206">
        <v>9.463877941223295</v>
      </c>
      <c r="I206">
        <v>10.225037817802946</v>
      </c>
      <c r="J206">
        <v>17.037057865060785</v>
      </c>
      <c r="K206">
        <v>18.086546805848464</v>
      </c>
      <c r="L206">
        <v>19.147518955038812</v>
      </c>
      <c r="M206">
        <v>4.5877270459503299</v>
      </c>
      <c r="N206">
        <v>5.0048168837967033</v>
      </c>
      <c r="O206">
        <v>5.4553389850494085</v>
      </c>
      <c r="P206">
        <v>8.740205001510331</v>
      </c>
      <c r="Q206">
        <v>9.4577454187239738</v>
      </c>
      <c r="R206">
        <v>10.218720251387573</v>
      </c>
      <c r="S206">
        <v>17.03157493656358</v>
      </c>
      <c r="T206">
        <v>18.081654602576119</v>
      </c>
      <c r="U206">
        <v>19.143334318717777</v>
      </c>
      <c r="V206">
        <v>3.9024678500357783</v>
      </c>
      <c r="W206">
        <v>4.2584817575187257</v>
      </c>
      <c r="X206">
        <v>4.6434114251419203</v>
      </c>
      <c r="Y206">
        <v>7.4578360628423903</v>
      </c>
      <c r="Z206">
        <v>8.0743305324829393</v>
      </c>
      <c r="AA206">
        <v>8.7291903371207926</v>
      </c>
      <c r="AB206">
        <v>14.637962525096752</v>
      </c>
      <c r="AC206">
        <v>15.557276820059146</v>
      </c>
      <c r="AD206">
        <v>16.488077668711242</v>
      </c>
      <c r="AE206">
        <v>3.9037098050859962</v>
      </c>
      <c r="AF206">
        <v>4.2598781921727458</v>
      </c>
      <c r="AG206">
        <v>4.6449533343137013</v>
      </c>
      <c r="AH206">
        <v>7.4606838349051721</v>
      </c>
      <c r="AI206">
        <v>8.0775264156875739</v>
      </c>
      <c r="AJ206">
        <v>8.7327482477945946</v>
      </c>
      <c r="AK206">
        <v>14.645729115532312</v>
      </c>
      <c r="AL206">
        <v>15.56586948770628</v>
      </c>
      <c r="AM206">
        <v>16.498082737536961</v>
      </c>
    </row>
    <row r="207" spans="1:39" x14ac:dyDescent="0.25">
      <c r="A207" s="147">
        <f t="shared" si="2"/>
        <v>15</v>
      </c>
      <c r="C207" s="149">
        <v>14.833333333333369</v>
      </c>
      <c r="D207" s="2">
        <v>4.5850602689953028</v>
      </c>
      <c r="E207">
        <v>5.0018317567846031</v>
      </c>
      <c r="F207">
        <v>5.4520527126797269</v>
      </c>
      <c r="G207">
        <v>8.7345093876745867</v>
      </c>
      <c r="H207">
        <v>9.451442015143531</v>
      </c>
      <c r="I207">
        <v>10.211762501406989</v>
      </c>
      <c r="J207">
        <v>17.01763687376603</v>
      </c>
      <c r="K207">
        <v>18.066441181702675</v>
      </c>
      <c r="L207">
        <v>19.126811733284377</v>
      </c>
      <c r="M207">
        <v>4.5813066094058179</v>
      </c>
      <c r="N207">
        <v>4.9978508421584635</v>
      </c>
      <c r="O207">
        <v>5.4477903980165863</v>
      </c>
      <c r="P207">
        <v>8.7286620044868091</v>
      </c>
      <c r="Q207">
        <v>9.4453934863823186</v>
      </c>
      <c r="R207">
        <v>10.205535181163466</v>
      </c>
      <c r="S207">
        <v>17.012296149616191</v>
      </c>
      <c r="T207">
        <v>18.06169860351379</v>
      </c>
      <c r="U207">
        <v>19.122784010057092</v>
      </c>
      <c r="V207">
        <v>3.8909226180970604</v>
      </c>
      <c r="W207">
        <v>4.2459035825831286</v>
      </c>
      <c r="X207">
        <v>4.6297203569679795</v>
      </c>
      <c r="Y207">
        <v>7.4361431229046318</v>
      </c>
      <c r="Z207">
        <v>8.0509180922094714</v>
      </c>
      <c r="AA207">
        <v>8.7039651301115395</v>
      </c>
      <c r="AB207">
        <v>14.597117937315481</v>
      </c>
      <c r="AC207">
        <v>15.514143161362286</v>
      </c>
      <c r="AD207">
        <v>16.442669424161195</v>
      </c>
      <c r="AE207">
        <v>3.8921887659541534</v>
      </c>
      <c r="AF207">
        <v>4.247326390875747</v>
      </c>
      <c r="AG207">
        <v>4.6312909560636113</v>
      </c>
      <c r="AH207">
        <v>7.4390364284302457</v>
      </c>
      <c r="AI207">
        <v>8.0541631751611327</v>
      </c>
      <c r="AJ207">
        <v>8.7075760769917014</v>
      </c>
      <c r="AK207">
        <v>14.604971170887104</v>
      </c>
      <c r="AL207">
        <v>15.522827566759407</v>
      </c>
      <c r="AM207">
        <v>16.452771952908371</v>
      </c>
    </row>
    <row r="208" spans="1:39" x14ac:dyDescent="0.25">
      <c r="A208" s="147">
        <f t="shared" si="2"/>
        <v>15</v>
      </c>
      <c r="C208" s="149">
        <v>14.916666666666703</v>
      </c>
      <c r="D208" s="2">
        <v>4.5785942354963947</v>
      </c>
      <c r="E208">
        <v>4.9948164468782279</v>
      </c>
      <c r="F208">
        <v>5.4444511814300975</v>
      </c>
      <c r="G208">
        <v>8.7228903462959408</v>
      </c>
      <c r="H208">
        <v>9.4390097872764862</v>
      </c>
      <c r="I208">
        <v>10.198493133413235</v>
      </c>
      <c r="J208">
        <v>16.998260243551492</v>
      </c>
      <c r="K208">
        <v>18.046389496160881</v>
      </c>
      <c r="L208">
        <v>19.106169420173369</v>
      </c>
      <c r="M208">
        <v>4.5748826925000223</v>
      </c>
      <c r="N208">
        <v>4.990881440911755</v>
      </c>
      <c r="O208">
        <v>5.4402386701750149</v>
      </c>
      <c r="P208">
        <v>8.7171204742196071</v>
      </c>
      <c r="Q208">
        <v>9.4330447909469441</v>
      </c>
      <c r="R208">
        <v>10.192355551852591</v>
      </c>
      <c r="S208">
        <v>16.993060734184148</v>
      </c>
      <c r="T208">
        <v>18.041795467366043</v>
      </c>
      <c r="U208">
        <v>19.102297443755859</v>
      </c>
      <c r="V208">
        <v>3.879355162022029</v>
      </c>
      <c r="W208">
        <v>4.2333018815452892</v>
      </c>
      <c r="X208">
        <v>4.6160045019782423</v>
      </c>
      <c r="Y208">
        <v>7.414421122804761</v>
      </c>
      <c r="Z208">
        <v>8.0274769025393695</v>
      </c>
      <c r="AA208">
        <v>8.6787120355587195</v>
      </c>
      <c r="AB208">
        <v>14.556282653647679</v>
      </c>
      <c r="AC208">
        <v>15.471030418781666</v>
      </c>
      <c r="AD208">
        <v>16.397295905651326</v>
      </c>
      <c r="AE208">
        <v>3.8806452050966658</v>
      </c>
      <c r="AF208">
        <v>4.2347507373050108</v>
      </c>
      <c r="AG208">
        <v>4.6176034337281386</v>
      </c>
      <c r="AH208">
        <v>7.4173593684669559</v>
      </c>
      <c r="AI208">
        <v>8.0307705380953678</v>
      </c>
      <c r="AJ208">
        <v>8.6823753135839468</v>
      </c>
      <c r="AK208">
        <v>14.564221262255751</v>
      </c>
      <c r="AL208">
        <v>15.479805199291658</v>
      </c>
      <c r="AM208">
        <v>16.407494431845045</v>
      </c>
    </row>
    <row r="209" spans="1:39" x14ac:dyDescent="0.25">
      <c r="A209" s="147">
        <f t="shared" si="2"/>
        <v>15</v>
      </c>
      <c r="C209" s="149">
        <v>15.000000000000037</v>
      </c>
      <c r="D209" s="2">
        <v>4.5721249137152729</v>
      </c>
      <c r="E209">
        <v>4.9877979891180857</v>
      </c>
      <c r="F209">
        <v>5.4368467431182435</v>
      </c>
      <c r="G209">
        <v>8.7112731787188533</v>
      </c>
      <c r="H209">
        <v>9.4265812439992303</v>
      </c>
      <c r="I209">
        <v>10.185229698390078</v>
      </c>
      <c r="J209">
        <v>16.97892791962348</v>
      </c>
      <c r="K209">
        <v>18.026391681991697</v>
      </c>
      <c r="L209">
        <v>19.085591933067334</v>
      </c>
      <c r="M209">
        <v>4.5684552888906991</v>
      </c>
      <c r="N209">
        <v>4.9839086732417224</v>
      </c>
      <c r="O209">
        <v>5.4326837941928154</v>
      </c>
      <c r="P209">
        <v>8.7055803988018567</v>
      </c>
      <c r="Q209">
        <v>9.4206993191270172</v>
      </c>
      <c r="R209">
        <v>10.17918134844721</v>
      </c>
      <c r="S209">
        <v>16.973868637389923</v>
      </c>
      <c r="T209">
        <v>18.021945129185195</v>
      </c>
      <c r="U209">
        <v>19.081874539875464</v>
      </c>
      <c r="V209">
        <v>3.8677654187081751</v>
      </c>
      <c r="W209">
        <v>4.2206765865579072</v>
      </c>
      <c r="X209">
        <v>4.602263787355227</v>
      </c>
      <c r="Y209">
        <v>7.3926699574723891</v>
      </c>
      <c r="Z209">
        <v>8.0040068520261087</v>
      </c>
      <c r="AA209">
        <v>8.6534309353825591</v>
      </c>
      <c r="AB209">
        <v>14.515456486781442</v>
      </c>
      <c r="AC209">
        <v>15.427938388925167</v>
      </c>
      <c r="AD209">
        <v>16.351956890446104</v>
      </c>
      <c r="AE209">
        <v>3.869079058987368</v>
      </c>
      <c r="AF209">
        <v>4.2221511631718291</v>
      </c>
      <c r="AG209">
        <v>4.6038906940326063</v>
      </c>
      <c r="AH209">
        <v>7.3956525495084353</v>
      </c>
      <c r="AI209">
        <v>8.0073483926481472</v>
      </c>
      <c r="AJ209">
        <v>8.6571458391555201</v>
      </c>
      <c r="AK209">
        <v>14.523479203391091</v>
      </c>
      <c r="AL209">
        <v>15.436802183370359</v>
      </c>
      <c r="AM209">
        <v>16.362249953532071</v>
      </c>
    </row>
    <row r="210" spans="1:39" x14ac:dyDescent="0.25">
      <c r="A210" s="147">
        <f t="shared" si="2"/>
        <v>16</v>
      </c>
      <c r="C210" s="149">
        <v>15.083333333333371</v>
      </c>
      <c r="D210" s="2">
        <v>4.5656522973052498</v>
      </c>
      <c r="E210">
        <v>4.9807763766704101</v>
      </c>
      <c r="F210">
        <v>5.4292393903752192</v>
      </c>
      <c r="G210">
        <v>8.6996578727735159</v>
      </c>
      <c r="H210">
        <v>9.4141563716849799</v>
      </c>
      <c r="I210">
        <v>10.171972180903335</v>
      </c>
      <c r="J210">
        <v>16.959639847308722</v>
      </c>
      <c r="K210">
        <v>18.006447672134293</v>
      </c>
      <c r="L210">
        <v>19.065079189558993</v>
      </c>
      <c r="M210">
        <v>4.5620243922288886</v>
      </c>
      <c r="N210">
        <v>4.9769325323250229</v>
      </c>
      <c r="O210">
        <v>5.4251257627292766</v>
      </c>
      <c r="P210">
        <v>8.6940417663204173</v>
      </c>
      <c r="Q210">
        <v>9.4083570576254338</v>
      </c>
      <c r="R210">
        <v>10.1660125559369</v>
      </c>
      <c r="S210">
        <v>16.95471980646483</v>
      </c>
      <c r="T210">
        <v>18.002147524180227</v>
      </c>
      <c r="U210">
        <v>19.061515218701988</v>
      </c>
      <c r="V210">
        <v>3.8561533248860833</v>
      </c>
      <c r="W210">
        <v>4.2080276295951329</v>
      </c>
      <c r="X210">
        <v>4.5884981400902607</v>
      </c>
      <c r="Y210">
        <v>7.3708895215658004</v>
      </c>
      <c r="Z210">
        <v>7.9805078289395777</v>
      </c>
      <c r="AA210">
        <v>8.6281217112080277</v>
      </c>
      <c r="AB210">
        <v>14.474639249190062</v>
      </c>
      <c r="AC210">
        <v>15.384866868249405</v>
      </c>
      <c r="AD210">
        <v>16.306652155742668</v>
      </c>
      <c r="AE210">
        <v>3.8574902639329105</v>
      </c>
      <c r="AF210">
        <v>4.2095276000064645</v>
      </c>
      <c r="AG210">
        <v>4.5901526635077197</v>
      </c>
      <c r="AH210">
        <v>7.3739158657753823</v>
      </c>
      <c r="AI210">
        <v>7.9838966266905755</v>
      </c>
      <c r="AJ210">
        <v>8.6318875349910602</v>
      </c>
      <c r="AK210">
        <v>14.482744807823241</v>
      </c>
      <c r="AL210">
        <v>15.393818316902667</v>
      </c>
      <c r="AM210">
        <v>16.3170382970726</v>
      </c>
    </row>
    <row r="211" spans="1:39" x14ac:dyDescent="0.25">
      <c r="A211" s="147">
        <f t="shared" si="2"/>
        <v>16</v>
      </c>
      <c r="C211" s="149">
        <v>15.166666666666705</v>
      </c>
      <c r="D211" s="2">
        <v>4.5591763799128859</v>
      </c>
      <c r="E211">
        <v>4.9737516026931177</v>
      </c>
      <c r="F211">
        <v>5.4216291158245902</v>
      </c>
      <c r="G211">
        <v>8.6880444162844164</v>
      </c>
      <c r="H211">
        <v>9.4017351566996403</v>
      </c>
      <c r="I211">
        <v>10.158720565516761</v>
      </c>
      <c r="J211">
        <v>16.940395972052407</v>
      </c>
      <c r="K211">
        <v>17.986557399692973</v>
      </c>
      <c r="L211">
        <v>19.044631107472615</v>
      </c>
      <c r="M211">
        <v>4.5555899961574386</v>
      </c>
      <c r="N211">
        <v>4.9699530113293076</v>
      </c>
      <c r="O211">
        <v>5.4175645684352993</v>
      </c>
      <c r="P211">
        <v>8.6825045648517509</v>
      </c>
      <c r="Q211">
        <v>9.3960179931391643</v>
      </c>
      <c r="R211">
        <v>10.152849159304461</v>
      </c>
      <c r="S211">
        <v>16.935614188759342</v>
      </c>
      <c r="T211">
        <v>17.982402587723804</v>
      </c>
      <c r="U211">
        <v>19.041219400743913</v>
      </c>
      <c r="V211">
        <v>3.8445188171199192</v>
      </c>
      <c r="W211">
        <v>4.1953549424515639</v>
      </c>
      <c r="X211">
        <v>4.574707486981012</v>
      </c>
      <c r="Y211">
        <v>7.3490797094714804</v>
      </c>
      <c r="Z211">
        <v>7.9569797212647817</v>
      </c>
      <c r="AA211">
        <v>8.6027842443653384</v>
      </c>
      <c r="AB211">
        <v>14.43383075312819</v>
      </c>
      <c r="AC211">
        <v>15.341815653055821</v>
      </c>
      <c r="AD211">
        <v>16.261381478673577</v>
      </c>
      <c r="AE211">
        <v>3.8458787560718406</v>
      </c>
      <c r="AF211">
        <v>4.1968799791588411</v>
      </c>
      <c r="AG211">
        <v>4.5763892684910452</v>
      </c>
      <c r="AH211">
        <v>7.3521492112129154</v>
      </c>
      <c r="AI211">
        <v>7.9604151278076625</v>
      </c>
      <c r="AJ211">
        <v>8.606600282077828</v>
      </c>
      <c r="AK211">
        <v>14.442017888858416</v>
      </c>
      <c r="AL211">
        <v>15.350853397632122</v>
      </c>
      <c r="AM211">
        <v>16.27185924149471</v>
      </c>
    </row>
    <row r="212" spans="1:39" x14ac:dyDescent="0.25">
      <c r="A212" s="147">
        <f t="shared" si="2"/>
        <v>16</v>
      </c>
      <c r="C212" s="149">
        <v>15.250000000000039</v>
      </c>
      <c r="D212" s="2">
        <v>4.5526971551762356</v>
      </c>
      <c r="E212">
        <v>4.9667236603356395</v>
      </c>
      <c r="F212">
        <v>5.4140159120804734</v>
      </c>
      <c r="G212">
        <v>8.6764327970680739</v>
      </c>
      <c r="H212">
        <v>9.3893175854051663</v>
      </c>
      <c r="I212">
        <v>10.145474836791337</v>
      </c>
      <c r="J212">
        <v>16.921196239419608</v>
      </c>
      <c r="K212">
        <v>17.966720797941086</v>
      </c>
      <c r="L212">
        <v>19.02424760486484</v>
      </c>
      <c r="M212">
        <v>4.5491520943113386</v>
      </c>
      <c r="N212">
        <v>4.9629701034155254</v>
      </c>
      <c r="O212">
        <v>5.4100002039525101</v>
      </c>
      <c r="P212">
        <v>8.670968782467293</v>
      </c>
      <c r="Q212">
        <v>9.3836821123577163</v>
      </c>
      <c r="R212">
        <v>10.139691143533065</v>
      </c>
      <c r="S212">
        <v>16.916551731732916</v>
      </c>
      <c r="T212">
        <v>17.962710255349414</v>
      </c>
      <c r="U212">
        <v>19.020987006732895</v>
      </c>
      <c r="V212">
        <v>3.8328618318067385</v>
      </c>
      <c r="W212">
        <v>4.1826584567417067</v>
      </c>
      <c r="X212">
        <v>4.5608917546321539</v>
      </c>
      <c r="Y212">
        <v>7.3272404153027182</v>
      </c>
      <c r="Z212">
        <v>7.9334224167016663</v>
      </c>
      <c r="AA212">
        <v>8.5774184158876725</v>
      </c>
      <c r="AB212">
        <v>14.393030810637157</v>
      </c>
      <c r="AC212">
        <v>15.298784539493418</v>
      </c>
      <c r="AD212">
        <v>16.216144636301351</v>
      </c>
      <c r="AE212">
        <v>3.8342444713742569</v>
      </c>
      <c r="AF212">
        <v>4.1842082317973066</v>
      </c>
      <c r="AG212">
        <v>4.5626004351247165</v>
      </c>
      <c r="AH212">
        <v>7.3303524794924169</v>
      </c>
      <c r="AI212">
        <v>7.9369037832955103</v>
      </c>
      <c r="AJ212">
        <v>8.5812839611040079</v>
      </c>
      <c r="AK212">
        <v>14.401298259578617</v>
      </c>
      <c r="AL212">
        <v>15.307907223137695</v>
      </c>
      <c r="AM212">
        <v>16.226712565746659</v>
      </c>
    </row>
    <row r="213" spans="1:39" x14ac:dyDescent="0.25">
      <c r="A213" s="147">
        <f t="shared" si="2"/>
        <v>16</v>
      </c>
      <c r="C213" s="149">
        <v>15.333333333333373</v>
      </c>
      <c r="D213" s="2">
        <v>4.5462146167264246</v>
      </c>
      <c r="E213">
        <v>4.9596925427403473</v>
      </c>
      <c r="F213">
        <v>5.4063997717491974</v>
      </c>
      <c r="G213">
        <v>8.6648230029334634</v>
      </c>
      <c r="H213">
        <v>9.3769036441568243</v>
      </c>
      <c r="I213">
        <v>10.132234979285236</v>
      </c>
      <c r="J213">
        <v>16.902040595093471</v>
      </c>
      <c r="K213">
        <v>17.946937800318583</v>
      </c>
      <c r="L213">
        <v>19.003928600024501</v>
      </c>
      <c r="M213">
        <v>4.5427106803181285</v>
      </c>
      <c r="N213">
        <v>4.9559838017356057</v>
      </c>
      <c r="O213">
        <v>5.4024326619147915</v>
      </c>
      <c r="P213">
        <v>8.6594344072282698</v>
      </c>
      <c r="Q213">
        <v>9.3713494019665866</v>
      </c>
      <c r="R213">
        <v>10.126538493600641</v>
      </c>
      <c r="S213">
        <v>16.897532382962588</v>
      </c>
      <c r="T213">
        <v>17.943070462749567</v>
      </c>
      <c r="U213">
        <v>19.000817957623028</v>
      </c>
      <c r="V213">
        <v>3.8211823051756859</v>
      </c>
      <c r="W213">
        <v>4.1699381038997565</v>
      </c>
      <c r="X213">
        <v>4.547050869454841</v>
      </c>
      <c r="Y213">
        <v>7.3053715328996587</v>
      </c>
      <c r="Z213">
        <v>7.9098358026635243</v>
      </c>
      <c r="AA213">
        <v>8.5520241065111211</v>
      </c>
      <c r="AB213">
        <v>14.352239233538798</v>
      </c>
      <c r="AC213">
        <v>15.25577332355217</v>
      </c>
      <c r="AD213">
        <v>16.170941405620088</v>
      </c>
      <c r="AE213">
        <v>3.8225873456414665</v>
      </c>
      <c r="AF213">
        <v>4.1715122889089846</v>
      </c>
      <c r="AG213">
        <v>4.5487860893562591</v>
      </c>
      <c r="AH213">
        <v>7.3085255640080558</v>
      </c>
      <c r="AI213">
        <v>7.913362480162121</v>
      </c>
      <c r="AJ213">
        <v>8.5559384524573261</v>
      </c>
      <c r="AK213">
        <v>14.360585732839413</v>
      </c>
      <c r="AL213">
        <v>15.264979590833761</v>
      </c>
      <c r="AM213">
        <v>16.181598048693548</v>
      </c>
    </row>
    <row r="214" spans="1:39" x14ac:dyDescent="0.25">
      <c r="A214" s="147">
        <f t="shared" si="2"/>
        <v>16</v>
      </c>
      <c r="C214" s="149">
        <v>15.416666666666707</v>
      </c>
      <c r="D214" s="2">
        <v>4.5397287581865191</v>
      </c>
      <c r="E214">
        <v>4.9526582430405401</v>
      </c>
      <c r="F214">
        <v>5.3987806874279318</v>
      </c>
      <c r="G214">
        <v>8.653215021681838</v>
      </c>
      <c r="H214">
        <v>9.364493319305268</v>
      </c>
      <c r="I214">
        <v>10.119000977553574</v>
      </c>
      <c r="J214">
        <v>16.882928984876955</v>
      </c>
      <c r="K214">
        <v>17.927208340433932</v>
      </c>
      <c r="L214">
        <v>18.983674011468366</v>
      </c>
      <c r="M214">
        <v>4.5362657477978168</v>
      </c>
      <c r="N214">
        <v>4.9489940994328867</v>
      </c>
      <c r="O214">
        <v>5.3948619349465652</v>
      </c>
      <c r="P214">
        <v>8.6479014271893053</v>
      </c>
      <c r="Q214">
        <v>9.3590198486430491</v>
      </c>
      <c r="R214">
        <v>10.113391194481217</v>
      </c>
      <c r="S214">
        <v>16.878556090134389</v>
      </c>
      <c r="T214">
        <v>17.92348314577859</v>
      </c>
      <c r="U214">
        <v>18.980712174590945</v>
      </c>
      <c r="V214">
        <v>3.8094801732877368</v>
      </c>
      <c r="W214">
        <v>4.157193815178795</v>
      </c>
      <c r="X214">
        <v>4.5331847576657642</v>
      </c>
      <c r="Y214">
        <v>7.2834729558270546</v>
      </c>
      <c r="Z214">
        <v>7.8862197662773657</v>
      </c>
      <c r="AA214">
        <v>8.5266011966738429</v>
      </c>
      <c r="AB214">
        <v>14.311455833435339</v>
      </c>
      <c r="AC214">
        <v>15.212781801067436</v>
      </c>
      <c r="AD214">
        <v>16.125771563553219</v>
      </c>
      <c r="AE214">
        <v>3.8109073145055641</v>
      </c>
      <c r="AF214">
        <v>4.1587920812981292</v>
      </c>
      <c r="AG214">
        <v>4.5349461569372833</v>
      </c>
      <c r="AH214">
        <v>7.2866683578783453</v>
      </c>
      <c r="AI214">
        <v>7.8897911051258234</v>
      </c>
      <c r="AJ214">
        <v>8.5305636362246595</v>
      </c>
      <c r="AK214">
        <v>14.319880121269264</v>
      </c>
      <c r="AL214">
        <v>15.222070297966681</v>
      </c>
      <c r="AM214">
        <v>16.136515469120582</v>
      </c>
    </row>
    <row r="215" spans="1:39" x14ac:dyDescent="0.25">
      <c r="A215" s="147">
        <f t="shared" si="2"/>
        <v>16</v>
      </c>
      <c r="C215" s="149">
        <v>15.500000000000041</v>
      </c>
      <c r="D215" s="2">
        <v>1.3451017327983303</v>
      </c>
      <c r="E215">
        <v>1.4672417787636205</v>
      </c>
      <c r="F215">
        <v>1.5990604360406777</v>
      </c>
      <c r="G215">
        <v>2.560057458478497</v>
      </c>
      <c r="H215">
        <v>2.7700739075923639</v>
      </c>
      <c r="I215">
        <v>2.9925228545869254</v>
      </c>
      <c r="J215">
        <v>4.9783492622583854</v>
      </c>
      <c r="K215">
        <v>5.2836522712424756</v>
      </c>
      <c r="L215">
        <v>5.5925511023211243</v>
      </c>
      <c r="M215">
        <v>1.336336646974617</v>
      </c>
      <c r="N215">
        <v>1.4577467274933529</v>
      </c>
      <c r="O215">
        <v>1.5887305913112422</v>
      </c>
      <c r="P215">
        <v>2.5437776027423311</v>
      </c>
      <c r="Q215">
        <v>2.7525570107258908</v>
      </c>
      <c r="R215">
        <v>2.9736988573859513</v>
      </c>
      <c r="S215">
        <v>4.948642293677131</v>
      </c>
      <c r="T215">
        <v>5.25240948940524</v>
      </c>
      <c r="U215">
        <v>5.5597404923069806</v>
      </c>
      <c r="V215">
        <v>1.1735550013261618</v>
      </c>
      <c r="W215">
        <v>1.280527650228299</v>
      </c>
      <c r="X215">
        <v>1.3961544900724152</v>
      </c>
      <c r="Y215">
        <v>2.2413016096049656</v>
      </c>
      <c r="Z215">
        <v>2.4263315987634728</v>
      </c>
      <c r="AA215">
        <v>2.6227986490427506</v>
      </c>
      <c r="AB215">
        <v>4.3924488024338091</v>
      </c>
      <c r="AC215">
        <v>4.6673419667507812</v>
      </c>
      <c r="AD215">
        <v>4.9446414440054776</v>
      </c>
      <c r="AE215">
        <v>1.1698231476786458</v>
      </c>
      <c r="AF215">
        <v>1.2764790394361416</v>
      </c>
      <c r="AG215">
        <v>1.3917378079290432</v>
      </c>
      <c r="AH215">
        <v>2.2343178639501149</v>
      </c>
      <c r="AI215">
        <v>2.4188190335334552</v>
      </c>
      <c r="AJ215">
        <v>2.6147037551660235</v>
      </c>
      <c r="AK215">
        <v>4.3794013057199077</v>
      </c>
      <c r="AL215">
        <v>4.6535713464785227</v>
      </c>
      <c r="AM215">
        <v>4.9307306358918552</v>
      </c>
    </row>
    <row r="216" spans="1:39" x14ac:dyDescent="0.25">
      <c r="A216" s="147">
        <f t="shared" si="2"/>
        <v>16</v>
      </c>
      <c r="C216" s="149">
        <v>15.583333333333375</v>
      </c>
      <c r="D216" s="2">
        <v>1.3437592754546022</v>
      </c>
      <c r="E216">
        <v>1.4657788311535347</v>
      </c>
      <c r="F216">
        <v>1.5974672749977801</v>
      </c>
      <c r="G216">
        <v>2.5575277048719842</v>
      </c>
      <c r="H216">
        <v>2.7673432464800465</v>
      </c>
      <c r="I216">
        <v>2.9895794656592907</v>
      </c>
      <c r="J216">
        <v>4.9735527927696985</v>
      </c>
      <c r="K216">
        <v>5.278581019367544</v>
      </c>
      <c r="L216">
        <v>5.58720737470638</v>
      </c>
      <c r="M216">
        <v>1.3350273125707894</v>
      </c>
      <c r="N216">
        <v>1.4563199454976967</v>
      </c>
      <c r="O216">
        <v>1.5871766909998863</v>
      </c>
      <c r="P216">
        <v>2.5413094223450079</v>
      </c>
      <c r="Q216">
        <v>2.7498928675286969</v>
      </c>
      <c r="R216">
        <v>2.9708270688358445</v>
      </c>
      <c r="S216">
        <v>4.9439598137404843</v>
      </c>
      <c r="T216">
        <v>5.2474582701979466</v>
      </c>
      <c r="U216">
        <v>5.5545227543552933</v>
      </c>
      <c r="V216">
        <v>1.1709137921493906</v>
      </c>
      <c r="W216">
        <v>1.2776452531057081</v>
      </c>
      <c r="X216">
        <v>1.3930112354282476</v>
      </c>
      <c r="Y216">
        <v>2.2362500956623999</v>
      </c>
      <c r="Z216">
        <v>2.420861768278562</v>
      </c>
      <c r="AA216">
        <v>2.6168842630575346</v>
      </c>
      <c r="AB216">
        <v>4.3825139517104663</v>
      </c>
      <c r="AC216">
        <v>4.6567800508643176</v>
      </c>
      <c r="AD216">
        <v>4.9334423368866123</v>
      </c>
      <c r="AE216">
        <v>1.167210877924975</v>
      </c>
      <c r="AF216">
        <v>1.2736281978517807</v>
      </c>
      <c r="AG216">
        <v>1.3886288974976153</v>
      </c>
      <c r="AH216">
        <v>2.2293210099113878</v>
      </c>
      <c r="AI216">
        <v>2.4134082867026745</v>
      </c>
      <c r="AJ216">
        <v>2.6088530937856298</v>
      </c>
      <c r="AK216">
        <v>4.3695707430879978</v>
      </c>
      <c r="AL216">
        <v>4.6431198225330528</v>
      </c>
      <c r="AM216">
        <v>4.9196483560951085</v>
      </c>
    </row>
    <row r="217" spans="1:39" x14ac:dyDescent="0.25">
      <c r="A217" s="147">
        <f t="shared" si="2"/>
        <v>16</v>
      </c>
      <c r="C217" s="149">
        <v>15.666666666666709</v>
      </c>
      <c r="D217" s="2">
        <v>1.3424159435853888</v>
      </c>
      <c r="E217">
        <v>1.4643149517245995</v>
      </c>
      <c r="F217">
        <v>1.5958731240262418</v>
      </c>
      <c r="G217">
        <v>2.5549966922489173</v>
      </c>
      <c r="H217">
        <v>2.7646113071249401</v>
      </c>
      <c r="I217">
        <v>2.9866347926852375</v>
      </c>
      <c r="J217">
        <v>4.9687558431236711</v>
      </c>
      <c r="K217">
        <v>5.2735095805280263</v>
      </c>
      <c r="L217">
        <v>5.5818638173072239</v>
      </c>
      <c r="M217">
        <v>1.3337170760264692</v>
      </c>
      <c r="N217">
        <v>1.4548922012759229</v>
      </c>
      <c r="O217">
        <v>1.5856217668660961</v>
      </c>
      <c r="P217">
        <v>2.5388399208564341</v>
      </c>
      <c r="Q217">
        <v>2.7472273774350144</v>
      </c>
      <c r="R217">
        <v>2.9679539200555061</v>
      </c>
      <c r="S217">
        <v>4.9392766919249835</v>
      </c>
      <c r="T217">
        <v>5.2425066859297038</v>
      </c>
      <c r="U217">
        <v>5.5493049909448633</v>
      </c>
      <c r="V217">
        <v>1.1682660452863365</v>
      </c>
      <c r="W217">
        <v>1.274755763560679</v>
      </c>
      <c r="X217">
        <v>1.3898602969746254</v>
      </c>
      <c r="Y217">
        <v>2.2311868522313016</v>
      </c>
      <c r="Z217">
        <v>2.4153793917556134</v>
      </c>
      <c r="AA217">
        <v>2.6109564931930485</v>
      </c>
      <c r="AB217">
        <v>4.3725597579382498</v>
      </c>
      <c r="AC217">
        <v>4.6461981754513051</v>
      </c>
      <c r="AD217">
        <v>4.9222227557926548</v>
      </c>
      <c r="AE217">
        <v>1.1645920272087018</v>
      </c>
      <c r="AF217">
        <v>1.2707702160946805</v>
      </c>
      <c r="AG217">
        <v>1.385512250643232</v>
      </c>
      <c r="AH217">
        <v>2.2243123350447647</v>
      </c>
      <c r="AI217">
        <v>2.4079848932027508</v>
      </c>
      <c r="AJ217">
        <v>2.6029889377721735</v>
      </c>
      <c r="AK217">
        <v>4.3597206184923554</v>
      </c>
      <c r="AL217">
        <v>4.6326481002388746</v>
      </c>
      <c r="AM217">
        <v>4.9085453402422665</v>
      </c>
    </row>
    <row r="218" spans="1:39" x14ac:dyDescent="0.25">
      <c r="A218" s="147">
        <f t="shared" si="2"/>
        <v>16</v>
      </c>
      <c r="C218" s="149">
        <v>15.750000000000043</v>
      </c>
      <c r="D218" s="2">
        <v>1.3410717365457479</v>
      </c>
      <c r="E218">
        <v>1.4628501397694325</v>
      </c>
      <c r="F218">
        <v>1.5942779823492903</v>
      </c>
      <c r="G218">
        <v>2.552464419300136</v>
      </c>
      <c r="H218">
        <v>2.7618780880949942</v>
      </c>
      <c r="I218">
        <v>2.9836888340940284</v>
      </c>
      <c r="J218">
        <v>4.9639584101522187</v>
      </c>
      <c r="K218">
        <v>5.2684379512251063</v>
      </c>
      <c r="L218">
        <v>5.5765204262610046</v>
      </c>
      <c r="M218">
        <v>1.3324059367487178</v>
      </c>
      <c r="N218">
        <v>1.4534634941785234</v>
      </c>
      <c r="O218">
        <v>1.5840658181961587</v>
      </c>
      <c r="P218">
        <v>2.5363690970744512</v>
      </c>
      <c r="Q218">
        <v>2.7445605391302892</v>
      </c>
      <c r="R218">
        <v>2.9650794096036761</v>
      </c>
      <c r="S218">
        <v>4.9345929253182117</v>
      </c>
      <c r="T218">
        <v>5.2375547333827122</v>
      </c>
      <c r="U218">
        <v>5.5440871985210638</v>
      </c>
      <c r="V218">
        <v>1.1656117425105057</v>
      </c>
      <c r="W218">
        <v>1.2718591617801587</v>
      </c>
      <c r="X218">
        <v>1.3867016531976499</v>
      </c>
      <c r="Y218">
        <v>2.2261118458225426</v>
      </c>
      <c r="Z218">
        <v>2.4098844331932217</v>
      </c>
      <c r="AA218">
        <v>2.6050153008240784</v>
      </c>
      <c r="AB218">
        <v>4.3625861609977905</v>
      </c>
      <c r="AC218">
        <v>4.6355962774147939</v>
      </c>
      <c r="AD218">
        <v>4.9109826347412131</v>
      </c>
      <c r="AE218">
        <v>1.1619665772441188</v>
      </c>
      <c r="AF218">
        <v>1.2679050742871738</v>
      </c>
      <c r="AG218">
        <v>1.3823878457830396</v>
      </c>
      <c r="AH218">
        <v>2.2192918057620052</v>
      </c>
      <c r="AI218">
        <v>2.4025488169273745</v>
      </c>
      <c r="AJ218">
        <v>2.5971112483907306</v>
      </c>
      <c r="AK218">
        <v>4.3498508716945095</v>
      </c>
      <c r="AL218">
        <v>4.6221561163889193</v>
      </c>
      <c r="AM218">
        <v>4.8974215222409789</v>
      </c>
    </row>
    <row r="219" spans="1:39" x14ac:dyDescent="0.25">
      <c r="A219" s="147">
        <f t="shared" si="2"/>
        <v>16</v>
      </c>
      <c r="C219" s="149">
        <v>15.833333333333377</v>
      </c>
      <c r="D219" s="2">
        <v>1.339726653690382</v>
      </c>
      <c r="E219">
        <v>1.4613843945806138</v>
      </c>
      <c r="F219">
        <v>1.5926818491899291</v>
      </c>
      <c r="G219">
        <v>2.5499308847153506</v>
      </c>
      <c r="H219">
        <v>2.7591435879563053</v>
      </c>
      <c r="I219">
        <v>2.980741588313947</v>
      </c>
      <c r="J219">
        <v>4.9591604906822928</v>
      </c>
      <c r="K219">
        <v>5.2633661279561537</v>
      </c>
      <c r="L219">
        <v>5.5711771977028954</v>
      </c>
      <c r="M219">
        <v>1.33109389414482</v>
      </c>
      <c r="N219">
        <v>1.4520338235560213</v>
      </c>
      <c r="O219">
        <v>1.5825088442766084</v>
      </c>
      <c r="P219">
        <v>2.5338969497957775</v>
      </c>
      <c r="Q219">
        <v>2.7418923512995477</v>
      </c>
      <c r="R219">
        <v>2.9622035360386514</v>
      </c>
      <c r="S219">
        <v>4.9299085110028988</v>
      </c>
      <c r="T219">
        <v>5.232602409334798</v>
      </c>
      <c r="U219">
        <v>5.5388693735248005</v>
      </c>
      <c r="V219">
        <v>1.1629508655456573</v>
      </c>
      <c r="W219">
        <v>1.2689554278970445</v>
      </c>
      <c r="X219">
        <v>1.3835352825249168</v>
      </c>
      <c r="Y219">
        <v>2.221025042856168</v>
      </c>
      <c r="Z219">
        <v>2.4043768564915462</v>
      </c>
      <c r="AA219">
        <v>2.5990606472207021</v>
      </c>
      <c r="AB219">
        <v>4.3525931006033209</v>
      </c>
      <c r="AC219">
        <v>4.6249742934855691</v>
      </c>
      <c r="AD219">
        <v>4.8997219075724843</v>
      </c>
      <c r="AE219">
        <v>1.1593345096957273</v>
      </c>
      <c r="AF219">
        <v>1.2650327524980609</v>
      </c>
      <c r="AG219">
        <v>1.3792556612755291</v>
      </c>
      <c r="AH219">
        <v>2.2142593883834061</v>
      </c>
      <c r="AI219">
        <v>2.397100021671966</v>
      </c>
      <c r="AJ219">
        <v>2.5912199868008887</v>
      </c>
      <c r="AK219">
        <v>4.3399614422915231</v>
      </c>
      <c r="AL219">
        <v>4.6116438076022606</v>
      </c>
      <c r="AM219">
        <v>4.8862768358163269</v>
      </c>
    </row>
    <row r="220" spans="1:39" x14ac:dyDescent="0.25">
      <c r="A220" s="147">
        <f t="shared" si="2"/>
        <v>16</v>
      </c>
      <c r="C220" s="149">
        <v>15.91666666666671</v>
      </c>
      <c r="D220" s="2">
        <v>1.3383806943743206</v>
      </c>
      <c r="E220">
        <v>1.4599177154506713</v>
      </c>
      <c r="F220">
        <v>1.5910847237710155</v>
      </c>
      <c r="G220">
        <v>2.5473960871839774</v>
      </c>
      <c r="H220">
        <v>2.7564078052750101</v>
      </c>
      <c r="I220">
        <v>2.9777930537718733</v>
      </c>
      <c r="J220">
        <v>4.9543620815379414</v>
      </c>
      <c r="K220">
        <v>5.2582941072159315</v>
      </c>
      <c r="L220">
        <v>5.5658341277596275</v>
      </c>
      <c r="M220">
        <v>1.3297809476225793</v>
      </c>
      <c r="N220">
        <v>1.4506031887592195</v>
      </c>
      <c r="O220">
        <v>1.5809508443943769</v>
      </c>
      <c r="P220">
        <v>2.5314234778176261</v>
      </c>
      <c r="Q220">
        <v>2.7392228126265596</v>
      </c>
      <c r="R220">
        <v>2.959326297918027</v>
      </c>
      <c r="S220">
        <v>4.9252234460598094</v>
      </c>
      <c r="T220">
        <v>5.2276497105605806</v>
      </c>
      <c r="U220">
        <v>5.5336515123915619</v>
      </c>
      <c r="V220">
        <v>1.1602833960668981</v>
      </c>
      <c r="W220">
        <v>1.2660445419905137</v>
      </c>
      <c r="X220">
        <v>1.3803611633256565</v>
      </c>
      <c r="Y220">
        <v>2.2159264096604359</v>
      </c>
      <c r="Z220">
        <v>2.3988566254526926</v>
      </c>
      <c r="AA220">
        <v>2.5930924935459894</v>
      </c>
      <c r="AB220">
        <v>4.3425805163043716</v>
      </c>
      <c r="AC220">
        <v>4.6143321602203073</v>
      </c>
      <c r="AD220">
        <v>4.888440507942228</v>
      </c>
      <c r="AE220">
        <v>1.1566958061787116</v>
      </c>
      <c r="AF220">
        <v>1.2621532307416272</v>
      </c>
      <c r="AG220">
        <v>1.3761156754204751</v>
      </c>
      <c r="AH220">
        <v>2.2092150491372671</v>
      </c>
      <c r="AI220">
        <v>2.39163847113204</v>
      </c>
      <c r="AJ220">
        <v>2.5853151140550983</v>
      </c>
      <c r="AK220">
        <v>4.3300522697149679</v>
      </c>
      <c r="AL220">
        <v>4.6011111103246396</v>
      </c>
      <c r="AM220">
        <v>4.8751112145110724</v>
      </c>
    </row>
    <row r="221" spans="1:39" x14ac:dyDescent="0.25">
      <c r="A221" s="147">
        <f t="shared" si="2"/>
        <v>16</v>
      </c>
      <c r="C221" s="149">
        <v>16.000000000000043</v>
      </c>
      <c r="D221" s="2">
        <v>1.3370338579523646</v>
      </c>
      <c r="E221">
        <v>1.4584501016720832</v>
      </c>
      <c r="F221">
        <v>1.5894866053157131</v>
      </c>
      <c r="G221">
        <v>2.5448600253944753</v>
      </c>
      <c r="H221">
        <v>2.7536707386151473</v>
      </c>
      <c r="I221">
        <v>2.9748432288939588</v>
      </c>
      <c r="J221">
        <v>4.9495631795398429</v>
      </c>
      <c r="K221">
        <v>5.2532218854933808</v>
      </c>
      <c r="L221">
        <v>5.5604912125571584</v>
      </c>
      <c r="M221">
        <v>1.3284670965895917</v>
      </c>
      <c r="N221">
        <v>1.4491715891391945</v>
      </c>
      <c r="O221">
        <v>1.579391817836163</v>
      </c>
      <c r="P221">
        <v>2.5289486799356689</v>
      </c>
      <c r="Q221">
        <v>2.7365519217951784</v>
      </c>
      <c r="R221">
        <v>2.9564476937979363</v>
      </c>
      <c r="S221">
        <v>4.920537727565943</v>
      </c>
      <c r="T221">
        <v>5.2226966338316938</v>
      </c>
      <c r="U221">
        <v>5.528433611555128</v>
      </c>
      <c r="V221">
        <v>1.1576093156989518</v>
      </c>
      <c r="W221">
        <v>1.263126484085759</v>
      </c>
      <c r="X221">
        <v>1.3771792739104205</v>
      </c>
      <c r="Y221">
        <v>2.2108159124719764</v>
      </c>
      <c r="Z221">
        <v>2.3933237037797701</v>
      </c>
      <c r="AA221">
        <v>2.5871108008578698</v>
      </c>
      <c r="AB221">
        <v>4.3325483474851003</v>
      </c>
      <c r="AC221">
        <v>4.6036698140033039</v>
      </c>
      <c r="AD221">
        <v>4.8771383693277386</v>
      </c>
      <c r="AE221">
        <v>1.1540504482582643</v>
      </c>
      <c r="AF221">
        <v>1.2592664889785696</v>
      </c>
      <c r="AG221">
        <v>1.3729678664590383</v>
      </c>
      <c r="AH221">
        <v>2.2041587541596295</v>
      </c>
      <c r="AI221">
        <v>2.3861641289051239</v>
      </c>
      <c r="AJ221">
        <v>2.5793965911005006</v>
      </c>
      <c r="AK221">
        <v>4.3201232932294147</v>
      </c>
      <c r="AL221">
        <v>4.5905579608269838</v>
      </c>
      <c r="AM221">
        <v>4.8639245916874057</v>
      </c>
    </row>
    <row r="222" spans="1:39" x14ac:dyDescent="0.25">
      <c r="A222" s="147">
        <f t="shared" ref="A222:A285" si="3">ROUNDUP(C222,0)</f>
        <v>17</v>
      </c>
      <c r="C222" s="149">
        <v>16.083333333333375</v>
      </c>
      <c r="D222" s="2">
        <v>1.3356861437792991</v>
      </c>
      <c r="E222">
        <v>1.456981552537268</v>
      </c>
      <c r="F222">
        <v>1.5878874930465552</v>
      </c>
      <c r="G222">
        <v>2.5423226980341846</v>
      </c>
      <c r="H222">
        <v>2.7509323865406254</v>
      </c>
      <c r="I222">
        <v>2.9718921121046842</v>
      </c>
      <c r="J222">
        <v>4.9447637815043208</v>
      </c>
      <c r="K222">
        <v>5.2481494592743854</v>
      </c>
      <c r="L222">
        <v>5.5551484482152507</v>
      </c>
      <c r="M222">
        <v>1.3271523404538408</v>
      </c>
      <c r="N222">
        <v>1.4477390240472472</v>
      </c>
      <c r="O222">
        <v>1.5778317638887849</v>
      </c>
      <c r="P222">
        <v>2.5264725549460834</v>
      </c>
      <c r="Q222">
        <v>2.7338796774881584</v>
      </c>
      <c r="R222">
        <v>2.9535677222345456</v>
      </c>
      <c r="S222">
        <v>4.9158513525945509</v>
      </c>
      <c r="T222">
        <v>5.2177431759147694</v>
      </c>
      <c r="U222">
        <v>5.5232156674423694</v>
      </c>
      <c r="V222">
        <v>1.154928606016929</v>
      </c>
      <c r="W222">
        <v>1.2602012341538629</v>
      </c>
      <c r="X222">
        <v>1.3739895925309302</v>
      </c>
      <c r="Y222">
        <v>2.2056935174349128</v>
      </c>
      <c r="Z222">
        <v>2.3877780550770171</v>
      </c>
      <c r="AA222">
        <v>2.5811155301079349</v>
      </c>
      <c r="AB222">
        <v>4.3224965333622434</v>
      </c>
      <c r="AC222">
        <v>4.5929871910429148</v>
      </c>
      <c r="AD222">
        <v>4.8658154250226406</v>
      </c>
      <c r="AE222">
        <v>1.1513984174497123</v>
      </c>
      <c r="AF222">
        <v>1.2563725071145895</v>
      </c>
      <c r="AG222">
        <v>1.3698122125728074</v>
      </c>
      <c r="AH222">
        <v>2.1990904694947369</v>
      </c>
      <c r="AI222">
        <v>2.3806769584887815</v>
      </c>
      <c r="AJ222">
        <v>2.5734643787771825</v>
      </c>
      <c r="AK222">
        <v>4.3101744519322551</v>
      </c>
      <c r="AL222">
        <v>4.5799842952048992</v>
      </c>
      <c r="AM222">
        <v>4.8527169005242756</v>
      </c>
    </row>
    <row r="223" spans="1:39" x14ac:dyDescent="0.25">
      <c r="A223" s="147">
        <f t="shared" si="3"/>
        <v>17</v>
      </c>
      <c r="C223" s="149">
        <v>16.166666666666707</v>
      </c>
      <c r="D223" s="2">
        <v>1.3343375512102669</v>
      </c>
      <c r="E223">
        <v>1.4555120673387094</v>
      </c>
      <c r="F223">
        <v>1.5862873861865383</v>
      </c>
      <c r="G223">
        <v>2.5397841037905096</v>
      </c>
      <c r="H223">
        <v>2.7481927476140227</v>
      </c>
      <c r="I223">
        <v>2.9689397018279555</v>
      </c>
      <c r="J223">
        <v>4.939963884243868</v>
      </c>
      <c r="K223">
        <v>5.2430768250412898</v>
      </c>
      <c r="L223">
        <v>5.5498058308500395</v>
      </c>
      <c r="M223">
        <v>1.325836678623604</v>
      </c>
      <c r="N223">
        <v>1.4463054928343864</v>
      </c>
      <c r="O223">
        <v>1.5762706818395698</v>
      </c>
      <c r="P223">
        <v>2.523995101644279</v>
      </c>
      <c r="Q223">
        <v>2.731206078388086</v>
      </c>
      <c r="R223">
        <v>2.9506863817824649</v>
      </c>
      <c r="S223">
        <v>4.9111643182161657</v>
      </c>
      <c r="T223">
        <v>5.2127893335731601</v>
      </c>
      <c r="U223">
        <v>5.5179976764781529</v>
      </c>
      <c r="V223">
        <v>1.152241248546324</v>
      </c>
      <c r="W223">
        <v>1.2572687721117322</v>
      </c>
      <c r="X223">
        <v>1.3707920973798795</v>
      </c>
      <c r="Y223">
        <v>2.2005591906016857</v>
      </c>
      <c r="Z223">
        <v>2.3822196428485842</v>
      </c>
      <c r="AA223">
        <v>2.5751066421401876</v>
      </c>
      <c r="AB223">
        <v>4.3124250129883306</v>
      </c>
      <c r="AC223">
        <v>4.5822842273741653</v>
      </c>
      <c r="AD223">
        <v>4.854471608138109</v>
      </c>
      <c r="AE223">
        <v>1.1487396952180573</v>
      </c>
      <c r="AF223">
        <v>1.2534712650016446</v>
      </c>
      <c r="AG223">
        <v>1.3666486918848353</v>
      </c>
      <c r="AH223">
        <v>2.1940101610935905</v>
      </c>
      <c r="AI223">
        <v>2.3751769232813302</v>
      </c>
      <c r="AJ223">
        <v>2.5675184378180469</v>
      </c>
      <c r="AK223">
        <v>4.3002056847543377</v>
      </c>
      <c r="AL223">
        <v>4.5693900493790576</v>
      </c>
      <c r="AM223">
        <v>4.8414880740152384</v>
      </c>
    </row>
    <row r="224" spans="1:39" x14ac:dyDescent="0.25">
      <c r="A224" s="147">
        <f t="shared" si="3"/>
        <v>17</v>
      </c>
      <c r="C224" s="149">
        <v>16.250000000000039</v>
      </c>
      <c r="D224" s="2">
        <v>1.3329880796000579</v>
      </c>
      <c r="E224">
        <v>1.4540416453689033</v>
      </c>
      <c r="F224">
        <v>1.5846862839580504</v>
      </c>
      <c r="G224">
        <v>2.5372442413494962</v>
      </c>
      <c r="H224">
        <v>2.745451820397605</v>
      </c>
      <c r="I224">
        <v>2.9659859964859225</v>
      </c>
      <c r="J224">
        <v>4.9351634845689158</v>
      </c>
      <c r="K224">
        <v>5.2380039792708777</v>
      </c>
      <c r="L224">
        <v>5.54446335657288</v>
      </c>
      <c r="M224">
        <v>1.3245201105073283</v>
      </c>
      <c r="N224">
        <v>1.4448709948525131</v>
      </c>
      <c r="O224">
        <v>1.5747085709758579</v>
      </c>
      <c r="P224">
        <v>2.5215163188249865</v>
      </c>
      <c r="Q224">
        <v>2.7285311231763614</v>
      </c>
      <c r="R224">
        <v>2.9478036709959863</v>
      </c>
      <c r="S224">
        <v>4.9064766214981566</v>
      </c>
      <c r="T224">
        <v>5.2078351035662784</v>
      </c>
      <c r="U224">
        <v>5.5127796350826586</v>
      </c>
      <c r="V224">
        <v>1.149547224762421</v>
      </c>
      <c r="W224">
        <v>1.2543290778213372</v>
      </c>
      <c r="X224">
        <v>1.3675867665905286</v>
      </c>
      <c r="Y224">
        <v>2.1954128979319263</v>
      </c>
      <c r="Z224">
        <v>2.3766484305003583</v>
      </c>
      <c r="AA224">
        <v>2.5690840976928579</v>
      </c>
      <c r="AB224">
        <v>4.3023337252455569</v>
      </c>
      <c r="AC224">
        <v>4.5715608588559817</v>
      </c>
      <c r="AD224">
        <v>4.8431068516032658</v>
      </c>
      <c r="AE224">
        <v>1.1460742629787264</v>
      </c>
      <c r="AF224">
        <v>1.2505627424365504</v>
      </c>
      <c r="AG224">
        <v>1.3634772824585453</v>
      </c>
      <c r="AH224">
        <v>2.188917794814834</v>
      </c>
      <c r="AI224">
        <v>2.369663986580874</v>
      </c>
      <c r="AJ224">
        <v>2.5615587288486639</v>
      </c>
      <c r="AK224">
        <v>4.2902169304585573</v>
      </c>
      <c r="AL224">
        <v>4.558775159093976</v>
      </c>
      <c r="AM224">
        <v>4.830238044973215</v>
      </c>
    </row>
    <row r="225" spans="1:39" x14ac:dyDescent="0.25">
      <c r="A225" s="147">
        <f t="shared" si="3"/>
        <v>17</v>
      </c>
      <c r="C225" s="149">
        <v>16.333333333333371</v>
      </c>
      <c r="D225" s="2">
        <v>1.33163772830369</v>
      </c>
      <c r="E225">
        <v>1.4525702859199374</v>
      </c>
      <c r="F225">
        <v>1.5830841855837914</v>
      </c>
      <c r="G225">
        <v>2.5347031093966734</v>
      </c>
      <c r="H225">
        <v>2.7427096034517287</v>
      </c>
      <c r="I225">
        <v>2.9630309944996371</v>
      </c>
      <c r="J225">
        <v>4.9303625792839343</v>
      </c>
      <c r="K225">
        <v>5.2329309184369439</v>
      </c>
      <c r="L225">
        <v>5.5391210214898416</v>
      </c>
      <c r="M225">
        <v>1.3232026355134983</v>
      </c>
      <c r="N225">
        <v>1.4434355294531391</v>
      </c>
      <c r="O225">
        <v>1.573145430584757</v>
      </c>
      <c r="P225">
        <v>2.5190362052827808</v>
      </c>
      <c r="Q225">
        <v>2.7258548105343059</v>
      </c>
      <c r="R225">
        <v>2.9449195884282489</v>
      </c>
      <c r="S225">
        <v>4.9017882595037214</v>
      </c>
      <c r="T225">
        <v>5.2028804826504818</v>
      </c>
      <c r="U225">
        <v>5.507561539672075</v>
      </c>
      <c r="V225">
        <v>1.1468465160900863</v>
      </c>
      <c r="W225">
        <v>1.2513821310907454</v>
      </c>
      <c r="X225">
        <v>1.3643735782375166</v>
      </c>
      <c r="Y225">
        <v>2.1902546052924987</v>
      </c>
      <c r="Z225">
        <v>2.3710643813373076</v>
      </c>
      <c r="AA225">
        <v>2.5630478573964819</v>
      </c>
      <c r="AB225">
        <v>4.2922226088516142</v>
      </c>
      <c r="AC225">
        <v>4.5608170211717614</v>
      </c>
      <c r="AD225">
        <v>4.831721088162988</v>
      </c>
      <c r="AE225">
        <v>1.143402102096267</v>
      </c>
      <c r="AF225">
        <v>1.247646919161759</v>
      </c>
      <c r="AG225">
        <v>1.3602979622979572</v>
      </c>
      <c r="AH225">
        <v>2.1838133364242145</v>
      </c>
      <c r="AI225">
        <v>2.3641381115855218</v>
      </c>
      <c r="AJ225">
        <v>2.5555852123874772</v>
      </c>
      <c r="AK225">
        <v>4.280208127639531</v>
      </c>
      <c r="AL225">
        <v>4.5481395599175478</v>
      </c>
      <c r="AM225">
        <v>4.8189667460249606</v>
      </c>
    </row>
    <row r="226" spans="1:39" x14ac:dyDescent="0.25">
      <c r="A226" s="147">
        <f t="shared" si="3"/>
        <v>17</v>
      </c>
      <c r="C226" s="149">
        <v>16.416666666666703</v>
      </c>
      <c r="D226" s="2">
        <v>1.3302864966761556</v>
      </c>
      <c r="E226">
        <v>1.4510979882844961</v>
      </c>
      <c r="F226">
        <v>1.5814810902861787</v>
      </c>
      <c r="G226">
        <v>2.5321607066165619</v>
      </c>
      <c r="H226">
        <v>2.7399660953366114</v>
      </c>
      <c r="I226">
        <v>2.960074694289399</v>
      </c>
      <c r="J226">
        <v>4.9255611651913664</v>
      </c>
      <c r="K226">
        <v>5.2278576390089757</v>
      </c>
      <c r="L226">
        <v>5.5337788217052877</v>
      </c>
      <c r="M226">
        <v>1.3218842530512271</v>
      </c>
      <c r="N226">
        <v>1.4419990959883977</v>
      </c>
      <c r="O226">
        <v>1.5715812599540078</v>
      </c>
      <c r="P226">
        <v>2.5165547598119016</v>
      </c>
      <c r="Q226">
        <v>2.7231771391422974</v>
      </c>
      <c r="R226">
        <v>2.9420341326317359</v>
      </c>
      <c r="S226">
        <v>4.897099229293632</v>
      </c>
      <c r="T226">
        <v>5.1979254675777238</v>
      </c>
      <c r="U226">
        <v>5.5023433866574294</v>
      </c>
      <c r="V226">
        <v>1.144139103904225</v>
      </c>
      <c r="W226">
        <v>1.2484279116728867</v>
      </c>
      <c r="X226">
        <v>1.3611525103354394</v>
      </c>
      <c r="Y226">
        <v>2.1850842784572646</v>
      </c>
      <c r="Z226">
        <v>2.3654674585648596</v>
      </c>
      <c r="AA226">
        <v>2.5569978817738419</v>
      </c>
      <c r="AB226">
        <v>4.2820916023539812</v>
      </c>
      <c r="AC226">
        <v>4.5500526498286549</v>
      </c>
      <c r="AD226">
        <v>4.8203142503774137</v>
      </c>
      <c r="AE226">
        <v>1.1407231938850964</v>
      </c>
      <c r="AF226">
        <v>1.2447237748644617</v>
      </c>
      <c r="AG226">
        <v>1.3571107093473602</v>
      </c>
      <c r="AH226">
        <v>2.1786967515932836</v>
      </c>
      <c r="AI226">
        <v>2.3585992613926505</v>
      </c>
      <c r="AJ226">
        <v>2.5495978488445576</v>
      </c>
      <c r="AK226">
        <v>4.2701792147237629</v>
      </c>
      <c r="AL226">
        <v>4.5374831872418611</v>
      </c>
      <c r="AM226">
        <v>4.8076741096129112</v>
      </c>
    </row>
    <row r="227" spans="1:39" x14ac:dyDescent="0.25">
      <c r="A227" s="147">
        <f t="shared" si="3"/>
        <v>17</v>
      </c>
      <c r="C227" s="149">
        <v>16.500000000000036</v>
      </c>
      <c r="D227" s="2">
        <v>1.3308481875740585</v>
      </c>
      <c r="E227">
        <v>1.4515887892402857</v>
      </c>
      <c r="F227">
        <v>1.5818679428334601</v>
      </c>
      <c r="G227">
        <v>2.5310155634665046</v>
      </c>
      <c r="H227">
        <v>2.7382991626086377</v>
      </c>
      <c r="I227">
        <v>2.9577654798896766</v>
      </c>
      <c r="J227">
        <v>4.9131016329966419</v>
      </c>
      <c r="K227">
        <v>5.213006504128737</v>
      </c>
      <c r="L227">
        <v>5.5162479972389429</v>
      </c>
      <c r="M227">
        <v>1.3203734093194248</v>
      </c>
      <c r="N227">
        <v>1.4402303659026363</v>
      </c>
      <c r="O227">
        <v>1.5695080276941802</v>
      </c>
      <c r="P227">
        <v>2.5114796823665828</v>
      </c>
      <c r="Q227">
        <v>2.7172551652145227</v>
      </c>
      <c r="R227">
        <v>2.9351289848642121</v>
      </c>
      <c r="S227">
        <v>4.8770376307981991</v>
      </c>
      <c r="T227">
        <v>5.1750117811068757</v>
      </c>
      <c r="U227">
        <v>5.4762763481981054</v>
      </c>
      <c r="V227">
        <v>1.1413743864216088</v>
      </c>
      <c r="W227">
        <v>1.2453133584233509</v>
      </c>
      <c r="X227">
        <v>1.3576400659351795</v>
      </c>
      <c r="Y227">
        <v>2.1780250503875029</v>
      </c>
      <c r="Z227">
        <v>2.3574727908344535</v>
      </c>
      <c r="AA227">
        <v>2.547942656909318</v>
      </c>
      <c r="AB227">
        <v>4.2599155228604122</v>
      </c>
      <c r="AC227">
        <v>4.5251603027988718</v>
      </c>
      <c r="AD227">
        <v>4.7924301250708128</v>
      </c>
      <c r="AE227">
        <v>1.1372301615452889</v>
      </c>
      <c r="AF227">
        <v>1.2408145145515284</v>
      </c>
      <c r="AG227">
        <v>1.3527318730830618</v>
      </c>
      <c r="AH227">
        <v>2.1702441043231238</v>
      </c>
      <c r="AI227">
        <v>2.3490953217773858</v>
      </c>
      <c r="AJ227">
        <v>2.5389103844127514</v>
      </c>
      <c r="AK227">
        <v>4.2452587094819281</v>
      </c>
      <c r="AL227">
        <v>4.5096713194294455</v>
      </c>
      <c r="AM227">
        <v>4.7767022646726094</v>
      </c>
    </row>
    <row r="228" spans="1:39" x14ac:dyDescent="0.25">
      <c r="A228" s="147">
        <f t="shared" si="3"/>
        <v>17</v>
      </c>
      <c r="C228" s="149">
        <v>16.583333333333368</v>
      </c>
      <c r="D228" s="2">
        <v>1.3294819961761006</v>
      </c>
      <c r="E228">
        <v>1.4501004614187849</v>
      </c>
      <c r="F228">
        <v>1.5802477242016977</v>
      </c>
      <c r="G228">
        <v>2.528449833833569</v>
      </c>
      <c r="H228">
        <v>2.7355313919179256</v>
      </c>
      <c r="I228">
        <v>2.9547841188694424</v>
      </c>
      <c r="J228">
        <v>4.9082771935482779</v>
      </c>
      <c r="K228">
        <v>5.2079121525286105</v>
      </c>
      <c r="L228">
        <v>5.5108871897427543</v>
      </c>
      <c r="M228">
        <v>1.3190503678064125</v>
      </c>
      <c r="N228">
        <v>1.4387891070792749</v>
      </c>
      <c r="O228">
        <v>1.5679389038957152</v>
      </c>
      <c r="P228">
        <v>2.5089939575776472</v>
      </c>
      <c r="Q228">
        <v>2.7145737482264209</v>
      </c>
      <c r="R228">
        <v>2.9322405122563038</v>
      </c>
      <c r="S228">
        <v>4.8723601582952796</v>
      </c>
      <c r="T228">
        <v>5.1700720141131704</v>
      </c>
      <c r="U228">
        <v>5.4710776228104123</v>
      </c>
      <c r="V228">
        <v>1.1386484984343266</v>
      </c>
      <c r="W228">
        <v>1.242339418501047</v>
      </c>
      <c r="X228">
        <v>1.3543980201793606</v>
      </c>
      <c r="Y228">
        <v>2.1728273946206533</v>
      </c>
      <c r="Z228">
        <v>2.3518478513384036</v>
      </c>
      <c r="AA228">
        <v>2.541864229716488</v>
      </c>
      <c r="AB228">
        <v>4.2497676347850764</v>
      </c>
      <c r="AC228">
        <v>4.5143837543711705</v>
      </c>
      <c r="AD228">
        <v>4.7810169136496814</v>
      </c>
      <c r="AE228">
        <v>1.1345398054411229</v>
      </c>
      <c r="AF228">
        <v>1.2378793066519951</v>
      </c>
      <c r="AG228">
        <v>1.3495319762482012</v>
      </c>
      <c r="AH228">
        <v>2.1651134167371615</v>
      </c>
      <c r="AI228">
        <v>2.3435427361712629</v>
      </c>
      <c r="AJ228">
        <v>2.5329099627675076</v>
      </c>
      <c r="AK228">
        <v>4.2352379357071799</v>
      </c>
      <c r="AL228">
        <v>4.4990292205310034</v>
      </c>
      <c r="AM228">
        <v>4.7654310706732845</v>
      </c>
    </row>
    <row r="229" spans="1:39" x14ac:dyDescent="0.25">
      <c r="A229" s="147">
        <f t="shared" si="3"/>
        <v>17</v>
      </c>
      <c r="C229" s="149">
        <v>16.6666666666667</v>
      </c>
      <c r="D229" s="2">
        <v>1.3281149331062487</v>
      </c>
      <c r="E229">
        <v>1.4486112051963138</v>
      </c>
      <c r="F229">
        <v>1.5786265197131311</v>
      </c>
      <c r="G229">
        <v>2.525882855011842</v>
      </c>
      <c r="H229">
        <v>2.7327623541855437</v>
      </c>
      <c r="I229">
        <v>2.9518014864537307</v>
      </c>
      <c r="J229">
        <v>4.9034522928972368</v>
      </c>
      <c r="K229">
        <v>5.2028176313099586</v>
      </c>
      <c r="L229">
        <v>5.5055265668448889</v>
      </c>
      <c r="M229">
        <v>1.31772642134415</v>
      </c>
      <c r="N229">
        <v>1.4373468831328238</v>
      </c>
      <c r="O229">
        <v>1.5663687532830841</v>
      </c>
      <c r="P229">
        <v>2.5065069082088716</v>
      </c>
      <c r="Q229">
        <v>2.711890980684347</v>
      </c>
      <c r="R229">
        <v>2.9293506754649643</v>
      </c>
      <c r="S229">
        <v>4.8676820261025355</v>
      </c>
      <c r="T229">
        <v>5.1651318587457817</v>
      </c>
      <c r="U229">
        <v>5.4658788415358721</v>
      </c>
      <c r="V229">
        <v>1.1359158633717295</v>
      </c>
      <c r="W229">
        <v>1.2393581593588772</v>
      </c>
      <c r="X229">
        <v>1.3511480453096414</v>
      </c>
      <c r="Y229">
        <v>2.1676176379358436</v>
      </c>
      <c r="Z229">
        <v>2.3462099688179925</v>
      </c>
      <c r="AA229">
        <v>2.5357719952928863</v>
      </c>
      <c r="AB229">
        <v>4.2395997723438423</v>
      </c>
      <c r="AC229">
        <v>4.5035865860650253</v>
      </c>
      <c r="AD229">
        <v>4.769582539191795</v>
      </c>
      <c r="AE229">
        <v>1.1318426536705335</v>
      </c>
      <c r="AF229">
        <v>1.2349367258937942</v>
      </c>
      <c r="AG229">
        <v>1.3463240911660426</v>
      </c>
      <c r="AH229">
        <v>2.1599705252521715</v>
      </c>
      <c r="AI229">
        <v>2.3379770940178033</v>
      </c>
      <c r="AJ229">
        <v>2.5268956088693235</v>
      </c>
      <c r="AK229">
        <v>4.2251969392696784</v>
      </c>
      <c r="AL229">
        <v>4.4883662307346484</v>
      </c>
      <c r="AM229">
        <v>4.7541384160943849</v>
      </c>
    </row>
    <row r="230" spans="1:39" x14ac:dyDescent="0.25">
      <c r="A230" s="147">
        <f t="shared" si="3"/>
        <v>17</v>
      </c>
      <c r="C230" s="149">
        <v>16.750000000000032</v>
      </c>
      <c r="D230" s="2">
        <v>1.3267469976965662</v>
      </c>
      <c r="E230">
        <v>1.4471210198399747</v>
      </c>
      <c r="F230">
        <v>1.5770043285629649</v>
      </c>
      <c r="G230">
        <v>2.5233146256415142</v>
      </c>
      <c r="H230">
        <v>2.7299920479221673</v>
      </c>
      <c r="I230">
        <v>2.948817581009922</v>
      </c>
      <c r="J230">
        <v>4.898626927755191</v>
      </c>
      <c r="K230">
        <v>5.1977229368469846</v>
      </c>
      <c r="L230">
        <v>5.5001661245494553</v>
      </c>
      <c r="M230">
        <v>1.3164015693369742</v>
      </c>
      <c r="N230">
        <v>1.4359036934103369</v>
      </c>
      <c r="O230">
        <v>1.5647975751383902</v>
      </c>
      <c r="P230">
        <v>2.5040185330463638</v>
      </c>
      <c r="Q230">
        <v>2.709206861259978</v>
      </c>
      <c r="R230">
        <v>2.9264594730333835</v>
      </c>
      <c r="S230">
        <v>4.8630032312704419</v>
      </c>
      <c r="T230">
        <v>5.1601913117475409</v>
      </c>
      <c r="U230">
        <v>5.460680000780946</v>
      </c>
      <c r="V230">
        <v>1.1331764624257956</v>
      </c>
      <c r="W230">
        <v>1.2363695605533984</v>
      </c>
      <c r="X230">
        <v>1.3478901191291206</v>
      </c>
      <c r="Y230">
        <v>2.1623957457976388</v>
      </c>
      <c r="Z230">
        <v>2.3405591061512299</v>
      </c>
      <c r="AA230">
        <v>2.5296659138161584</v>
      </c>
      <c r="AB230">
        <v>4.2294118736258905</v>
      </c>
      <c r="AC230">
        <v>4.4927687329207782</v>
      </c>
      <c r="AD230">
        <v>4.758126933784693</v>
      </c>
      <c r="AE230">
        <v>1.1291386873634697</v>
      </c>
      <c r="AF230">
        <v>1.2319867517661669</v>
      </c>
      <c r="AG230">
        <v>1.3431081955670274</v>
      </c>
      <c r="AH230">
        <v>2.1548153952308939</v>
      </c>
      <c r="AI230">
        <v>2.3323983580881134</v>
      </c>
      <c r="AJ230">
        <v>2.5208672827838905</v>
      </c>
      <c r="AK230">
        <v>4.2151356581492214</v>
      </c>
      <c r="AL230">
        <v>4.4776822849793358</v>
      </c>
      <c r="AM230">
        <v>4.7428242329248063</v>
      </c>
    </row>
    <row r="231" spans="1:39" x14ac:dyDescent="0.25">
      <c r="A231" s="147">
        <f t="shared" si="3"/>
        <v>17</v>
      </c>
      <c r="C231" s="149">
        <v>16.833333333333364</v>
      </c>
      <c r="D231" s="2">
        <v>1.3253781892790388</v>
      </c>
      <c r="E231">
        <v>1.4456299046169869</v>
      </c>
      <c r="F231">
        <v>1.5753811499458816</v>
      </c>
      <c r="G231">
        <v>2.5207451443612525</v>
      </c>
      <c r="H231">
        <v>2.7272204716379771</v>
      </c>
      <c r="I231">
        <v>2.9458324009037731</v>
      </c>
      <c r="J231">
        <v>4.8938010948293993</v>
      </c>
      <c r="K231">
        <v>5.1926280655085435</v>
      </c>
      <c r="L231">
        <v>5.4948058588512021</v>
      </c>
      <c r="M231">
        <v>1.3150758111895628</v>
      </c>
      <c r="N231">
        <v>1.4344595372591011</v>
      </c>
      <c r="O231">
        <v>1.5632253687442232</v>
      </c>
      <c r="P231">
        <v>2.5015288308752033</v>
      </c>
      <c r="Q231">
        <v>2.7065213886247093</v>
      </c>
      <c r="R231">
        <v>2.9235669035038478</v>
      </c>
      <c r="S231">
        <v>4.8583237708469689</v>
      </c>
      <c r="T231">
        <v>5.1552503698586625</v>
      </c>
      <c r="U231">
        <v>5.455481096947711</v>
      </c>
      <c r="V231">
        <v>1.130430276738428</v>
      </c>
      <c r="W231">
        <v>1.2333736015855439</v>
      </c>
      <c r="X231">
        <v>1.3446242193805806</v>
      </c>
      <c r="Y231">
        <v>2.1571616835773892</v>
      </c>
      <c r="Z231">
        <v>2.3348952261150502</v>
      </c>
      <c r="AA231">
        <v>2.5235459453550413</v>
      </c>
      <c r="AB231">
        <v>4.2192038765504796</v>
      </c>
      <c r="AC231">
        <v>4.4819301297990268</v>
      </c>
      <c r="AD231">
        <v>4.7466500293299356</v>
      </c>
      <c r="AE231">
        <v>1.1264278875993434</v>
      </c>
      <c r="AF231">
        <v>1.22902936370255</v>
      </c>
      <c r="AG231">
        <v>1.3398842671220501</v>
      </c>
      <c r="AH231">
        <v>2.149647991941571</v>
      </c>
      <c r="AI231">
        <v>2.3268064910502937</v>
      </c>
      <c r="AJ231">
        <v>2.5148249444668842</v>
      </c>
      <c r="AK231">
        <v>4.2050540301555834</v>
      </c>
      <c r="AL231">
        <v>4.4669773180259273</v>
      </c>
      <c r="AM231">
        <v>4.7314884529653405</v>
      </c>
    </row>
    <row r="232" spans="1:39" x14ac:dyDescent="0.25">
      <c r="A232" s="147">
        <f t="shared" si="3"/>
        <v>17</v>
      </c>
      <c r="C232" s="149">
        <v>16.916666666666696</v>
      </c>
      <c r="D232" s="2">
        <v>1.3240085071856154</v>
      </c>
      <c r="E232">
        <v>1.4441378587945526</v>
      </c>
      <c r="F232">
        <v>1.5737569830569251</v>
      </c>
      <c r="G232">
        <v>2.5181744098093777</v>
      </c>
      <c r="H232">
        <v>2.7244476238422317</v>
      </c>
      <c r="I232">
        <v>2.9428459444996422</v>
      </c>
      <c r="J232">
        <v>4.8889747908239318</v>
      </c>
      <c r="K232">
        <v>5.1875330136603779</v>
      </c>
      <c r="L232">
        <v>5.4894457657453728</v>
      </c>
      <c r="M232">
        <v>1.3137491463065454</v>
      </c>
      <c r="N232">
        <v>1.4330144140262531</v>
      </c>
      <c r="O232">
        <v>1.561652133382688</v>
      </c>
      <c r="P232">
        <v>2.4990378004806342</v>
      </c>
      <c r="Q232">
        <v>2.7038345614486956</v>
      </c>
      <c r="R232">
        <v>2.9206729654174226</v>
      </c>
      <c r="S232">
        <v>4.8536436418754008</v>
      </c>
      <c r="T232">
        <v>5.1503090298167935</v>
      </c>
      <c r="U232">
        <v>5.4502821264348826</v>
      </c>
      <c r="V232">
        <v>1.1276772873998318</v>
      </c>
      <c r="W232">
        <v>1.2303702619008523</v>
      </c>
      <c r="X232">
        <v>1.3413503237469162</v>
      </c>
      <c r="Y232">
        <v>2.1519154165514767</v>
      </c>
      <c r="Z232">
        <v>2.3292182913847648</v>
      </c>
      <c r="AA232">
        <v>2.517412049869268</v>
      </c>
      <c r="AB232">
        <v>4.2089757188679515</v>
      </c>
      <c r="AC232">
        <v>4.4710707113834909</v>
      </c>
      <c r="AD232">
        <v>4.7351517575429378</v>
      </c>
      <c r="AE232">
        <v>1.1237102354060837</v>
      </c>
      <c r="AF232">
        <v>1.2260645410806963</v>
      </c>
      <c r="AG232">
        <v>1.3366522834409769</v>
      </c>
      <c r="AH232">
        <v>2.1444682805579394</v>
      </c>
      <c r="AI232">
        <v>2.3212014554720035</v>
      </c>
      <c r="AJ232">
        <v>2.5087685537659059</v>
      </c>
      <c r="AK232">
        <v>4.1949519929272894</v>
      </c>
      <c r="AL232">
        <v>4.456251264455843</v>
      </c>
      <c r="AM232">
        <v>4.720131007829953</v>
      </c>
    </row>
    <row r="233" spans="1:39" x14ac:dyDescent="0.25">
      <c r="A233" s="147">
        <f t="shared" si="3"/>
        <v>17</v>
      </c>
      <c r="C233" s="149">
        <v>17.000000000000028</v>
      </c>
      <c r="D233" s="2">
        <v>1.3226379507484176</v>
      </c>
      <c r="E233">
        <v>1.4426448816396853</v>
      </c>
      <c r="F233">
        <v>1.5721318270906872</v>
      </c>
      <c r="G233">
        <v>2.5156024206234475</v>
      </c>
      <c r="H233">
        <v>2.7216735030428443</v>
      </c>
      <c r="I233">
        <v>2.9398582101607618</v>
      </c>
      <c r="J233">
        <v>4.8841480124383612</v>
      </c>
      <c r="K233">
        <v>5.1824377776644459</v>
      </c>
      <c r="L233">
        <v>5.4840858412199394</v>
      </c>
      <c r="M233">
        <v>1.3124215740929257</v>
      </c>
      <c r="N233">
        <v>1.4315683230594876</v>
      </c>
      <c r="O233">
        <v>1.5600778683367347</v>
      </c>
      <c r="P233">
        <v>2.4965454406469663</v>
      </c>
      <c r="Q233">
        <v>2.7011463784019658</v>
      </c>
      <c r="R233">
        <v>2.9177776573150336</v>
      </c>
      <c r="S233">
        <v>4.848962841396748</v>
      </c>
      <c r="T233">
        <v>5.1453672883538033</v>
      </c>
      <c r="U233">
        <v>5.4450830856349626</v>
      </c>
      <c r="V233">
        <v>1.1249174754494955</v>
      </c>
      <c r="W233">
        <v>1.2273595208888932</v>
      </c>
      <c r="X233">
        <v>1.3380684098499005</v>
      </c>
      <c r="Y233">
        <v>2.146656909901894</v>
      </c>
      <c r="Z233">
        <v>2.3235282645338149</v>
      </c>
      <c r="AA233">
        <v>2.5112641872092958</v>
      </c>
      <c r="AB233">
        <v>4.1987273381573518</v>
      </c>
      <c r="AC233">
        <v>4.4601904121779175</v>
      </c>
      <c r="AD233">
        <v>4.7236320499525277</v>
      </c>
      <c r="AE233">
        <v>1.1209857117602244</v>
      </c>
      <c r="AF233">
        <v>1.2230922632225676</v>
      </c>
      <c r="AG233">
        <v>1.3334122220734475</v>
      </c>
      <c r="AH233">
        <v>2.1392762261588625</v>
      </c>
      <c r="AI233">
        <v>2.315583213817725</v>
      </c>
      <c r="AJ233">
        <v>2.502698070418127</v>
      </c>
      <c r="AK233">
        <v>4.1848294839323694</v>
      </c>
      <c r="AL233">
        <v>4.4455040586709869</v>
      </c>
      <c r="AM233">
        <v>4.7087518289455019</v>
      </c>
    </row>
    <row r="234" spans="1:39" x14ac:dyDescent="0.25">
      <c r="A234" s="147">
        <f t="shared" si="3"/>
        <v>18</v>
      </c>
      <c r="C234" s="149">
        <v>17.083333333333361</v>
      </c>
      <c r="D234" s="2">
        <v>1.3212665192991897</v>
      </c>
      <c r="E234">
        <v>1.4411509724192868</v>
      </c>
      <c r="F234">
        <v>1.5705056812415465</v>
      </c>
      <c r="G234">
        <v>2.51302917543976</v>
      </c>
      <c r="H234">
        <v>2.7188981077463032</v>
      </c>
      <c r="I234">
        <v>2.9368691962490505</v>
      </c>
      <c r="J234">
        <v>4.8793207563689478</v>
      </c>
      <c r="K234">
        <v>5.1773423538765826</v>
      </c>
      <c r="L234">
        <v>5.4787260812588086</v>
      </c>
      <c r="M234">
        <v>1.3110930939539105</v>
      </c>
      <c r="N234">
        <v>1.4301212637066278</v>
      </c>
      <c r="O234">
        <v>1.5585025728887993</v>
      </c>
      <c r="P234">
        <v>2.4940517501583388</v>
      </c>
      <c r="Q234">
        <v>2.6984568381534038</v>
      </c>
      <c r="R234">
        <v>2.9148809777364479</v>
      </c>
      <c r="S234">
        <v>4.8442813664477402</v>
      </c>
      <c r="T234">
        <v>5.1404251421988443</v>
      </c>
      <c r="U234">
        <v>5.4398839709386495</v>
      </c>
      <c r="V234">
        <v>1.1221508218752678</v>
      </c>
      <c r="W234">
        <v>1.2243413578839382</v>
      </c>
      <c r="X234">
        <v>1.3347784552511572</v>
      </c>
      <c r="Y234">
        <v>2.1413861287158227</v>
      </c>
      <c r="Z234">
        <v>2.3178251080337424</v>
      </c>
      <c r="AA234">
        <v>2.5051023171161595</v>
      </c>
      <c r="AB234">
        <v>4.1884586718271297</v>
      </c>
      <c r="AC234">
        <v>4.449289166507727</v>
      </c>
      <c r="AD234">
        <v>4.7120908379000745</v>
      </c>
      <c r="AE234">
        <v>1.1182542975870167</v>
      </c>
      <c r="AF234">
        <v>1.220112509394047</v>
      </c>
      <c r="AG234">
        <v>1.3301640605078553</v>
      </c>
      <c r="AH234">
        <v>2.1340717937278333</v>
      </c>
      <c r="AI234">
        <v>2.3099517284500912</v>
      </c>
      <c r="AJ234">
        <v>2.496613454050749</v>
      </c>
      <c r="AK234">
        <v>4.1746864404661954</v>
      </c>
      <c r="AL234">
        <v>4.4347356348924558</v>
      </c>
      <c r="AM234">
        <v>4.6973508475497763</v>
      </c>
    </row>
    <row r="235" spans="1:39" x14ac:dyDescent="0.25">
      <c r="A235" s="147">
        <f t="shared" si="3"/>
        <v>18</v>
      </c>
      <c r="C235" s="149">
        <v>17.166666666666693</v>
      </c>
      <c r="D235" s="2">
        <v>1.3198942121697199</v>
      </c>
      <c r="E235">
        <v>1.439656130400059</v>
      </c>
      <c r="F235">
        <v>1.5688785447038383</v>
      </c>
      <c r="G235">
        <v>2.5104546728942023</v>
      </c>
      <c r="H235">
        <v>2.7161214364589297</v>
      </c>
      <c r="I235">
        <v>2.9338789011248516</v>
      </c>
      <c r="J235">
        <v>4.8744930193080434</v>
      </c>
      <c r="K235">
        <v>5.1722467386506059</v>
      </c>
      <c r="L235">
        <v>5.4733664818410253</v>
      </c>
      <c r="M235">
        <v>1.3097637052947337</v>
      </c>
      <c r="N235">
        <v>1.4286732353153673</v>
      </c>
      <c r="O235">
        <v>1.556926246322015</v>
      </c>
      <c r="P235">
        <v>2.4915567277982129</v>
      </c>
      <c r="Q235">
        <v>2.695765939371924</v>
      </c>
      <c r="R235">
        <v>2.911982925220006</v>
      </c>
      <c r="S235">
        <v>4.83959921406246</v>
      </c>
      <c r="T235">
        <v>5.1354825880773856</v>
      </c>
      <c r="U235">
        <v>5.4346847787306372</v>
      </c>
      <c r="V235">
        <v>1.1193773076135882</v>
      </c>
      <c r="W235">
        <v>1.2213157521636353</v>
      </c>
      <c r="X235">
        <v>1.3314804374511815</v>
      </c>
      <c r="Y235">
        <v>2.1361030379851744</v>
      </c>
      <c r="Z235">
        <v>2.3121087842537094</v>
      </c>
      <c r="AA235">
        <v>2.4989263992205442</v>
      </c>
      <c r="AB235">
        <v>4.1781696571132771</v>
      </c>
      <c r="AC235">
        <v>4.4383669085176685</v>
      </c>
      <c r="AD235">
        <v>4.7005280525391981</v>
      </c>
      <c r="AE235">
        <v>1.1155159737598197</v>
      </c>
      <c r="AF235">
        <v>1.2171252588049293</v>
      </c>
      <c r="AG235">
        <v>1.3269077761715737</v>
      </c>
      <c r="AH235">
        <v>2.1288549481532213</v>
      </c>
      <c r="AI235">
        <v>2.3043069616289689</v>
      </c>
      <c r="AJ235">
        <v>2.4905146641808735</v>
      </c>
      <c r="AK235">
        <v>4.1645227996526755</v>
      </c>
      <c r="AL235">
        <v>4.4239459271630137</v>
      </c>
      <c r="AM235">
        <v>4.6859279946929817</v>
      </c>
    </row>
    <row r="236" spans="1:39" x14ac:dyDescent="0.25">
      <c r="A236" s="147">
        <f t="shared" si="3"/>
        <v>18</v>
      </c>
      <c r="C236" s="149">
        <v>17.250000000000025</v>
      </c>
      <c r="D236" s="2">
        <v>1.3185210286919193</v>
      </c>
      <c r="E236">
        <v>1.4381603548489983</v>
      </c>
      <c r="F236">
        <v>1.5672504166718797</v>
      </c>
      <c r="G236">
        <v>2.5078789116210647</v>
      </c>
      <c r="H236">
        <v>2.71334348768554</v>
      </c>
      <c r="I236">
        <v>2.9308873231477817</v>
      </c>
      <c r="J236">
        <v>4.8696647979444192</v>
      </c>
      <c r="K236">
        <v>5.167150928334256</v>
      </c>
      <c r="L236">
        <v>5.468007038942142</v>
      </c>
      <c r="M236">
        <v>1.3084334075211679</v>
      </c>
      <c r="N236">
        <v>1.4272242372338511</v>
      </c>
      <c r="O236">
        <v>1.5553488879191517</v>
      </c>
      <c r="P236">
        <v>2.4890603723501417</v>
      </c>
      <c r="Q236">
        <v>2.6930736807251212</v>
      </c>
      <c r="R236">
        <v>2.9090834983043088</v>
      </c>
      <c r="S236">
        <v>4.8349163812711895</v>
      </c>
      <c r="T236">
        <v>5.1305396227103728</v>
      </c>
      <c r="U236">
        <v>5.4294855053926545</v>
      </c>
      <c r="V236">
        <v>1.1165969135494125</v>
      </c>
      <c r="W236">
        <v>1.2182826829500604</v>
      </c>
      <c r="X236">
        <v>1.3281743338897152</v>
      </c>
      <c r="Y236">
        <v>2.1308076026067448</v>
      </c>
      <c r="Z236">
        <v>2.3063792554603686</v>
      </c>
      <c r="AA236">
        <v>2.4927363930436783</v>
      </c>
      <c r="AB236">
        <v>4.1678602310811259</v>
      </c>
      <c r="AC236">
        <v>4.4274235721727084</v>
      </c>
      <c r="AD236">
        <v>4.6889436248354119</v>
      </c>
      <c r="AE236">
        <v>1.112770721100441</v>
      </c>
      <c r="AF236">
        <v>1.2141304906085928</v>
      </c>
      <c r="AG236">
        <v>1.3236433464311359</v>
      </c>
      <c r="AH236">
        <v>2.1236256542275105</v>
      </c>
      <c r="AI236">
        <v>2.2986488755112542</v>
      </c>
      <c r="AJ236">
        <v>2.4844016602153158</v>
      </c>
      <c r="AK236">
        <v>4.1543384984427991</v>
      </c>
      <c r="AL236">
        <v>4.4131348693411319</v>
      </c>
      <c r="AM236">
        <v>4.6744832012352697</v>
      </c>
    </row>
    <row r="237" spans="1:39" x14ac:dyDescent="0.25">
      <c r="A237" s="147">
        <f t="shared" si="3"/>
        <v>18</v>
      </c>
      <c r="C237" s="149">
        <v>17.333333333333357</v>
      </c>
      <c r="D237" s="2">
        <v>1.3171469681976915</v>
      </c>
      <c r="E237">
        <v>1.4366636450325547</v>
      </c>
      <c r="F237">
        <v>1.5656212963394505</v>
      </c>
      <c r="G237">
        <v>2.505301890254791</v>
      </c>
      <c r="H237">
        <v>2.7105642599292574</v>
      </c>
      <c r="I237">
        <v>2.9278944606760393</v>
      </c>
      <c r="J237">
        <v>4.8648360889616216</v>
      </c>
      <c r="K237">
        <v>5.162054919272447</v>
      </c>
      <c r="L237">
        <v>5.4626477485323592</v>
      </c>
      <c r="M237">
        <v>1.307102200038962</v>
      </c>
      <c r="N237">
        <v>1.4257742688104598</v>
      </c>
      <c r="O237">
        <v>1.5537704969636104</v>
      </c>
      <c r="P237">
        <v>2.4865626825963347</v>
      </c>
      <c r="Q237">
        <v>2.6903800608805319</v>
      </c>
      <c r="R237">
        <v>2.9061826955260885</v>
      </c>
      <c r="S237">
        <v>4.8302328651010438</v>
      </c>
      <c r="T237">
        <v>5.1255962428155906</v>
      </c>
      <c r="U237">
        <v>5.424286147301645</v>
      </c>
      <c r="V237">
        <v>1.1138096205158068</v>
      </c>
      <c r="W237">
        <v>1.2152421294086226</v>
      </c>
      <c r="X237">
        <v>1.3248601219450584</v>
      </c>
      <c r="Y237">
        <v>2.1254997873816417</v>
      </c>
      <c r="Z237">
        <v>2.3006364838173248</v>
      </c>
      <c r="AA237">
        <v>2.4865322579956506</v>
      </c>
      <c r="AB237">
        <v>4.1575303306227873</v>
      </c>
      <c r="AC237">
        <v>4.416459091256443</v>
      </c>
      <c r="AD237">
        <v>4.6773374855650474</v>
      </c>
      <c r="AE237">
        <v>1.110018520378582</v>
      </c>
      <c r="AF237">
        <v>1.2111281839020296</v>
      </c>
      <c r="AG237">
        <v>1.3203707485914054</v>
      </c>
      <c r="AH237">
        <v>2.1183838766473078</v>
      </c>
      <c r="AI237">
        <v>2.2929774321507024</v>
      </c>
      <c r="AJ237">
        <v>2.4782744014498901</v>
      </c>
      <c r="AK237">
        <v>4.1441334736144846</v>
      </c>
      <c r="AL237">
        <v>4.4023023951063935</v>
      </c>
      <c r="AM237">
        <v>4.663016397848299</v>
      </c>
    </row>
    <row r="238" spans="1:39" x14ac:dyDescent="0.25">
      <c r="A238" s="147">
        <f t="shared" si="3"/>
        <v>18</v>
      </c>
      <c r="C238" s="149">
        <v>17.416666666666689</v>
      </c>
      <c r="D238" s="2">
        <v>1.3157720300186428</v>
      </c>
      <c r="E238">
        <v>1.4351660002175066</v>
      </c>
      <c r="F238">
        <v>1.5639911829005073</v>
      </c>
      <c r="G238">
        <v>2.5027236074278694</v>
      </c>
      <c r="H238">
        <v>2.7077837516931331</v>
      </c>
      <c r="I238">
        <v>2.9249003120656356</v>
      </c>
      <c r="J238">
        <v>4.8600068890414736</v>
      </c>
      <c r="K238">
        <v>5.1569587078049999</v>
      </c>
      <c r="L238">
        <v>5.4572886065767303</v>
      </c>
      <c r="M238">
        <v>1.3057700822540921</v>
      </c>
      <c r="N238">
        <v>1.4243233293935467</v>
      </c>
      <c r="O238">
        <v>1.5521910727385311</v>
      </c>
      <c r="P238">
        <v>2.4840636573192203</v>
      </c>
      <c r="Q238">
        <v>2.6876850785046225</v>
      </c>
      <c r="R238">
        <v>2.9032805154220744</v>
      </c>
      <c r="S238">
        <v>4.8255486625756356</v>
      </c>
      <c r="T238">
        <v>5.1206524451068791</v>
      </c>
      <c r="U238">
        <v>5.419086700830106</v>
      </c>
      <c r="V238">
        <v>1.1110154092941138</v>
      </c>
      <c r="W238">
        <v>1.2121940706484753</v>
      </c>
      <c r="X238">
        <v>1.3215377789344827</v>
      </c>
      <c r="Y238">
        <v>2.1201795570150006</v>
      </c>
      <c r="Z238">
        <v>2.294880431385053</v>
      </c>
      <c r="AA238">
        <v>2.48031395337622</v>
      </c>
      <c r="AB238">
        <v>4.1471798924574825</v>
      </c>
      <c r="AC238">
        <v>4.405473399372017</v>
      </c>
      <c r="AD238">
        <v>4.6657095653157237</v>
      </c>
      <c r="AE238">
        <v>1.107259352312181</v>
      </c>
      <c r="AF238">
        <v>1.2081183177256554</v>
      </c>
      <c r="AG238">
        <v>1.3170899598958137</v>
      </c>
      <c r="AH238">
        <v>2.1131295800132239</v>
      </c>
      <c r="AI238">
        <v>2.2872925934972703</v>
      </c>
      <c r="AJ238">
        <v>2.4721328470689961</v>
      </c>
      <c r="AK238">
        <v>4.1339076617720458</v>
      </c>
      <c r="AL238">
        <v>4.3914484379550531</v>
      </c>
      <c r="AM238">
        <v>4.6515275150118462</v>
      </c>
    </row>
    <row r="239" spans="1:39" x14ac:dyDescent="0.25">
      <c r="A239" s="147">
        <f t="shared" si="3"/>
        <v>18</v>
      </c>
      <c r="C239" s="149">
        <v>17.500000000000021</v>
      </c>
      <c r="D239" s="2">
        <v>1.3165925701595915</v>
      </c>
      <c r="E239">
        <v>1.4359397145822315</v>
      </c>
      <c r="F239">
        <v>1.5646869397437086</v>
      </c>
      <c r="G239">
        <v>2.5020845469571706</v>
      </c>
      <c r="H239">
        <v>2.7066684334068345</v>
      </c>
      <c r="I239">
        <v>2.923191674017684</v>
      </c>
      <c r="J239">
        <v>4.8486537646296428</v>
      </c>
      <c r="K239">
        <v>5.1433086945666471</v>
      </c>
      <c r="L239">
        <v>5.4410621218240536</v>
      </c>
      <c r="M239">
        <v>1.3042975050219967</v>
      </c>
      <c r="N239">
        <v>1.4225971712943513</v>
      </c>
      <c r="O239">
        <v>1.5501652408003603</v>
      </c>
      <c r="P239">
        <v>2.47907969649681</v>
      </c>
      <c r="Q239">
        <v>2.6818662679790815</v>
      </c>
      <c r="R239">
        <v>2.896492435997827</v>
      </c>
      <c r="S239">
        <v>4.8058078737826788</v>
      </c>
      <c r="T239">
        <v>5.0981095809703243</v>
      </c>
      <c r="U239">
        <v>5.3934485336518394</v>
      </c>
      <c r="V239">
        <v>1.1076380246952124</v>
      </c>
      <c r="W239">
        <v>1.2084124098598841</v>
      </c>
      <c r="X239">
        <v>1.3172998159314222</v>
      </c>
      <c r="Y239">
        <v>2.1119774133770033</v>
      </c>
      <c r="Z239">
        <v>2.2856543575752504</v>
      </c>
      <c r="AA239">
        <v>2.4699349590742967</v>
      </c>
      <c r="AB239">
        <v>4.1229404791700999</v>
      </c>
      <c r="AC239">
        <v>4.3784223970683094</v>
      </c>
      <c r="AD239">
        <v>4.6355844232090408</v>
      </c>
      <c r="AE239">
        <v>1.1037077753600786</v>
      </c>
      <c r="AF239">
        <v>1.2041464180452994</v>
      </c>
      <c r="AG239">
        <v>1.312644340367016</v>
      </c>
      <c r="AH239">
        <v>2.1045906022095977</v>
      </c>
      <c r="AI239">
        <v>2.2777010066326504</v>
      </c>
      <c r="AJ239">
        <v>2.461357707721668</v>
      </c>
      <c r="AK239">
        <v>4.1089874822612007</v>
      </c>
      <c r="AL239">
        <v>4.3636704180710888</v>
      </c>
      <c r="AM239">
        <v>4.6206311593152183</v>
      </c>
    </row>
    <row r="240" spans="1:39" x14ac:dyDescent="0.25">
      <c r="A240" s="147">
        <f t="shared" si="3"/>
        <v>18</v>
      </c>
      <c r="C240" s="149">
        <v>17.583333333333353</v>
      </c>
      <c r="D240" s="2">
        <v>1.3152018788916313</v>
      </c>
      <c r="E240">
        <v>1.4344251785810804</v>
      </c>
      <c r="F240">
        <v>1.5630387699775241</v>
      </c>
      <c r="G240">
        <v>2.4994814897521378</v>
      </c>
      <c r="H240">
        <v>2.7038621029158594</v>
      </c>
      <c r="I240">
        <v>2.9201707868692033</v>
      </c>
      <c r="J240">
        <v>4.8437987294945231</v>
      </c>
      <c r="K240">
        <v>5.138188395944935</v>
      </c>
      <c r="L240">
        <v>5.435681132738079</v>
      </c>
      <c r="M240">
        <v>1.3029606445628119</v>
      </c>
      <c r="N240">
        <v>1.4211413151178998</v>
      </c>
      <c r="O240">
        <v>1.5485807634027884</v>
      </c>
      <c r="P240">
        <v>2.4765762146385519</v>
      </c>
      <c r="Q240">
        <v>2.6791673406759839</v>
      </c>
      <c r="R240">
        <v>2.8935870136160782</v>
      </c>
      <c r="S240">
        <v>4.8011345528948945</v>
      </c>
      <c r="T240">
        <v>5.0931802313910106</v>
      </c>
      <c r="U240">
        <v>5.388267566967297</v>
      </c>
      <c r="V240">
        <v>1.1048300203827193</v>
      </c>
      <c r="W240">
        <v>1.2053497337858943</v>
      </c>
      <c r="X240">
        <v>1.313962050451611</v>
      </c>
      <c r="Y240">
        <v>2.1066386635459811</v>
      </c>
      <c r="Z240">
        <v>2.2798797936008448</v>
      </c>
      <c r="AA240">
        <v>2.463698437122781</v>
      </c>
      <c r="AB240">
        <v>4.1125893614340194</v>
      </c>
      <c r="AC240">
        <v>4.3674415230807462</v>
      </c>
      <c r="AD240">
        <v>4.6239678365551651</v>
      </c>
      <c r="AE240">
        <v>1.1009365787141197</v>
      </c>
      <c r="AF240">
        <v>1.2011238554437889</v>
      </c>
      <c r="AG240">
        <v>1.3093502184712738</v>
      </c>
      <c r="AH240">
        <v>2.0993210832974807</v>
      </c>
      <c r="AI240">
        <v>2.272001211949283</v>
      </c>
      <c r="AJ240">
        <v>2.4552017632855643</v>
      </c>
      <c r="AK240">
        <v>4.0987671311578247</v>
      </c>
      <c r="AL240">
        <v>4.3528277561184749</v>
      </c>
      <c r="AM240">
        <v>4.6091603977961402</v>
      </c>
    </row>
    <row r="241" spans="1:39" x14ac:dyDescent="0.25">
      <c r="A241" s="147">
        <f t="shared" si="3"/>
        <v>18</v>
      </c>
      <c r="C241" s="149">
        <v>17.666666666666686</v>
      </c>
      <c r="D241" s="2">
        <v>1.313810319143923</v>
      </c>
      <c r="E241">
        <v>1.4329097179658659</v>
      </c>
      <c r="F241">
        <v>1.5613896188295042</v>
      </c>
      <c r="G241">
        <v>2.4968771938241292</v>
      </c>
      <c r="H241">
        <v>2.7010545172694997</v>
      </c>
      <c r="I241">
        <v>2.9171486417158246</v>
      </c>
      <c r="J241">
        <v>4.8389432535291146</v>
      </c>
      <c r="K241">
        <v>5.133067946656837</v>
      </c>
      <c r="L241">
        <v>5.4303003444744586</v>
      </c>
      <c r="M241">
        <v>1.3016228762881314</v>
      </c>
      <c r="N241">
        <v>1.4196844908526423</v>
      </c>
      <c r="O241">
        <v>1.5469952561169085</v>
      </c>
      <c r="P241">
        <v>2.4740714044996972</v>
      </c>
      <c r="Q241">
        <v>2.6764670589149997</v>
      </c>
      <c r="R241">
        <v>2.8906802228138204</v>
      </c>
      <c r="S241">
        <v>4.7964605540291005</v>
      </c>
      <c r="T241">
        <v>5.0882504697018867</v>
      </c>
      <c r="U241">
        <v>5.3830865136549377</v>
      </c>
      <c r="V241">
        <v>1.1020150491717531</v>
      </c>
      <c r="W241">
        <v>1.2022795002690787</v>
      </c>
      <c r="X241">
        <v>1.3106160980445856</v>
      </c>
      <c r="Y241">
        <v>2.1012874206607988</v>
      </c>
      <c r="Z241">
        <v>2.2740918670378862</v>
      </c>
      <c r="AA241">
        <v>2.4574476599869244</v>
      </c>
      <c r="AB241">
        <v>4.1022175933538181</v>
      </c>
      <c r="AC241">
        <v>4.3564393207873406</v>
      </c>
      <c r="AD241">
        <v>4.6123293461240591</v>
      </c>
      <c r="AE241">
        <v>1.0981583646359265</v>
      </c>
      <c r="AF241">
        <v>1.1980936796345378</v>
      </c>
      <c r="AG241">
        <v>1.3060478481974047</v>
      </c>
      <c r="AH241">
        <v>2.0940389646384601</v>
      </c>
      <c r="AI241">
        <v>2.266287937137335</v>
      </c>
      <c r="AJ241">
        <v>2.4490314343107973</v>
      </c>
      <c r="AK241">
        <v>4.0885258744863267</v>
      </c>
      <c r="AL241">
        <v>4.3419634875833255</v>
      </c>
      <c r="AM241">
        <v>4.5976674272089229</v>
      </c>
    </row>
    <row r="242" spans="1:39" x14ac:dyDescent="0.25">
      <c r="A242" s="147">
        <f t="shared" si="3"/>
        <v>18</v>
      </c>
      <c r="C242" s="149">
        <v>17.750000000000018</v>
      </c>
      <c r="D242" s="2">
        <v>1.312417890222813</v>
      </c>
      <c r="E242">
        <v>1.431393331975277</v>
      </c>
      <c r="F242">
        <v>1.5597394854630902</v>
      </c>
      <c r="G242">
        <v>2.4942716577564821</v>
      </c>
      <c r="H242">
        <v>2.6982456749158801</v>
      </c>
      <c r="I242">
        <v>2.9141252368556358</v>
      </c>
      <c r="J242">
        <v>4.8340873333126648</v>
      </c>
      <c r="K242">
        <v>5.1279473429349274</v>
      </c>
      <c r="L242">
        <v>5.4249197528869573</v>
      </c>
      <c r="M242">
        <v>1.3002841995989711</v>
      </c>
      <c r="N242">
        <v>1.4182266978414293</v>
      </c>
      <c r="O242">
        <v>1.5454087182201661</v>
      </c>
      <c r="P242">
        <v>2.4715652648532407</v>
      </c>
      <c r="Q242">
        <v>2.6737654213530688</v>
      </c>
      <c r="R242">
        <v>2.8877720621168899</v>
      </c>
      <c r="S242">
        <v>4.7917858741984194</v>
      </c>
      <c r="T242">
        <v>5.0833202926055829</v>
      </c>
      <c r="U242">
        <v>5.3779053700798896</v>
      </c>
      <c r="V242">
        <v>1.099193091653752</v>
      </c>
      <c r="W242">
        <v>1.1992016882137746</v>
      </c>
      <c r="X242">
        <v>1.3072619358072459</v>
      </c>
      <c r="Y242">
        <v>2.0959236491057176</v>
      </c>
      <c r="Z242">
        <v>2.2682905396066109</v>
      </c>
      <c r="AA242">
        <v>2.4511825866072123</v>
      </c>
      <c r="AB242">
        <v>4.091825111175643</v>
      </c>
      <c r="AC242">
        <v>4.345415723309638</v>
      </c>
      <c r="AD242">
        <v>4.6006688820164339</v>
      </c>
      <c r="AE242">
        <v>1.0953731136527545</v>
      </c>
      <c r="AF242">
        <v>1.195055869452502</v>
      </c>
      <c r="AG242">
        <v>1.3027372065679992</v>
      </c>
      <c r="AH242">
        <v>2.088744210511595</v>
      </c>
      <c r="AI242">
        <v>2.2605611438069766</v>
      </c>
      <c r="AJ242">
        <v>2.4428466796231194</v>
      </c>
      <c r="AK242">
        <v>4.0782636483813786</v>
      </c>
      <c r="AL242">
        <v>4.3310775454844794</v>
      </c>
      <c r="AM242">
        <v>4.5861521775524059</v>
      </c>
    </row>
    <row r="243" spans="1:39" x14ac:dyDescent="0.25">
      <c r="A243" s="147">
        <f t="shared" si="3"/>
        <v>18</v>
      </c>
      <c r="C243" s="149">
        <v>17.83333333333335</v>
      </c>
      <c r="D243" s="2">
        <v>1.3110245914341914</v>
      </c>
      <c r="E243">
        <v>1.4298760198475688</v>
      </c>
      <c r="F243">
        <v>1.5580883690412897</v>
      </c>
      <c r="G243">
        <v>2.4916648801308834</v>
      </c>
      <c r="H243">
        <v>2.6954355743023815</v>
      </c>
      <c r="I243">
        <v>2.9111005705847468</v>
      </c>
      <c r="J243">
        <v>4.8292309654219281</v>
      </c>
      <c r="K243">
        <v>5.122826581009214</v>
      </c>
      <c r="L243">
        <v>5.4195393538252645</v>
      </c>
      <c r="M243">
        <v>1.2989446138965333</v>
      </c>
      <c r="N243">
        <v>1.4167679354276215</v>
      </c>
      <c r="O243">
        <v>1.5438211489900171</v>
      </c>
      <c r="P243">
        <v>2.4690577944719041</v>
      </c>
      <c r="Q243">
        <v>2.6710624266463578</v>
      </c>
      <c r="R243">
        <v>2.8848625300502055</v>
      </c>
      <c r="S243">
        <v>4.7871105104108018</v>
      </c>
      <c r="T243">
        <v>5.0783896968034803</v>
      </c>
      <c r="U243">
        <v>5.3727241326031008</v>
      </c>
      <c r="V243">
        <v>1.0963641283677947</v>
      </c>
      <c r="W243">
        <v>1.1961162764674378</v>
      </c>
      <c r="X243">
        <v>1.3038995407744125</v>
      </c>
      <c r="Y243">
        <v>2.0905473131676393</v>
      </c>
      <c r="Z243">
        <v>2.2624757729234068</v>
      </c>
      <c r="AA243">
        <v>2.4449031758124495</v>
      </c>
      <c r="AB243">
        <v>4.0814118509710644</v>
      </c>
      <c r="AC243">
        <v>4.3343706635854291</v>
      </c>
      <c r="AD243">
        <v>4.5889863741422552</v>
      </c>
      <c r="AE243">
        <v>1.0925808062392912</v>
      </c>
      <c r="AF243">
        <v>1.1920104036755879</v>
      </c>
      <c r="AG243">
        <v>1.2994182705432977</v>
      </c>
      <c r="AH243">
        <v>2.0834367850986606</v>
      </c>
      <c r="AI243">
        <v>2.2548207934635758</v>
      </c>
      <c r="AJ243">
        <v>2.4366474579360866</v>
      </c>
      <c r="AK243">
        <v>4.0679803888023738</v>
      </c>
      <c r="AL243">
        <v>4.3201698626576599</v>
      </c>
      <c r="AM243">
        <v>4.5746145786339456</v>
      </c>
    </row>
    <row r="244" spans="1:39" x14ac:dyDescent="0.25">
      <c r="A244" s="147">
        <f t="shared" si="3"/>
        <v>18</v>
      </c>
      <c r="C244" s="149">
        <v>17.916666666666682</v>
      </c>
      <c r="D244" s="2">
        <v>1.3096304220839339</v>
      </c>
      <c r="E244">
        <v>1.4283577808210384</v>
      </c>
      <c r="F244">
        <v>1.5564362687268427</v>
      </c>
      <c r="G244">
        <v>2.4890568595287359</v>
      </c>
      <c r="H244">
        <v>2.6926242138744545</v>
      </c>
      <c r="I244">
        <v>2.908074641197639</v>
      </c>
      <c r="J244">
        <v>4.8243741464287275</v>
      </c>
      <c r="K244">
        <v>5.1177056571045547</v>
      </c>
      <c r="L244">
        <v>5.4141591431334879</v>
      </c>
      <c r="M244">
        <v>1.297604118582385</v>
      </c>
      <c r="N244">
        <v>1.4153082029544977</v>
      </c>
      <c r="O244">
        <v>1.5422325477041614</v>
      </c>
      <c r="P244">
        <v>2.4665489921278887</v>
      </c>
      <c r="Q244">
        <v>2.6683580734503716</v>
      </c>
      <c r="R244">
        <v>2.8819516251378472</v>
      </c>
      <c r="S244">
        <v>4.7824344596713342</v>
      </c>
      <c r="T244">
        <v>5.0734586789900238</v>
      </c>
      <c r="U244">
        <v>5.3675427975816765</v>
      </c>
      <c r="V244">
        <v>1.093528139800108</v>
      </c>
      <c r="W244">
        <v>1.1930232438201085</v>
      </c>
      <c r="X244">
        <v>1.3005288899185414</v>
      </c>
      <c r="Y244">
        <v>2.0851583770365663</v>
      </c>
      <c r="Z244">
        <v>2.2566475284996073</v>
      </c>
      <c r="AA244">
        <v>2.4386093863187721</v>
      </c>
      <c r="AB244">
        <v>4.0709777486365422</v>
      </c>
      <c r="AC244">
        <v>4.3233040743691227</v>
      </c>
      <c r="AD244">
        <v>4.5772817522197746</v>
      </c>
      <c r="AE244">
        <v>1.089781422817266</v>
      </c>
      <c r="AF244">
        <v>1.188957261023831</v>
      </c>
      <c r="AG244">
        <v>1.2960910170211268</v>
      </c>
      <c r="AH244">
        <v>2.0781166524836667</v>
      </c>
      <c r="AI244">
        <v>2.2490668475071787</v>
      </c>
      <c r="AJ244">
        <v>2.4304337278497998</v>
      </c>
      <c r="AK244">
        <v>4.0576760315323197</v>
      </c>
      <c r="AL244">
        <v>4.3092403717536687</v>
      </c>
      <c r="AM244">
        <v>4.5630545600677408</v>
      </c>
    </row>
    <row r="245" spans="1:39" x14ac:dyDescent="0.25">
      <c r="A245" s="147">
        <f t="shared" si="3"/>
        <v>18</v>
      </c>
      <c r="C245" s="149">
        <v>18.000000000000014</v>
      </c>
      <c r="D245" s="2">
        <v>1.3082353814778174</v>
      </c>
      <c r="E245">
        <v>1.4268386141336726</v>
      </c>
      <c r="F245">
        <v>1.554783183682416</v>
      </c>
      <c r="G245">
        <v>2.4864475945300049</v>
      </c>
      <c r="H245">
        <v>2.6898115920770067</v>
      </c>
      <c r="I245">
        <v>2.9050474469878549</v>
      </c>
      <c r="J245">
        <v>4.8195168729013673</v>
      </c>
      <c r="K245">
        <v>5.1125845674419015</v>
      </c>
      <c r="L245">
        <v>5.4087791166517674</v>
      </c>
      <c r="M245">
        <v>1.2962627130580593</v>
      </c>
      <c r="N245">
        <v>1.4138474997656441</v>
      </c>
      <c r="O245">
        <v>1.5406429136404847</v>
      </c>
      <c r="P245">
        <v>2.4640388565927527</v>
      </c>
      <c r="Q245">
        <v>2.6656523604200029</v>
      </c>
      <c r="R245">
        <v>2.8790393459033781</v>
      </c>
      <c r="S245">
        <v>4.777757718982274</v>
      </c>
      <c r="T245">
        <v>5.0685272358584568</v>
      </c>
      <c r="U245">
        <v>5.3623613613671086</v>
      </c>
      <c r="V245">
        <v>1.0906851063841969</v>
      </c>
      <c r="W245">
        <v>1.1899225690043429</v>
      </c>
      <c r="X245">
        <v>1.297149960149836</v>
      </c>
      <c r="Y245">
        <v>2.0797568048048793</v>
      </c>
      <c r="Z245">
        <v>2.2508057677418067</v>
      </c>
      <c r="AA245">
        <v>2.432301176729919</v>
      </c>
      <c r="AB245">
        <v>4.0605227398931163</v>
      </c>
      <c r="AC245">
        <v>4.3122158882312736</v>
      </c>
      <c r="AD245">
        <v>4.5655549457747995</v>
      </c>
      <c r="AE245">
        <v>1.0869749437556018</v>
      </c>
      <c r="AF245">
        <v>1.1858964201599829</v>
      </c>
      <c r="AG245">
        <v>1.2927554228365308</v>
      </c>
      <c r="AH245">
        <v>2.0727837766530413</v>
      </c>
      <c r="AI245">
        <v>2.2432992672332475</v>
      </c>
      <c r="AJ245">
        <v>2.4242054478522892</v>
      </c>
      <c r="AK245">
        <v>4.0473505121785447</v>
      </c>
      <c r="AL245">
        <v>4.2982890052388818</v>
      </c>
      <c r="AM245">
        <v>4.551472051275586</v>
      </c>
    </row>
    <row r="246" spans="1:39" x14ac:dyDescent="0.25">
      <c r="A246" s="147">
        <f t="shared" si="3"/>
        <v>19</v>
      </c>
      <c r="C246" s="149">
        <v>18.083333333333346</v>
      </c>
      <c r="D246" s="2">
        <v>1.3068394689215594</v>
      </c>
      <c r="E246">
        <v>1.4253185190232633</v>
      </c>
      <c r="F246">
        <v>1.5531291130700504</v>
      </c>
      <c r="G246">
        <v>2.4838370837137562</v>
      </c>
      <c r="H246">
        <v>2.6869977073534508</v>
      </c>
      <c r="I246">
        <v>2.9020189862470431</v>
      </c>
      <c r="J246">
        <v>4.814659141403979</v>
      </c>
      <c r="K246">
        <v>5.1074633082367908</v>
      </c>
      <c r="L246">
        <v>5.4033992702149423</v>
      </c>
      <c r="M246">
        <v>1.2949203967256118</v>
      </c>
      <c r="N246">
        <v>1.4123858252047987</v>
      </c>
      <c r="O246">
        <v>1.5390522460766052</v>
      </c>
      <c r="P246">
        <v>2.4615273866378335</v>
      </c>
      <c r="Q246">
        <v>2.662945286209518</v>
      </c>
      <c r="R246">
        <v>2.8761256908689461</v>
      </c>
      <c r="S246">
        <v>4.7730802853414636</v>
      </c>
      <c r="T246">
        <v>5.0635953640966704</v>
      </c>
      <c r="U246">
        <v>5.3571798203084331</v>
      </c>
      <c r="V246">
        <v>1.0878350085005228</v>
      </c>
      <c r="W246">
        <v>1.1868142306952283</v>
      </c>
      <c r="X246">
        <v>1.2937627283160527</v>
      </c>
      <c r="Y246">
        <v>2.0743425604669521</v>
      </c>
      <c r="Z246">
        <v>2.2449504519515542</v>
      </c>
      <c r="AA246">
        <v>2.4259785055365866</v>
      </c>
      <c r="AB246">
        <v>4.0500467602849239</v>
      </c>
      <c r="AC246">
        <v>4.301106037557533</v>
      </c>
      <c r="AD246">
        <v>4.5538058841402353</v>
      </c>
      <c r="AE246">
        <v>1.0841613493699631</v>
      </c>
      <c r="AF246">
        <v>1.182827859688943</v>
      </c>
      <c r="AG246">
        <v>1.2894114647621726</v>
      </c>
      <c r="AH246">
        <v>2.0674381214952029</v>
      </c>
      <c r="AI246">
        <v>2.2375180138309116</v>
      </c>
      <c r="AJ246">
        <v>2.417962576317497</v>
      </c>
      <c r="AK246">
        <v>4.0370037661715585</v>
      </c>
      <c r="AL246">
        <v>4.2873156953936915</v>
      </c>
      <c r="AM246">
        <v>4.5398669814852433</v>
      </c>
    </row>
    <row r="247" spans="1:39" x14ac:dyDescent="0.25">
      <c r="A247" s="147">
        <f t="shared" si="3"/>
        <v>19</v>
      </c>
      <c r="C247" s="149">
        <v>18.166666666666679</v>
      </c>
      <c r="D247" s="2">
        <v>1.3054426837205577</v>
      </c>
      <c r="E247">
        <v>1.4237974947276391</v>
      </c>
      <c r="F247">
        <v>1.551474056051946</v>
      </c>
      <c r="G247">
        <v>2.4812253256580425</v>
      </c>
      <c r="H247">
        <v>2.6841825581457179</v>
      </c>
      <c r="I247">
        <v>2.8989892572657747</v>
      </c>
      <c r="J247">
        <v>4.8098009484963651</v>
      </c>
      <c r="K247">
        <v>5.1023418757014136</v>
      </c>
      <c r="L247">
        <v>5.3980195996535087</v>
      </c>
      <c r="M247">
        <v>1.2935771689869795</v>
      </c>
      <c r="N247">
        <v>1.4109231786159078</v>
      </c>
      <c r="O247">
        <v>1.5374605442908706</v>
      </c>
      <c r="P247">
        <v>2.4590145810338715</v>
      </c>
      <c r="Q247">
        <v>2.6602368494724375</v>
      </c>
      <c r="R247">
        <v>2.8732106585561281</v>
      </c>
      <c r="S247">
        <v>4.7684021557440417</v>
      </c>
      <c r="T247">
        <v>5.0586630603887652</v>
      </c>
      <c r="U247">
        <v>5.3519981707487823</v>
      </c>
      <c r="V247">
        <v>1.084977826476734</v>
      </c>
      <c r="W247">
        <v>1.1836982075101892</v>
      </c>
      <c r="X247">
        <v>1.2903671712018123</v>
      </c>
      <c r="Y247">
        <v>2.0689156079195987</v>
      </c>
      <c r="Z247">
        <v>2.2390815423247328</v>
      </c>
      <c r="AA247">
        <v>2.4196413311161939</v>
      </c>
      <c r="AB247">
        <v>4.0395497451809277</v>
      </c>
      <c r="AC247">
        <v>4.2899744545481262</v>
      </c>
      <c r="AD247">
        <v>4.5420344964562691</v>
      </c>
      <c r="AE247">
        <v>1.0813406199227749</v>
      </c>
      <c r="AF247">
        <v>1.1797515581575726</v>
      </c>
      <c r="AG247">
        <v>1.2860591195074185</v>
      </c>
      <c r="AH247">
        <v>2.0620796507999186</v>
      </c>
      <c r="AI247">
        <v>2.231723048384409</v>
      </c>
      <c r="AJ247">
        <v>2.4117050715065429</v>
      </c>
      <c r="AK247">
        <v>4.0266357287643064</v>
      </c>
      <c r="AL247">
        <v>4.2763203743132507</v>
      </c>
      <c r="AM247">
        <v>4.5282392797304594</v>
      </c>
    </row>
    <row r="248" spans="1:39" x14ac:dyDescent="0.25">
      <c r="A248" s="147">
        <f t="shared" si="3"/>
        <v>19</v>
      </c>
      <c r="C248" s="149">
        <v>18.250000000000011</v>
      </c>
      <c r="D248" s="2">
        <v>1.3040450251803384</v>
      </c>
      <c r="E248">
        <v>1.4222755404841589</v>
      </c>
      <c r="F248">
        <v>1.5498180117899305</v>
      </c>
      <c r="G248">
        <v>2.4786123189399483</v>
      </c>
      <c r="H248">
        <v>2.6813661428952185</v>
      </c>
      <c r="I248">
        <v>2.8959582583328842</v>
      </c>
      <c r="J248">
        <v>4.8049422907349761</v>
      </c>
      <c r="K248">
        <v>5.0972202660433332</v>
      </c>
      <c r="L248">
        <v>5.3926401007929421</v>
      </c>
      <c r="M248">
        <v>1.292233029244521</v>
      </c>
      <c r="N248">
        <v>1.4094595593429915</v>
      </c>
      <c r="O248">
        <v>1.5358678075612786</v>
      </c>
      <c r="P248">
        <v>2.4565004385509637</v>
      </c>
      <c r="Q248">
        <v>2.6575270488618656</v>
      </c>
      <c r="R248">
        <v>2.8702942474856172</v>
      </c>
      <c r="S248">
        <v>4.7637233271812152</v>
      </c>
      <c r="T248">
        <v>5.0537303214156299</v>
      </c>
      <c r="U248">
        <v>5.346816409028091</v>
      </c>
      <c r="V248">
        <v>1.0821135405868314</v>
      </c>
      <c r="W248">
        <v>1.1805744780084177</v>
      </c>
      <c r="X248">
        <v>1.2869632655292957</v>
      </c>
      <c r="Y248">
        <v>2.0634759109609231</v>
      </c>
      <c r="Z248">
        <v>2.2331989999515671</v>
      </c>
      <c r="AA248">
        <v>2.4132896117326861</v>
      </c>
      <c r="AB248">
        <v>4.0290316297713735</v>
      </c>
      <c r="AC248">
        <v>4.2788210712185695</v>
      </c>
      <c r="AD248">
        <v>4.5302407116685215</v>
      </c>
      <c r="AE248">
        <v>1.078512735623236</v>
      </c>
      <c r="AF248">
        <v>1.176667494054821</v>
      </c>
      <c r="AG248">
        <v>1.2826983637187923</v>
      </c>
      <c r="AH248">
        <v>2.0567083282585443</v>
      </c>
      <c r="AI248">
        <v>2.2259143318709551</v>
      </c>
      <c r="AJ248">
        <v>2.4054328915661047</v>
      </c>
      <c r="AK248">
        <v>4.0162463350318616</v>
      </c>
      <c r="AL248">
        <v>4.265302973906226</v>
      </c>
      <c r="AM248">
        <v>4.5165888748501395</v>
      </c>
    </row>
    <row r="249" spans="1:39" x14ac:dyDescent="0.25">
      <c r="A249" s="147">
        <f t="shared" si="3"/>
        <v>19</v>
      </c>
      <c r="C249" s="149">
        <v>18.333333333333343</v>
      </c>
      <c r="D249" s="2">
        <v>1.3026464926062109</v>
      </c>
      <c r="E249">
        <v>1.4207526555302792</v>
      </c>
      <c r="F249">
        <v>1.5481609794454456</v>
      </c>
      <c r="G249">
        <v>2.4759980621356714</v>
      </c>
      <c r="H249">
        <v>2.6785484600414518</v>
      </c>
      <c r="I249">
        <v>2.8929259877358962</v>
      </c>
      <c r="J249">
        <v>4.8000831646712427</v>
      </c>
      <c r="K249">
        <v>5.0920984754650727</v>
      </c>
      <c r="L249">
        <v>5.3872607694535661</v>
      </c>
      <c r="M249">
        <v>1.2908879769007027</v>
      </c>
      <c r="N249">
        <v>1.4079949667303446</v>
      </c>
      <c r="O249">
        <v>1.5342740351661457</v>
      </c>
      <c r="P249">
        <v>2.4539849579591211</v>
      </c>
      <c r="Q249">
        <v>2.6548158830297175</v>
      </c>
      <c r="R249">
        <v>2.8673764561769994</v>
      </c>
      <c r="S249">
        <v>4.7590437966409693</v>
      </c>
      <c r="T249">
        <v>5.0487971438536592</v>
      </c>
      <c r="U249">
        <v>5.3416345314815006</v>
      </c>
      <c r="V249">
        <v>1.0792421310519285</v>
      </c>
      <c r="W249">
        <v>1.177443020691485</v>
      </c>
      <c r="X249">
        <v>1.2835509879572986</v>
      </c>
      <c r="Y249">
        <v>2.0580234332907299</v>
      </c>
      <c r="Z249">
        <v>2.2273027858163923</v>
      </c>
      <c r="AA249">
        <v>2.4069233055364556</v>
      </c>
      <c r="AB249">
        <v>4.0184923490705993</v>
      </c>
      <c r="AC249">
        <v>4.2676458193971438</v>
      </c>
      <c r="AD249">
        <v>4.5184244585291671</v>
      </c>
      <c r="AE249">
        <v>1.0756776766267404</v>
      </c>
      <c r="AF249">
        <v>1.1735756458113002</v>
      </c>
      <c r="AG249">
        <v>1.2793291739793684</v>
      </c>
      <c r="AH249">
        <v>2.0513241174635368</v>
      </c>
      <c r="AI249">
        <v>2.2200918251621902</v>
      </c>
      <c r="AJ249">
        <v>2.3991459945285825</v>
      </c>
      <c r="AK249">
        <v>4.0058355198718694</v>
      </c>
      <c r="AL249">
        <v>4.2542634258935799</v>
      </c>
      <c r="AM249">
        <v>4.5049156954878491</v>
      </c>
    </row>
    <row r="250" spans="1:39" x14ac:dyDescent="0.25">
      <c r="A250" s="147">
        <f t="shared" si="3"/>
        <v>19</v>
      </c>
      <c r="C250" s="149">
        <v>18.416666666666675</v>
      </c>
      <c r="D250" s="2">
        <v>1.3012470853033902</v>
      </c>
      <c r="E250">
        <v>1.4192288391031396</v>
      </c>
      <c r="F250">
        <v>1.5465029581799361</v>
      </c>
      <c r="G250">
        <v>2.4733825538202057</v>
      </c>
      <c r="H250">
        <v>2.675729508023136</v>
      </c>
      <c r="I250">
        <v>2.8898924437607967</v>
      </c>
      <c r="J250">
        <v>4.7952235668536494</v>
      </c>
      <c r="K250">
        <v>5.0869765001656315</v>
      </c>
      <c r="L250">
        <v>5.3818816014519069</v>
      </c>
      <c r="M250">
        <v>1.2895420113584266</v>
      </c>
      <c r="N250">
        <v>1.4065294001225535</v>
      </c>
      <c r="O250">
        <v>1.5326792263840052</v>
      </c>
      <c r="P250">
        <v>2.4514681380274688</v>
      </c>
      <c r="Q250">
        <v>2.6521033506279497</v>
      </c>
      <c r="R250">
        <v>2.8644572831494668</v>
      </c>
      <c r="S250">
        <v>4.7543635611078034</v>
      </c>
      <c r="T250">
        <v>5.0438635243754897</v>
      </c>
      <c r="U250">
        <v>5.3364525344400748</v>
      </c>
      <c r="V250">
        <v>1.0763635780391589</v>
      </c>
      <c r="W250">
        <v>1.1743038140024975</v>
      </c>
      <c r="X250">
        <v>1.2801303150816037</v>
      </c>
      <c r="Y250">
        <v>2.0525581385099829</v>
      </c>
      <c r="Z250">
        <v>2.2213928607968905</v>
      </c>
      <c r="AA250">
        <v>2.4005423705633415</v>
      </c>
      <c r="AB250">
        <v>4.0079318379135671</v>
      </c>
      <c r="AC250">
        <v>4.2564486307263021</v>
      </c>
      <c r="AD250">
        <v>4.5065856655947663</v>
      </c>
      <c r="AE250">
        <v>1.0728354230352684</v>
      </c>
      <c r="AF250">
        <v>1.1704759917992804</v>
      </c>
      <c r="AG250">
        <v>1.2759515268090169</v>
      </c>
      <c r="AH250">
        <v>2.0459269819082171</v>
      </c>
      <c r="AI250">
        <v>2.214255489022614</v>
      </c>
      <c r="AJ250">
        <v>2.3928443383122135</v>
      </c>
      <c r="AK250">
        <v>3.9954032180025179</v>
      </c>
      <c r="AL250">
        <v>4.2432016618101169</v>
      </c>
      <c r="AM250">
        <v>4.4932196700923539</v>
      </c>
    </row>
    <row r="251" spans="1:39" x14ac:dyDescent="0.25">
      <c r="A251" s="147">
        <f t="shared" si="3"/>
        <v>19</v>
      </c>
      <c r="C251" s="149">
        <v>18.500000000000007</v>
      </c>
      <c r="D251" s="2">
        <v>1.3021979526953034</v>
      </c>
      <c r="E251">
        <v>1.4201453240619668</v>
      </c>
      <c r="F251">
        <v>1.5473550503111977</v>
      </c>
      <c r="G251">
        <v>2.4730057898192994</v>
      </c>
      <c r="H251">
        <v>2.6749017632680379</v>
      </c>
      <c r="I251">
        <v>2.8884991013611065</v>
      </c>
      <c r="J251">
        <v>4.7845022385028235</v>
      </c>
      <c r="K251">
        <v>5.0740233897198177</v>
      </c>
      <c r="L251">
        <v>5.3664245227353558</v>
      </c>
      <c r="M251">
        <v>1.2880966924868673</v>
      </c>
      <c r="N251">
        <v>1.4048337980738341</v>
      </c>
      <c r="O251">
        <v>1.5306877029179251</v>
      </c>
      <c r="P251">
        <v>2.4465541426867139</v>
      </c>
      <c r="Q251">
        <v>2.6463647059622351</v>
      </c>
      <c r="R251">
        <v>2.8577613110455973</v>
      </c>
      <c r="S251">
        <v>4.7348987545171184</v>
      </c>
      <c r="T251">
        <v>5.0216429129834204</v>
      </c>
      <c r="U251">
        <v>5.3111905284296519</v>
      </c>
      <c r="V251">
        <v>1.0725946513813476</v>
      </c>
      <c r="W251">
        <v>1.1700963345831177</v>
      </c>
      <c r="X251">
        <v>1.275429865928416</v>
      </c>
      <c r="Y251">
        <v>2.0436359365211669</v>
      </c>
      <c r="Z251">
        <v>2.2113933322554407</v>
      </c>
      <c r="AA251">
        <v>2.3893347441555863</v>
      </c>
      <c r="AB251">
        <v>3.9824572983347029</v>
      </c>
      <c r="AC251">
        <v>4.2281187800247135</v>
      </c>
      <c r="AD251">
        <v>4.4751485279289893</v>
      </c>
      <c r="AE251">
        <v>1.0692237508022959</v>
      </c>
      <c r="AF251">
        <v>1.1664397630445746</v>
      </c>
      <c r="AG251">
        <v>1.2714372824774993</v>
      </c>
      <c r="AH251">
        <v>2.0372985997654141</v>
      </c>
      <c r="AI251">
        <v>2.2045728624684129</v>
      </c>
      <c r="AJ251">
        <v>2.3819777642012037</v>
      </c>
      <c r="AK251">
        <v>3.9704736579793485</v>
      </c>
      <c r="AL251">
        <v>4.2154461171772226</v>
      </c>
      <c r="AM251">
        <v>4.4623854050209939</v>
      </c>
    </row>
    <row r="252" spans="1:39" x14ac:dyDescent="0.25">
      <c r="A252" s="147">
        <f t="shared" si="3"/>
        <v>19</v>
      </c>
      <c r="C252" s="149">
        <v>18.583333333333339</v>
      </c>
      <c r="D252" s="2">
        <v>1.300782656829248</v>
      </c>
      <c r="E252">
        <v>1.4186044712539148</v>
      </c>
      <c r="F252">
        <v>1.5456788174273055</v>
      </c>
      <c r="G252">
        <v>2.4703652794076425</v>
      </c>
      <c r="H252">
        <v>2.6720567438841547</v>
      </c>
      <c r="I252">
        <v>2.8854385543127119</v>
      </c>
      <c r="J252">
        <v>4.7796162278701129</v>
      </c>
      <c r="K252">
        <v>5.068876660384392</v>
      </c>
      <c r="L252">
        <v>5.3610227316378118</v>
      </c>
      <c r="M252">
        <v>1.286745958993857</v>
      </c>
      <c r="N252">
        <v>1.4033632867952859</v>
      </c>
      <c r="O252">
        <v>1.5290878099238796</v>
      </c>
      <c r="P252">
        <v>2.4440327970895441</v>
      </c>
      <c r="Q252">
        <v>2.6436481459541259</v>
      </c>
      <c r="R252">
        <v>2.8548387957793673</v>
      </c>
      <c r="S252">
        <v>4.7302289285190158</v>
      </c>
      <c r="T252">
        <v>5.0167231584352896</v>
      </c>
      <c r="U252">
        <v>5.3060262936714695</v>
      </c>
      <c r="V252">
        <v>1.069704641032772</v>
      </c>
      <c r="W252">
        <v>1.166945055201337</v>
      </c>
      <c r="X252">
        <v>1.2719965394311887</v>
      </c>
      <c r="Y252">
        <v>2.0381564888087524</v>
      </c>
      <c r="Z252">
        <v>2.2054695984329706</v>
      </c>
      <c r="AA252">
        <v>2.3829406439211391</v>
      </c>
      <c r="AB252">
        <v>3.9719038006731835</v>
      </c>
      <c r="AC252">
        <v>4.2169343953574403</v>
      </c>
      <c r="AD252">
        <v>4.4633292838423539</v>
      </c>
      <c r="AE252">
        <v>1.0663688755021157</v>
      </c>
      <c r="AF252">
        <v>1.1633267663376288</v>
      </c>
      <c r="AG252">
        <v>1.2680455982857635</v>
      </c>
      <c r="AH252">
        <v>2.0318851011477927</v>
      </c>
      <c r="AI252">
        <v>2.1987203272261975</v>
      </c>
      <c r="AJ252">
        <v>2.3756603623993726</v>
      </c>
      <c r="AK252">
        <v>3.9600441169700984</v>
      </c>
      <c r="AL252">
        <v>4.2043926520736088</v>
      </c>
      <c r="AM252">
        <v>4.4507041678086958</v>
      </c>
    </row>
    <row r="253" spans="1:39" x14ac:dyDescent="0.25">
      <c r="A253" s="147">
        <f t="shared" si="3"/>
        <v>19</v>
      </c>
      <c r="C253" s="149">
        <v>18.666666666666671</v>
      </c>
      <c r="D253" s="2">
        <v>1.2993664956105757</v>
      </c>
      <c r="E253">
        <v>1.4170626975373537</v>
      </c>
      <c r="F253">
        <v>1.5440016075359115</v>
      </c>
      <c r="G253">
        <v>2.4677235404253381</v>
      </c>
      <c r="H253">
        <v>2.6692104808545523</v>
      </c>
      <c r="I253">
        <v>2.8823767622011482</v>
      </c>
      <c r="J253">
        <v>4.7747297955443049</v>
      </c>
      <c r="K253">
        <v>5.0637297979993736</v>
      </c>
      <c r="L253">
        <v>5.355621156178489</v>
      </c>
      <c r="M253">
        <v>1.2853943147238664</v>
      </c>
      <c r="N253">
        <v>1.40189180435106</v>
      </c>
      <c r="O253">
        <v>1.5274868838381965</v>
      </c>
      <c r="P253">
        <v>2.4415101192100308</v>
      </c>
      <c r="Q253">
        <v>2.6409302272389614</v>
      </c>
      <c r="R253">
        <v>2.8519149074607277</v>
      </c>
      <c r="S253">
        <v>4.725558405531352</v>
      </c>
      <c r="T253">
        <v>5.0118029673433604</v>
      </c>
      <c r="U253">
        <v>5.3008619409230464</v>
      </c>
      <c r="V253">
        <v>1.0668074347458558</v>
      </c>
      <c r="W253">
        <v>1.1637859700951068</v>
      </c>
      <c r="X253">
        <v>1.2685547572235905</v>
      </c>
      <c r="Y253">
        <v>2.032664138238407</v>
      </c>
      <c r="Z253">
        <v>2.1995320633095141</v>
      </c>
      <c r="AA253">
        <v>2.3765318198203147</v>
      </c>
      <c r="AB253">
        <v>3.9613289413634201</v>
      </c>
      <c r="AC253">
        <v>4.2057279363336111</v>
      </c>
      <c r="AD253">
        <v>4.4514873552714178</v>
      </c>
      <c r="AE253">
        <v>1.0635067537110565</v>
      </c>
      <c r="AF253">
        <v>1.1602059081590099</v>
      </c>
      <c r="AG253">
        <v>1.2646453970072464</v>
      </c>
      <c r="AH253">
        <v>2.0264585937350654</v>
      </c>
      <c r="AI253">
        <v>2.1928538741150581</v>
      </c>
      <c r="AJ253">
        <v>2.3693281086184439</v>
      </c>
      <c r="AK253">
        <v>3.9495929645064844</v>
      </c>
      <c r="AL253">
        <v>4.1933168407480963</v>
      </c>
      <c r="AM253">
        <v>4.4389999482070195</v>
      </c>
    </row>
    <row r="254" spans="1:39" x14ac:dyDescent="0.25">
      <c r="A254" s="147">
        <f t="shared" si="3"/>
        <v>19</v>
      </c>
      <c r="C254" s="149">
        <v>18.750000000000004</v>
      </c>
      <c r="D254" s="2">
        <v>1.297949468317146</v>
      </c>
      <c r="E254">
        <v>1.4155200021197059</v>
      </c>
      <c r="F254">
        <v>1.542323419765621</v>
      </c>
      <c r="G254">
        <v>2.4650805713944215</v>
      </c>
      <c r="H254">
        <v>2.6663629725601008</v>
      </c>
      <c r="I254">
        <v>2.8793137232499135</v>
      </c>
      <c r="J254">
        <v>4.7698429379679101</v>
      </c>
      <c r="K254">
        <v>5.0585827986511358</v>
      </c>
      <c r="L254">
        <v>5.3502197920555385</v>
      </c>
      <c r="M254">
        <v>1.2840417590743078</v>
      </c>
      <c r="N254">
        <v>1.400419350079968</v>
      </c>
      <c r="O254">
        <v>1.525884923933051</v>
      </c>
      <c r="P254">
        <v>2.4389861078076427</v>
      </c>
      <c r="Q254">
        <v>2.6382109484574889</v>
      </c>
      <c r="R254">
        <v>2.8489896445972014</v>
      </c>
      <c r="S254">
        <v>4.7208871825259031</v>
      </c>
      <c r="T254">
        <v>5.0068823363693209</v>
      </c>
      <c r="U254">
        <v>5.2956974665052137</v>
      </c>
      <c r="V254">
        <v>1.0639030124911164</v>
      </c>
      <c r="W254">
        <v>1.1606190574952584</v>
      </c>
      <c r="X254">
        <v>1.2651044956726347</v>
      </c>
      <c r="Y254">
        <v>2.027158848077844</v>
      </c>
      <c r="Z254">
        <v>2.1935806874097814</v>
      </c>
      <c r="AA254">
        <v>2.3701082295158145</v>
      </c>
      <c r="AB254">
        <v>3.9507326547489274</v>
      </c>
      <c r="AC254">
        <v>4.1944993340949894</v>
      </c>
      <c r="AD254">
        <v>4.439622670266921</v>
      </c>
      <c r="AE254">
        <v>1.0606373653338248</v>
      </c>
      <c r="AF254">
        <v>1.1570771666685731</v>
      </c>
      <c r="AG254">
        <v>1.2612366549327203</v>
      </c>
      <c r="AH254">
        <v>2.0210190406868782</v>
      </c>
      <c r="AI254">
        <v>2.1869734635462637</v>
      </c>
      <c r="AJ254">
        <v>2.3629809604031213</v>
      </c>
      <c r="AK254">
        <v>3.9391201348129621</v>
      </c>
      <c r="AL254">
        <v>4.1822186142319957</v>
      </c>
      <c r="AM254">
        <v>4.4272726741542048</v>
      </c>
    </row>
    <row r="255" spans="1:39" x14ac:dyDescent="0.25">
      <c r="A255" s="147">
        <f t="shared" si="3"/>
        <v>19</v>
      </c>
      <c r="C255" s="149">
        <v>18.833333333333336</v>
      </c>
      <c r="D255" s="2">
        <v>1.2965315742267858</v>
      </c>
      <c r="E255">
        <v>1.4139763842079447</v>
      </c>
      <c r="F255">
        <v>1.5406442532449311</v>
      </c>
      <c r="G255">
        <v>2.4624363708358761</v>
      </c>
      <c r="H255">
        <v>2.6635142173803734</v>
      </c>
      <c r="I255">
        <v>2.8762494356804069</v>
      </c>
      <c r="J255">
        <v>4.7649556515785454</v>
      </c>
      <c r="K255">
        <v>5.0534356584223499</v>
      </c>
      <c r="L255">
        <v>5.3448186349635209</v>
      </c>
      <c r="M255">
        <v>1.2826882914426678</v>
      </c>
      <c r="N255">
        <v>1.3989459233206878</v>
      </c>
      <c r="O255">
        <v>1.5242819294806049</v>
      </c>
      <c r="P255">
        <v>2.436460761641523</v>
      </c>
      <c r="Q255">
        <v>2.6354903082503567</v>
      </c>
      <c r="R255">
        <v>2.8460630056957732</v>
      </c>
      <c r="S255">
        <v>4.7162152564707389</v>
      </c>
      <c r="T255">
        <v>5.0019612621693978</v>
      </c>
      <c r="U255">
        <v>5.2905328667360747</v>
      </c>
      <c r="V255">
        <v>1.0609913541848028</v>
      </c>
      <c r="W255">
        <v>1.1574442955736424</v>
      </c>
      <c r="X255">
        <v>1.2616457310813973</v>
      </c>
      <c r="Y255">
        <v>2.0216405814944265</v>
      </c>
      <c r="Z255">
        <v>2.1876154311510048</v>
      </c>
      <c r="AA255">
        <v>2.3636698305555925</v>
      </c>
      <c r="AB255">
        <v>3.9401148749933519</v>
      </c>
      <c r="AC255">
        <v>4.1832485195943656</v>
      </c>
      <c r="AD255">
        <v>4.4277351566831458</v>
      </c>
      <c r="AE255">
        <v>1.0577606902208281</v>
      </c>
      <c r="AF255">
        <v>1.1539405199667043</v>
      </c>
      <c r="AG255">
        <v>1.2578193482889075</v>
      </c>
      <c r="AH255">
        <v>2.015566405062347</v>
      </c>
      <c r="AI255">
        <v>2.181079055822964</v>
      </c>
      <c r="AJ255">
        <v>2.3566188751823653</v>
      </c>
      <c r="AK255">
        <v>3.9286255619337371</v>
      </c>
      <c r="AL255">
        <v>4.1710979033670785</v>
      </c>
      <c r="AM255">
        <v>4.4155222733918578</v>
      </c>
    </row>
    <row r="256" spans="1:39" x14ac:dyDescent="0.25">
      <c r="A256" s="147">
        <f t="shared" si="3"/>
        <v>19</v>
      </c>
      <c r="C256" s="149">
        <v>18.916666666666668</v>
      </c>
      <c r="D256" s="2">
        <v>1.2951128126169029</v>
      </c>
      <c r="E256">
        <v>1.4124318430089893</v>
      </c>
      <c r="F256">
        <v>1.5389641071019327</v>
      </c>
      <c r="G256">
        <v>2.459790937269335</v>
      </c>
      <c r="H256">
        <v>2.6606642136934742</v>
      </c>
      <c r="I256">
        <v>2.8731838977132509</v>
      </c>
      <c r="J256">
        <v>4.7600679328103892</v>
      </c>
      <c r="K256">
        <v>5.0482883733905863</v>
      </c>
      <c r="L256">
        <v>5.3394176805909099</v>
      </c>
      <c r="M256">
        <v>1.2813339112267665</v>
      </c>
      <c r="N256">
        <v>1.3974715234121917</v>
      </c>
      <c r="O256">
        <v>1.522677899753222</v>
      </c>
      <c r="P256">
        <v>2.4339340794698034</v>
      </c>
      <c r="Q256">
        <v>2.6327683052568895</v>
      </c>
      <c r="R256">
        <v>2.8431349892618423</v>
      </c>
      <c r="S256">
        <v>4.7115426243301517</v>
      </c>
      <c r="T256">
        <v>4.9970397413976908</v>
      </c>
      <c r="U256">
        <v>5.2853681379282511</v>
      </c>
      <c r="V256">
        <v>1.0580724396888823</v>
      </c>
      <c r="W256">
        <v>1.1542616624431274</v>
      </c>
      <c r="X256">
        <v>1.2581784396888129</v>
      </c>
      <c r="Y256">
        <v>2.0161093015552631</v>
      </c>
      <c r="Z256">
        <v>2.1816362548423238</v>
      </c>
      <c r="AA256">
        <v>2.3572165803712855</v>
      </c>
      <c r="AB256">
        <v>3.9294755360801772</v>
      </c>
      <c r="AC256">
        <v>4.1719754235955397</v>
      </c>
      <c r="AD256">
        <v>4.415824742177052</v>
      </c>
      <c r="AE256">
        <v>1.0548767081680117</v>
      </c>
      <c r="AF256">
        <v>1.150795946094811</v>
      </c>
      <c r="AG256">
        <v>1.2543934532381078</v>
      </c>
      <c r="AH256">
        <v>2.0101006498200373</v>
      </c>
      <c r="AI256">
        <v>2.1751706111399969</v>
      </c>
      <c r="AJ256">
        <v>2.3502418102687814</v>
      </c>
      <c r="AK256">
        <v>3.918109179731466</v>
      </c>
      <c r="AL256">
        <v>4.1599546388051065</v>
      </c>
      <c r="AM256">
        <v>4.4037486734625491</v>
      </c>
    </row>
    <row r="257" spans="1:39" x14ac:dyDescent="0.25">
      <c r="A257" s="147">
        <f t="shared" si="3"/>
        <v>19</v>
      </c>
      <c r="C257" s="149">
        <v>19</v>
      </c>
      <c r="D257" s="2">
        <v>1.2936931827649525</v>
      </c>
      <c r="E257">
        <v>1.4108863777294229</v>
      </c>
      <c r="F257">
        <v>1.5372829804643957</v>
      </c>
      <c r="G257">
        <v>2.4571442692136487</v>
      </c>
      <c r="H257">
        <v>2.6578129598762983</v>
      </c>
      <c r="I257">
        <v>2.8701171075667982</v>
      </c>
      <c r="J257">
        <v>4.7551797780926082</v>
      </c>
      <c r="K257">
        <v>5.043140939628783</v>
      </c>
      <c r="L257">
        <v>5.3340169246220297</v>
      </c>
      <c r="M257">
        <v>1.2799786178245975</v>
      </c>
      <c r="N257">
        <v>1.3959961496936926</v>
      </c>
      <c r="O257">
        <v>1.5210728340233959</v>
      </c>
      <c r="P257">
        <v>2.4314060600506995</v>
      </c>
      <c r="Q257">
        <v>2.6300449381162867</v>
      </c>
      <c r="R257">
        <v>2.840205593800591</v>
      </c>
      <c r="S257">
        <v>4.7068692830652559</v>
      </c>
      <c r="T257">
        <v>4.9921177707033584</v>
      </c>
      <c r="U257">
        <v>5.2802032763905409</v>
      </c>
      <c r="V257">
        <v>1.0551462488108503</v>
      </c>
      <c r="W257">
        <v>1.1510711361572628</v>
      </c>
      <c r="X257">
        <v>1.254702597669362</v>
      </c>
      <c r="Y257">
        <v>2.0105649712272284</v>
      </c>
      <c r="Z257">
        <v>2.175643118685056</v>
      </c>
      <c r="AA257">
        <v>2.3507484362788325</v>
      </c>
      <c r="AB257">
        <v>3.9188145718120779</v>
      </c>
      <c r="AC257">
        <v>4.1606799766730287</v>
      </c>
      <c r="AD257">
        <v>4.403891354207377</v>
      </c>
      <c r="AE257">
        <v>1.0519853989166361</v>
      </c>
      <c r="AF257">
        <v>1.1476434230347312</v>
      </c>
      <c r="AG257">
        <v>1.2509589458780956</v>
      </c>
      <c r="AH257">
        <v>2.0046217378179074</v>
      </c>
      <c r="AI257">
        <v>2.1692480895837951</v>
      </c>
      <c r="AJ257">
        <v>2.3438497228587818</v>
      </c>
      <c r="AK257">
        <v>3.9075709218876362</v>
      </c>
      <c r="AL257">
        <v>4.1487887510077046</v>
      </c>
      <c r="AM257">
        <v>4.3919518017109977</v>
      </c>
    </row>
    <row r="258" spans="1:39" x14ac:dyDescent="0.25">
      <c r="A258" s="147">
        <f t="shared" si="3"/>
        <v>20</v>
      </c>
      <c r="C258" s="149">
        <v>19.083333333333332</v>
      </c>
      <c r="D258" s="2">
        <v>1.292272683948033</v>
      </c>
      <c r="E258">
        <v>1.409339987575505</v>
      </c>
      <c r="F258">
        <v>1.5356008724597521</v>
      </c>
      <c r="G258">
        <v>2.4544963651861011</v>
      </c>
      <c r="H258">
        <v>2.654960454304268</v>
      </c>
      <c r="I258">
        <v>2.8670490634581878</v>
      </c>
      <c r="J258">
        <v>4.750291183850841</v>
      </c>
      <c r="K258">
        <v>5.0379933532057777</v>
      </c>
      <c r="L258">
        <v>5.3286163627355219</v>
      </c>
      <c r="M258">
        <v>1.2786224106343402</v>
      </c>
      <c r="N258">
        <v>1.3945198015043541</v>
      </c>
      <c r="O258">
        <v>1.5194667315636026</v>
      </c>
      <c r="P258">
        <v>2.4288767021415829</v>
      </c>
      <c r="Q258">
        <v>2.6273202054668547</v>
      </c>
      <c r="R258">
        <v>2.8372748178158678</v>
      </c>
      <c r="S258">
        <v>4.7021952296334524</v>
      </c>
      <c r="T258">
        <v>4.9871953467315802</v>
      </c>
      <c r="U258">
        <v>5.2750382784269911</v>
      </c>
      <c r="V258">
        <v>1.0522127613035885</v>
      </c>
      <c r="W258">
        <v>1.1478726947101998</v>
      </c>
      <c r="X258">
        <v>1.2512181811330885</v>
      </c>
      <c r="Y258">
        <v>2.0050075533762004</v>
      </c>
      <c r="Z258">
        <v>2.1696359827719554</v>
      </c>
      <c r="AA258">
        <v>2.3442653554776136</v>
      </c>
      <c r="AB258">
        <v>3.9081319158099896</v>
      </c>
      <c r="AC258">
        <v>4.1493621092108723</v>
      </c>
      <c r="AD258">
        <v>4.3919349200344362</v>
      </c>
      <c r="AE258">
        <v>1.0490867421531662</v>
      </c>
      <c r="AF258">
        <v>1.1444829287087699</v>
      </c>
      <c r="AG258">
        <v>1.2475158022418047</v>
      </c>
      <c r="AH258">
        <v>1.9991296318124787</v>
      </c>
      <c r="AI258">
        <v>2.1633114511321954</v>
      </c>
      <c r="AJ258">
        <v>2.3374425700317301</v>
      </c>
      <c r="AK258">
        <v>3.8970107219014505</v>
      </c>
      <c r="AL258">
        <v>4.1376001702456318</v>
      </c>
      <c r="AM258">
        <v>4.3801315852815037</v>
      </c>
    </row>
    <row r="259" spans="1:39" x14ac:dyDescent="0.25">
      <c r="A259" s="147">
        <f t="shared" si="3"/>
        <v>20</v>
      </c>
      <c r="C259" s="149">
        <v>19.166666666666664</v>
      </c>
      <c r="D259" s="2">
        <v>1.2908513154431389</v>
      </c>
      <c r="E259">
        <v>1.4077926717534914</v>
      </c>
      <c r="F259">
        <v>1.5339177822151067</v>
      </c>
      <c r="G259">
        <v>2.4518472237033286</v>
      </c>
      <c r="H259">
        <v>2.6521066953516859</v>
      </c>
      <c r="I259">
        <v>2.8639797636029143</v>
      </c>
      <c r="J259">
        <v>4.7454021465060503</v>
      </c>
      <c r="K259">
        <v>5.0328456101852614</v>
      </c>
      <c r="L259">
        <v>5.3232159906060961</v>
      </c>
      <c r="M259">
        <v>1.277265289054367</v>
      </c>
      <c r="N259">
        <v>1.3930424781837538</v>
      </c>
      <c r="O259">
        <v>1.5178595916466144</v>
      </c>
      <c r="P259">
        <v>2.4263460044994591</v>
      </c>
      <c r="Q259">
        <v>2.6245941059459987</v>
      </c>
      <c r="R259">
        <v>2.8343426598107269</v>
      </c>
      <c r="S259">
        <v>4.6975204609885539</v>
      </c>
      <c r="T259">
        <v>4.9822724661239421</v>
      </c>
      <c r="U259">
        <v>5.2698731403378671</v>
      </c>
      <c r="V259">
        <v>1.04927195686523</v>
      </c>
      <c r="W259">
        <v>1.1446663160366584</v>
      </c>
      <c r="X259">
        <v>1.2477251661252713</v>
      </c>
      <c r="Y259">
        <v>1.9994370107669757</v>
      </c>
      <c r="Z259">
        <v>2.1636148070869341</v>
      </c>
      <c r="AA259">
        <v>2.3377672950502837</v>
      </c>
      <c r="AB259">
        <v>3.8974275015136159</v>
      </c>
      <c r="AC259">
        <v>4.1380217514028077</v>
      </c>
      <c r="AD259">
        <v>4.3799553667199485</v>
      </c>
      <c r="AE259">
        <v>1.0461807175092319</v>
      </c>
      <c r="AF259">
        <v>1.1413144409795075</v>
      </c>
      <c r="AG259">
        <v>1.2440639982973924</v>
      </c>
      <c r="AH259">
        <v>1.993624294459114</v>
      </c>
      <c r="AI259">
        <v>2.157360655653723</v>
      </c>
      <c r="AJ259">
        <v>2.3310203087502295</v>
      </c>
      <c r="AK259">
        <v>3.8864285130899661</v>
      </c>
      <c r="AL259">
        <v>4.1263888265983955</v>
      </c>
      <c r="AM259">
        <v>4.368287951119437</v>
      </c>
    </row>
    <row r="260" spans="1:39" x14ac:dyDescent="0.25">
      <c r="A260" s="147">
        <f t="shared" si="3"/>
        <v>20</v>
      </c>
      <c r="C260" s="149">
        <v>19.249999999999996</v>
      </c>
      <c r="D260" s="2">
        <v>1.2894290765270839</v>
      </c>
      <c r="E260">
        <v>1.4062444294690555</v>
      </c>
      <c r="F260">
        <v>1.5322337088571747</v>
      </c>
      <c r="G260">
        <v>2.4491968432804421</v>
      </c>
      <c r="H260">
        <v>2.6492516813911799</v>
      </c>
      <c r="I260">
        <v>2.860909206214588</v>
      </c>
      <c r="J260">
        <v>4.7405126624750791</v>
      </c>
      <c r="K260">
        <v>5.0276977066264275</v>
      </c>
      <c r="L260">
        <v>5.3178158039024099</v>
      </c>
      <c r="M260">
        <v>1.27590725248329</v>
      </c>
      <c r="N260">
        <v>1.3915641790715112</v>
      </c>
      <c r="O260">
        <v>1.5162514135452563</v>
      </c>
      <c r="P260">
        <v>2.4238139658807207</v>
      </c>
      <c r="Q260">
        <v>2.62186663819086</v>
      </c>
      <c r="R260">
        <v>2.8314091182873415</v>
      </c>
      <c r="S260">
        <v>4.6928449740812495</v>
      </c>
      <c r="T260">
        <v>4.9773491255178666</v>
      </c>
      <c r="U260">
        <v>5.2647078584184719</v>
      </c>
      <c r="V260">
        <v>1.0463238151389984</v>
      </c>
      <c r="W260">
        <v>1.1414519780114958</v>
      </c>
      <c r="X260">
        <v>1.2442235286263812</v>
      </c>
      <c r="Y260">
        <v>1.9938533060631496</v>
      </c>
      <c r="Z260">
        <v>2.1575795515052558</v>
      </c>
      <c r="AA260">
        <v>2.3312542119626238</v>
      </c>
      <c r="AB260">
        <v>3.8867012621797605</v>
      </c>
      <c r="AC260">
        <v>4.1266588332512786</v>
      </c>
      <c r="AD260">
        <v>4.3679526211255508</v>
      </c>
      <c r="AE260">
        <v>1.043267304561289</v>
      </c>
      <c r="AF260">
        <v>1.1381379376495748</v>
      </c>
      <c r="AG260">
        <v>1.2406035099479082</v>
      </c>
      <c r="AH260">
        <v>1.9881056883115473</v>
      </c>
      <c r="AI260">
        <v>2.1513956629077109</v>
      </c>
      <c r="AJ260">
        <v>2.3245828958591961</v>
      </c>
      <c r="AK260">
        <v>3.875824228586715</v>
      </c>
      <c r="AL260">
        <v>4.1151546499533387</v>
      </c>
      <c r="AM260">
        <v>4.3564208259690709</v>
      </c>
    </row>
    <row r="261" spans="1:39" x14ac:dyDescent="0.25">
      <c r="A261" s="147">
        <f t="shared" si="3"/>
        <v>20</v>
      </c>
      <c r="C261" s="149">
        <v>19.333333333333329</v>
      </c>
      <c r="D261" s="2">
        <v>1.2880059664764076</v>
      </c>
      <c r="E261">
        <v>1.404695259927867</v>
      </c>
      <c r="F261">
        <v>1.530548651512549</v>
      </c>
      <c r="G261">
        <v>2.4465452224315603</v>
      </c>
      <c r="H261">
        <v>2.6463954107942143</v>
      </c>
      <c r="I261">
        <v>2.8578373895056028</v>
      </c>
      <c r="J261">
        <v>4.7356227281707257</v>
      </c>
      <c r="K261">
        <v>5.0225496385841693</v>
      </c>
      <c r="L261">
        <v>5.3124157982889404</v>
      </c>
      <c r="M261">
        <v>1.2745483003199625</v>
      </c>
      <c r="N261">
        <v>1.3900849035074705</v>
      </c>
      <c r="O261">
        <v>1.5146421965324828</v>
      </c>
      <c r="P261">
        <v>2.4212805850415648</v>
      </c>
      <c r="Q261">
        <v>2.6191378008376076</v>
      </c>
      <c r="R261">
        <v>2.8284741917469702</v>
      </c>
      <c r="S261">
        <v>4.688168765858026</v>
      </c>
      <c r="T261">
        <v>4.9724253215467167</v>
      </c>
      <c r="U261">
        <v>5.2595424289600423</v>
      </c>
      <c r="V261">
        <v>1.0433683157130864</v>
      </c>
      <c r="W261">
        <v>1.1382296584498164</v>
      </c>
      <c r="X261">
        <v>1.2407132445518338</v>
      </c>
      <c r="Y261">
        <v>1.988256401826729</v>
      </c>
      <c r="Z261">
        <v>2.1515301757927254</v>
      </c>
      <c r="AA261">
        <v>2.3247260630630295</v>
      </c>
      <c r="AB261">
        <v>3.8759531308830484</v>
      </c>
      <c r="AC261">
        <v>4.1152732845670652</v>
      </c>
      <c r="AD261">
        <v>4.3559266099131726</v>
      </c>
      <c r="AE261">
        <v>1.0403464828306181</v>
      </c>
      <c r="AF261">
        <v>1.1349533964615985</v>
      </c>
      <c r="AG261">
        <v>1.237134313031153</v>
      </c>
      <c r="AH261">
        <v>1.9825737758213824</v>
      </c>
      <c r="AI261">
        <v>2.1454164325439087</v>
      </c>
      <c r="AJ261">
        <v>2.3181302880859564</v>
      </c>
      <c r="AK261">
        <v>3.8651978013422248</v>
      </c>
      <c r="AL261">
        <v>4.103897570005314</v>
      </c>
      <c r="AM261">
        <v>4.3445301363743773</v>
      </c>
    </row>
    <row r="262" spans="1:39" x14ac:dyDescent="0.25">
      <c r="A262" s="147">
        <f t="shared" si="3"/>
        <v>20</v>
      </c>
      <c r="C262" s="149">
        <v>19.416666666666661</v>
      </c>
      <c r="D262" s="2">
        <v>1.286581984567629</v>
      </c>
      <c r="E262">
        <v>1.4031451623352242</v>
      </c>
      <c r="F262">
        <v>1.5288626093072484</v>
      </c>
      <c r="G262">
        <v>2.4438923596697131</v>
      </c>
      <c r="H262">
        <v>2.6435378819308983</v>
      </c>
      <c r="I262">
        <v>2.8547643116864809</v>
      </c>
      <c r="J262">
        <v>4.7307323400011647</v>
      </c>
      <c r="K262">
        <v>5.0174014021083932</v>
      </c>
      <c r="L262">
        <v>5.3070159694248948</v>
      </c>
      <c r="M262">
        <v>1.2731884319633644</v>
      </c>
      <c r="N262">
        <v>1.3886046508316272</v>
      </c>
      <c r="O262">
        <v>1.5130319398813841</v>
      </c>
      <c r="P262">
        <v>2.4187458607372645</v>
      </c>
      <c r="Q262">
        <v>2.61640759252183</v>
      </c>
      <c r="R262">
        <v>2.8255378786899725</v>
      </c>
      <c r="S262">
        <v>4.6834918332621989</v>
      </c>
      <c r="T262">
        <v>4.9675010508401671</v>
      </c>
      <c r="U262">
        <v>5.2543768482495024</v>
      </c>
      <c r="V262">
        <v>1.0404054381204673</v>
      </c>
      <c r="W262">
        <v>1.1349993351066268</v>
      </c>
      <c r="X262">
        <v>1.2371942897518164</v>
      </c>
      <c r="Y262">
        <v>1.9826462605178188</v>
      </c>
      <c r="Z262">
        <v>2.1454666396053992</v>
      </c>
      <c r="AA262">
        <v>2.3181828050822437</v>
      </c>
      <c r="AB262">
        <v>3.8651830405142547</v>
      </c>
      <c r="AC262">
        <v>4.1038650349687291</v>
      </c>
      <c r="AD262">
        <v>4.3438772595441675</v>
      </c>
      <c r="AE262">
        <v>1.0374182317831524</v>
      </c>
      <c r="AF262">
        <v>1.1317607950980215</v>
      </c>
      <c r="AG262">
        <v>1.2336563833195004</v>
      </c>
      <c r="AH262">
        <v>1.9770285193383681</v>
      </c>
      <c r="AI262">
        <v>2.1394229241018614</v>
      </c>
      <c r="AJ262">
        <v>2.3116624420398528</v>
      </c>
      <c r="AK262">
        <v>3.8545491641226159</v>
      </c>
      <c r="AL262">
        <v>4.0926175162567899</v>
      </c>
      <c r="AM262">
        <v>4.3326158086771045</v>
      </c>
    </row>
    <row r="263" spans="1:39" x14ac:dyDescent="0.25">
      <c r="A263" s="147">
        <f t="shared" si="3"/>
        <v>20</v>
      </c>
      <c r="C263" s="149">
        <v>19.499999999999993</v>
      </c>
      <c r="D263" s="2">
        <v>1.2876887797798413</v>
      </c>
      <c r="E263">
        <v>1.404232307426494</v>
      </c>
      <c r="F263">
        <v>1.5299013721931014</v>
      </c>
      <c r="G263">
        <v>2.4438258347273689</v>
      </c>
      <c r="H263">
        <v>2.643049451217915</v>
      </c>
      <c r="I263">
        <v>2.853741948390601</v>
      </c>
      <c r="J263">
        <v>4.720730016796991</v>
      </c>
      <c r="K263">
        <v>5.0052363942653209</v>
      </c>
      <c r="L263">
        <v>5.2924232422183524</v>
      </c>
      <c r="M263">
        <v>1.271816496003852</v>
      </c>
      <c r="N263">
        <v>1.386989884440923</v>
      </c>
      <c r="O263">
        <v>1.5111294266649351</v>
      </c>
      <c r="P263">
        <v>2.4139886414035043</v>
      </c>
      <c r="Q263">
        <v>2.6108429524903354</v>
      </c>
      <c r="R263">
        <v>2.8190351688174502</v>
      </c>
      <c r="S263">
        <v>4.6644653724489915</v>
      </c>
      <c r="T263">
        <v>4.9457735934641391</v>
      </c>
      <c r="U263">
        <v>5.2296703246012815</v>
      </c>
      <c r="V263">
        <v>1.0365080357147971</v>
      </c>
      <c r="W263">
        <v>1.1306529978108444</v>
      </c>
      <c r="X263">
        <v>1.232344070332978</v>
      </c>
      <c r="Y263">
        <v>1.9735053056884748</v>
      </c>
      <c r="Z263">
        <v>2.1352362107938352</v>
      </c>
      <c r="AA263">
        <v>2.3067327576280343</v>
      </c>
      <c r="AB263">
        <v>3.8394477106403979</v>
      </c>
      <c r="AC263">
        <v>4.07529024033526</v>
      </c>
      <c r="AD263">
        <v>4.3122189922028884</v>
      </c>
      <c r="AE263">
        <v>1.0337448881859534</v>
      </c>
      <c r="AF263">
        <v>1.127658519953312</v>
      </c>
      <c r="AG263">
        <v>1.2290716426851511</v>
      </c>
      <c r="AH263">
        <v>1.9683076127956922</v>
      </c>
      <c r="AI263">
        <v>2.1296458160781966</v>
      </c>
      <c r="AJ263">
        <v>2.3007006210892875</v>
      </c>
      <c r="AK263">
        <v>3.8296004974936189</v>
      </c>
      <c r="AL263">
        <v>4.0648730816404939</v>
      </c>
      <c r="AM263">
        <v>4.3018302834944082</v>
      </c>
    </row>
    <row r="264" spans="1:39" x14ac:dyDescent="0.25">
      <c r="A264" s="147">
        <f t="shared" si="3"/>
        <v>20</v>
      </c>
      <c r="C264" s="149">
        <v>19.583333333333325</v>
      </c>
      <c r="D264" s="2">
        <v>1.2862486856872068</v>
      </c>
      <c r="E264">
        <v>1.4026649324296445</v>
      </c>
      <c r="F264">
        <v>1.5281968590673742</v>
      </c>
      <c r="G264">
        <v>2.4411475801949623</v>
      </c>
      <c r="H264">
        <v>2.6401654356377824</v>
      </c>
      <c r="I264">
        <v>2.8506414160270341</v>
      </c>
      <c r="J264">
        <v>4.7158123524023923</v>
      </c>
      <c r="K264">
        <v>5.0000624390443278</v>
      </c>
      <c r="L264">
        <v>5.286999705437708</v>
      </c>
      <c r="M264">
        <v>1.2704516335090075</v>
      </c>
      <c r="N264">
        <v>1.3855044406504458</v>
      </c>
      <c r="O264">
        <v>1.5095138174961187</v>
      </c>
      <c r="P264">
        <v>2.4114489520947453</v>
      </c>
      <c r="Q264">
        <v>2.6081082353259717</v>
      </c>
      <c r="R264">
        <v>2.8160949857018913</v>
      </c>
      <c r="S264">
        <v>4.6597977164215374</v>
      </c>
      <c r="T264">
        <v>4.9408619135499752</v>
      </c>
      <c r="U264">
        <v>5.2245210691150241</v>
      </c>
      <c r="V264">
        <v>1.0335336114670954</v>
      </c>
      <c r="W264">
        <v>1.127410503990977</v>
      </c>
      <c r="X264">
        <v>1.2288123545015588</v>
      </c>
      <c r="Y264">
        <v>1.9678808108030932</v>
      </c>
      <c r="Z264">
        <v>2.1291586364073165</v>
      </c>
      <c r="AA264">
        <v>2.3001760697170406</v>
      </c>
      <c r="AB264">
        <v>3.8286836842029413</v>
      </c>
      <c r="AC264">
        <v>4.0638936463599329</v>
      </c>
      <c r="AD264">
        <v>4.300187799905423</v>
      </c>
      <c r="AE264">
        <v>1.0308034094579641</v>
      </c>
      <c r="AF264">
        <v>1.1244519157422559</v>
      </c>
      <c r="AG264">
        <v>1.2255789571523359</v>
      </c>
      <c r="AH264">
        <v>1.9627448304455712</v>
      </c>
      <c r="AI264">
        <v>2.1236348421808544</v>
      </c>
      <c r="AJ264">
        <v>2.2942156494544701</v>
      </c>
      <c r="AK264">
        <v>3.8189518979259809</v>
      </c>
      <c r="AL264">
        <v>4.0535983108925642</v>
      </c>
      <c r="AM264">
        <v>4.2899273963477649</v>
      </c>
    </row>
    <row r="265" spans="1:39" x14ac:dyDescent="0.25">
      <c r="A265" s="147">
        <f t="shared" si="3"/>
        <v>20</v>
      </c>
      <c r="C265" s="149">
        <v>19.666666666666657</v>
      </c>
      <c r="D265" s="2">
        <v>1.2848077293409323</v>
      </c>
      <c r="E265">
        <v>1.4010966401901701</v>
      </c>
      <c r="F265">
        <v>1.5264913732544765</v>
      </c>
      <c r="G265">
        <v>2.4384681070254413</v>
      </c>
      <c r="H265">
        <v>2.637280187651958</v>
      </c>
      <c r="I265">
        <v>2.8475396512139586</v>
      </c>
      <c r="J265">
        <v>4.7108942845207933</v>
      </c>
      <c r="K265">
        <v>4.9948883673948448</v>
      </c>
      <c r="L265">
        <v>5.2815763980792712</v>
      </c>
      <c r="M265">
        <v>1.2690858572700687</v>
      </c>
      <c r="N265">
        <v>1.384018022607258</v>
      </c>
      <c r="O265">
        <v>1.5078971720162064</v>
      </c>
      <c r="P265">
        <v>2.408907926423713</v>
      </c>
      <c r="Q265">
        <v>2.6053721551098712</v>
      </c>
      <c r="R265">
        <v>2.8131534247894501</v>
      </c>
      <c r="S265">
        <v>4.6551293443291897</v>
      </c>
      <c r="T265">
        <v>4.9359497726940811</v>
      </c>
      <c r="U265">
        <v>5.2193716644636465</v>
      </c>
      <c r="V265">
        <v>1.0305517543819824</v>
      </c>
      <c r="W265">
        <v>1.1241599476265454</v>
      </c>
      <c r="X265">
        <v>1.2252719049102705</v>
      </c>
      <c r="Y265">
        <v>1.9622429888680364</v>
      </c>
      <c r="Z265">
        <v>2.1230668065432168</v>
      </c>
      <c r="AA265">
        <v>2.2936041726681085</v>
      </c>
      <c r="AB265">
        <v>3.8178975590636899</v>
      </c>
      <c r="AC265">
        <v>4.0524742050184281</v>
      </c>
      <c r="AD265">
        <v>4.2881331143305497</v>
      </c>
      <c r="AE265">
        <v>1.0278544476489762</v>
      </c>
      <c r="AF265">
        <v>1.121237193621859</v>
      </c>
      <c r="AG265">
        <v>1.2220774769641161</v>
      </c>
      <c r="AH265">
        <v>1.9571686166149251</v>
      </c>
      <c r="AI265">
        <v>2.1176094980455704</v>
      </c>
      <c r="AJ265">
        <v>2.2877153427410963</v>
      </c>
      <c r="AK265">
        <v>3.8082809572399041</v>
      </c>
      <c r="AL265">
        <v>4.0423004294871756</v>
      </c>
      <c r="AM265">
        <v>4.2780007277688155</v>
      </c>
    </row>
    <row r="266" spans="1:39" x14ac:dyDescent="0.25">
      <c r="A266" s="147">
        <f t="shared" si="3"/>
        <v>20</v>
      </c>
      <c r="C266" s="149">
        <v>19.749999999999989</v>
      </c>
      <c r="D266" s="2">
        <v>1.2833659099882002</v>
      </c>
      <c r="E266">
        <v>1.3995274298814362</v>
      </c>
      <c r="F266">
        <v>1.5247849138456697</v>
      </c>
      <c r="G266">
        <v>2.4357874136753574</v>
      </c>
      <c r="H266">
        <v>2.6343937055690798</v>
      </c>
      <c r="I266">
        <v>2.8444366520953723</v>
      </c>
      <c r="J266">
        <v>4.7059758094488338</v>
      </c>
      <c r="K266">
        <v>4.9897141752491079</v>
      </c>
      <c r="L266">
        <v>5.2761533156785294</v>
      </c>
      <c r="M266">
        <v>1.2677191666798453</v>
      </c>
      <c r="N266">
        <v>1.382530629644688</v>
      </c>
      <c r="O266">
        <v>1.5062794894909874</v>
      </c>
      <c r="P266">
        <v>2.4063655631344645</v>
      </c>
      <c r="Q266">
        <v>2.6026347104654848</v>
      </c>
      <c r="R266">
        <v>2.8102104845675262</v>
      </c>
      <c r="S266">
        <v>4.6504602530992907</v>
      </c>
      <c r="T266">
        <v>4.9310371675109881</v>
      </c>
      <c r="U266">
        <v>5.2142221069212651</v>
      </c>
      <c r="V266">
        <v>1.0275624437886346</v>
      </c>
      <c r="W266">
        <v>1.120901306252754</v>
      </c>
      <c r="X266">
        <v>1.221722697172555</v>
      </c>
      <c r="Y266">
        <v>1.9565918019972628</v>
      </c>
      <c r="Z266">
        <v>2.116960680490843</v>
      </c>
      <c r="AA266">
        <v>2.2870170228244402</v>
      </c>
      <c r="AB266">
        <v>3.8070892675978794</v>
      </c>
      <c r="AC266">
        <v>4.0410318454033982</v>
      </c>
      <c r="AD266">
        <v>4.2760548614065286</v>
      </c>
      <c r="AE266">
        <v>1.024897982020885</v>
      </c>
      <c r="AF266">
        <v>1.1180143310544892</v>
      </c>
      <c r="AG266">
        <v>1.2185671776560636</v>
      </c>
      <c r="AH266">
        <v>1.9515789333066533</v>
      </c>
      <c r="AI266">
        <v>2.1115697428447717</v>
      </c>
      <c r="AJ266">
        <v>2.2811996571703235</v>
      </c>
      <c r="AK266">
        <v>3.7975876076828547</v>
      </c>
      <c r="AL266">
        <v>4.0309793663968634</v>
      </c>
      <c r="AM266">
        <v>4.2660502035621661</v>
      </c>
    </row>
    <row r="267" spans="1:39" x14ac:dyDescent="0.25">
      <c r="A267" s="147">
        <f t="shared" si="3"/>
        <v>20</v>
      </c>
      <c r="C267" s="149">
        <v>19.833333333333321</v>
      </c>
      <c r="D267" s="2">
        <v>1.2819232268760274</v>
      </c>
      <c r="E267">
        <v>1.397957300676608</v>
      </c>
      <c r="F267">
        <v>1.5230774799318969</v>
      </c>
      <c r="G267">
        <v>2.4331054985998297</v>
      </c>
      <c r="H267">
        <v>2.6315059876961464</v>
      </c>
      <c r="I267">
        <v>2.8413324168132688</v>
      </c>
      <c r="J267">
        <v>4.7010569234786344</v>
      </c>
      <c r="K267">
        <v>4.984539858534375</v>
      </c>
      <c r="L267">
        <v>5.2707304537659718</v>
      </c>
      <c r="M267">
        <v>1.2663515611314704</v>
      </c>
      <c r="N267">
        <v>1.3810422610962365</v>
      </c>
      <c r="O267">
        <v>1.5046607691863916</v>
      </c>
      <c r="P267">
        <v>2.4038218609706639</v>
      </c>
      <c r="Q267">
        <v>2.5998959000153672</v>
      </c>
      <c r="R267">
        <v>2.8072661635224794</v>
      </c>
      <c r="S267">
        <v>4.6457904396556611</v>
      </c>
      <c r="T267">
        <v>4.9261240946115352</v>
      </c>
      <c r="U267">
        <v>5.2090723927575215</v>
      </c>
      <c r="V267">
        <v>1.0245656589603187</v>
      </c>
      <c r="W267">
        <v>1.1176345573439563</v>
      </c>
      <c r="X267">
        <v>1.2181647068358248</v>
      </c>
      <c r="Y267">
        <v>1.9509272122015924</v>
      </c>
      <c r="Z267">
        <v>2.1108402174286547</v>
      </c>
      <c r="AA267">
        <v>2.2804145764101564</v>
      </c>
      <c r="AB267">
        <v>3.7962587419954064</v>
      </c>
      <c r="AC267">
        <v>4.0295664964133753</v>
      </c>
      <c r="AD267">
        <v>4.26395296685926</v>
      </c>
      <c r="AE267">
        <v>1.0219339917795849</v>
      </c>
      <c r="AF267">
        <v>1.1147833054414753</v>
      </c>
      <c r="AG267">
        <v>1.2150480346972556</v>
      </c>
      <c r="AH267">
        <v>1.9459757424203177</v>
      </c>
      <c r="AI267">
        <v>2.1055155356395066</v>
      </c>
      <c r="AJ267">
        <v>2.2746685488438119</v>
      </c>
      <c r="AK267">
        <v>3.786871781316512</v>
      </c>
      <c r="AL267">
        <v>4.0196350503992004</v>
      </c>
      <c r="AM267">
        <v>4.2540757493288019</v>
      </c>
    </row>
    <row r="268" spans="1:39" x14ac:dyDescent="0.25">
      <c r="A268" s="147">
        <f t="shared" si="3"/>
        <v>20</v>
      </c>
      <c r="C268" s="149">
        <v>19.916666666666654</v>
      </c>
      <c r="D268" s="2">
        <v>1.2804796792510735</v>
      </c>
      <c r="E268">
        <v>1.3963862517484367</v>
      </c>
      <c r="F268">
        <v>1.5213690706036602</v>
      </c>
      <c r="G268">
        <v>2.4304223602527171</v>
      </c>
      <c r="H268">
        <v>2.6286170323387754</v>
      </c>
      <c r="I268">
        <v>2.8382269435081477</v>
      </c>
      <c r="J268">
        <v>4.6961376228980178</v>
      </c>
      <c r="K268">
        <v>4.9793654131732605</v>
      </c>
      <c r="L268">
        <v>5.2653078078669768</v>
      </c>
      <c r="M268">
        <v>1.2649830400182185</v>
      </c>
      <c r="N268">
        <v>1.3795529162955296</v>
      </c>
      <c r="O268">
        <v>1.5030410103684952</v>
      </c>
      <c r="P268">
        <v>2.4012768186753264</v>
      </c>
      <c r="Q268">
        <v>2.597155722381479</v>
      </c>
      <c r="R268">
        <v>2.8043204601396416</v>
      </c>
      <c r="S268">
        <v>4.6411199009185218</v>
      </c>
      <c r="T268">
        <v>4.9212105506024155</v>
      </c>
      <c r="U268">
        <v>5.2039225182373121</v>
      </c>
      <c r="V268">
        <v>1.0215613791143259</v>
      </c>
      <c r="W268">
        <v>1.1143596783136336</v>
      </c>
      <c r="X268">
        <v>1.2145979093812804</v>
      </c>
      <c r="Y268">
        <v>1.9452491813885575</v>
      </c>
      <c r="Z268">
        <v>2.104705376423992</v>
      </c>
      <c r="AA268">
        <v>2.2737967895300901</v>
      </c>
      <c r="AB268">
        <v>3.785405914260398</v>
      </c>
      <c r="AC268">
        <v>4.0180780867519941</v>
      </c>
      <c r="AD268">
        <v>4.2518273562112858</v>
      </c>
      <c r="AE268">
        <v>1.0189624560747221</v>
      </c>
      <c r="AF268">
        <v>1.1115440941230814</v>
      </c>
      <c r="AG268">
        <v>1.211520023490533</v>
      </c>
      <c r="AH268">
        <v>1.940359005751791</v>
      </c>
      <c r="AI268">
        <v>2.0994468353793128</v>
      </c>
      <c r="AJ268">
        <v>2.268121973743531</v>
      </c>
      <c r="AK268">
        <v>3.7761334100159325</v>
      </c>
      <c r="AL268">
        <v>4.0082674100761775</v>
      </c>
      <c r="AM268">
        <v>4.2420772904657618</v>
      </c>
    </row>
    <row r="269" spans="1:39" x14ac:dyDescent="0.25">
      <c r="A269" s="147">
        <f t="shared" si="3"/>
        <v>20</v>
      </c>
      <c r="C269" s="149">
        <v>19.999999999999986</v>
      </c>
      <c r="D269" s="2">
        <v>1.2790352663598057</v>
      </c>
      <c r="E269">
        <v>1.3948142822693586</v>
      </c>
      <c r="F269">
        <v>1.5196596849509449</v>
      </c>
      <c r="G269">
        <v>2.4277379970865876</v>
      </c>
      <c r="H269">
        <v>2.6257268378011123</v>
      </c>
      <c r="I269">
        <v>2.8351202303186667</v>
      </c>
      <c r="J269">
        <v>4.691217903990454</v>
      </c>
      <c r="K269">
        <v>4.9741908350835242</v>
      </c>
      <c r="L269">
        <v>5.2598853735017101</v>
      </c>
      <c r="M269">
        <v>1.2636136027335696</v>
      </c>
      <c r="N269">
        <v>1.3780625945763998</v>
      </c>
      <c r="O269">
        <v>1.5014202123034239</v>
      </c>
      <c r="P269">
        <v>2.3987304349910299</v>
      </c>
      <c r="Q269">
        <v>2.5944141761850616</v>
      </c>
      <c r="R269">
        <v>2.8013733729035026</v>
      </c>
      <c r="S269">
        <v>4.6364486338044424</v>
      </c>
      <c r="T269">
        <v>4.9162965320862</v>
      </c>
      <c r="U269">
        <v>5.1987724796214723</v>
      </c>
      <c r="V269">
        <v>1.0185495834117264</v>
      </c>
      <c r="W269">
        <v>1.1110766465141426</v>
      </c>
      <c r="X269">
        <v>1.2110222802238013</v>
      </c>
      <c r="Y269">
        <v>1.9395576713620835</v>
      </c>
      <c r="Z269">
        <v>2.0985561164327104</v>
      </c>
      <c r="AA269">
        <v>2.2671636181693975</v>
      </c>
      <c r="AB269">
        <v>3.7745307162108501</v>
      </c>
      <c r="AC269">
        <v>4.006566544928031</v>
      </c>
      <c r="AD269">
        <v>4.2396779547813672</v>
      </c>
      <c r="AE269">
        <v>1.0159833539996326</v>
      </c>
      <c r="AF269">
        <v>1.1082966743782405</v>
      </c>
      <c r="AG269">
        <v>1.2079831193720896</v>
      </c>
      <c r="AH269">
        <v>1.9347286849930572</v>
      </c>
      <c r="AI269">
        <v>2.0933636009020233</v>
      </c>
      <c r="AJ269">
        <v>2.2615598877314493</v>
      </c>
      <c r="AK269">
        <v>3.7653724254694367</v>
      </c>
      <c r="AL269">
        <v>3.996876373813909</v>
      </c>
      <c r="AM269">
        <v>4.2300547521653868</v>
      </c>
    </row>
    <row r="270" spans="1:39" x14ac:dyDescent="0.25">
      <c r="A270" s="147">
        <f t="shared" si="3"/>
        <v>21</v>
      </c>
      <c r="C270" s="149">
        <v>20.083333333333318</v>
      </c>
      <c r="D270" s="2">
        <v>1.2775899874483796</v>
      </c>
      <c r="E270">
        <v>1.3932413914114836</v>
      </c>
      <c r="F270">
        <v>1.5179493220634257</v>
      </c>
      <c r="G270">
        <v>2.4250524075528661</v>
      </c>
      <c r="H270">
        <v>2.6228354023856859</v>
      </c>
      <c r="I270">
        <v>2.8320122753816555</v>
      </c>
      <c r="J270">
        <v>4.6862977630348261</v>
      </c>
      <c r="K270">
        <v>4.9690161201781091</v>
      </c>
      <c r="L270">
        <v>5.2544631461853752</v>
      </c>
      <c r="M270">
        <v>1.2622432486712183</v>
      </c>
      <c r="N270">
        <v>1.3765712952728137</v>
      </c>
      <c r="O270">
        <v>1.4997983742574528</v>
      </c>
      <c r="P270">
        <v>2.3961827086598522</v>
      </c>
      <c r="Q270">
        <v>2.5916712600465659</v>
      </c>
      <c r="R270">
        <v>2.7984249002976074</v>
      </c>
      <c r="S270">
        <v>4.6317766352263785</v>
      </c>
      <c r="T270">
        <v>4.9113820356615729</v>
      </c>
      <c r="U270">
        <v>5.1936222731662784</v>
      </c>
      <c r="V270">
        <v>1.0155302509572577</v>
      </c>
      <c r="W270">
        <v>1.1077854392365549</v>
      </c>
      <c r="X270">
        <v>1.2074377947116859</v>
      </c>
      <c r="Y270">
        <v>1.9338526438221413</v>
      </c>
      <c r="Z270">
        <v>2.0923923962989051</v>
      </c>
      <c r="AA270">
        <v>2.2605150181933471</v>
      </c>
      <c r="AB270">
        <v>3.7636330794779234</v>
      </c>
      <c r="AC270">
        <v>3.9950317992541167</v>
      </c>
      <c r="AD270">
        <v>4.2275046876838456</v>
      </c>
      <c r="AE270">
        <v>1.0129966645910891</v>
      </c>
      <c r="AF270">
        <v>1.1050410234244474</v>
      </c>
      <c r="AG270">
        <v>1.2044372976113891</v>
      </c>
      <c r="AH270">
        <v>1.9290847417317898</v>
      </c>
      <c r="AI270">
        <v>2.0872657909332837</v>
      </c>
      <c r="AJ270">
        <v>2.2549822465491745</v>
      </c>
      <c r="AK270">
        <v>3.7545887591776688</v>
      </c>
      <c r="AL270">
        <v>3.9854618698020237</v>
      </c>
      <c r="AM270">
        <v>4.2180080594147729</v>
      </c>
    </row>
    <row r="271" spans="1:39" x14ac:dyDescent="0.25">
      <c r="A271" s="147">
        <f t="shared" si="3"/>
        <v>21</v>
      </c>
      <c r="C271" s="149">
        <v>20.16666666666665</v>
      </c>
      <c r="D271" s="2">
        <v>1.2761438417627249</v>
      </c>
      <c r="E271">
        <v>1.3916675783465919</v>
      </c>
      <c r="F271">
        <v>1.5162379810303031</v>
      </c>
      <c r="G271">
        <v>2.4223655901015784</v>
      </c>
      <c r="H271">
        <v>2.6199427243936064</v>
      </c>
      <c r="I271">
        <v>2.8289030768323253</v>
      </c>
      <c r="J271">
        <v>4.6813771963057089</v>
      </c>
      <c r="K271">
        <v>4.9638412643652439</v>
      </c>
      <c r="L271">
        <v>5.2490411214278012</v>
      </c>
      <c r="M271">
        <v>1.2608719772250654</v>
      </c>
      <c r="N271">
        <v>1.3750790177189289</v>
      </c>
      <c r="O271">
        <v>1.4981754954969699</v>
      </c>
      <c r="P271">
        <v>2.3936336384232209</v>
      </c>
      <c r="Q271">
        <v>2.5889269725858011</v>
      </c>
      <c r="R271">
        <v>2.7954750408045048</v>
      </c>
      <c r="S271">
        <v>4.6271039020936611</v>
      </c>
      <c r="T271">
        <v>4.9064670579230008</v>
      </c>
      <c r="U271">
        <v>5.1884718951233761</v>
      </c>
      <c r="V271">
        <v>1.0125033607992144</v>
      </c>
      <c r="W271">
        <v>1.1044860337105824</v>
      </c>
      <c r="X271">
        <v>1.2038444281265104</v>
      </c>
      <c r="Y271">
        <v>1.9281340603646009</v>
      </c>
      <c r="Z271">
        <v>2.0862141747546947</v>
      </c>
      <c r="AA271">
        <v>2.2538509453469096</v>
      </c>
      <c r="AB271">
        <v>3.7527129355055635</v>
      </c>
      <c r="AC271">
        <v>3.9834737778467977</v>
      </c>
      <c r="AD271">
        <v>4.2153074798283221</v>
      </c>
      <c r="AE271">
        <v>1.010002366829261</v>
      </c>
      <c r="AF271">
        <v>1.1017771184175855</v>
      </c>
      <c r="AG271">
        <v>1.2008825334109565</v>
      </c>
      <c r="AH271">
        <v>1.9234271374512026</v>
      </c>
      <c r="AI271">
        <v>2.0811533640863389</v>
      </c>
      <c r="AJ271">
        <v>2.2483890058176303</v>
      </c>
      <c r="AK271">
        <v>3.7437823424536107</v>
      </c>
      <c r="AL271">
        <v>3.9740238260329273</v>
      </c>
      <c r="AM271">
        <v>4.2059371369952814</v>
      </c>
    </row>
    <row r="272" spans="1:39" x14ac:dyDescent="0.25">
      <c r="A272" s="147">
        <f t="shared" si="3"/>
        <v>21</v>
      </c>
      <c r="C272" s="149">
        <v>20.249999999999982</v>
      </c>
      <c r="D272" s="2">
        <v>1.2746968285484876</v>
      </c>
      <c r="E272">
        <v>1.3900928422460954</v>
      </c>
      <c r="F272">
        <v>1.514525660940373</v>
      </c>
      <c r="G272">
        <v>2.4196775431815274</v>
      </c>
      <c r="H272">
        <v>2.6170488021244847</v>
      </c>
      <c r="I272">
        <v>2.8257926328039868</v>
      </c>
      <c r="J272">
        <v>4.6764562000731553</v>
      </c>
      <c r="K272">
        <v>4.9586662635482455</v>
      </c>
      <c r="L272">
        <v>5.2436192947338904</v>
      </c>
      <c r="M272">
        <v>1.2594997877892</v>
      </c>
      <c r="N272">
        <v>1.3735857612490623</v>
      </c>
      <c r="O272">
        <v>1.4965515752884735</v>
      </c>
      <c r="P272">
        <v>2.3910832230221875</v>
      </c>
      <c r="Q272">
        <v>2.5861813124218198</v>
      </c>
      <c r="R272">
        <v>2.7925237929058504</v>
      </c>
      <c r="S272">
        <v>4.6224304313120612</v>
      </c>
      <c r="T272">
        <v>4.9015515954610738</v>
      </c>
      <c r="U272">
        <v>5.1833213417401272</v>
      </c>
      <c r="V272">
        <v>1.0094688919292334</v>
      </c>
      <c r="W272">
        <v>1.1011784071043016</v>
      </c>
      <c r="X272">
        <v>1.2002421556829612</v>
      </c>
      <c r="Y272">
        <v>1.9224018824808311</v>
      </c>
      <c r="Z272">
        <v>2.0800214104197763</v>
      </c>
      <c r="AA272">
        <v>2.2471713552544546</v>
      </c>
      <c r="AB272">
        <v>3.7417702155500105</v>
      </c>
      <c r="AC272">
        <v>3.971892408625775</v>
      </c>
      <c r="AD272">
        <v>4.2030862559188389</v>
      </c>
      <c r="AE272">
        <v>1.0070004396375025</v>
      </c>
      <c r="AF272">
        <v>1.0985049364517665</v>
      </c>
      <c r="AG272">
        <v>1.1973188019062191</v>
      </c>
      <c r="AH272">
        <v>1.9177558335297245</v>
      </c>
      <c r="AI272">
        <v>2.0750262788617464</v>
      </c>
      <c r="AJ272">
        <v>2.2417801210368062</v>
      </c>
      <c r="AK272">
        <v>3.7329531064215535</v>
      </c>
      <c r="AL272">
        <v>3.9625621703016272</v>
      </c>
      <c r="AM272">
        <v>4.193841909481943</v>
      </c>
    </row>
    <row r="273" spans="1:39" x14ac:dyDescent="0.25">
      <c r="A273" s="147">
        <f t="shared" si="3"/>
        <v>21</v>
      </c>
      <c r="C273" s="149">
        <v>20.333333333333314</v>
      </c>
      <c r="D273" s="2">
        <v>1.2732489470510615</v>
      </c>
      <c r="E273">
        <v>1.3885171822811264</v>
      </c>
      <c r="F273">
        <v>1.5128123608820039</v>
      </c>
      <c r="G273">
        <v>2.4169882652402559</v>
      </c>
      <c r="H273">
        <v>2.6141536338764011</v>
      </c>
      <c r="I273">
        <v>2.8226809414282634</v>
      </c>
      <c r="J273">
        <v>4.67153477060286</v>
      </c>
      <c r="K273">
        <v>4.953491113625633</v>
      </c>
      <c r="L273">
        <v>5.2381976616032873</v>
      </c>
      <c r="M273">
        <v>1.2581266797579413</v>
      </c>
      <c r="N273">
        <v>1.3720915251977164</v>
      </c>
      <c r="O273">
        <v>1.4949266128986065</v>
      </c>
      <c r="P273">
        <v>2.3885314611972279</v>
      </c>
      <c r="Q273">
        <v>2.5834342781730242</v>
      </c>
      <c r="R273">
        <v>2.7895711550823368</v>
      </c>
      <c r="S273">
        <v>4.6177562197836393</v>
      </c>
      <c r="T273">
        <v>4.8966356448621724</v>
      </c>
      <c r="U273">
        <v>5.1781706092593804</v>
      </c>
      <c r="V273">
        <v>1.0064268232821731</v>
      </c>
      <c r="W273">
        <v>1.097862536524054</v>
      </c>
      <c r="X273">
        <v>1.1966309525286514</v>
      </c>
      <c r="Y273">
        <v>1.9166560715575152</v>
      </c>
      <c r="Z273">
        <v>2.0738140618012193</v>
      </c>
      <c r="AA273">
        <v>2.2404762034194188</v>
      </c>
      <c r="AB273">
        <v>3.7308048506791627</v>
      </c>
      <c r="AC273">
        <v>3.9602876193133354</v>
      </c>
      <c r="AD273">
        <v>4.1908409404534233</v>
      </c>
      <c r="AE273">
        <v>1.0039908618821873</v>
      </c>
      <c r="AF273">
        <v>1.0952244545591476</v>
      </c>
      <c r="AG273">
        <v>1.1937460781652969</v>
      </c>
      <c r="AH273">
        <v>1.9120707912407173</v>
      </c>
      <c r="AI273">
        <v>2.0688844936470243</v>
      </c>
      <c r="AJ273">
        <v>2.2351555475853022</v>
      </c>
      <c r="AK273">
        <v>3.7221009820169009</v>
      </c>
      <c r="AL273">
        <v>3.9510768302048458</v>
      </c>
      <c r="AM273">
        <v>4.1817223012428766</v>
      </c>
    </row>
    <row r="274" spans="1:39" x14ac:dyDescent="0.25">
      <c r="A274" s="147">
        <f t="shared" si="3"/>
        <v>21</v>
      </c>
      <c r="C274" s="149">
        <v>20.416666666666647</v>
      </c>
      <c r="D274" s="2">
        <v>1.2718001965155763</v>
      </c>
      <c r="E274">
        <v>1.3869405976224409</v>
      </c>
      <c r="F274">
        <v>1.511098079943153</v>
      </c>
      <c r="G274">
        <v>2.4142977547239979</v>
      </c>
      <c r="H274">
        <v>2.6112572179459539</v>
      </c>
      <c r="I274">
        <v>2.8195680008350097</v>
      </c>
      <c r="J274">
        <v>4.666612904155989</v>
      </c>
      <c r="K274">
        <v>4.9483158104911471</v>
      </c>
      <c r="L274">
        <v>5.2327762175304429</v>
      </c>
      <c r="M274">
        <v>1.2567526525258037</v>
      </c>
      <c r="N274">
        <v>1.3705963088995516</v>
      </c>
      <c r="O274">
        <v>1.4933006075941067</v>
      </c>
      <c r="P274">
        <v>2.3859783516882969</v>
      </c>
      <c r="Q274">
        <v>2.5806858684570431</v>
      </c>
      <c r="R274">
        <v>2.7866171258137484</v>
      </c>
      <c r="S274">
        <v>4.6130812644068957</v>
      </c>
      <c r="T274">
        <v>4.8917192027086678</v>
      </c>
      <c r="U274">
        <v>5.1730196939194606</v>
      </c>
      <c r="V274">
        <v>1.0033771337359716</v>
      </c>
      <c r="W274">
        <v>1.094538399014283</v>
      </c>
      <c r="X274">
        <v>1.1930107937439289</v>
      </c>
      <c r="Y274">
        <v>1.9108965888763221</v>
      </c>
      <c r="Z274">
        <v>2.0675920872931828</v>
      </c>
      <c r="AA274">
        <v>2.2337654452240314</v>
      </c>
      <c r="AB274">
        <v>3.7198167717722335</v>
      </c>
      <c r="AC274">
        <v>3.9486593374338845</v>
      </c>
      <c r="AD274">
        <v>4.1785714577235407</v>
      </c>
      <c r="AE274">
        <v>1.0009736123726136</v>
      </c>
      <c r="AF274">
        <v>1.0919356497097881</v>
      </c>
      <c r="AG274">
        <v>1.1901643371888522</v>
      </c>
      <c r="AH274">
        <v>1.9063719717522005</v>
      </c>
      <c r="AI274">
        <v>2.062727966716392</v>
      </c>
      <c r="AJ274">
        <v>2.2285152407201445</v>
      </c>
      <c r="AK274">
        <v>3.7112258999855854</v>
      </c>
      <c r="AL274">
        <v>3.9395677331407302</v>
      </c>
      <c r="AM274">
        <v>4.1695782364386993</v>
      </c>
    </row>
    <row r="275" spans="1:39" x14ac:dyDescent="0.25">
      <c r="A275" s="147">
        <f t="shared" si="3"/>
        <v>21</v>
      </c>
      <c r="C275" s="149">
        <v>20.499999999999979</v>
      </c>
      <c r="D275" s="2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</row>
    <row r="276" spans="1:39" x14ac:dyDescent="0.25">
      <c r="A276" s="147">
        <f t="shared" si="3"/>
        <v>21</v>
      </c>
      <c r="C276" s="149">
        <v>20.583333333333311</v>
      </c>
      <c r="D276" s="2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</row>
    <row r="277" spans="1:39" x14ac:dyDescent="0.25">
      <c r="A277" s="147">
        <f t="shared" si="3"/>
        <v>21</v>
      </c>
      <c r="C277" s="149">
        <v>20.666666666666643</v>
      </c>
      <c r="D277" s="2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</row>
    <row r="278" spans="1:39" x14ac:dyDescent="0.25">
      <c r="A278" s="147">
        <f t="shared" si="3"/>
        <v>21</v>
      </c>
      <c r="C278" s="149">
        <v>20.749999999999975</v>
      </c>
      <c r="D278" s="2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</row>
    <row r="279" spans="1:39" x14ac:dyDescent="0.25">
      <c r="A279" s="147">
        <f t="shared" si="3"/>
        <v>21</v>
      </c>
      <c r="C279" s="149">
        <v>20.833333333333307</v>
      </c>
      <c r="D279" s="2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</row>
    <row r="280" spans="1:39" x14ac:dyDescent="0.25">
      <c r="A280" s="147">
        <f t="shared" si="3"/>
        <v>21</v>
      </c>
      <c r="C280" s="149">
        <v>20.916666666666639</v>
      </c>
      <c r="D280" s="2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</row>
    <row r="281" spans="1:39" x14ac:dyDescent="0.25">
      <c r="A281" s="147">
        <f t="shared" si="3"/>
        <v>21</v>
      </c>
      <c r="C281" s="149">
        <v>20.999999999999972</v>
      </c>
      <c r="D281" s="2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</row>
    <row r="282" spans="1:39" x14ac:dyDescent="0.25">
      <c r="A282" s="147">
        <f t="shared" si="3"/>
        <v>22</v>
      </c>
      <c r="C282" s="149">
        <v>21.083333333333304</v>
      </c>
      <c r="D282" s="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</row>
    <row r="283" spans="1:39" x14ac:dyDescent="0.25">
      <c r="A283" s="147">
        <f t="shared" si="3"/>
        <v>22</v>
      </c>
      <c r="C283" s="149">
        <v>21.166666666666636</v>
      </c>
      <c r="D283" s="2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</row>
    <row r="284" spans="1:39" x14ac:dyDescent="0.25">
      <c r="A284" s="147">
        <f t="shared" si="3"/>
        <v>22</v>
      </c>
      <c r="C284" s="149">
        <v>21.249999999999968</v>
      </c>
      <c r="D284" s="2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</row>
    <row r="285" spans="1:39" x14ac:dyDescent="0.25">
      <c r="A285" s="147">
        <f t="shared" si="3"/>
        <v>22</v>
      </c>
      <c r="C285" s="149">
        <v>21.3333333333333</v>
      </c>
      <c r="D285" s="2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</row>
    <row r="286" spans="1:39" x14ac:dyDescent="0.25">
      <c r="A286" s="147">
        <f t="shared" ref="A286:A341" si="4">ROUNDUP(C286,0)</f>
        <v>22</v>
      </c>
      <c r="C286" s="149">
        <v>21.416666666666632</v>
      </c>
      <c r="D286" s="2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</row>
    <row r="287" spans="1:39" x14ac:dyDescent="0.25">
      <c r="A287" s="147">
        <f t="shared" si="4"/>
        <v>22</v>
      </c>
      <c r="C287" s="149">
        <v>21.499999999999964</v>
      </c>
      <c r="D287" s="2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</row>
    <row r="288" spans="1:39" x14ac:dyDescent="0.25">
      <c r="A288" s="147">
        <f t="shared" si="4"/>
        <v>22</v>
      </c>
      <c r="C288" s="149">
        <v>21.583333333333297</v>
      </c>
      <c r="D288" s="2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</row>
    <row r="289" spans="1:39" x14ac:dyDescent="0.25">
      <c r="A289" s="147">
        <f t="shared" si="4"/>
        <v>22</v>
      </c>
      <c r="C289" s="149">
        <v>21.666666666666629</v>
      </c>
      <c r="D289" s="2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</row>
    <row r="290" spans="1:39" x14ac:dyDescent="0.25">
      <c r="A290" s="147">
        <f t="shared" si="4"/>
        <v>22</v>
      </c>
      <c r="C290" s="149">
        <v>21.749999999999961</v>
      </c>
      <c r="D290" s="2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</row>
    <row r="291" spans="1:39" x14ac:dyDescent="0.25">
      <c r="A291" s="147">
        <f t="shared" si="4"/>
        <v>22</v>
      </c>
      <c r="C291" s="149">
        <v>21.833333333333293</v>
      </c>
      <c r="D291" s="2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</row>
    <row r="292" spans="1:39" x14ac:dyDescent="0.25">
      <c r="A292" s="147">
        <f t="shared" si="4"/>
        <v>22</v>
      </c>
      <c r="C292" s="149">
        <v>21.916666666666625</v>
      </c>
      <c r="D292" s="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</row>
    <row r="293" spans="1:39" x14ac:dyDescent="0.25">
      <c r="A293" s="147">
        <f t="shared" si="4"/>
        <v>22</v>
      </c>
      <c r="C293" s="149">
        <v>21.999999999999957</v>
      </c>
      <c r="D293" s="2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</row>
    <row r="294" spans="1:39" x14ac:dyDescent="0.25">
      <c r="A294" s="147">
        <f t="shared" si="4"/>
        <v>23</v>
      </c>
      <c r="C294" s="149">
        <v>22.08333333333329</v>
      </c>
      <c r="D294" s="2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</row>
    <row r="295" spans="1:39" x14ac:dyDescent="0.25">
      <c r="A295" s="147">
        <f t="shared" si="4"/>
        <v>23</v>
      </c>
      <c r="C295" s="149">
        <v>22.166666666666622</v>
      </c>
      <c r="D295" s="2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</row>
    <row r="296" spans="1:39" x14ac:dyDescent="0.25">
      <c r="A296" s="147">
        <f t="shared" si="4"/>
        <v>23</v>
      </c>
      <c r="C296" s="149">
        <v>22.249999999999954</v>
      </c>
      <c r="D296" s="2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</row>
    <row r="297" spans="1:39" x14ac:dyDescent="0.25">
      <c r="A297" s="147">
        <f t="shared" si="4"/>
        <v>23</v>
      </c>
      <c r="C297" s="149">
        <v>22.333333333333286</v>
      </c>
      <c r="D297" s="2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</row>
    <row r="298" spans="1:39" x14ac:dyDescent="0.25">
      <c r="A298" s="147">
        <f t="shared" si="4"/>
        <v>23</v>
      </c>
      <c r="C298" s="149">
        <v>22.416666666666618</v>
      </c>
      <c r="D298" s="2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</row>
    <row r="299" spans="1:39" x14ac:dyDescent="0.25">
      <c r="A299" s="147">
        <f t="shared" si="4"/>
        <v>23</v>
      </c>
      <c r="C299" s="149">
        <v>22.49999999999995</v>
      </c>
      <c r="D299" s="2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</row>
    <row r="300" spans="1:39" x14ac:dyDescent="0.25">
      <c r="A300" s="147">
        <f t="shared" si="4"/>
        <v>23</v>
      </c>
      <c r="C300" s="149">
        <v>22.583333333333282</v>
      </c>
      <c r="D300" s="2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</row>
    <row r="301" spans="1:39" x14ac:dyDescent="0.25">
      <c r="A301" s="147">
        <f t="shared" si="4"/>
        <v>23</v>
      </c>
      <c r="C301" s="149">
        <v>22.666666666666615</v>
      </c>
      <c r="D301" s="2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</row>
    <row r="302" spans="1:39" x14ac:dyDescent="0.25">
      <c r="A302" s="147">
        <f t="shared" si="4"/>
        <v>23</v>
      </c>
      <c r="C302" s="149">
        <v>22.749999999999947</v>
      </c>
      <c r="D302" s="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</row>
    <row r="303" spans="1:39" x14ac:dyDescent="0.25">
      <c r="A303" s="147">
        <f t="shared" si="4"/>
        <v>23</v>
      </c>
      <c r="C303" s="149">
        <v>22.833333333333279</v>
      </c>
      <c r="D303" s="2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</row>
    <row r="304" spans="1:39" x14ac:dyDescent="0.25">
      <c r="A304" s="147">
        <f t="shared" si="4"/>
        <v>23</v>
      </c>
      <c r="C304" s="149">
        <v>22.916666666666611</v>
      </c>
      <c r="D304" s="2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</row>
    <row r="305" spans="1:39" x14ac:dyDescent="0.25">
      <c r="A305" s="147">
        <f t="shared" si="4"/>
        <v>23</v>
      </c>
      <c r="C305" s="149">
        <v>22.999999999999943</v>
      </c>
      <c r="D305" s="2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</row>
    <row r="306" spans="1:39" x14ac:dyDescent="0.25">
      <c r="A306" s="147">
        <f t="shared" si="4"/>
        <v>24</v>
      </c>
      <c r="C306" s="149">
        <v>23.083333333333275</v>
      </c>
      <c r="D306" s="2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</row>
    <row r="307" spans="1:39" x14ac:dyDescent="0.25">
      <c r="A307" s="147">
        <f t="shared" si="4"/>
        <v>24</v>
      </c>
      <c r="C307" s="149">
        <v>23.166666666666607</v>
      </c>
      <c r="D307" s="2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</row>
    <row r="308" spans="1:39" x14ac:dyDescent="0.25">
      <c r="A308" s="147">
        <f t="shared" si="4"/>
        <v>24</v>
      </c>
      <c r="C308" s="149">
        <v>23.24999999999994</v>
      </c>
      <c r="D308" s="2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</row>
    <row r="309" spans="1:39" x14ac:dyDescent="0.25">
      <c r="A309" s="147">
        <f t="shared" si="4"/>
        <v>24</v>
      </c>
      <c r="C309" s="149">
        <v>23.333333333333272</v>
      </c>
      <c r="D309" s="2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</row>
    <row r="310" spans="1:39" x14ac:dyDescent="0.25">
      <c r="A310" s="147">
        <f t="shared" si="4"/>
        <v>24</v>
      </c>
      <c r="C310" s="149">
        <v>23.416666666666604</v>
      </c>
      <c r="D310" s="2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</row>
    <row r="311" spans="1:39" x14ac:dyDescent="0.25">
      <c r="A311" s="147">
        <f t="shared" si="4"/>
        <v>24</v>
      </c>
      <c r="C311" s="149">
        <v>23.499999999999936</v>
      </c>
      <c r="D311" s="2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</row>
    <row r="312" spans="1:39" x14ac:dyDescent="0.25">
      <c r="A312" s="147">
        <f t="shared" si="4"/>
        <v>24</v>
      </c>
      <c r="C312" s="149">
        <v>23.583333333333268</v>
      </c>
      <c r="D312" s="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</row>
    <row r="313" spans="1:39" x14ac:dyDescent="0.25">
      <c r="A313" s="147">
        <f t="shared" si="4"/>
        <v>24</v>
      </c>
      <c r="C313" s="149">
        <v>23.6666666666666</v>
      </c>
      <c r="D313" s="2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</row>
    <row r="314" spans="1:39" x14ac:dyDescent="0.25">
      <c r="A314" s="147">
        <f t="shared" si="4"/>
        <v>24</v>
      </c>
      <c r="C314" s="149">
        <v>23.749999999999932</v>
      </c>
      <c r="D314" s="2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</row>
    <row r="315" spans="1:39" x14ac:dyDescent="0.25">
      <c r="A315" s="147">
        <f t="shared" si="4"/>
        <v>24</v>
      </c>
      <c r="C315" s="149">
        <v>23.833333333333265</v>
      </c>
      <c r="D315" s="2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</row>
    <row r="316" spans="1:39" x14ac:dyDescent="0.25">
      <c r="A316" s="147">
        <f t="shared" si="4"/>
        <v>24</v>
      </c>
      <c r="C316" s="149">
        <v>23.916666666666597</v>
      </c>
      <c r="D316" s="2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</row>
    <row r="317" spans="1:39" x14ac:dyDescent="0.25">
      <c r="A317" s="147">
        <f t="shared" si="4"/>
        <v>24</v>
      </c>
      <c r="C317" s="149">
        <v>23.999999999999929</v>
      </c>
      <c r="D317" s="2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</row>
    <row r="318" spans="1:39" x14ac:dyDescent="0.25">
      <c r="A318" s="147">
        <f t="shared" si="4"/>
        <v>25</v>
      </c>
      <c r="C318" s="149">
        <v>24.083333333333261</v>
      </c>
      <c r="D318" s="2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</row>
    <row r="319" spans="1:39" x14ac:dyDescent="0.25">
      <c r="A319" s="147">
        <f t="shared" si="4"/>
        <v>25</v>
      </c>
      <c r="C319" s="149">
        <v>24.166666666666593</v>
      </c>
      <c r="D319" s="2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</row>
    <row r="320" spans="1:39" x14ac:dyDescent="0.25">
      <c r="A320" s="147">
        <f t="shared" si="4"/>
        <v>25</v>
      </c>
      <c r="C320" s="149">
        <v>24.249999999999925</v>
      </c>
      <c r="D320" s="2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</row>
    <row r="321" spans="1:39" x14ac:dyDescent="0.25">
      <c r="A321" s="147">
        <f t="shared" si="4"/>
        <v>25</v>
      </c>
      <c r="C321" s="149">
        <v>24.333333333333258</v>
      </c>
      <c r="D321" s="2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</row>
    <row r="322" spans="1:39" x14ac:dyDescent="0.25">
      <c r="A322" s="147">
        <f t="shared" si="4"/>
        <v>25</v>
      </c>
      <c r="C322" s="149">
        <v>24.41666666666659</v>
      </c>
      <c r="D322" s="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</row>
    <row r="323" spans="1:39" x14ac:dyDescent="0.25">
      <c r="A323" s="147">
        <f t="shared" si="4"/>
        <v>25</v>
      </c>
      <c r="C323" s="149">
        <v>24.499999999999922</v>
      </c>
      <c r="D323" s="2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</row>
    <row r="324" spans="1:39" x14ac:dyDescent="0.25">
      <c r="A324" s="147">
        <f t="shared" si="4"/>
        <v>25</v>
      </c>
      <c r="C324" s="149">
        <v>24.583333333333254</v>
      </c>
      <c r="D324" s="2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</row>
    <row r="325" spans="1:39" x14ac:dyDescent="0.25">
      <c r="A325" s="147">
        <f t="shared" si="4"/>
        <v>25</v>
      </c>
      <c r="C325" s="149">
        <v>24.666666666666586</v>
      </c>
      <c r="D325" s="2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</row>
    <row r="326" spans="1:39" x14ac:dyDescent="0.25">
      <c r="A326" s="147">
        <f t="shared" si="4"/>
        <v>25</v>
      </c>
      <c r="C326" s="149">
        <v>24.749999999999918</v>
      </c>
      <c r="D326" s="2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</row>
    <row r="327" spans="1:39" x14ac:dyDescent="0.25">
      <c r="A327" s="147">
        <f t="shared" si="4"/>
        <v>25</v>
      </c>
      <c r="C327" s="149">
        <v>24.83333333333325</v>
      </c>
      <c r="D327" s="2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</row>
    <row r="328" spans="1:39" x14ac:dyDescent="0.25">
      <c r="A328" s="147">
        <f t="shared" si="4"/>
        <v>25</v>
      </c>
      <c r="C328" s="149">
        <v>24.916666666666583</v>
      </c>
      <c r="D328" s="2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</row>
    <row r="329" spans="1:39" x14ac:dyDescent="0.25">
      <c r="A329" s="147">
        <f t="shared" si="4"/>
        <v>25</v>
      </c>
      <c r="C329" s="149">
        <v>24.999999999999915</v>
      </c>
      <c r="D329" s="2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</row>
    <row r="330" spans="1:39" x14ac:dyDescent="0.25">
      <c r="A330" s="147">
        <f t="shared" si="4"/>
        <v>26</v>
      </c>
      <c r="C330" s="149">
        <v>25.083333333333247</v>
      </c>
      <c r="D330" s="2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</row>
    <row r="331" spans="1:39" x14ac:dyDescent="0.25">
      <c r="A331" s="147">
        <f t="shared" si="4"/>
        <v>26</v>
      </c>
      <c r="C331" s="149">
        <v>25.166666666666579</v>
      </c>
      <c r="D331" s="2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</row>
    <row r="332" spans="1:39" x14ac:dyDescent="0.25">
      <c r="A332" s="147">
        <f t="shared" si="4"/>
        <v>26</v>
      </c>
      <c r="C332" s="149">
        <v>25.249999999999911</v>
      </c>
      <c r="D332" s="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</row>
    <row r="333" spans="1:39" x14ac:dyDescent="0.25">
      <c r="A333" s="147">
        <f t="shared" si="4"/>
        <v>26</v>
      </c>
      <c r="C333" s="149">
        <v>25.333333333333243</v>
      </c>
      <c r="D333" s="2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</row>
    <row r="334" spans="1:39" x14ac:dyDescent="0.25">
      <c r="A334" s="147">
        <f t="shared" si="4"/>
        <v>26</v>
      </c>
      <c r="C334" s="149">
        <v>25.416666666666575</v>
      </c>
      <c r="D334" s="2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</row>
    <row r="335" spans="1:39" x14ac:dyDescent="0.25">
      <c r="A335" s="147">
        <f t="shared" si="4"/>
        <v>26</v>
      </c>
      <c r="C335" s="149">
        <v>25.499999999999908</v>
      </c>
      <c r="D335" s="2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</row>
    <row r="336" spans="1:39" x14ac:dyDescent="0.25">
      <c r="A336" s="147">
        <f t="shared" si="4"/>
        <v>26</v>
      </c>
      <c r="C336" s="149">
        <v>25.58333333333324</v>
      </c>
      <c r="D336" s="2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</row>
    <row r="337" spans="1:39" x14ac:dyDescent="0.25">
      <c r="A337" s="147">
        <f t="shared" si="4"/>
        <v>26</v>
      </c>
      <c r="C337" s="149">
        <v>25.666666666666572</v>
      </c>
      <c r="D337" s="2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</row>
    <row r="338" spans="1:39" x14ac:dyDescent="0.25">
      <c r="A338" s="147">
        <f t="shared" si="4"/>
        <v>26</v>
      </c>
      <c r="C338" s="149">
        <v>25.749999999999904</v>
      </c>
      <c r="D338" s="2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</row>
    <row r="339" spans="1:39" x14ac:dyDescent="0.25">
      <c r="A339" s="147">
        <f t="shared" si="4"/>
        <v>26</v>
      </c>
      <c r="C339" s="149">
        <v>25.833333333333236</v>
      </c>
      <c r="D339" s="2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</row>
    <row r="340" spans="1:39" x14ac:dyDescent="0.25">
      <c r="A340" s="147">
        <f t="shared" si="4"/>
        <v>26</v>
      </c>
      <c r="C340" s="149">
        <v>25.916666666666568</v>
      </c>
      <c r="D340" s="2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</row>
    <row r="341" spans="1:39" x14ac:dyDescent="0.25">
      <c r="A341" s="147">
        <f t="shared" si="4"/>
        <v>26</v>
      </c>
      <c r="C341" s="149">
        <v>25.999999999999901</v>
      </c>
      <c r="D341" s="2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gen_all">
                <anchor moveWithCells="1" sizeWithCells="1">
                  <from>
                    <xdr:col>1</xdr:col>
                    <xdr:colOff>9525</xdr:colOff>
                    <xdr:row>4</xdr:row>
                    <xdr:rowOff>104775</xdr:rowOff>
                  </from>
                  <to>
                    <xdr:col>1</xdr:col>
                    <xdr:colOff>1819275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6F9EF-4107-46A4-86C0-81DE846D145B}">
  <sheetPr codeName="Sheet14">
    <tabColor theme="4" tint="0.79998168889431442"/>
  </sheetPr>
  <dimension ref="A1:U629"/>
  <sheetViews>
    <sheetView workbookViewId="0">
      <selection activeCell="F43" sqref="F43"/>
    </sheetView>
  </sheetViews>
  <sheetFormatPr defaultColWidth="8.85546875" defaultRowHeight="15" x14ac:dyDescent="0.25"/>
  <cols>
    <col min="1" max="1" width="3" bestFit="1" customWidth="1"/>
    <col min="2" max="2" width="30.85546875" bestFit="1" customWidth="1"/>
    <col min="3" max="3" width="28.28515625" bestFit="1" customWidth="1"/>
    <col min="4" max="4" width="14.28515625" style="2" bestFit="1" customWidth="1"/>
    <col min="5" max="5" width="13.42578125" customWidth="1"/>
    <col min="6" max="6" width="8.140625" bestFit="1" customWidth="1"/>
    <col min="7" max="7" width="9.42578125" customWidth="1"/>
    <col min="8" max="8" width="15" bestFit="1" customWidth="1"/>
    <col min="9" max="9" width="11.140625" customWidth="1"/>
    <col min="10" max="10" width="14.28515625" style="2" bestFit="1" customWidth="1"/>
    <col min="11" max="11" width="13.42578125" customWidth="1"/>
    <col min="12" max="12" width="8.140625" bestFit="1" customWidth="1"/>
    <col min="13" max="13" width="9.42578125" customWidth="1"/>
    <col min="14" max="14" width="15" bestFit="1" customWidth="1"/>
    <col min="15" max="15" width="11.140625" customWidth="1"/>
    <col min="16" max="16" width="14.28515625" style="2" bestFit="1" customWidth="1"/>
    <col min="17" max="17" width="13.42578125" customWidth="1"/>
    <col min="18" max="18" width="8.140625" bestFit="1" customWidth="1"/>
    <col min="19" max="19" width="9.42578125" customWidth="1"/>
    <col min="20" max="20" width="15" bestFit="1" customWidth="1"/>
    <col min="21" max="21" width="11.140625" customWidth="1"/>
  </cols>
  <sheetData>
    <row r="1" spans="1:21" x14ac:dyDescent="0.25">
      <c r="A1" s="3"/>
      <c r="B1" s="3"/>
      <c r="C1" s="3"/>
      <c r="D1" s="4">
        <f>COUNTA(Business_Portfolio!$D$1:$CRI$1)</f>
        <v>36</v>
      </c>
      <c r="E1" s="3"/>
      <c r="F1" s="3"/>
      <c r="G1" s="3"/>
      <c r="H1" s="3"/>
      <c r="I1" s="3"/>
      <c r="J1" s="4">
        <f>COUNTIFS(Business_Portfolio!$D$5:$AM$5,J5)</f>
        <v>18</v>
      </c>
      <c r="K1" s="3"/>
      <c r="L1" s="3"/>
      <c r="M1" s="3"/>
      <c r="N1" s="3"/>
      <c r="O1" s="3"/>
      <c r="P1" s="4">
        <f>COUNTIFS(Business_Portfolio!$D$5:$AM$5,P5)</f>
        <v>18</v>
      </c>
      <c r="Q1" s="3"/>
      <c r="R1" s="3"/>
      <c r="S1" s="3"/>
      <c r="T1" s="3"/>
      <c r="U1" s="3"/>
    </row>
    <row r="2" spans="1:21" x14ac:dyDescent="0.25">
      <c r="C2" t="s">
        <v>40</v>
      </c>
      <c r="D2" s="2" t="s">
        <v>296</v>
      </c>
      <c r="J2" s="2" t="s">
        <v>296</v>
      </c>
      <c r="P2" s="2" t="s">
        <v>296</v>
      </c>
    </row>
    <row r="3" spans="1:21" x14ac:dyDescent="0.25">
      <c r="C3" t="s">
        <v>218</v>
      </c>
      <c r="D3" s="2" t="s">
        <v>296</v>
      </c>
      <c r="J3" s="2" t="s">
        <v>296</v>
      </c>
      <c r="P3" s="2" t="s">
        <v>296</v>
      </c>
    </row>
    <row r="4" spans="1:21" x14ac:dyDescent="0.25">
      <c r="C4" t="s">
        <v>226</v>
      </c>
      <c r="D4" s="2" t="s">
        <v>296</v>
      </c>
      <c r="E4" s="17"/>
      <c r="F4" s="17"/>
      <c r="G4" s="17"/>
      <c r="H4" s="17"/>
      <c r="J4" s="2" t="s">
        <v>296</v>
      </c>
      <c r="K4" s="17"/>
      <c r="L4" s="17"/>
      <c r="M4" s="17"/>
      <c r="N4" s="17"/>
      <c r="P4" s="2" t="s">
        <v>296</v>
      </c>
      <c r="Q4" s="17"/>
      <c r="R4" s="17"/>
      <c r="S4" s="17"/>
      <c r="T4" s="17"/>
    </row>
    <row r="5" spans="1:21" x14ac:dyDescent="0.25">
      <c r="C5" t="s">
        <v>250</v>
      </c>
      <c r="D5" s="2" t="s">
        <v>296</v>
      </c>
      <c r="E5" s="17"/>
      <c r="F5" s="17"/>
      <c r="G5" s="17"/>
      <c r="H5" s="17"/>
      <c r="J5" s="2" t="s">
        <v>251</v>
      </c>
      <c r="K5" s="17"/>
      <c r="L5" s="17"/>
      <c r="M5" s="17"/>
      <c r="N5" s="17"/>
      <c r="P5" s="2" t="s">
        <v>249</v>
      </c>
      <c r="Q5" s="17"/>
      <c r="R5" s="17"/>
      <c r="S5" s="17"/>
      <c r="T5" s="17"/>
    </row>
    <row r="7" spans="1:21" x14ac:dyDescent="0.25">
      <c r="E7" s="151"/>
      <c r="F7" s="151"/>
      <c r="G7" s="151"/>
      <c r="H7" s="151"/>
      <c r="J7" s="13">
        <f>SUMIFS(Business_Portfolio!$D$8:$AM$8, Business_Portfolio!$D$5:$AM$5, J5)</f>
        <v>0.86465827443998999</v>
      </c>
      <c r="K7" s="151"/>
      <c r="L7" s="151"/>
      <c r="M7" s="151"/>
      <c r="N7" s="151"/>
      <c r="P7" s="13">
        <f>SUMIFS(Business_Portfolio!$D$8:$AM$8, Business_Portfolio!$D$5:$AM$5, P5)</f>
        <v>0.13534172556001006</v>
      </c>
      <c r="Q7" s="151"/>
      <c r="R7" s="151"/>
      <c r="S7" s="151"/>
      <c r="T7" s="151"/>
    </row>
    <row r="8" spans="1:21" x14ac:dyDescent="0.25">
      <c r="E8" s="17"/>
      <c r="F8" s="17"/>
      <c r="G8" s="17"/>
      <c r="H8" s="17"/>
      <c r="K8" s="17"/>
      <c r="L8" s="17"/>
      <c r="M8" s="17"/>
      <c r="N8" s="17"/>
      <c r="Q8" s="17"/>
      <c r="R8" s="17"/>
      <c r="S8" s="17"/>
      <c r="T8" s="17"/>
    </row>
    <row r="9" spans="1:21" x14ac:dyDescent="0.25">
      <c r="A9" s="3"/>
      <c r="B9" s="3"/>
      <c r="C9" s="3"/>
      <c r="D9" s="4"/>
      <c r="E9" s="3"/>
      <c r="F9" s="3"/>
      <c r="G9" s="3"/>
      <c r="H9" s="3"/>
      <c r="I9" s="3"/>
      <c r="J9" s="4"/>
      <c r="K9" s="3"/>
      <c r="L9" s="3"/>
      <c r="M9" s="3"/>
      <c r="N9" s="3"/>
      <c r="O9" s="3"/>
      <c r="P9" s="4"/>
      <c r="Q9" s="3"/>
      <c r="R9" s="3"/>
      <c r="S9" s="3"/>
      <c r="T9" s="3"/>
      <c r="U9" s="3"/>
    </row>
    <row r="10" spans="1:21" x14ac:dyDescent="0.25">
      <c r="B10" t="s">
        <v>83</v>
      </c>
      <c r="C10" t="s">
        <v>257</v>
      </c>
      <c r="D10" s="15">
        <f>SUMPRODUCT(Business_Portfolio!$D10:$AM10,Business_Portfolio!$D$8:$AM$8)</f>
        <v>189.7320275457875</v>
      </c>
      <c r="E10" s="49"/>
      <c r="F10" s="49" t="s">
        <v>84</v>
      </c>
      <c r="H10" s="134">
        <f>(1+IRR(D29:D629, 0.01))^(12)-1</f>
        <v>0.17519719474495932</v>
      </c>
      <c r="I10" s="134"/>
      <c r="J10" s="15">
        <f>SUMPRODUCT(Business_Portfolio!$V10:$AM10,Business_Portfolio!$V$8:$AM$8)</f>
        <v>152.00476948580121</v>
      </c>
      <c r="K10" s="49"/>
      <c r="L10" s="49" t="s">
        <v>84</v>
      </c>
      <c r="N10" s="134">
        <f>(1+IRR(J29:J629, 0.01))^(12)-1</f>
        <v>0.16864373918612952</v>
      </c>
      <c r="O10" s="134"/>
      <c r="P10" s="15">
        <f>SUMPRODUCT(Business_Portfolio!$D10:$U10,Business_Portfolio!$D$8:$U$8)</f>
        <v>37.727258059986312</v>
      </c>
      <c r="Q10" s="49"/>
      <c r="R10" s="49" t="s">
        <v>84</v>
      </c>
      <c r="T10" s="134">
        <f>(1+IRR(P29:P629, 0.01))^(12)-1</f>
        <v>0.22581812657119071</v>
      </c>
      <c r="U10" s="134"/>
    </row>
    <row r="11" spans="1:21" x14ac:dyDescent="0.25">
      <c r="C11" t="s">
        <v>101</v>
      </c>
      <c r="D11" s="15">
        <f>SUMPRODUCT(Business_Portfolio!D11:AM11,Business_Portfolio!$D$8:$AM$8)</f>
        <v>190.50417696190067</v>
      </c>
      <c r="E11" s="49"/>
      <c r="F11" s="49" t="s">
        <v>297</v>
      </c>
      <c r="G11" s="49"/>
      <c r="H11" s="136">
        <v>9.8333333333333339</v>
      </c>
      <c r="I11" s="49"/>
      <c r="J11" s="15">
        <f>SUMPRODUCT(Business_Portfolio!$V11:$AM11,Business_Portfolio!$V$8:$AM$8)</f>
        <v>152.97359834567422</v>
      </c>
      <c r="K11" s="49"/>
      <c r="L11" s="49" t="s">
        <v>297</v>
      </c>
      <c r="M11" s="49"/>
      <c r="N11" s="136">
        <v>7.25</v>
      </c>
      <c r="O11" s="49"/>
      <c r="P11" s="15">
        <f>SUMPRODUCT(Business_Portfolio!$D11:$U11,Business_Portfolio!$D$8:$U$8)</f>
        <v>37.53057861622645</v>
      </c>
      <c r="Q11" s="49"/>
      <c r="R11" s="49" t="s">
        <v>297</v>
      </c>
      <c r="S11" s="49"/>
      <c r="T11" s="136">
        <v>7.25</v>
      </c>
      <c r="U11" s="49"/>
    </row>
    <row r="12" spans="1:21" x14ac:dyDescent="0.25">
      <c r="C12" t="s">
        <v>89</v>
      </c>
      <c r="D12" s="15">
        <f>SUMPRODUCT(Business_Portfolio!D12:AM12,Business_Portfolio!$D$8:$AM$8)</f>
        <v>3794.6405509157494</v>
      </c>
      <c r="E12" s="49"/>
      <c r="F12" s="49"/>
      <c r="G12" s="49"/>
      <c r="H12" s="49"/>
      <c r="I12" s="49"/>
      <c r="J12" s="15">
        <f>SUMPRODUCT(Business_Portfolio!$V12:$AM12,Business_Portfolio!$V$8:$AM$8)</f>
        <v>3040.0953897160234</v>
      </c>
      <c r="K12" s="49"/>
      <c r="L12" s="49"/>
      <c r="M12" s="49"/>
      <c r="N12" s="49"/>
      <c r="O12" s="49"/>
      <c r="P12" s="15">
        <f>SUMPRODUCT(Business_Portfolio!$D12:$U12,Business_Portfolio!$D$8:$U$8)</f>
        <v>754.54516119972618</v>
      </c>
      <c r="Q12" s="49"/>
      <c r="R12" s="49"/>
      <c r="S12" s="49"/>
      <c r="T12" s="49"/>
      <c r="U12" s="49"/>
    </row>
    <row r="13" spans="1:21" x14ac:dyDescent="0.25">
      <c r="C13" t="s">
        <v>93</v>
      </c>
      <c r="D13" s="152">
        <f>D11/D12</f>
        <v>5.0203484205092061E-2</v>
      </c>
      <c r="E13" s="49"/>
      <c r="F13" s="49" t="s">
        <v>298</v>
      </c>
      <c r="G13" s="49"/>
      <c r="H13" s="49">
        <f>NPV((1+0.1)^(1/12)-1,D30:D147)+D29</f>
        <v>-2.8476329612052496</v>
      </c>
      <c r="I13" s="49"/>
      <c r="J13" s="152">
        <f>J11/J12</f>
        <v>5.0318683704185858E-2</v>
      </c>
      <c r="K13" s="49"/>
      <c r="L13" s="49" t="s">
        <v>298</v>
      </c>
      <c r="M13" s="49"/>
      <c r="N13" s="49">
        <f>NPV((1+0.1)^(1/12)-1,J30:J116)+J29</f>
        <v>-85.758897187726689</v>
      </c>
      <c r="O13" s="49"/>
      <c r="P13" s="152">
        <f>P11/P12</f>
        <v>4.9739340394884861E-2</v>
      </c>
      <c r="Q13" s="49"/>
      <c r="R13" s="49" t="s">
        <v>298</v>
      </c>
      <c r="S13" s="49"/>
      <c r="T13" s="49">
        <f>NPV((1+0.1)^(1/12)-1,P30:P116)+P29</f>
        <v>-4.5323940591952123</v>
      </c>
      <c r="U13" s="49"/>
    </row>
    <row r="14" spans="1:21" x14ac:dyDescent="0.25">
      <c r="C14" t="s">
        <v>258</v>
      </c>
      <c r="D14" s="152">
        <f>D11/D10</f>
        <v>1.0040696841018411</v>
      </c>
      <c r="E14" s="49"/>
      <c r="F14" s="49"/>
      <c r="G14" s="49"/>
      <c r="H14" s="49"/>
      <c r="I14" s="49"/>
      <c r="J14" s="152">
        <f>J11/J10</f>
        <v>1.0063736740837168</v>
      </c>
      <c r="K14" s="49"/>
      <c r="L14" s="49"/>
      <c r="M14" s="49"/>
      <c r="N14" s="49"/>
      <c r="O14" s="49"/>
      <c r="P14" s="152">
        <f>P11/P10</f>
        <v>0.99478680789769713</v>
      </c>
      <c r="Q14" s="49"/>
      <c r="R14" s="49"/>
      <c r="S14" s="49"/>
      <c r="T14" s="49"/>
      <c r="U14" s="49"/>
    </row>
    <row r="15" spans="1:21" x14ac:dyDescent="0.25">
      <c r="C15" t="s">
        <v>94</v>
      </c>
      <c r="D15" s="15">
        <f>SUMPRODUCT(Business_Portfolio!D15:AM15,Business_Portfolio!$D$8:$AM$8)</f>
        <v>299.59928633987619</v>
      </c>
      <c r="E15" s="49"/>
      <c r="F15" s="49"/>
      <c r="G15" s="49"/>
      <c r="H15" s="49"/>
      <c r="I15" s="49"/>
      <c r="J15" s="15">
        <f>SUMPRODUCT(Business_Portfolio!$V15:$AM15,Business_Portfolio!$V$8:$AM$8)</f>
        <v>249.07494234594256</v>
      </c>
      <c r="K15" s="49"/>
      <c r="L15" s="49"/>
      <c r="M15" s="49"/>
      <c r="N15" s="49"/>
      <c r="O15" s="49"/>
      <c r="P15" s="15">
        <f>SUMPRODUCT(Business_Portfolio!$D15:$U15,Business_Portfolio!$D$8:$U$8)</f>
        <v>50.52434399393367</v>
      </c>
      <c r="Q15" s="49"/>
      <c r="R15" s="49"/>
      <c r="S15" s="49"/>
      <c r="T15" s="49"/>
      <c r="U15" s="49"/>
    </row>
    <row r="16" spans="1:21" x14ac:dyDescent="0.25">
      <c r="C16" t="s">
        <v>95</v>
      </c>
      <c r="D16" s="15">
        <f>SUMPRODUCT(Business_Portfolio!D16:AM16,Business_Portfolio!$D$8:$AM$8)</f>
        <v>3794.6405509157494</v>
      </c>
      <c r="E16" s="49"/>
      <c r="F16" s="49"/>
      <c r="G16" s="49"/>
      <c r="H16" s="49"/>
      <c r="I16" s="49"/>
      <c r="J16" s="15">
        <f>SUMPRODUCT(Business_Portfolio!$V16:$AM16,Business_Portfolio!$V$8:$AM$8)</f>
        <v>3040.0953897160234</v>
      </c>
      <c r="K16" s="49"/>
      <c r="L16" s="49"/>
      <c r="M16" s="49"/>
      <c r="N16" s="49"/>
      <c r="O16" s="49"/>
      <c r="P16" s="15">
        <f>SUMPRODUCT(Business_Portfolio!$D16:$U16,Business_Portfolio!$D$8:$U$8)</f>
        <v>754.54516119972618</v>
      </c>
      <c r="Q16" s="49"/>
      <c r="R16" s="49"/>
      <c r="S16" s="49"/>
      <c r="T16" s="49"/>
      <c r="U16" s="49"/>
    </row>
    <row r="17" spans="1:21" x14ac:dyDescent="0.25">
      <c r="A17" s="3"/>
      <c r="B17" s="3"/>
      <c r="C17" s="3" t="s">
        <v>96</v>
      </c>
      <c r="D17" s="153">
        <f>D15/D16</f>
        <v>7.895327167880889E-2</v>
      </c>
      <c r="E17" s="99"/>
      <c r="F17" s="99"/>
      <c r="G17" s="99"/>
      <c r="H17" s="99"/>
      <c r="I17" s="99"/>
      <c r="J17" s="153">
        <f>J15/J16</f>
        <v>8.1929976009472771E-2</v>
      </c>
      <c r="K17" s="99"/>
      <c r="L17" s="99"/>
      <c r="M17" s="99"/>
      <c r="N17" s="99"/>
      <c r="O17" s="99"/>
      <c r="P17" s="153">
        <f>P15/P16</f>
        <v>6.6960000000000006E-2</v>
      </c>
      <c r="Q17" s="99"/>
      <c r="R17" s="99"/>
      <c r="S17" s="99"/>
      <c r="T17" s="99"/>
      <c r="U17" s="99"/>
    </row>
    <row r="18" spans="1:21" x14ac:dyDescent="0.25">
      <c r="B18" t="s">
        <v>103</v>
      </c>
      <c r="C18" t="s">
        <v>198</v>
      </c>
      <c r="D18" s="15">
        <f>SUMPRODUCT(Business_Portfolio!D18:AM18,Business_Portfolio!$D$8:$AM$8)</f>
        <v>2573.5973479275112</v>
      </c>
      <c r="E18" s="134">
        <f>D18/D$24</f>
        <v>0.67821900741202812</v>
      </c>
      <c r="F18" s="25"/>
      <c r="G18" s="25"/>
      <c r="H18" s="25"/>
      <c r="I18" s="25"/>
      <c r="J18" s="15">
        <f>SUMPRODUCT(Business_Portfolio!$V18:$AM18,Business_Portfolio!$V$8:$AM$8)</f>
        <v>2070.9616172386372</v>
      </c>
      <c r="K18" s="134">
        <f>J18/J$24</f>
        <v>0.6812159987624884</v>
      </c>
      <c r="L18" s="25"/>
      <c r="M18" s="25"/>
      <c r="N18" s="25"/>
      <c r="O18" s="25"/>
      <c r="P18" s="15">
        <f>SUMPRODUCT(Business_Portfolio!$D18:$U18,Business_Portfolio!$D$8:$U$8)</f>
        <v>502.63573068887445</v>
      </c>
      <c r="Q18" s="134">
        <f>P18/P$24</f>
        <v>0.66614399844494931</v>
      </c>
      <c r="R18" s="25"/>
      <c r="S18" s="25"/>
      <c r="T18" s="25"/>
      <c r="U18" s="25"/>
    </row>
    <row r="19" spans="1:21" x14ac:dyDescent="0.25">
      <c r="C19" t="s">
        <v>104</v>
      </c>
      <c r="D19" s="15">
        <f>SUMPRODUCT(Business_Portfolio!D19:AM19,Business_Portfolio!$D$8:$AM$8)</f>
        <v>21.067811189858304</v>
      </c>
      <c r="E19" s="134">
        <f t="shared" ref="E19:E24" si="0">D19/D$24</f>
        <v>5.5519912643040908E-3</v>
      </c>
      <c r="F19" s="25"/>
      <c r="G19" s="25"/>
      <c r="H19" s="25"/>
      <c r="I19" s="25"/>
      <c r="J19" s="15">
        <f>SUMPRODUCT(Business_Portfolio!$V19:$AM19,Business_Portfolio!$V$8:$AM$8)</f>
        <v>17.811559242706448</v>
      </c>
      <c r="K19" s="134">
        <f t="shared" ref="K19:K24" si="1">J19/J$24</f>
        <v>5.8588816992253103E-3</v>
      </c>
      <c r="L19" s="25"/>
      <c r="M19" s="25"/>
      <c r="N19" s="25"/>
      <c r="O19" s="25"/>
      <c r="P19" s="15">
        <f>SUMPRODUCT(Business_Portfolio!$D19:$U19,Business_Portfolio!$D$8:$U$8)</f>
        <v>3.2562519471518603</v>
      </c>
      <c r="Q19" s="134">
        <f t="shared" ref="Q19:Q24" si="2">P19/P$24</f>
        <v>4.3155163065049977E-3</v>
      </c>
      <c r="R19" s="25"/>
      <c r="S19" s="25"/>
      <c r="T19" s="25"/>
      <c r="U19" s="25"/>
    </row>
    <row r="20" spans="1:21" x14ac:dyDescent="0.25">
      <c r="C20" t="s">
        <v>64</v>
      </c>
      <c r="D20" s="15">
        <f>SUMPRODUCT(Business_Portfolio!D20:AM20,Business_Portfolio!$D$8:$AM$8)</f>
        <v>137.5658871531131</v>
      </c>
      <c r="E20" s="134">
        <f t="shared" si="0"/>
        <v>3.6252679353230101E-2</v>
      </c>
      <c r="F20" s="25"/>
      <c r="G20" s="25"/>
      <c r="H20" s="25"/>
      <c r="I20" s="25"/>
      <c r="J20" s="15">
        <f>SUMPRODUCT(Business_Portfolio!$V20:$AM20,Business_Portfolio!$V$8:$AM$8)</f>
        <v>105.72645624294921</v>
      </c>
      <c r="K20" s="134">
        <f t="shared" si="1"/>
        <v>3.4777348303148201E-2</v>
      </c>
      <c r="L20" s="25"/>
      <c r="M20" s="25"/>
      <c r="N20" s="25"/>
      <c r="O20" s="25"/>
      <c r="P20" s="15">
        <f>SUMPRODUCT(Business_Portfolio!$D20:$U20,Business_Portfolio!$D$8:$U$8)</f>
        <v>31.839430910163927</v>
      </c>
      <c r="Q20" s="134">
        <f t="shared" si="2"/>
        <v>4.2196852550931821E-2</v>
      </c>
      <c r="R20" s="25"/>
      <c r="S20" s="25"/>
      <c r="T20" s="25"/>
      <c r="U20" s="25"/>
    </row>
    <row r="21" spans="1:21" x14ac:dyDescent="0.25">
      <c r="C21" t="s">
        <v>35</v>
      </c>
      <c r="D21" s="15">
        <f>SUMPRODUCT(Business_Portfolio!D21:AM21,Business_Portfolio!$D$8:$AM$8)</f>
        <v>184.54831489608947</v>
      </c>
      <c r="E21" s="134">
        <f t="shared" si="0"/>
        <v>4.8633938424432047E-2</v>
      </c>
      <c r="F21" s="25"/>
      <c r="G21" s="25"/>
      <c r="H21" s="25"/>
      <c r="I21" s="25"/>
      <c r="J21" s="15">
        <f>SUMPRODUCT(Business_Portfolio!$V21:$AM21,Business_Portfolio!$V$8:$AM$8)</f>
        <v>146.42871601082587</v>
      </c>
      <c r="K21" s="134">
        <f t="shared" si="1"/>
        <v>4.8165829436195365E-2</v>
      </c>
      <c r="L21" s="25"/>
      <c r="M21" s="25"/>
      <c r="N21" s="25"/>
      <c r="O21" s="25"/>
      <c r="P21" s="15">
        <f>SUMPRODUCT(Business_Portfolio!$D21:$U21,Business_Portfolio!$D$8:$U$8)</f>
        <v>38.119598885263578</v>
      </c>
      <c r="Q21" s="134">
        <f t="shared" si="2"/>
        <v>5.0519969970589232E-2</v>
      </c>
      <c r="R21" s="25"/>
      <c r="S21" s="25"/>
      <c r="T21" s="25"/>
      <c r="U21" s="25"/>
    </row>
    <row r="22" spans="1:21" x14ac:dyDescent="0.25">
      <c r="C22" t="s">
        <v>105</v>
      </c>
      <c r="D22" s="15">
        <f>SUMPRODUCT(Business_Portfolio!D22:AM22,Business_Portfolio!$D$8:$AM$8)</f>
        <v>341.5176495824175</v>
      </c>
      <c r="E22" s="134">
        <f t="shared" si="0"/>
        <v>9.0000000000000011E-2</v>
      </c>
      <c r="F22" s="25"/>
      <c r="G22" s="25"/>
      <c r="H22" s="25"/>
      <c r="I22" s="25"/>
      <c r="J22" s="15">
        <f>SUMPRODUCT(Business_Portfolio!$V22:$AM22,Business_Portfolio!$V$8:$AM$8)</f>
        <v>273.60858507444215</v>
      </c>
      <c r="K22" s="134">
        <f t="shared" si="1"/>
        <v>9.0000000000000011E-2</v>
      </c>
      <c r="L22" s="25"/>
      <c r="M22" s="25"/>
      <c r="N22" s="25"/>
      <c r="O22" s="25"/>
      <c r="P22" s="15">
        <f>SUMPRODUCT(Business_Portfolio!$D22:$U22,Business_Portfolio!$D$8:$U$8)</f>
        <v>67.909064507975359</v>
      </c>
      <c r="Q22" s="134">
        <f t="shared" si="2"/>
        <v>0.09</v>
      </c>
      <c r="R22" s="25"/>
      <c r="S22" s="25"/>
      <c r="T22" s="25"/>
      <c r="U22" s="25"/>
    </row>
    <row r="23" spans="1:21" x14ac:dyDescent="0.25">
      <c r="C23" t="s">
        <v>106</v>
      </c>
      <c r="D23" s="15">
        <f>SUMPRODUCT(Business_Portfolio!D23:AM23,Business_Portfolio!$D$8:$AM$8)</f>
        <v>536.34354016675979</v>
      </c>
      <c r="E23" s="134">
        <f t="shared" si="0"/>
        <v>0.14134238354600559</v>
      </c>
      <c r="F23" s="25"/>
      <c r="G23" s="25"/>
      <c r="H23" s="25"/>
      <c r="I23" s="25"/>
      <c r="J23" s="15">
        <f>SUMPRODUCT(Business_Portfolio!$V23:$AM23,Business_Portfolio!$V$8:$AM$8)</f>
        <v>425.55845590646271</v>
      </c>
      <c r="K23" s="134">
        <f t="shared" si="1"/>
        <v>0.1399819417989428</v>
      </c>
      <c r="L23" s="25"/>
      <c r="M23" s="25"/>
      <c r="N23" s="25"/>
      <c r="O23" s="25"/>
      <c r="P23" s="15">
        <f>SUMPRODUCT(Business_Portfolio!$D23:$U23,Business_Portfolio!$D$8:$U$8)</f>
        <v>110.78508426029704</v>
      </c>
      <c r="Q23" s="134">
        <f t="shared" si="2"/>
        <v>0.14682366272702466</v>
      </c>
      <c r="R23" s="25"/>
      <c r="S23" s="25"/>
      <c r="T23" s="25"/>
      <c r="U23" s="25"/>
    </row>
    <row r="24" spans="1:21" x14ac:dyDescent="0.25">
      <c r="C24" t="s">
        <v>107</v>
      </c>
      <c r="D24" s="15">
        <f>SUMPRODUCT(Business_Portfolio!D24:AM24,Business_Portfolio!$D$8:$AM$8)</f>
        <v>3794.6405509157494</v>
      </c>
      <c r="E24" s="134">
        <f t="shared" si="0"/>
        <v>1</v>
      </c>
      <c r="F24" s="25"/>
      <c r="G24" s="25"/>
      <c r="H24" s="25"/>
      <c r="I24" s="25"/>
      <c r="J24" s="15">
        <f>SUMPRODUCT(Business_Portfolio!$V24:$AM24,Business_Portfolio!$V$8:$AM$8)</f>
        <v>3040.0953897160234</v>
      </c>
      <c r="K24" s="134">
        <f t="shared" si="1"/>
        <v>1</v>
      </c>
      <c r="L24" s="25"/>
      <c r="M24" s="25"/>
      <c r="N24" s="25"/>
      <c r="O24" s="25"/>
      <c r="P24" s="15">
        <f>SUMPRODUCT(Business_Portfolio!$D24:$U24,Business_Portfolio!$D$8:$U$8)</f>
        <v>754.54516119972618</v>
      </c>
      <c r="Q24" s="134">
        <f t="shared" si="2"/>
        <v>1</v>
      </c>
      <c r="R24" s="25"/>
      <c r="S24" s="25"/>
      <c r="T24" s="25"/>
      <c r="U24" s="25"/>
    </row>
    <row r="25" spans="1:21" x14ac:dyDescent="0.25">
      <c r="D25" s="15"/>
      <c r="E25" s="25"/>
      <c r="F25" s="25"/>
      <c r="G25" s="25"/>
      <c r="H25" s="25"/>
      <c r="I25" s="25"/>
      <c r="J25" s="15"/>
      <c r="K25" s="25"/>
      <c r="L25" s="25"/>
      <c r="M25" s="25"/>
      <c r="N25" s="25"/>
      <c r="O25" s="25"/>
      <c r="P25" s="15"/>
      <c r="Q25" s="25"/>
      <c r="R25" s="25"/>
      <c r="S25" s="25"/>
      <c r="T25" s="25"/>
      <c r="U25" s="25"/>
    </row>
    <row r="26" spans="1:21" x14ac:dyDescent="0.25">
      <c r="D26" s="15"/>
      <c r="E26" s="25"/>
      <c r="F26" s="25"/>
      <c r="G26" s="25"/>
      <c r="H26" s="25"/>
      <c r="I26" s="25"/>
      <c r="J26" s="15"/>
      <c r="K26" s="25"/>
      <c r="L26" s="25"/>
      <c r="M26" s="25"/>
      <c r="N26" s="25"/>
      <c r="O26" s="25"/>
      <c r="P26" s="15"/>
      <c r="Q26" s="25"/>
      <c r="R26" s="25"/>
      <c r="S26" s="25"/>
      <c r="T26" s="25"/>
      <c r="U26" s="25"/>
    </row>
    <row r="27" spans="1:21" x14ac:dyDescent="0.25">
      <c r="D27" s="15"/>
      <c r="E27" s="25"/>
      <c r="F27" s="25"/>
      <c r="G27" s="25"/>
      <c r="H27" s="25"/>
      <c r="I27" s="25"/>
      <c r="J27" s="15"/>
      <c r="K27" s="25"/>
      <c r="L27" s="25"/>
      <c r="M27" s="25"/>
      <c r="N27" s="25"/>
      <c r="O27" s="25"/>
      <c r="P27" s="15"/>
      <c r="Q27" s="25"/>
      <c r="R27" s="25"/>
      <c r="S27" s="25"/>
      <c r="T27" s="25"/>
      <c r="U27" s="25"/>
    </row>
    <row r="28" spans="1:21" x14ac:dyDescent="0.25">
      <c r="A28" s="3"/>
      <c r="B28" s="3"/>
      <c r="C28" s="3"/>
      <c r="D28" s="4"/>
      <c r="E28" s="3"/>
      <c r="F28" s="3"/>
      <c r="G28" s="3"/>
      <c r="H28" s="3" t="s">
        <v>233</v>
      </c>
      <c r="I28" s="3"/>
      <c r="J28" s="4"/>
      <c r="K28" s="3"/>
      <c r="L28" s="3"/>
      <c r="M28" s="3"/>
      <c r="N28" s="3" t="s">
        <v>233</v>
      </c>
      <c r="O28" s="3"/>
      <c r="P28" s="4"/>
      <c r="Q28" s="3"/>
      <c r="R28" s="3"/>
      <c r="S28" s="3"/>
      <c r="T28" s="3" t="s">
        <v>233</v>
      </c>
      <c r="U28" s="3"/>
    </row>
    <row r="29" spans="1:21" x14ac:dyDescent="0.25">
      <c r="A29">
        <f>ROUNDUP(C29,0)</f>
        <v>0</v>
      </c>
      <c r="B29" t="s">
        <v>259</v>
      </c>
      <c r="C29" s="79">
        <v>0</v>
      </c>
      <c r="D29" s="15">
        <f>SUMPRODUCT(Business_Portfolio!D29:AM29,Business_Portfolio!$D$8:$AM$8)</f>
        <v>-299.59928633987619</v>
      </c>
      <c r="E29" s="25">
        <f>D29/D$10</f>
        <v>-1.5790654335761773</v>
      </c>
      <c r="F29" s="25"/>
      <c r="G29" s="154">
        <v>0</v>
      </c>
      <c r="H29" s="49">
        <f t="shared" ref="H29:H79" si="3">SUMIFS(D:D,$A:$A,G29)</f>
        <v>-299.59928633987619</v>
      </c>
      <c r="I29" s="25">
        <f>H29/D$10</f>
        <v>-1.5790654335761773</v>
      </c>
      <c r="J29" s="15">
        <f>SUMPRODUCT(Business_Portfolio!$V29:$AM29,Business_Portfolio!$V$8:$AM$8)</f>
        <v>-249.07494234594256</v>
      </c>
      <c r="K29" s="25">
        <f>J29/J$10</f>
        <v>-1.638599520189455</v>
      </c>
      <c r="L29" s="25"/>
      <c r="M29" s="154">
        <v>0</v>
      </c>
      <c r="N29" s="49">
        <f t="shared" ref="N29:N79" si="4">SUMIFS(J:J,$A:$A,M29)</f>
        <v>-249.07494234594256</v>
      </c>
      <c r="O29" s="25">
        <f>N29/J$10</f>
        <v>-1.638599520189455</v>
      </c>
      <c r="P29" s="15">
        <f>SUMPRODUCT(Business_Portfolio!$D29:$U29,Business_Portfolio!$D$8:$U$8)</f>
        <v>-50.52434399393367</v>
      </c>
      <c r="Q29" s="25">
        <f>P29/P$10</f>
        <v>-1.3391999999999999</v>
      </c>
      <c r="R29" s="25"/>
      <c r="S29" s="154">
        <v>0</v>
      </c>
      <c r="T29" s="49">
        <f t="shared" ref="T29:T79" si="5">SUMIFS(P:P,$A:$A,S29)</f>
        <v>-50.52434399393367</v>
      </c>
      <c r="U29" s="25">
        <f>T29/P$10</f>
        <v>-1.3391999999999999</v>
      </c>
    </row>
    <row r="30" spans="1:21" x14ac:dyDescent="0.25">
      <c r="A30" s="155">
        <f>ROUNDUP(C30-0.0001,0)</f>
        <v>1</v>
      </c>
      <c r="C30" s="79">
        <v>8.3333333333333329E-2</v>
      </c>
      <c r="D30" s="15">
        <f>SUMPRODUCT(Business_Portfolio!D30:AM30,Business_Portfolio!$D$8:$AM$8)</f>
        <v>27.338693959569717</v>
      </c>
      <c r="E30" s="25">
        <f t="shared" ref="E30:E93" si="6">D30/D$10</f>
        <v>0.14409108632422191</v>
      </c>
      <c r="F30" s="25"/>
      <c r="G30" s="154">
        <v>1</v>
      </c>
      <c r="H30" s="49">
        <f t="shared" si="3"/>
        <v>42.201558759852745</v>
      </c>
      <c r="I30" s="25">
        <f t="shared" ref="I30:I79" si="7">H30/D$10</f>
        <v>0.22242717429279757</v>
      </c>
      <c r="J30" s="15">
        <f>SUMPRODUCT(Business_Portfolio!$V30:$AM30,Business_Portfolio!$V$8:$AM$8)</f>
        <v>1.2797393929477314</v>
      </c>
      <c r="K30" s="25">
        <f t="shared" ref="K30:K93" si="8">J30/J$10</f>
        <v>8.4190739361456168E-3</v>
      </c>
      <c r="L30" s="25"/>
      <c r="M30" s="154">
        <v>1</v>
      </c>
      <c r="N30" s="49">
        <f t="shared" si="4"/>
        <v>15.498065371711771</v>
      </c>
      <c r="O30" s="25">
        <f t="shared" ref="O30:O79" si="9">N30/J$10</f>
        <v>0.10195775714234709</v>
      </c>
      <c r="P30" s="15">
        <f>SUMPRODUCT(Business_Portfolio!$D30:$U30,Business_Portfolio!$D$8:$U$8)</f>
        <v>26.058954566621988</v>
      </c>
      <c r="Q30" s="25">
        <f t="shared" ref="Q30:Q93" si="10">P30/P$10</f>
        <v>0.69071954620153608</v>
      </c>
      <c r="R30" s="25"/>
      <c r="S30" s="154">
        <v>1</v>
      </c>
      <c r="T30" s="49">
        <f t="shared" si="5"/>
        <v>26.703493388140974</v>
      </c>
      <c r="U30" s="25">
        <f t="shared" ref="U30:U79" si="11">T30/P$10</f>
        <v>0.70780371437761103</v>
      </c>
    </row>
    <row r="31" spans="1:21" x14ac:dyDescent="0.25">
      <c r="A31" s="155">
        <f t="shared" ref="A31:A94" si="12">ROUNDUP(C31-0.0001,0)</f>
        <v>1</v>
      </c>
      <c r="C31" s="79">
        <v>0.16666666666666666</v>
      </c>
      <c r="D31" s="15">
        <f>SUMPRODUCT(Business_Portfolio!D31:AM31,Business_Portfolio!$D$8:$AM$8)</f>
        <v>1.3399208424953142</v>
      </c>
      <c r="E31" s="25">
        <f t="shared" si="6"/>
        <v>7.0621753207794858E-3</v>
      </c>
      <c r="F31" s="25"/>
      <c r="G31" s="154">
        <v>2</v>
      </c>
      <c r="H31" s="49">
        <f t="shared" si="3"/>
        <v>18.578812678135609</v>
      </c>
      <c r="I31" s="25">
        <f t="shared" si="7"/>
        <v>9.7921331039652948E-2</v>
      </c>
      <c r="J31" s="15">
        <f>SUMPRODUCT(Business_Portfolio!$V31:$AM31,Business_Portfolio!$V$8:$AM$8)</f>
        <v>1.2818669715265383</v>
      </c>
      <c r="K31" s="25">
        <f t="shared" si="8"/>
        <v>8.4330707244437992E-3</v>
      </c>
      <c r="L31" s="25"/>
      <c r="M31" s="154">
        <v>2</v>
      </c>
      <c r="N31" s="49">
        <f t="shared" si="4"/>
        <v>17.456538778347891</v>
      </c>
      <c r="O31" s="25">
        <f t="shared" si="9"/>
        <v>0.11484204632130644</v>
      </c>
      <c r="P31" s="15">
        <f>SUMPRODUCT(Business_Portfolio!$D31:$U31,Business_Portfolio!$D$8:$U$8)</f>
        <v>5.8053870968776088E-2</v>
      </c>
      <c r="Q31" s="25">
        <f t="shared" si="10"/>
        <v>1.5387779010197474E-3</v>
      </c>
      <c r="R31" s="25"/>
      <c r="S31" s="154">
        <v>2</v>
      </c>
      <c r="T31" s="49">
        <f t="shared" si="5"/>
        <v>1.122273899787722</v>
      </c>
      <c r="U31" s="25">
        <f t="shared" si="11"/>
        <v>2.9747030595314066E-2</v>
      </c>
    </row>
    <row r="32" spans="1:21" x14ac:dyDescent="0.25">
      <c r="A32" s="155">
        <f t="shared" si="12"/>
        <v>1</v>
      </c>
      <c r="C32" s="79">
        <v>0.25</v>
      </c>
      <c r="D32" s="15">
        <f>SUMPRODUCT(Business_Portfolio!D32:AM32,Business_Portfolio!$D$8:$AM$8)</f>
        <v>1.3421591927239993</v>
      </c>
      <c r="E32" s="25">
        <f t="shared" si="6"/>
        <v>7.0739727503312524E-3</v>
      </c>
      <c r="F32" s="25"/>
      <c r="G32" s="154">
        <v>3</v>
      </c>
      <c r="H32" s="49">
        <f t="shared" si="3"/>
        <v>32.470236952173963</v>
      </c>
      <c r="I32" s="25">
        <f t="shared" si="7"/>
        <v>0.17113735288755089</v>
      </c>
      <c r="J32" s="15">
        <f>SUMPRODUCT(Business_Portfolio!$V32:$AM32,Business_Portfolio!$V$8:$AM$8)</f>
        <v>1.2839980488277283</v>
      </c>
      <c r="K32" s="25">
        <f t="shared" si="8"/>
        <v>8.4470905299301596E-3</v>
      </c>
      <c r="L32" s="25"/>
      <c r="M32" s="154">
        <v>3</v>
      </c>
      <c r="N32" s="49">
        <f t="shared" si="4"/>
        <v>29.099603687005445</v>
      </c>
      <c r="O32" s="25">
        <f t="shared" si="9"/>
        <v>0.19143875409596042</v>
      </c>
      <c r="P32" s="15">
        <f>SUMPRODUCT(Business_Portfolio!$D32:$U32,Business_Portfolio!$D$8:$U$8)</f>
        <v>5.8161143896270924E-2</v>
      </c>
      <c r="Q32" s="25">
        <f t="shared" si="10"/>
        <v>1.5416212809262404E-3</v>
      </c>
      <c r="R32" s="25"/>
      <c r="S32" s="154">
        <v>3</v>
      </c>
      <c r="T32" s="49">
        <f t="shared" si="5"/>
        <v>3.3706332651685167</v>
      </c>
      <c r="U32" s="25">
        <f t="shared" si="11"/>
        <v>8.9342121280301168E-2</v>
      </c>
    </row>
    <row r="33" spans="1:21" x14ac:dyDescent="0.25">
      <c r="A33" s="155">
        <f t="shared" si="12"/>
        <v>1</v>
      </c>
      <c r="C33" s="79">
        <v>0.33333333333333331</v>
      </c>
      <c r="D33" s="15">
        <f>SUMPRODUCT(Business_Portfolio!D33:AM33,Business_Portfolio!$D$8:$AM$8)</f>
        <v>1.3444013261408054</v>
      </c>
      <c r="E33" s="25">
        <f t="shared" si="6"/>
        <v>7.085790119521939E-3</v>
      </c>
      <c r="F33" s="25"/>
      <c r="G33" s="154">
        <v>4</v>
      </c>
      <c r="H33" s="49">
        <f t="shared" si="3"/>
        <v>42.568665205824033</v>
      </c>
      <c r="I33" s="25">
        <f t="shared" si="7"/>
        <v>0.22436204238396734</v>
      </c>
      <c r="J33" s="15">
        <f>SUMPRODUCT(Business_Portfolio!$V33:$AM33,Business_Portfolio!$V$8:$AM$8)</f>
        <v>1.2861326303961338</v>
      </c>
      <c r="K33" s="25">
        <f t="shared" si="8"/>
        <v>8.4611333890827131E-3</v>
      </c>
      <c r="L33" s="25"/>
      <c r="M33" s="154">
        <v>4</v>
      </c>
      <c r="N33" s="49">
        <f t="shared" si="4"/>
        <v>37.51389792993502</v>
      </c>
      <c r="O33" s="25">
        <f t="shared" si="9"/>
        <v>0.24679421610806232</v>
      </c>
      <c r="P33" s="15">
        <f>SUMPRODUCT(Business_Portfolio!$D33:$U33,Business_Portfolio!$D$8:$U$8)</f>
        <v>5.8268695744671313E-2</v>
      </c>
      <c r="Q33" s="25">
        <f t="shared" si="10"/>
        <v>1.5444720539198511E-3</v>
      </c>
      <c r="R33" s="25"/>
      <c r="S33" s="154">
        <v>4</v>
      </c>
      <c r="T33" s="49">
        <f t="shared" si="5"/>
        <v>5.0547672758889988</v>
      </c>
      <c r="U33" s="25">
        <f t="shared" si="11"/>
        <v>0.13398183530464691</v>
      </c>
    </row>
    <row r="34" spans="1:21" x14ac:dyDescent="0.25">
      <c r="A34" s="155">
        <f t="shared" si="12"/>
        <v>1</v>
      </c>
      <c r="C34" s="79">
        <v>0.41666666666666663</v>
      </c>
      <c r="D34" s="15">
        <f>SUMPRODUCT(Business_Portfolio!D34:AM34,Business_Portfolio!$D$8:$AM$8)</f>
        <v>1.3466472489264758</v>
      </c>
      <c r="E34" s="25">
        <f t="shared" si="6"/>
        <v>7.0976274609277192E-3</v>
      </c>
      <c r="F34" s="25"/>
      <c r="G34" s="154">
        <v>5</v>
      </c>
      <c r="H34" s="49">
        <f t="shared" si="3"/>
        <v>44.336649018909263</v>
      </c>
      <c r="I34" s="25">
        <f t="shared" si="7"/>
        <v>0.2336803627326948</v>
      </c>
      <c r="J34" s="15">
        <f>SUMPRODUCT(Business_Portfolio!$V34:$AM34,Business_Portfolio!$V$8:$AM$8)</f>
        <v>1.288270721784218</v>
      </c>
      <c r="K34" s="25">
        <f t="shared" si="8"/>
        <v>8.4751993384296776E-3</v>
      </c>
      <c r="L34" s="25"/>
      <c r="M34" s="154">
        <v>5</v>
      </c>
      <c r="N34" s="49">
        <f t="shared" si="4"/>
        <v>38.928747994250706</v>
      </c>
      <c r="O34" s="25">
        <f t="shared" si="9"/>
        <v>0.25610214814928584</v>
      </c>
      <c r="P34" s="15">
        <f>SUMPRODUCT(Business_Portfolio!$D34:$U34,Business_Portfolio!$D$8:$U$8)</f>
        <v>5.8376527142257648E-2</v>
      </c>
      <c r="Q34" s="25">
        <f t="shared" si="10"/>
        <v>1.5473302366538011E-3</v>
      </c>
      <c r="R34" s="25"/>
      <c r="S34" s="154">
        <v>5</v>
      </c>
      <c r="T34" s="49">
        <f t="shared" si="5"/>
        <v>5.4079010246585506</v>
      </c>
      <c r="U34" s="25">
        <f t="shared" si="11"/>
        <v>0.14334201059774851</v>
      </c>
    </row>
    <row r="35" spans="1:21" x14ac:dyDescent="0.25">
      <c r="A35" s="155">
        <f t="shared" si="12"/>
        <v>1</v>
      </c>
      <c r="C35" s="79">
        <v>0.49999999999999994</v>
      </c>
      <c r="D35" s="15">
        <f>SUMPRODUCT(Business_Portfolio!D35:AM35,Business_Portfolio!$D$8:$AM$8)</f>
        <v>1.3488969672717179</v>
      </c>
      <c r="E35" s="25">
        <f t="shared" si="6"/>
        <v>7.1094848071772826E-3</v>
      </c>
      <c r="F35" s="25"/>
      <c r="G35" s="154">
        <v>6</v>
      </c>
      <c r="H35" s="49">
        <f t="shared" si="3"/>
        <v>46.103537004448683</v>
      </c>
      <c r="I35" s="25">
        <f t="shared" si="7"/>
        <v>0.24299290742214119</v>
      </c>
      <c r="J35" s="15">
        <f>SUMPRODUCT(Business_Portfolio!$V35:$AM35,Business_Portfolio!$V$8:$AM$8)</f>
        <v>1.2904123285533544</v>
      </c>
      <c r="K35" s="25">
        <f t="shared" si="8"/>
        <v>8.4892884145578874E-3</v>
      </c>
      <c r="L35" s="25"/>
      <c r="M35" s="154">
        <v>6</v>
      </c>
      <c r="N35" s="49">
        <f t="shared" si="4"/>
        <v>40.355245102876331</v>
      </c>
      <c r="O35" s="25">
        <f t="shared" si="9"/>
        <v>0.26548670307773414</v>
      </c>
      <c r="P35" s="15">
        <f>SUMPRODUCT(Business_Portfolio!$D35:$U35,Business_Portfolio!$D$8:$U$8)</f>
        <v>5.8484638718363242E-2</v>
      </c>
      <c r="Q35" s="25">
        <f t="shared" si="10"/>
        <v>1.5501958458092214E-3</v>
      </c>
      <c r="R35" s="25"/>
      <c r="S35" s="154">
        <v>6</v>
      </c>
      <c r="T35" s="49">
        <f t="shared" si="5"/>
        <v>5.7482919015723457</v>
      </c>
      <c r="U35" s="25">
        <f t="shared" si="11"/>
        <v>0.15236442289107166</v>
      </c>
    </row>
    <row r="36" spans="1:21" x14ac:dyDescent="0.25">
      <c r="A36" s="155">
        <f t="shared" si="12"/>
        <v>1</v>
      </c>
      <c r="C36" s="79">
        <v>0.58333333333333326</v>
      </c>
      <c r="D36" s="15">
        <f>SUMPRODUCT(Business_Portfolio!D36:AM36,Business_Portfolio!$D$8:$AM$8)</f>
        <v>1.3511504873768756</v>
      </c>
      <c r="E36" s="25">
        <f t="shared" si="6"/>
        <v>7.1213621909501082E-3</v>
      </c>
      <c r="F36" s="25"/>
      <c r="G36" s="154">
        <v>7</v>
      </c>
      <c r="H36" s="49">
        <f t="shared" si="3"/>
        <v>59.347189464114138</v>
      </c>
      <c r="I36" s="25">
        <f t="shared" si="7"/>
        <v>0.31279478869107663</v>
      </c>
      <c r="J36" s="15">
        <f>SUMPRODUCT(Business_Portfolio!$V36:$AM36,Business_Portfolio!$V$8:$AM$8)</f>
        <v>1.2925574562729736</v>
      </c>
      <c r="K36" s="25">
        <f t="shared" si="8"/>
        <v>8.5034006541071828E-3</v>
      </c>
      <c r="L36" s="25"/>
      <c r="M36" s="154">
        <v>7</v>
      </c>
      <c r="N36" s="49">
        <f t="shared" si="4"/>
        <v>51.424167009670938</v>
      </c>
      <c r="O36" s="25">
        <f t="shared" si="9"/>
        <v>0.33830627278096348</v>
      </c>
      <c r="P36" s="15">
        <f>SUMPRODUCT(Business_Portfolio!$D36:$U36,Business_Portfolio!$D$8:$U$8)</f>
        <v>5.8593031103901905E-2</v>
      </c>
      <c r="Q36" s="25">
        <f t="shared" si="10"/>
        <v>1.5530688981091345E-3</v>
      </c>
      <c r="R36" s="25"/>
      <c r="S36" s="154">
        <v>7</v>
      </c>
      <c r="T36" s="49">
        <f t="shared" si="5"/>
        <v>7.9230224544432026</v>
      </c>
      <c r="U36" s="25">
        <f t="shared" si="11"/>
        <v>0.21000790573875266</v>
      </c>
    </row>
    <row r="37" spans="1:21" x14ac:dyDescent="0.25">
      <c r="A37" s="155">
        <f t="shared" si="12"/>
        <v>1</v>
      </c>
      <c r="C37" s="79">
        <v>0.66666666666666663</v>
      </c>
      <c r="D37" s="15">
        <f>SUMPRODUCT(Business_Portfolio!D37:AM37,Business_Portfolio!$D$8:$AM$8)</f>
        <v>1.3534078154528686</v>
      </c>
      <c r="E37" s="25">
        <f t="shared" si="6"/>
        <v>7.1332596449814167E-3</v>
      </c>
      <c r="F37" s="25"/>
      <c r="G37" s="154">
        <v>8</v>
      </c>
      <c r="H37" s="49">
        <f t="shared" si="3"/>
        <v>68.42886622790185</v>
      </c>
      <c r="I37" s="25">
        <f t="shared" si="7"/>
        <v>0.36066059648989995</v>
      </c>
      <c r="J37" s="15">
        <f>SUMPRODUCT(Business_Portfolio!$V37:$AM37,Business_Portfolio!$V$8:$AM$8)</f>
        <v>1.2947061105222346</v>
      </c>
      <c r="K37" s="25">
        <f t="shared" si="8"/>
        <v>8.5175360937814089E-3</v>
      </c>
      <c r="L37" s="25"/>
      <c r="M37" s="154">
        <v>8</v>
      </c>
      <c r="N37" s="49">
        <f t="shared" si="4"/>
        <v>58.959564137791965</v>
      </c>
      <c r="O37" s="25">
        <f t="shared" si="9"/>
        <v>0.38787969836235558</v>
      </c>
      <c r="P37" s="15">
        <f>SUMPRODUCT(Business_Portfolio!$D37:$U37,Business_Portfolio!$D$8:$U$8)</f>
        <v>5.8701704930633931E-2</v>
      </c>
      <c r="Q37" s="25">
        <f t="shared" si="10"/>
        <v>1.555949410299001E-3</v>
      </c>
      <c r="R37" s="25"/>
      <c r="S37" s="154">
        <v>8</v>
      </c>
      <c r="T37" s="49">
        <f t="shared" si="5"/>
        <v>9.4693020901098865</v>
      </c>
      <c r="U37" s="25">
        <f t="shared" si="11"/>
        <v>0.25099364695556997</v>
      </c>
    </row>
    <row r="38" spans="1:21" x14ac:dyDescent="0.25">
      <c r="A38" s="155">
        <f t="shared" si="12"/>
        <v>1</v>
      </c>
      <c r="C38" s="79">
        <v>0.75</v>
      </c>
      <c r="D38" s="15">
        <f>SUMPRODUCT(Business_Portfolio!D38:AM38,Business_Portfolio!$D$8:$AM$8)</f>
        <v>1.3556689577192722</v>
      </c>
      <c r="E38" s="25">
        <f t="shared" si="6"/>
        <v>7.1451772020520487E-3</v>
      </c>
      <c r="F38" s="25"/>
      <c r="G38" s="154">
        <v>9</v>
      </c>
      <c r="H38" s="49">
        <f t="shared" si="3"/>
        <v>68.949583799784747</v>
      </c>
      <c r="I38" s="25">
        <f t="shared" si="7"/>
        <v>0.36340508606616423</v>
      </c>
      <c r="J38" s="15">
        <f>SUMPRODUCT(Business_Portfolio!$V38:$AM38,Business_Portfolio!$V$8:$AM$8)</f>
        <v>1.2968582968870219</v>
      </c>
      <c r="K38" s="25">
        <f t="shared" si="8"/>
        <v>8.5316947703286492E-3</v>
      </c>
      <c r="L38" s="25"/>
      <c r="M38" s="154">
        <v>9</v>
      </c>
      <c r="N38" s="49">
        <f t="shared" si="4"/>
        <v>59.308976771157319</v>
      </c>
      <c r="O38" s="25">
        <f t="shared" si="9"/>
        <v>0.39017839355821909</v>
      </c>
      <c r="P38" s="15">
        <f>SUMPRODUCT(Business_Portfolio!$D38:$U38,Business_Portfolio!$D$8:$U$8)</f>
        <v>5.8810660832250297E-2</v>
      </c>
      <c r="Q38" s="25">
        <f t="shared" si="10"/>
        <v>1.5588373991754553E-3</v>
      </c>
      <c r="R38" s="25"/>
      <c r="S38" s="154">
        <v>9</v>
      </c>
      <c r="T38" s="49">
        <f t="shared" si="5"/>
        <v>9.6406070286274268</v>
      </c>
      <c r="U38" s="25">
        <f t="shared" si="11"/>
        <v>0.25553426154900705</v>
      </c>
    </row>
    <row r="39" spans="1:21" x14ac:dyDescent="0.25">
      <c r="A39" s="155">
        <f t="shared" si="12"/>
        <v>1</v>
      </c>
      <c r="C39" s="79">
        <v>0.83333333333333337</v>
      </c>
      <c r="D39" s="15">
        <f>SUMPRODUCT(Business_Portfolio!D39:AM39,Business_Portfolio!$D$8:$AM$8)</f>
        <v>1.3579339204065624</v>
      </c>
      <c r="E39" s="25">
        <f t="shared" si="6"/>
        <v>7.157114895000297E-3</v>
      </c>
      <c r="F39" s="25"/>
      <c r="G39" s="154">
        <v>10</v>
      </c>
      <c r="H39" s="49">
        <f t="shared" si="3"/>
        <v>99.855136385268764</v>
      </c>
      <c r="I39" s="25">
        <f t="shared" si="7"/>
        <v>0.52629562692661891</v>
      </c>
      <c r="J39" s="15">
        <f>SUMPRODUCT(Business_Portfolio!$V39:$AM39,Business_Portfolio!$V$8:$AM$8)</f>
        <v>1.2990140209632914</v>
      </c>
      <c r="K39" s="25">
        <f t="shared" si="8"/>
        <v>8.5458767205632488E-3</v>
      </c>
      <c r="L39" s="25"/>
      <c r="M39" s="154">
        <v>10</v>
      </c>
      <c r="N39" s="49">
        <f t="shared" si="4"/>
        <v>85.148169883779417</v>
      </c>
      <c r="O39" s="25">
        <f t="shared" si="9"/>
        <v>0.56016775112923756</v>
      </c>
      <c r="P39" s="15">
        <f>SUMPRODUCT(Business_Portfolio!$D39:$U39,Business_Portfolio!$D$8:$U$8)</f>
        <v>5.8919899443270966E-2</v>
      </c>
      <c r="Q39" s="25">
        <f t="shared" si="10"/>
        <v>1.5617328815571057E-3</v>
      </c>
      <c r="R39" s="25"/>
      <c r="S39" s="154">
        <v>10</v>
      </c>
      <c r="T39" s="49">
        <f t="shared" si="5"/>
        <v>14.706966501489362</v>
      </c>
      <c r="U39" s="25">
        <f t="shared" si="11"/>
        <v>0.3898233600254038</v>
      </c>
    </row>
    <row r="40" spans="1:21" x14ac:dyDescent="0.25">
      <c r="A40" s="155">
        <f t="shared" si="12"/>
        <v>1</v>
      </c>
      <c r="C40" s="79">
        <v>0.91666666666666674</v>
      </c>
      <c r="D40" s="15">
        <f>SUMPRODUCT(Business_Portfolio!D40:AM40,Business_Portfolio!$D$8:$AM$8)</f>
        <v>1.3602027097549343</v>
      </c>
      <c r="E40" s="25">
        <f t="shared" si="6"/>
        <v>7.1690727567156809E-3</v>
      </c>
      <c r="F40" s="25"/>
      <c r="G40" s="154">
        <v>11</v>
      </c>
      <c r="H40" s="49">
        <f t="shared" si="3"/>
        <v>118.9855311973901</v>
      </c>
      <c r="I40" s="25">
        <f t="shared" si="7"/>
        <v>0.62712412203930967</v>
      </c>
      <c r="J40" s="15">
        <f>SUMPRODUCT(Business_Portfolio!$V40:$AM40,Business_Portfolio!$V$8:$AM$8)</f>
        <v>1.3011732883552132</v>
      </c>
      <c r="K40" s="25">
        <f t="shared" si="8"/>
        <v>8.560081981353591E-3</v>
      </c>
      <c r="L40" s="25"/>
      <c r="M40" s="154">
        <v>11</v>
      </c>
      <c r="N40" s="49">
        <f t="shared" si="4"/>
        <v>100.98896984683016</v>
      </c>
      <c r="O40" s="25">
        <f t="shared" si="9"/>
        <v>0.66438027035897418</v>
      </c>
      <c r="P40" s="15">
        <f>SUMPRODUCT(Business_Portfolio!$D40:$U40,Business_Portfolio!$D$8:$U$8)</f>
        <v>5.9029421399721421E-2</v>
      </c>
      <c r="Q40" s="25">
        <f t="shared" si="10"/>
        <v>1.5646358743024655E-3</v>
      </c>
      <c r="R40" s="25"/>
      <c r="S40" s="154">
        <v>11</v>
      </c>
      <c r="T40" s="49">
        <f t="shared" si="5"/>
        <v>17.996561350559951</v>
      </c>
      <c r="U40" s="25">
        <f t="shared" si="11"/>
        <v>0.47701747426079655</v>
      </c>
    </row>
    <row r="41" spans="1:21" x14ac:dyDescent="0.25">
      <c r="A41" s="155">
        <f t="shared" si="12"/>
        <v>1</v>
      </c>
      <c r="C41" s="79">
        <v>1</v>
      </c>
      <c r="D41" s="15">
        <f>SUMPRODUCT(Business_Portfolio!D41:AM41,Business_Portfolio!$D$8:$AM$8)</f>
        <v>1.3624753320141967</v>
      </c>
      <c r="E41" s="25">
        <f t="shared" si="6"/>
        <v>7.1810508201383882E-3</v>
      </c>
      <c r="F41" s="25"/>
      <c r="G41" s="154">
        <v>12</v>
      </c>
      <c r="H41" s="49">
        <f t="shared" si="3"/>
        <v>107.50158240004092</v>
      </c>
      <c r="I41" s="25">
        <f t="shared" si="7"/>
        <v>0.56659691982734894</v>
      </c>
      <c r="J41" s="15">
        <f>SUMPRODUCT(Business_Portfolio!$V41:$AM41,Business_Portfolio!$V$8:$AM$8)</f>
        <v>1.3033361046753318</v>
      </c>
      <c r="K41" s="25">
        <f t="shared" si="8"/>
        <v>8.574310589623154E-3</v>
      </c>
      <c r="L41" s="25"/>
      <c r="M41" s="154">
        <v>12</v>
      </c>
      <c r="N41" s="49">
        <f t="shared" si="4"/>
        <v>91.277708103131062</v>
      </c>
      <c r="O41" s="25">
        <f t="shared" si="9"/>
        <v>0.60049239515249109</v>
      </c>
      <c r="P41" s="15">
        <f>SUMPRODUCT(Business_Portfolio!$D41:$U41,Business_Portfolio!$D$8:$U$8)</f>
        <v>5.9139227338864869E-2</v>
      </c>
      <c r="Q41" s="25">
        <f t="shared" si="10"/>
        <v>1.5675463943028551E-3</v>
      </c>
      <c r="R41" s="25"/>
      <c r="S41" s="154">
        <v>12</v>
      </c>
      <c r="T41" s="49">
        <f t="shared" si="5"/>
        <v>16.223874296909877</v>
      </c>
      <c r="U41" s="25">
        <f t="shared" si="11"/>
        <v>0.43003057023423036</v>
      </c>
    </row>
    <row r="42" spans="1:21" x14ac:dyDescent="0.25">
      <c r="A42" s="155">
        <f t="shared" si="12"/>
        <v>2</v>
      </c>
      <c r="C42" s="79">
        <v>1.0833333333333333</v>
      </c>
      <c r="D42" s="15">
        <f>SUMPRODUCT(Business_Portfolio!D42:AM42,Business_Portfolio!$D$8:$AM$8)</f>
        <v>1.5331444838336978</v>
      </c>
      <c r="E42" s="25">
        <f t="shared" si="6"/>
        <v>8.0805781905414382E-3</v>
      </c>
      <c r="F42" s="25"/>
      <c r="G42" s="154">
        <v>13</v>
      </c>
      <c r="H42" s="49">
        <f t="shared" si="3"/>
        <v>97.737881083438495</v>
      </c>
      <c r="I42" s="25">
        <f t="shared" si="7"/>
        <v>0.51513643925958508</v>
      </c>
      <c r="J42" s="15">
        <f>SUMPRODUCT(Business_Portfolio!$V42:$AM42,Business_Portfolio!$V$8:$AM$8)</f>
        <v>1.440293184496422</v>
      </c>
      <c r="K42" s="25">
        <f t="shared" si="8"/>
        <v>9.4753157375825625E-3</v>
      </c>
      <c r="L42" s="25"/>
      <c r="M42" s="154">
        <v>13</v>
      </c>
      <c r="N42" s="49">
        <f t="shared" si="4"/>
        <v>82.844567138440553</v>
      </c>
      <c r="O42" s="25">
        <f t="shared" si="9"/>
        <v>0.54501294544036716</v>
      </c>
      <c r="P42" s="15">
        <f>SUMPRODUCT(Business_Portfolio!$D42:$U42,Business_Portfolio!$D$8:$U$8)</f>
        <v>9.2851299337275886E-2</v>
      </c>
      <c r="Q42" s="25">
        <f t="shared" si="10"/>
        <v>2.4611197344276223E-3</v>
      </c>
      <c r="R42" s="25"/>
      <c r="S42" s="154">
        <v>13</v>
      </c>
      <c r="T42" s="49">
        <f t="shared" si="5"/>
        <v>14.893313944997915</v>
      </c>
      <c r="U42" s="25">
        <f t="shared" si="11"/>
        <v>0.39476269177361251</v>
      </c>
    </row>
    <row r="43" spans="1:21" x14ac:dyDescent="0.25">
      <c r="A43" s="155">
        <f t="shared" si="12"/>
        <v>2</v>
      </c>
      <c r="C43" s="79">
        <v>1.1666666666666665</v>
      </c>
      <c r="D43" s="15">
        <f>SUMPRODUCT(Business_Portfolio!D43:AM43,Business_Portfolio!$D$8:$AM$8)</f>
        <v>1.535870906191747</v>
      </c>
      <c r="E43" s="25">
        <f t="shared" si="6"/>
        <v>8.0949480488796202E-3</v>
      </c>
      <c r="F43" s="25"/>
      <c r="G43" s="154">
        <v>14</v>
      </c>
      <c r="H43" s="49">
        <f t="shared" si="3"/>
        <v>90.025821524375033</v>
      </c>
      <c r="I43" s="25">
        <f t="shared" si="7"/>
        <v>0.47448932417406098</v>
      </c>
      <c r="J43" s="15">
        <f>SUMPRODUCT(Business_Portfolio!$V43:$AM43,Business_Portfolio!$V$8:$AM$8)</f>
        <v>1.4428940315009344</v>
      </c>
      <c r="K43" s="25">
        <f t="shared" si="8"/>
        <v>9.4924260362482596E-3</v>
      </c>
      <c r="L43" s="25"/>
      <c r="M43" s="154">
        <v>14</v>
      </c>
      <c r="N43" s="49">
        <f t="shared" si="4"/>
        <v>76.152546805408591</v>
      </c>
      <c r="O43" s="25">
        <f t="shared" si="9"/>
        <v>0.50098787730816574</v>
      </c>
      <c r="P43" s="15">
        <f>SUMPRODUCT(Business_Portfolio!$D43:$U43,Business_Portfolio!$D$8:$U$8)</f>
        <v>9.2976874690812644E-2</v>
      </c>
      <c r="Q43" s="25">
        <f t="shared" si="10"/>
        <v>2.4644482390684072E-3</v>
      </c>
      <c r="R43" s="25"/>
      <c r="S43" s="154">
        <v>14</v>
      </c>
      <c r="T43" s="49">
        <f t="shared" si="5"/>
        <v>13.873274718966458</v>
      </c>
      <c r="U43" s="25">
        <f t="shared" si="11"/>
        <v>0.36772549695787493</v>
      </c>
    </row>
    <row r="44" spans="1:21" x14ac:dyDescent="0.25">
      <c r="A44" s="155">
        <f t="shared" si="12"/>
        <v>2</v>
      </c>
      <c r="C44" s="79">
        <v>1.2499999999999998</v>
      </c>
      <c r="D44" s="15">
        <f>SUMPRODUCT(Business_Portfolio!D44:AM44,Business_Portfolio!$D$8:$AM$8)</f>
        <v>1.5386022070520287</v>
      </c>
      <c r="E44" s="25">
        <f t="shared" si="6"/>
        <v>8.1093436198099028E-3</v>
      </c>
      <c r="F44" s="25"/>
      <c r="G44" s="154">
        <v>15</v>
      </c>
      <c r="H44" s="49">
        <f t="shared" si="3"/>
        <v>86.517945346226156</v>
      </c>
      <c r="I44" s="25">
        <f t="shared" si="7"/>
        <v>0.45600074202204488</v>
      </c>
      <c r="J44" s="15">
        <f>SUMPRODUCT(Business_Portfolio!$V44:$AM44,Business_Portfolio!$V$8:$AM$8)</f>
        <v>1.4454994781291823</v>
      </c>
      <c r="K44" s="25">
        <f t="shared" si="8"/>
        <v>9.5095665946469312E-3</v>
      </c>
      <c r="L44" s="25"/>
      <c r="M44" s="154">
        <v>15</v>
      </c>
      <c r="N44" s="49">
        <f t="shared" si="4"/>
        <v>72.986420370443867</v>
      </c>
      <c r="O44" s="25">
        <f t="shared" si="9"/>
        <v>0.48015875171115302</v>
      </c>
      <c r="P44" s="15">
        <f>SUMPRODUCT(Business_Portfolio!$D44:$U44,Business_Portfolio!$D$8:$U$8)</f>
        <v>9.310272892284624E-2</v>
      </c>
      <c r="Q44" s="25">
        <f t="shared" si="10"/>
        <v>2.4677841356722232E-3</v>
      </c>
      <c r="R44" s="25"/>
      <c r="S44" s="154">
        <v>15</v>
      </c>
      <c r="T44" s="49">
        <f t="shared" si="5"/>
        <v>13.531524975782306</v>
      </c>
      <c r="U44" s="25">
        <f t="shared" si="11"/>
        <v>0.3586670665084431</v>
      </c>
    </row>
    <row r="45" spans="1:21" x14ac:dyDescent="0.25">
      <c r="A45" s="155">
        <f t="shared" si="12"/>
        <v>2</v>
      </c>
      <c r="C45" s="79">
        <v>1.333333333333333</v>
      </c>
      <c r="D45" s="15">
        <f>SUMPRODUCT(Business_Portfolio!D45:AM45,Business_Portfolio!$D$8:$AM$8)</f>
        <v>1.5413383948567139</v>
      </c>
      <c r="E45" s="25">
        <f t="shared" si="6"/>
        <v>8.1237649478275199E-3</v>
      </c>
      <c r="F45" s="25"/>
      <c r="G45" s="154">
        <v>16</v>
      </c>
      <c r="H45" s="49">
        <f t="shared" si="3"/>
        <v>49.935914457715498</v>
      </c>
      <c r="I45" s="25">
        <f t="shared" si="7"/>
        <v>0.2631918032165898</v>
      </c>
      <c r="J45" s="15">
        <f>SUMPRODUCT(Business_Portfolio!$V45:$AM45,Business_Portfolio!$V$8:$AM$8)</f>
        <v>1.4481095322144355</v>
      </c>
      <c r="K45" s="25">
        <f t="shared" si="8"/>
        <v>9.5267374643116295E-3</v>
      </c>
      <c r="L45" s="25"/>
      <c r="M45" s="154">
        <v>16</v>
      </c>
      <c r="N45" s="49">
        <f t="shared" si="4"/>
        <v>42.101698765159171</v>
      </c>
      <c r="O45" s="25">
        <f t="shared" si="9"/>
        <v>0.27697616928455587</v>
      </c>
      <c r="P45" s="15">
        <f>SUMPRODUCT(Business_Portfolio!$D45:$U45,Business_Portfolio!$D$8:$U$8)</f>
        <v>9.3228862642278601E-2</v>
      </c>
      <c r="Q45" s="25">
        <f t="shared" si="10"/>
        <v>2.4711274403786455E-3</v>
      </c>
      <c r="R45" s="25"/>
      <c r="S45" s="154">
        <v>16</v>
      </c>
      <c r="T45" s="49">
        <f t="shared" si="5"/>
        <v>7.8342156925563353</v>
      </c>
      <c r="U45" s="25">
        <f t="shared" si="11"/>
        <v>0.20765399065312243</v>
      </c>
    </row>
    <row r="46" spans="1:21" x14ac:dyDescent="0.25">
      <c r="A46" s="155">
        <f t="shared" si="12"/>
        <v>2</v>
      </c>
      <c r="C46" s="79">
        <v>1.4166666666666663</v>
      </c>
      <c r="D46" s="15">
        <f>SUMPRODUCT(Business_Portfolio!D46:AM46,Business_Portfolio!$D$8:$AM$8)</f>
        <v>1.5440794780646634</v>
      </c>
      <c r="E46" s="25">
        <f t="shared" si="6"/>
        <v>8.1382120775156681E-3</v>
      </c>
      <c r="F46" s="25"/>
      <c r="G46" s="154">
        <v>17</v>
      </c>
      <c r="H46" s="49">
        <f t="shared" si="3"/>
        <v>24.886846589312082</v>
      </c>
      <c r="I46" s="25">
        <f t="shared" si="7"/>
        <v>0.13116840056593085</v>
      </c>
      <c r="J46" s="15">
        <f>SUMPRODUCT(Business_Portfolio!$V46:$AM46,Business_Portfolio!$V$8:$AM$8)</f>
        <v>1.450724201605238</v>
      </c>
      <c r="K46" s="25">
        <f t="shared" si="8"/>
        <v>9.5439386968758921E-3</v>
      </c>
      <c r="L46" s="25"/>
      <c r="M46" s="154">
        <v>17</v>
      </c>
      <c r="N46" s="49">
        <f t="shared" si="4"/>
        <v>21.016115803157728</v>
      </c>
      <c r="O46" s="25">
        <f t="shared" si="9"/>
        <v>0.13825958142136355</v>
      </c>
      <c r="P46" s="15">
        <f>SUMPRODUCT(Business_Portfolio!$D46:$U46,Business_Portfolio!$D$8:$U$8)</f>
        <v>9.335527645942536E-2</v>
      </c>
      <c r="Q46" s="25">
        <f t="shared" si="10"/>
        <v>2.4744781693647215E-3</v>
      </c>
      <c r="R46" s="25"/>
      <c r="S46" s="154">
        <v>17</v>
      </c>
      <c r="T46" s="49">
        <f t="shared" si="5"/>
        <v>3.8707307861543501</v>
      </c>
      <c r="U46" s="25">
        <f t="shared" si="11"/>
        <v>0.10259772337549394</v>
      </c>
    </row>
    <row r="47" spans="1:21" x14ac:dyDescent="0.25">
      <c r="A47" s="155">
        <f t="shared" si="12"/>
        <v>2</v>
      </c>
      <c r="C47" s="79">
        <v>1.4999999999999996</v>
      </c>
      <c r="D47" s="15">
        <f>SUMPRODUCT(Business_Portfolio!D47:AM47,Business_Portfolio!$D$8:$AM$8)</f>
        <v>1.5468156626114304</v>
      </c>
      <c r="E47" s="25">
        <f t="shared" si="6"/>
        <v>8.1526333883621301E-3</v>
      </c>
      <c r="F47" s="25"/>
      <c r="G47" s="154">
        <v>18</v>
      </c>
      <c r="H47" s="49">
        <f t="shared" si="3"/>
        <v>24.196037123603784</v>
      </c>
      <c r="I47" s="25">
        <f t="shared" si="7"/>
        <v>0.12752742611030507</v>
      </c>
      <c r="J47" s="15">
        <f>SUMPRODUCT(Business_Portfolio!$V47:$AM47,Business_Portfolio!$V$8:$AM$8)</f>
        <v>1.4533791535615113</v>
      </c>
      <c r="K47" s="25">
        <f t="shared" si="8"/>
        <v>9.561404938002763E-3</v>
      </c>
      <c r="L47" s="25"/>
      <c r="M47" s="154">
        <v>18</v>
      </c>
      <c r="N47" s="49">
        <f t="shared" si="4"/>
        <v>20.373826874302388</v>
      </c>
      <c r="O47" s="25">
        <f t="shared" si="9"/>
        <v>0.1340341289501808</v>
      </c>
      <c r="P47" s="15">
        <f>SUMPRODUCT(Business_Portfolio!$D47:$U47,Business_Portfolio!$D$8:$U$8)</f>
        <v>9.3436509049919098E-2</v>
      </c>
      <c r="Q47" s="25">
        <f t="shared" si="10"/>
        <v>2.4766313232028451E-3</v>
      </c>
      <c r="R47" s="25"/>
      <c r="S47" s="154">
        <v>18</v>
      </c>
      <c r="T47" s="49">
        <f t="shared" si="5"/>
        <v>3.8222102493013899</v>
      </c>
      <c r="U47" s="25">
        <f t="shared" si="11"/>
        <v>0.1013116363565059</v>
      </c>
    </row>
    <row r="48" spans="1:21" x14ac:dyDescent="0.25">
      <c r="A48" s="155">
        <f t="shared" si="12"/>
        <v>2</v>
      </c>
      <c r="C48" s="79">
        <v>1.5833333333333328</v>
      </c>
      <c r="D48" s="15">
        <f>SUMPRODUCT(Business_Portfolio!D48:AM48,Business_Portfolio!$D$8:$AM$8)</f>
        <v>1.5495725518185766</v>
      </c>
      <c r="E48" s="25">
        <f t="shared" si="6"/>
        <v>8.1671638250143223E-3</v>
      </c>
      <c r="F48" s="25"/>
      <c r="G48" s="154">
        <v>19</v>
      </c>
      <c r="H48" s="49">
        <f t="shared" si="3"/>
        <v>23.486134566688172</v>
      </c>
      <c r="I48" s="25">
        <f t="shared" si="7"/>
        <v>0.12378581977162674</v>
      </c>
      <c r="J48" s="15">
        <f>SUMPRODUCT(Business_Portfolio!$V48:$AM48,Business_Portfolio!$V$8:$AM$8)</f>
        <v>1.4560077892185046</v>
      </c>
      <c r="K48" s="25">
        <f t="shared" si="8"/>
        <v>9.578698051014186E-3</v>
      </c>
      <c r="L48" s="25"/>
      <c r="M48" s="154">
        <v>19</v>
      </c>
      <c r="N48" s="49">
        <f t="shared" si="4"/>
        <v>19.712481163814413</v>
      </c>
      <c r="O48" s="25">
        <f t="shared" si="9"/>
        <v>0.1296833068494983</v>
      </c>
      <c r="P48" s="15">
        <f>SUMPRODUCT(Business_Portfolio!$D48:$U48,Business_Portfolio!$D$8:$U$8)</f>
        <v>9.3564762600071946E-2</v>
      </c>
      <c r="Q48" s="25">
        <f t="shared" si="10"/>
        <v>2.4800308162152692E-3</v>
      </c>
      <c r="R48" s="25"/>
      <c r="S48" s="154">
        <v>19</v>
      </c>
      <c r="T48" s="49">
        <f t="shared" si="5"/>
        <v>3.7736534028737574</v>
      </c>
      <c r="U48" s="25">
        <f t="shared" si="11"/>
        <v>0.10002458691468252</v>
      </c>
    </row>
    <row r="49" spans="1:21" x14ac:dyDescent="0.25">
      <c r="A49" s="155">
        <f t="shared" si="12"/>
        <v>2</v>
      </c>
      <c r="C49" s="79">
        <v>1.6666666666666661</v>
      </c>
      <c r="D49" s="15">
        <f>SUMPRODUCT(Business_Portfolio!D49:AM49,Business_Portfolio!$D$8:$AM$8)</f>
        <v>1.5523343723789456</v>
      </c>
      <c r="E49" s="25">
        <f t="shared" si="6"/>
        <v>8.1817202528145921E-3</v>
      </c>
      <c r="F49" s="25"/>
      <c r="G49" s="154">
        <v>20</v>
      </c>
      <c r="H49" s="49">
        <f t="shared" si="3"/>
        <v>22.759070479041913</v>
      </c>
      <c r="I49" s="25">
        <f t="shared" si="7"/>
        <v>0.11995376201600719</v>
      </c>
      <c r="J49" s="15">
        <f>SUMPRODUCT(Business_Portfolio!$V49:$AM49,Business_Portfolio!$V$8:$AM$8)</f>
        <v>1.4586410720010654</v>
      </c>
      <c r="K49" s="25">
        <f t="shared" si="8"/>
        <v>9.5960217362608298E-3</v>
      </c>
      <c r="L49" s="25"/>
      <c r="M49" s="154">
        <v>20</v>
      </c>
      <c r="N49" s="49">
        <f t="shared" si="4"/>
        <v>19.034039982741106</v>
      </c>
      <c r="O49" s="25">
        <f t="shared" si="9"/>
        <v>0.12522001807659777</v>
      </c>
      <c r="P49" s="15">
        <f>SUMPRODUCT(Business_Portfolio!$D49:$U49,Business_Portfolio!$D$8:$U$8)</f>
        <v>9.3693300377879984E-2</v>
      </c>
      <c r="Q49" s="25">
        <f t="shared" si="10"/>
        <v>2.4834378429756995E-3</v>
      </c>
      <c r="R49" s="25"/>
      <c r="S49" s="154">
        <v>20</v>
      </c>
      <c r="T49" s="49">
        <f t="shared" si="5"/>
        <v>3.725030496300807</v>
      </c>
      <c r="U49" s="25">
        <f t="shared" si="11"/>
        <v>9.8735786480374774E-2</v>
      </c>
    </row>
    <row r="50" spans="1:21" x14ac:dyDescent="0.25">
      <c r="A50" s="155">
        <f t="shared" si="12"/>
        <v>2</v>
      </c>
      <c r="C50" s="79">
        <v>1.7499999999999993</v>
      </c>
      <c r="D50" s="15">
        <f>SUMPRODUCT(Business_Portfolio!D50:AM50,Business_Portfolio!$D$8:$AM$8)</f>
        <v>1.5551011328299309</v>
      </c>
      <c r="E50" s="25">
        <f t="shared" si="6"/>
        <v>8.1963027167600514E-3</v>
      </c>
      <c r="F50" s="25"/>
      <c r="G50" s="154">
        <v>21</v>
      </c>
      <c r="H50" s="49">
        <f t="shared" si="3"/>
        <v>9.2692670265742496</v>
      </c>
      <c r="I50" s="25">
        <f t="shared" si="7"/>
        <v>4.8854519431819822E-2</v>
      </c>
      <c r="J50" s="15">
        <f>SUMPRODUCT(Business_Portfolio!$V50:$AM50,Business_Portfolio!$V$8:$AM$8)</f>
        <v>1.461279009822831</v>
      </c>
      <c r="K50" s="25">
        <f t="shared" si="8"/>
        <v>9.613376045804466E-3</v>
      </c>
      <c r="L50" s="25"/>
      <c r="M50" s="154">
        <v>21</v>
      </c>
      <c r="N50" s="49">
        <f t="shared" si="4"/>
        <v>7.7314334032185803</v>
      </c>
      <c r="O50" s="25">
        <f t="shared" si="9"/>
        <v>5.086309744998347E-2</v>
      </c>
      <c r="P50" s="15">
        <f>SUMPRODUCT(Business_Portfolio!$D50:$U50,Business_Portfolio!$D$8:$U$8)</f>
        <v>9.3822123007099884E-2</v>
      </c>
      <c r="Q50" s="25">
        <f t="shared" si="10"/>
        <v>2.4868524200174521E-3</v>
      </c>
      <c r="R50" s="25"/>
      <c r="S50" s="154">
        <v>21</v>
      </c>
      <c r="T50" s="49">
        <f t="shared" si="5"/>
        <v>1.5378336233556706</v>
      </c>
      <c r="U50" s="25">
        <f t="shared" si="11"/>
        <v>4.076187092394884E-2</v>
      </c>
    </row>
    <row r="51" spans="1:21" x14ac:dyDescent="0.25">
      <c r="A51" s="155">
        <f t="shared" si="12"/>
        <v>2</v>
      </c>
      <c r="C51" s="79">
        <v>1.8333333333333326</v>
      </c>
      <c r="D51" s="15">
        <f>SUMPRODUCT(Business_Portfolio!D51:AM51,Business_Portfolio!$D$8:$AM$8)</f>
        <v>1.5578728417260579</v>
      </c>
      <c r="E51" s="25">
        <f t="shared" si="6"/>
        <v>8.2109112619381079E-3</v>
      </c>
      <c r="F51" s="25"/>
      <c r="G51" s="154">
        <v>22</v>
      </c>
      <c r="H51" s="49">
        <f t="shared" si="3"/>
        <v>0</v>
      </c>
      <c r="I51" s="25">
        <f t="shared" si="7"/>
        <v>0</v>
      </c>
      <c r="J51" s="15">
        <f>SUMPRODUCT(Business_Portfolio!$V51:$AM51,Business_Portfolio!$V$8:$AM$8)</f>
        <v>1.4639216106127799</v>
      </c>
      <c r="K51" s="25">
        <f t="shared" si="8"/>
        <v>9.6307610318077889E-3</v>
      </c>
      <c r="L51" s="25"/>
      <c r="M51" s="154">
        <v>22</v>
      </c>
      <c r="N51" s="49">
        <f t="shared" si="4"/>
        <v>0</v>
      </c>
      <c r="O51" s="25">
        <f t="shared" si="9"/>
        <v>0</v>
      </c>
      <c r="P51" s="15">
        <f>SUMPRODUCT(Business_Portfolio!$D51:$U51,Business_Portfolio!$D$8:$U$8)</f>
        <v>9.3951231113277953E-2</v>
      </c>
      <c r="Q51" s="25">
        <f t="shared" si="10"/>
        <v>2.4902745639212784E-3</v>
      </c>
      <c r="R51" s="25"/>
      <c r="S51" s="154">
        <v>22</v>
      </c>
      <c r="T51" s="49">
        <f t="shared" si="5"/>
        <v>0</v>
      </c>
      <c r="U51" s="25">
        <f t="shared" si="11"/>
        <v>0</v>
      </c>
    </row>
    <row r="52" spans="1:21" x14ac:dyDescent="0.25">
      <c r="A52" s="155">
        <f t="shared" si="12"/>
        <v>2</v>
      </c>
      <c r="C52" s="79">
        <v>1.9166666666666659</v>
      </c>
      <c r="D52" s="15">
        <f>SUMPRODUCT(Business_Portfolio!D52:AM52,Business_Portfolio!$D$8:$AM$8)</f>
        <v>1.5606495076343867</v>
      </c>
      <c r="E52" s="25">
        <f t="shared" si="6"/>
        <v>8.2255459335022364E-3</v>
      </c>
      <c r="F52" s="25"/>
      <c r="G52" s="154">
        <v>23</v>
      </c>
      <c r="H52" s="49">
        <f t="shared" si="3"/>
        <v>0</v>
      </c>
      <c r="I52" s="25">
        <f t="shared" si="7"/>
        <v>0</v>
      </c>
      <c r="J52" s="15">
        <f>SUMPRODUCT(Business_Portfolio!$V52:$AM52,Business_Portfolio!$V$8:$AM$8)</f>
        <v>1.4665688823114851</v>
      </c>
      <c r="K52" s="25">
        <f t="shared" si="8"/>
        <v>9.6481767465097703E-3</v>
      </c>
      <c r="L52" s="25"/>
      <c r="M52" s="154">
        <v>23</v>
      </c>
      <c r="N52" s="49">
        <f t="shared" si="4"/>
        <v>0</v>
      </c>
      <c r="O52" s="25">
        <f t="shared" si="9"/>
        <v>0</v>
      </c>
      <c r="P52" s="15">
        <f>SUMPRODUCT(Business_Portfolio!$D52:$U52,Business_Portfolio!$D$8:$U$8)</f>
        <v>9.408062532290172E-2</v>
      </c>
      <c r="Q52" s="25">
        <f t="shared" si="10"/>
        <v>2.4937042912928789E-3</v>
      </c>
      <c r="R52" s="25"/>
      <c r="S52" s="154">
        <v>23</v>
      </c>
      <c r="T52" s="49">
        <f t="shared" si="5"/>
        <v>0</v>
      </c>
      <c r="U52" s="25">
        <f t="shared" si="11"/>
        <v>0</v>
      </c>
    </row>
    <row r="53" spans="1:21" x14ac:dyDescent="0.25">
      <c r="A53" s="155">
        <f t="shared" si="12"/>
        <v>2</v>
      </c>
      <c r="C53" s="79">
        <v>1.9999999999999991</v>
      </c>
      <c r="D53" s="15">
        <f>SUMPRODUCT(Business_Portfolio!D53:AM53,Business_Portfolio!$D$8:$AM$8)</f>
        <v>1.5634311391374311</v>
      </c>
      <c r="E53" s="25">
        <f t="shared" si="6"/>
        <v>8.2402067766873602E-3</v>
      </c>
      <c r="F53" s="25"/>
      <c r="G53" s="154">
        <v>24</v>
      </c>
      <c r="H53" s="49">
        <f t="shared" si="3"/>
        <v>0</v>
      </c>
      <c r="I53" s="25">
        <f t="shared" si="7"/>
        <v>0</v>
      </c>
      <c r="J53" s="15">
        <f>SUMPRODUCT(Business_Portfolio!$V53:$AM53,Business_Portfolio!$V$8:$AM$8)</f>
        <v>1.4692208328734986</v>
      </c>
      <c r="K53" s="25">
        <f t="shared" si="8"/>
        <v>9.6656232422413484E-3</v>
      </c>
      <c r="L53" s="25"/>
      <c r="M53" s="154">
        <v>24</v>
      </c>
      <c r="N53" s="49">
        <f t="shared" si="4"/>
        <v>0</v>
      </c>
      <c r="O53" s="25">
        <f t="shared" si="9"/>
        <v>0</v>
      </c>
      <c r="P53" s="15">
        <f>SUMPRODUCT(Business_Portfolio!$D53:$U53,Business_Portfolio!$D$8:$U$8)</f>
        <v>9.4210306263932467E-2</v>
      </c>
      <c r="Q53" s="25">
        <f t="shared" si="10"/>
        <v>2.4971416187770166E-3</v>
      </c>
      <c r="R53" s="25"/>
      <c r="S53" s="154">
        <v>24</v>
      </c>
      <c r="T53" s="49">
        <f t="shared" si="5"/>
        <v>0</v>
      </c>
      <c r="U53" s="25">
        <f t="shared" si="11"/>
        <v>0</v>
      </c>
    </row>
    <row r="54" spans="1:21" x14ac:dyDescent="0.25">
      <c r="A54" s="155">
        <f t="shared" si="12"/>
        <v>3</v>
      </c>
      <c r="C54" s="79">
        <v>2.0833333333333326</v>
      </c>
      <c r="D54" s="15">
        <f>SUMPRODUCT(Business_Portfolio!D54:AM54,Business_Portfolio!$D$8:$AM$8)</f>
        <v>1.7365897049429082</v>
      </c>
      <c r="E54" s="25">
        <f t="shared" si="6"/>
        <v>9.1528548311318805E-3</v>
      </c>
      <c r="F54" s="25"/>
      <c r="G54" s="154">
        <v>25</v>
      </c>
      <c r="H54" s="49">
        <f t="shared" si="3"/>
        <v>0</v>
      </c>
      <c r="I54" s="25">
        <f t="shared" si="7"/>
        <v>0</v>
      </c>
      <c r="J54" s="15">
        <f>SUMPRODUCT(Business_Portfolio!$V54:$AM54,Business_Portfolio!$V$8:$AM$8)</f>
        <v>1.6087020672555403</v>
      </c>
      <c r="K54" s="25">
        <f t="shared" si="8"/>
        <v>1.0583234149148257E-2</v>
      </c>
      <c r="L54" s="25"/>
      <c r="M54" s="154">
        <v>25</v>
      </c>
      <c r="N54" s="49">
        <f t="shared" si="4"/>
        <v>0</v>
      </c>
      <c r="O54" s="25">
        <f t="shared" si="9"/>
        <v>0</v>
      </c>
      <c r="P54" s="15">
        <f>SUMPRODUCT(Business_Portfolio!$D54:$U54,Business_Portfolio!$D$8:$U$8)</f>
        <v>0.12788763768736805</v>
      </c>
      <c r="Q54" s="25">
        <f t="shared" si="10"/>
        <v>3.3897941240263684E-3</v>
      </c>
      <c r="R54" s="25"/>
      <c r="S54" s="154">
        <v>25</v>
      </c>
      <c r="T54" s="49">
        <f t="shared" si="5"/>
        <v>0</v>
      </c>
      <c r="U54" s="25">
        <f t="shared" si="11"/>
        <v>0</v>
      </c>
    </row>
    <row r="55" spans="1:21" x14ac:dyDescent="0.25">
      <c r="A55" s="155">
        <f t="shared" si="12"/>
        <v>3</v>
      </c>
      <c r="C55" s="79">
        <v>2.1666666666666661</v>
      </c>
      <c r="D55" s="15">
        <f>SUMPRODUCT(Business_Portfolio!D55:AM55,Business_Portfolio!$D$8:$AM$8)</f>
        <v>1.7398964634812526</v>
      </c>
      <c r="E55" s="25">
        <f t="shared" si="6"/>
        <v>9.1702834043734041E-3</v>
      </c>
      <c r="F55" s="25"/>
      <c r="G55" s="154">
        <v>26</v>
      </c>
      <c r="H55" s="49">
        <f t="shared" si="3"/>
        <v>0</v>
      </c>
      <c r="I55" s="25">
        <f t="shared" si="7"/>
        <v>0</v>
      </c>
      <c r="J55" s="15">
        <f>SUMPRODUCT(Business_Portfolio!$V55:$AM55,Business_Portfolio!$V$8:$AM$8)</f>
        <v>1.6118502507730559</v>
      </c>
      <c r="K55" s="25">
        <f t="shared" si="8"/>
        <v>1.0603945232939675E-2</v>
      </c>
      <c r="L55" s="25"/>
      <c r="M55" s="154">
        <v>26</v>
      </c>
      <c r="N55" s="49">
        <f t="shared" si="4"/>
        <v>0</v>
      </c>
      <c r="O55" s="25">
        <f t="shared" si="9"/>
        <v>0</v>
      </c>
      <c r="P55" s="15">
        <f>SUMPRODUCT(Business_Portfolio!$D55:$U55,Business_Portfolio!$D$8:$U$8)</f>
        <v>0.12804621270819652</v>
      </c>
      <c r="Q55" s="25">
        <f t="shared" si="10"/>
        <v>3.3939973189836149E-3</v>
      </c>
      <c r="R55" s="25"/>
      <c r="S55" s="154">
        <v>26</v>
      </c>
      <c r="T55" s="49">
        <f t="shared" si="5"/>
        <v>0</v>
      </c>
      <c r="U55" s="25">
        <f t="shared" si="11"/>
        <v>0</v>
      </c>
    </row>
    <row r="56" spans="1:21" x14ac:dyDescent="0.25">
      <c r="A56" s="155">
        <f t="shared" si="12"/>
        <v>3</v>
      </c>
      <c r="C56" s="79">
        <v>2.2499999999999996</v>
      </c>
      <c r="D56" s="15">
        <f>SUMPRODUCT(Business_Portfolio!D56:AM56,Business_Portfolio!$D$8:$AM$8)</f>
        <v>1.743209523856333</v>
      </c>
      <c r="E56" s="25">
        <f t="shared" si="6"/>
        <v>9.1877451920216735E-3</v>
      </c>
      <c r="F56" s="25"/>
      <c r="G56" s="154">
        <v>27</v>
      </c>
      <c r="H56" s="49">
        <f t="shared" si="3"/>
        <v>0</v>
      </c>
      <c r="I56" s="25">
        <f t="shared" si="7"/>
        <v>0</v>
      </c>
      <c r="J56" s="15">
        <f>SUMPRODUCT(Business_Portfolio!$V56:$AM56,Business_Portfolio!$V$8:$AM$8)</f>
        <v>1.6150044405556705</v>
      </c>
      <c r="K56" s="25">
        <f t="shared" si="8"/>
        <v>1.0624695830393193E-2</v>
      </c>
      <c r="L56" s="25"/>
      <c r="M56" s="154">
        <v>27</v>
      </c>
      <c r="N56" s="49">
        <f t="shared" si="4"/>
        <v>0</v>
      </c>
      <c r="O56" s="25">
        <f t="shared" si="9"/>
        <v>0</v>
      </c>
      <c r="P56" s="15">
        <f>SUMPRODUCT(Business_Portfolio!$D56:$U56,Business_Portfolio!$D$8:$U$8)</f>
        <v>0.12820508330066255</v>
      </c>
      <c r="Q56" s="25">
        <f t="shared" si="10"/>
        <v>3.3982083483728547E-3</v>
      </c>
      <c r="R56" s="25"/>
      <c r="S56" s="154">
        <v>27</v>
      </c>
      <c r="T56" s="49">
        <f t="shared" si="5"/>
        <v>0</v>
      </c>
      <c r="U56" s="25">
        <f t="shared" si="11"/>
        <v>0</v>
      </c>
    </row>
    <row r="57" spans="1:21" x14ac:dyDescent="0.25">
      <c r="A57" s="155">
        <f t="shared" si="12"/>
        <v>3</v>
      </c>
      <c r="C57" s="79">
        <v>2.333333333333333</v>
      </c>
      <c r="D57" s="15">
        <f>SUMPRODUCT(Business_Portfolio!D57:AM57,Business_Portfolio!$D$8:$AM$8)</f>
        <v>1.746528897777132</v>
      </c>
      <c r="E57" s="25">
        <f t="shared" si="6"/>
        <v>9.2052402557899569E-3</v>
      </c>
      <c r="F57" s="25"/>
      <c r="G57" s="154">
        <v>28</v>
      </c>
      <c r="H57" s="49">
        <f t="shared" si="3"/>
        <v>0</v>
      </c>
      <c r="I57" s="25">
        <f t="shared" si="7"/>
        <v>0</v>
      </c>
      <c r="J57" s="15">
        <f>SUMPRODUCT(Business_Portfolio!$V57:$AM57,Business_Portfolio!$V$8:$AM$8)</f>
        <v>1.6181646477074654</v>
      </c>
      <c r="K57" s="25">
        <f t="shared" si="8"/>
        <v>1.0645486014559684E-2</v>
      </c>
      <c r="L57" s="25"/>
      <c r="M57" s="154">
        <v>28</v>
      </c>
      <c r="N57" s="49">
        <f t="shared" si="4"/>
        <v>0</v>
      </c>
      <c r="O57" s="25">
        <f t="shared" si="9"/>
        <v>0</v>
      </c>
      <c r="P57" s="15">
        <f>SUMPRODUCT(Business_Portfolio!$D57:$U57,Business_Portfolio!$D$8:$U$8)</f>
        <v>0.12836425006966659</v>
      </c>
      <c r="Q57" s="25">
        <f t="shared" si="10"/>
        <v>3.4024272282275995E-3</v>
      </c>
      <c r="R57" s="25"/>
      <c r="S57" s="154">
        <v>28</v>
      </c>
      <c r="T57" s="49">
        <f t="shared" si="5"/>
        <v>0</v>
      </c>
      <c r="U57" s="25">
        <f t="shared" si="11"/>
        <v>0</v>
      </c>
    </row>
    <row r="58" spans="1:21" x14ac:dyDescent="0.25">
      <c r="A58" s="155">
        <f t="shared" si="12"/>
        <v>3</v>
      </c>
      <c r="C58" s="79">
        <v>2.4166666666666665</v>
      </c>
      <c r="D58" s="15">
        <f>SUMPRODUCT(Business_Portfolio!D58:AM58,Business_Portfolio!$D$8:$AM$8)</f>
        <v>1.749854596973605</v>
      </c>
      <c r="E58" s="25">
        <f t="shared" si="6"/>
        <v>9.222768657502052E-3</v>
      </c>
      <c r="F58" s="25"/>
      <c r="G58" s="154">
        <v>29</v>
      </c>
      <c r="H58" s="49">
        <f t="shared" si="3"/>
        <v>0</v>
      </c>
      <c r="I58" s="25">
        <f t="shared" si="7"/>
        <v>0</v>
      </c>
      <c r="J58" s="15">
        <f>SUMPRODUCT(Business_Portfolio!$V58:$AM58,Business_Portfolio!$V$8:$AM$8)</f>
        <v>1.6213308833524489</v>
      </c>
      <c r="K58" s="25">
        <f t="shared" si="8"/>
        <v>1.066631585862112E-2</v>
      </c>
      <c r="L58" s="25"/>
      <c r="M58" s="154">
        <v>29</v>
      </c>
      <c r="N58" s="49">
        <f t="shared" si="4"/>
        <v>0</v>
      </c>
      <c r="O58" s="25">
        <f t="shared" si="9"/>
        <v>0</v>
      </c>
      <c r="P58" s="15">
        <f>SUMPRODUCT(Business_Portfolio!$D58:$U58,Business_Portfolio!$D$8:$U$8)</f>
        <v>0.12852371362115611</v>
      </c>
      <c r="Q58" s="25">
        <f t="shared" si="10"/>
        <v>3.4066539746091143E-3</v>
      </c>
      <c r="R58" s="25"/>
      <c r="S58" s="154">
        <v>29</v>
      </c>
      <c r="T58" s="49">
        <f t="shared" si="5"/>
        <v>0</v>
      </c>
      <c r="U58" s="25">
        <f t="shared" si="11"/>
        <v>0</v>
      </c>
    </row>
    <row r="59" spans="1:21" x14ac:dyDescent="0.25">
      <c r="A59" s="155">
        <f t="shared" si="12"/>
        <v>3</v>
      </c>
      <c r="C59" s="79">
        <v>2.5</v>
      </c>
      <c r="D59" s="15">
        <f>SUMPRODUCT(Business_Portfolio!D59:AM59,Business_Portfolio!$D$8:$AM$8)</f>
        <v>3.397695365965586</v>
      </c>
      <c r="E59" s="25">
        <f t="shared" si="6"/>
        <v>1.7907864106631283E-2</v>
      </c>
      <c r="F59" s="25"/>
      <c r="G59" s="154">
        <v>30</v>
      </c>
      <c r="H59" s="49">
        <f t="shared" si="3"/>
        <v>0</v>
      </c>
      <c r="I59" s="25">
        <f t="shared" si="7"/>
        <v>0</v>
      </c>
      <c r="J59" s="15">
        <f>SUMPRODUCT(Business_Portfolio!$V59:$AM59,Business_Portfolio!$V$8:$AM$8)</f>
        <v>3.0074219832188227</v>
      </c>
      <c r="K59" s="25">
        <f t="shared" si="8"/>
        <v>1.9785050123047269E-2</v>
      </c>
      <c r="L59" s="25"/>
      <c r="M59" s="154">
        <v>30</v>
      </c>
      <c r="N59" s="49">
        <f t="shared" si="4"/>
        <v>0</v>
      </c>
      <c r="O59" s="25">
        <f t="shared" si="9"/>
        <v>0</v>
      </c>
      <c r="P59" s="15">
        <f>SUMPRODUCT(Business_Portfolio!$D59:$U59,Business_Portfolio!$D$8:$U$8)</f>
        <v>0.39027338274676326</v>
      </c>
      <c r="Q59" s="25">
        <f t="shared" si="10"/>
        <v>1.0344599708948604E-2</v>
      </c>
      <c r="R59" s="25"/>
      <c r="S59" s="154">
        <v>30</v>
      </c>
      <c r="T59" s="49">
        <f t="shared" si="5"/>
        <v>0</v>
      </c>
      <c r="U59" s="25">
        <f t="shared" si="11"/>
        <v>0</v>
      </c>
    </row>
    <row r="60" spans="1:21" x14ac:dyDescent="0.25">
      <c r="A60" s="155">
        <f t="shared" si="12"/>
        <v>3</v>
      </c>
      <c r="C60" s="79">
        <v>2.5833333333333335</v>
      </c>
      <c r="D60" s="15">
        <f>SUMPRODUCT(Business_Portfolio!D60:AM60,Business_Portfolio!$D$8:$AM$8)</f>
        <v>3.3962819254473557</v>
      </c>
      <c r="E60" s="25">
        <f t="shared" si="6"/>
        <v>1.7900414439137011E-2</v>
      </c>
      <c r="F60" s="25"/>
      <c r="G60" s="154">
        <v>31</v>
      </c>
      <c r="H60" s="49">
        <f t="shared" si="3"/>
        <v>0</v>
      </c>
      <c r="I60" s="25">
        <f t="shared" si="7"/>
        <v>0</v>
      </c>
      <c r="J60" s="15">
        <f>SUMPRODUCT(Business_Portfolio!$V60:$AM60,Business_Portfolio!$V$8:$AM$8)</f>
        <v>3.0061187538894427</v>
      </c>
      <c r="K60" s="25">
        <f t="shared" si="8"/>
        <v>1.9776476514904651E-2</v>
      </c>
      <c r="L60" s="25"/>
      <c r="M60" s="154">
        <v>31</v>
      </c>
      <c r="N60" s="49">
        <f t="shared" si="4"/>
        <v>0</v>
      </c>
      <c r="O60" s="25">
        <f t="shared" si="9"/>
        <v>0</v>
      </c>
      <c r="P60" s="15">
        <f>SUMPRODUCT(Business_Portfolio!$D60:$U60,Business_Portfolio!$D$8:$U$8)</f>
        <v>0.39016317155791258</v>
      </c>
      <c r="Q60" s="25">
        <f t="shared" si="10"/>
        <v>1.0341678447385533E-2</v>
      </c>
      <c r="R60" s="25"/>
      <c r="S60" s="154">
        <v>31</v>
      </c>
      <c r="T60" s="49">
        <f t="shared" si="5"/>
        <v>0</v>
      </c>
      <c r="U60" s="25">
        <f t="shared" si="11"/>
        <v>0</v>
      </c>
    </row>
    <row r="61" spans="1:21" x14ac:dyDescent="0.25">
      <c r="A61" s="155">
        <f t="shared" si="12"/>
        <v>3</v>
      </c>
      <c r="C61" s="79">
        <v>2.666666666666667</v>
      </c>
      <c r="D61" s="15">
        <f>SUMPRODUCT(Business_Portfolio!D61:AM61,Business_Portfolio!$D$8:$AM$8)</f>
        <v>3.3948677011861177</v>
      </c>
      <c r="E61" s="25">
        <f t="shared" si="6"/>
        <v>1.789296064085355E-2</v>
      </c>
      <c r="F61" s="25"/>
      <c r="G61" s="154">
        <v>32</v>
      </c>
      <c r="H61" s="49">
        <f t="shared" si="3"/>
        <v>0</v>
      </c>
      <c r="I61" s="25">
        <f t="shared" si="7"/>
        <v>0</v>
      </c>
      <c r="J61" s="15">
        <f>SUMPRODUCT(Business_Portfolio!$V61:$AM61,Business_Portfolio!$V$8:$AM$8)</f>
        <v>3.0048145376716588</v>
      </c>
      <c r="K61" s="25">
        <f t="shared" si="8"/>
        <v>1.9767896414278889E-2</v>
      </c>
      <c r="L61" s="25"/>
      <c r="M61" s="154">
        <v>32</v>
      </c>
      <c r="N61" s="49">
        <f t="shared" si="4"/>
        <v>0</v>
      </c>
      <c r="O61" s="25">
        <f t="shared" si="9"/>
        <v>0</v>
      </c>
      <c r="P61" s="15">
        <f>SUMPRODUCT(Business_Portfolio!$D61:$U61,Business_Portfolio!$D$8:$U$8)</f>
        <v>0.39005316351445835</v>
      </c>
      <c r="Q61" s="25">
        <f t="shared" si="10"/>
        <v>1.033876257040133E-2</v>
      </c>
      <c r="R61" s="25"/>
      <c r="S61" s="154">
        <v>32</v>
      </c>
      <c r="T61" s="49">
        <f t="shared" si="5"/>
        <v>0</v>
      </c>
      <c r="U61" s="25">
        <f t="shared" si="11"/>
        <v>0</v>
      </c>
    </row>
    <row r="62" spans="1:21" x14ac:dyDescent="0.25">
      <c r="A62" s="155">
        <f t="shared" si="12"/>
        <v>3</v>
      </c>
      <c r="C62" s="79">
        <v>2.7500000000000004</v>
      </c>
      <c r="D62" s="15">
        <f>SUMPRODUCT(Business_Portfolio!D62:AM62,Business_Portfolio!$D$8:$AM$8)</f>
        <v>3.3934526899091311</v>
      </c>
      <c r="E62" s="25">
        <f t="shared" si="6"/>
        <v>1.7885502694531628E-2</v>
      </c>
      <c r="F62" s="25"/>
      <c r="G62" s="154">
        <v>33</v>
      </c>
      <c r="H62" s="49">
        <f t="shared" si="3"/>
        <v>0</v>
      </c>
      <c r="I62" s="25">
        <f t="shared" si="7"/>
        <v>0</v>
      </c>
      <c r="J62" s="15">
        <f>SUMPRODUCT(Business_Portfolio!$V62:$AM62,Business_Portfolio!$V$8:$AM$8)</f>
        <v>3.0035093309094769</v>
      </c>
      <c r="K62" s="25">
        <f t="shared" si="8"/>
        <v>1.9759309797118145E-2</v>
      </c>
      <c r="L62" s="25"/>
      <c r="M62" s="154">
        <v>33</v>
      </c>
      <c r="N62" s="49">
        <f t="shared" si="4"/>
        <v>0</v>
      </c>
      <c r="O62" s="25">
        <f t="shared" si="9"/>
        <v>0</v>
      </c>
      <c r="P62" s="15">
        <f>SUMPRODUCT(Business_Portfolio!$D62:$U62,Business_Portfolio!$D$8:$U$8)</f>
        <v>0.38994335899965427</v>
      </c>
      <c r="Q62" s="25">
        <f t="shared" si="10"/>
        <v>1.0335852088154528E-2</v>
      </c>
      <c r="R62" s="25"/>
      <c r="S62" s="154">
        <v>33</v>
      </c>
      <c r="T62" s="49">
        <f t="shared" si="5"/>
        <v>0</v>
      </c>
      <c r="U62" s="25">
        <f t="shared" si="11"/>
        <v>0</v>
      </c>
    </row>
    <row r="63" spans="1:21" x14ac:dyDescent="0.25">
      <c r="A63" s="155">
        <f t="shared" si="12"/>
        <v>3</v>
      </c>
      <c r="C63" s="79">
        <v>2.8333333333333339</v>
      </c>
      <c r="D63" s="15">
        <f>SUMPRODUCT(Business_Portfolio!D63:AM63,Business_Portfolio!$D$8:$AM$8)</f>
        <v>3.3920368883348302</v>
      </c>
      <c r="E63" s="25">
        <f t="shared" si="6"/>
        <v>1.787804058287544E-2</v>
      </c>
      <c r="F63" s="25"/>
      <c r="G63" s="154">
        <v>34</v>
      </c>
      <c r="H63" s="49">
        <f t="shared" si="3"/>
        <v>0</v>
      </c>
      <c r="I63" s="25">
        <f t="shared" si="7"/>
        <v>0</v>
      </c>
      <c r="J63" s="15">
        <f>SUMPRODUCT(Business_Portfolio!$V63:$AM63,Business_Portfolio!$V$8:$AM$8)</f>
        <v>3.002203129937187</v>
      </c>
      <c r="K63" s="25">
        <f t="shared" si="8"/>
        <v>1.9750716639306658E-2</v>
      </c>
      <c r="L63" s="25"/>
      <c r="M63" s="154">
        <v>34</v>
      </c>
      <c r="N63" s="49">
        <f t="shared" si="4"/>
        <v>0</v>
      </c>
      <c r="O63" s="25">
        <f t="shared" si="9"/>
        <v>0</v>
      </c>
      <c r="P63" s="15">
        <f>SUMPRODUCT(Business_Portfolio!$D63:$U63,Business_Portfolio!$D$8:$U$8)</f>
        <v>0.38983375839764273</v>
      </c>
      <c r="Q63" s="25">
        <f t="shared" si="10"/>
        <v>1.0332947010827221E-2</v>
      </c>
      <c r="R63" s="25"/>
      <c r="S63" s="154">
        <v>34</v>
      </c>
      <c r="T63" s="49">
        <f t="shared" si="5"/>
        <v>0</v>
      </c>
      <c r="U63" s="25">
        <f t="shared" si="11"/>
        <v>0</v>
      </c>
    </row>
    <row r="64" spans="1:21" x14ac:dyDescent="0.25">
      <c r="A64" s="155">
        <f t="shared" si="12"/>
        <v>3</v>
      </c>
      <c r="C64" s="79">
        <v>2.9166666666666674</v>
      </c>
      <c r="D64" s="15">
        <f>SUMPRODUCT(Business_Portfolio!D64:AM64,Business_Portfolio!$D$8:$AM$8)</f>
        <v>3.3906202931731646</v>
      </c>
      <c r="E64" s="25">
        <f t="shared" si="6"/>
        <v>1.7870574288544487E-2</v>
      </c>
      <c r="F64" s="25"/>
      <c r="G64" s="154">
        <v>35</v>
      </c>
      <c r="H64" s="49">
        <f t="shared" si="3"/>
        <v>0</v>
      </c>
      <c r="I64" s="25">
        <f t="shared" si="7"/>
        <v>0</v>
      </c>
      <c r="J64" s="15">
        <f>SUMPRODUCT(Business_Portfolio!$V64:$AM64,Business_Portfolio!$V$8:$AM$8)</f>
        <v>3.0008959310800276</v>
      </c>
      <c r="K64" s="25">
        <f t="shared" si="8"/>
        <v>1.974211691666913E-2</v>
      </c>
      <c r="L64" s="25"/>
      <c r="M64" s="154">
        <v>35</v>
      </c>
      <c r="N64" s="49">
        <f t="shared" si="4"/>
        <v>0</v>
      </c>
      <c r="O64" s="25">
        <f t="shared" si="9"/>
        <v>0</v>
      </c>
      <c r="P64" s="15">
        <f>SUMPRODUCT(Business_Portfolio!$D64:$U64,Business_Portfolio!$D$8:$U$8)</f>
        <v>0.38972436209313743</v>
      </c>
      <c r="Q64" s="25">
        <f t="shared" si="10"/>
        <v>1.0330047348616643E-2</v>
      </c>
      <c r="R64" s="25"/>
      <c r="S64" s="154">
        <v>35</v>
      </c>
      <c r="T64" s="49">
        <f t="shared" si="5"/>
        <v>0</v>
      </c>
      <c r="U64" s="25">
        <f t="shared" si="11"/>
        <v>0</v>
      </c>
    </row>
    <row r="65" spans="1:21" x14ac:dyDescent="0.25">
      <c r="A65" s="155">
        <f t="shared" si="12"/>
        <v>3</v>
      </c>
      <c r="C65" s="79">
        <v>3.0000000000000009</v>
      </c>
      <c r="D65" s="15">
        <f>SUMPRODUCT(Business_Portfolio!D65:AM65,Business_Portfolio!$D$8:$AM$8)</f>
        <v>3.3892029011265485</v>
      </c>
      <c r="E65" s="25">
        <f t="shared" si="6"/>
        <v>1.7863103794158536E-2</v>
      </c>
      <c r="F65" s="25"/>
      <c r="G65" s="154">
        <v>36</v>
      </c>
      <c r="H65" s="49">
        <f t="shared" si="3"/>
        <v>0</v>
      </c>
      <c r="I65" s="25">
        <f t="shared" si="7"/>
        <v>0</v>
      </c>
      <c r="J65" s="15">
        <f>SUMPRODUCT(Business_Portfolio!$V65:$AM65,Business_Portfolio!$V$8:$AM$8)</f>
        <v>2.9995877306546506</v>
      </c>
      <c r="K65" s="25">
        <f t="shared" si="8"/>
        <v>1.9733510604973765E-2</v>
      </c>
      <c r="L65" s="25"/>
      <c r="M65" s="154">
        <v>36</v>
      </c>
      <c r="N65" s="49">
        <f t="shared" si="4"/>
        <v>0</v>
      </c>
      <c r="O65" s="25">
        <f t="shared" si="9"/>
        <v>0</v>
      </c>
      <c r="P65" s="15">
        <f>SUMPRODUCT(Business_Portfolio!$D65:$U65,Business_Portfolio!$D$8:$U$8)</f>
        <v>0.38961517047189798</v>
      </c>
      <c r="Q65" s="25">
        <f t="shared" si="10"/>
        <v>1.0327153111747749E-2</v>
      </c>
      <c r="R65" s="25"/>
      <c r="S65" s="154">
        <v>36</v>
      </c>
      <c r="T65" s="49">
        <f t="shared" si="5"/>
        <v>0</v>
      </c>
      <c r="U65" s="25">
        <f t="shared" si="11"/>
        <v>0</v>
      </c>
    </row>
    <row r="66" spans="1:21" x14ac:dyDescent="0.25">
      <c r="A66" s="155">
        <f t="shared" si="12"/>
        <v>4</v>
      </c>
      <c r="C66" s="79">
        <v>3.0833333333333344</v>
      </c>
      <c r="D66" s="15">
        <f>SUMPRODUCT(Business_Portfolio!D66:AM66,Business_Portfolio!$D$8:$AM$8)</f>
        <v>3.5573310653608012</v>
      </c>
      <c r="E66" s="25">
        <f t="shared" si="6"/>
        <v>1.8749238657149333E-2</v>
      </c>
      <c r="F66" s="25"/>
      <c r="G66" s="154">
        <v>37</v>
      </c>
      <c r="H66" s="49">
        <f t="shared" si="3"/>
        <v>0</v>
      </c>
      <c r="I66" s="25">
        <f t="shared" si="7"/>
        <v>0</v>
      </c>
      <c r="J66" s="15">
        <f>SUMPRODUCT(Business_Portfolio!$V66:$AM66,Business_Portfolio!$V$8:$AM$8)</f>
        <v>3.1348122297907492</v>
      </c>
      <c r="K66" s="25">
        <f t="shared" si="8"/>
        <v>2.0623117553450011E-2</v>
      </c>
      <c r="L66" s="25"/>
      <c r="M66" s="154">
        <v>37</v>
      </c>
      <c r="N66" s="49">
        <f t="shared" si="4"/>
        <v>0</v>
      </c>
      <c r="O66" s="25">
        <f t="shared" si="9"/>
        <v>0</v>
      </c>
      <c r="P66" s="15">
        <f>SUMPRODUCT(Business_Portfolio!$D66:$U66,Business_Portfolio!$D$8:$U$8)</f>
        <v>0.42251883557005221</v>
      </c>
      <c r="Q66" s="25">
        <f t="shared" si="10"/>
        <v>1.1199298790764162E-2</v>
      </c>
      <c r="R66" s="25"/>
      <c r="S66" s="154">
        <v>37</v>
      </c>
      <c r="T66" s="49">
        <f t="shared" si="5"/>
        <v>0</v>
      </c>
      <c r="U66" s="25">
        <f t="shared" si="11"/>
        <v>0</v>
      </c>
    </row>
    <row r="67" spans="1:21" x14ac:dyDescent="0.25">
      <c r="A67" s="155">
        <f t="shared" si="12"/>
        <v>4</v>
      </c>
      <c r="C67" s="79">
        <v>3.1666666666666679</v>
      </c>
      <c r="D67" s="15">
        <f>SUMPRODUCT(Business_Portfolio!D67:AM67,Business_Portfolio!$D$8:$AM$8)</f>
        <v>3.5560001038527962</v>
      </c>
      <c r="E67" s="25">
        <f t="shared" si="6"/>
        <v>1.8742223702820214E-2</v>
      </c>
      <c r="F67" s="25"/>
      <c r="G67" s="154">
        <v>38</v>
      </c>
      <c r="H67" s="49">
        <f t="shared" si="3"/>
        <v>0</v>
      </c>
      <c r="I67" s="25">
        <f t="shared" si="7"/>
        <v>0</v>
      </c>
      <c r="J67" s="15">
        <f>SUMPRODUCT(Business_Portfolio!$V67:$AM67,Business_Portfolio!$V$8:$AM$8)</f>
        <v>3.1336352849112581</v>
      </c>
      <c r="K67" s="25">
        <f t="shared" si="8"/>
        <v>2.0615374737987885E-2</v>
      </c>
      <c r="L67" s="25"/>
      <c r="M67" s="154">
        <v>38</v>
      </c>
      <c r="N67" s="49">
        <f t="shared" si="4"/>
        <v>0</v>
      </c>
      <c r="O67" s="25">
        <f t="shared" si="9"/>
        <v>0</v>
      </c>
      <c r="P67" s="15">
        <f>SUMPRODUCT(Business_Portfolio!$D67:$U67,Business_Portfolio!$D$8:$U$8)</f>
        <v>0.42236481894153838</v>
      </c>
      <c r="Q67" s="25">
        <f t="shared" si="10"/>
        <v>1.1195216420710422E-2</v>
      </c>
      <c r="R67" s="25"/>
      <c r="S67" s="154">
        <v>38</v>
      </c>
      <c r="T67" s="49">
        <f t="shared" si="5"/>
        <v>0</v>
      </c>
      <c r="U67" s="25">
        <f t="shared" si="11"/>
        <v>0</v>
      </c>
    </row>
    <row r="68" spans="1:21" x14ac:dyDescent="0.25">
      <c r="A68" s="155">
        <f t="shared" si="12"/>
        <v>4</v>
      </c>
      <c r="C68" s="79">
        <v>3.2500000000000013</v>
      </c>
      <c r="D68" s="15">
        <f>SUMPRODUCT(Business_Portfolio!D68:AM68,Business_Portfolio!$D$8:$AM$8)</f>
        <v>3.554668391263279</v>
      </c>
      <c r="E68" s="25">
        <f t="shared" si="6"/>
        <v>1.8735204789847307E-2</v>
      </c>
      <c r="F68" s="25"/>
      <c r="G68" s="154">
        <v>39</v>
      </c>
      <c r="H68" s="49">
        <f t="shared" si="3"/>
        <v>0</v>
      </c>
      <c r="I68" s="25">
        <f t="shared" si="7"/>
        <v>0</v>
      </c>
      <c r="J68" s="15">
        <f>SUMPRODUCT(Business_Portfolio!$V68:$AM68,Business_Portfolio!$V$8:$AM$8)</f>
        <v>3.1324574429051695</v>
      </c>
      <c r="K68" s="25">
        <f t="shared" si="8"/>
        <v>2.0607626020562288E-2</v>
      </c>
      <c r="L68" s="25"/>
      <c r="M68" s="154">
        <v>39</v>
      </c>
      <c r="N68" s="49">
        <f t="shared" si="4"/>
        <v>0</v>
      </c>
      <c r="O68" s="25">
        <f t="shared" si="9"/>
        <v>0</v>
      </c>
      <c r="P68" s="15">
        <f>SUMPRODUCT(Business_Portfolio!$D68:$U68,Business_Portfolio!$D$8:$U$8)</f>
        <v>0.42221094835810902</v>
      </c>
      <c r="Q68" s="25">
        <f t="shared" si="10"/>
        <v>1.1191137921732715E-2</v>
      </c>
      <c r="R68" s="25"/>
      <c r="S68" s="154">
        <v>39</v>
      </c>
      <c r="T68" s="49">
        <f t="shared" si="5"/>
        <v>0</v>
      </c>
      <c r="U68" s="25">
        <f t="shared" si="11"/>
        <v>0</v>
      </c>
    </row>
    <row r="69" spans="1:21" x14ac:dyDescent="0.25">
      <c r="A69" s="155">
        <f t="shared" si="12"/>
        <v>4</v>
      </c>
      <c r="C69" s="79">
        <v>3.3333333333333348</v>
      </c>
      <c r="D69" s="15">
        <f>SUMPRODUCT(Business_Portfolio!D69:AM69,Business_Portfolio!$D$8:$AM$8)</f>
        <v>3.5533359239045827</v>
      </c>
      <c r="E69" s="25">
        <f t="shared" si="6"/>
        <v>1.8728181898794424E-2</v>
      </c>
      <c r="F69" s="25"/>
      <c r="G69" s="154">
        <v>40</v>
      </c>
      <c r="H69" s="49">
        <f t="shared" si="3"/>
        <v>0</v>
      </c>
      <c r="I69" s="25">
        <f t="shared" si="7"/>
        <v>0</v>
      </c>
      <c r="J69" s="15">
        <f>SUMPRODUCT(Business_Portfolio!$V69:$AM69,Business_Portfolio!$V$8:$AM$8)</f>
        <v>3.1312786997965478</v>
      </c>
      <c r="K69" s="25">
        <f t="shared" si="8"/>
        <v>2.0599871375016565E-2</v>
      </c>
      <c r="L69" s="25"/>
      <c r="M69" s="154">
        <v>40</v>
      </c>
      <c r="N69" s="49">
        <f t="shared" si="4"/>
        <v>0</v>
      </c>
      <c r="O69" s="25">
        <f t="shared" si="9"/>
        <v>0</v>
      </c>
      <c r="P69" s="15">
        <f>SUMPRODUCT(Business_Portfolio!$D69:$U69,Business_Portfolio!$D$8:$U$8)</f>
        <v>0.42205722410803476</v>
      </c>
      <c r="Q69" s="25">
        <f t="shared" si="10"/>
        <v>1.1187063301471952E-2</v>
      </c>
      <c r="R69" s="25"/>
      <c r="S69" s="154">
        <v>40</v>
      </c>
      <c r="T69" s="49">
        <f t="shared" si="5"/>
        <v>0</v>
      </c>
      <c r="U69" s="25">
        <f t="shared" si="11"/>
        <v>0</v>
      </c>
    </row>
    <row r="70" spans="1:21" x14ac:dyDescent="0.25">
      <c r="A70" s="155">
        <f t="shared" si="12"/>
        <v>4</v>
      </c>
      <c r="C70" s="79">
        <v>3.4166666666666683</v>
      </c>
      <c r="D70" s="15">
        <f>SUMPRODUCT(Business_Portfolio!D70:AM70,Business_Portfolio!$D$8:$AM$8)</f>
        <v>3.5520026980772657</v>
      </c>
      <c r="E70" s="25">
        <f t="shared" si="6"/>
        <v>1.8721155010163325E-2</v>
      </c>
      <c r="F70" s="25"/>
      <c r="G70" s="154">
        <v>41</v>
      </c>
      <c r="H70" s="49">
        <f t="shared" si="3"/>
        <v>0</v>
      </c>
      <c r="I70" s="25">
        <f t="shared" si="7"/>
        <v>0</v>
      </c>
      <c r="J70" s="15">
        <f>SUMPRODUCT(Business_Portfolio!$V70:$AM70,Business_Portfolio!$V$8:$AM$8)</f>
        <v>3.1300990515974307</v>
      </c>
      <c r="K70" s="25">
        <f t="shared" si="8"/>
        <v>2.0592110775114948E-2</v>
      </c>
      <c r="L70" s="25"/>
      <c r="M70" s="154">
        <v>41</v>
      </c>
      <c r="N70" s="49">
        <f t="shared" si="4"/>
        <v>0</v>
      </c>
      <c r="O70" s="25">
        <f t="shared" si="9"/>
        <v>0</v>
      </c>
      <c r="P70" s="15">
        <f>SUMPRODUCT(Business_Portfolio!$D70:$U70,Business_Portfolio!$D$8:$U$8)</f>
        <v>0.42190364647983464</v>
      </c>
      <c r="Q70" s="25">
        <f t="shared" si="10"/>
        <v>1.1182992567575628E-2</v>
      </c>
      <c r="R70" s="25"/>
      <c r="S70" s="154">
        <v>41</v>
      </c>
      <c r="T70" s="49">
        <f t="shared" si="5"/>
        <v>0</v>
      </c>
      <c r="U70" s="25">
        <f t="shared" si="11"/>
        <v>0</v>
      </c>
    </row>
    <row r="71" spans="1:21" x14ac:dyDescent="0.25">
      <c r="A71" s="155">
        <f t="shared" si="12"/>
        <v>4</v>
      </c>
      <c r="C71" s="79">
        <v>3.5000000000000018</v>
      </c>
      <c r="D71" s="15">
        <f>SUMPRODUCT(Business_Portfolio!D71:AM71,Business_Portfolio!$D$8:$AM$8)</f>
        <v>3.546140693171111</v>
      </c>
      <c r="E71" s="25">
        <f t="shared" si="6"/>
        <v>1.8690258777292256E-2</v>
      </c>
      <c r="F71" s="25"/>
      <c r="G71" s="154">
        <v>42</v>
      </c>
      <c r="H71" s="49">
        <f t="shared" si="3"/>
        <v>0</v>
      </c>
      <c r="I71" s="25">
        <f t="shared" si="7"/>
        <v>0</v>
      </c>
      <c r="J71" s="15">
        <f>SUMPRODUCT(Business_Portfolio!$V71:$AM71,Business_Portfolio!$V$8:$AM$8)</f>
        <v>3.1251576066855602</v>
      </c>
      <c r="K71" s="25">
        <f t="shared" si="8"/>
        <v>2.0559602289173445E-2</v>
      </c>
      <c r="L71" s="25"/>
      <c r="M71" s="154">
        <v>42</v>
      </c>
      <c r="N71" s="49">
        <f t="shared" si="4"/>
        <v>0</v>
      </c>
      <c r="O71" s="25">
        <f t="shared" si="9"/>
        <v>0</v>
      </c>
      <c r="P71" s="15">
        <f>SUMPRODUCT(Business_Portfolio!$D71:$U71,Business_Portfolio!$D$8:$U$8)</f>
        <v>0.42098308648555088</v>
      </c>
      <c r="Q71" s="25">
        <f t="shared" si="10"/>
        <v>1.1158592172698798E-2</v>
      </c>
      <c r="R71" s="25"/>
      <c r="S71" s="154">
        <v>42</v>
      </c>
      <c r="T71" s="49">
        <f t="shared" si="5"/>
        <v>0</v>
      </c>
      <c r="U71" s="25">
        <f t="shared" si="11"/>
        <v>0</v>
      </c>
    </row>
    <row r="72" spans="1:21" x14ac:dyDescent="0.25">
      <c r="A72" s="155">
        <f t="shared" si="12"/>
        <v>4</v>
      </c>
      <c r="C72" s="79">
        <v>3.5833333333333353</v>
      </c>
      <c r="D72" s="15">
        <f>SUMPRODUCT(Business_Portfolio!D72:AM72,Business_Portfolio!$D$8:$AM$8)</f>
        <v>3.5448249219058496</v>
      </c>
      <c r="E72" s="25">
        <f t="shared" si="6"/>
        <v>1.8683323884526492E-2</v>
      </c>
      <c r="F72" s="25"/>
      <c r="G72" s="154">
        <v>43</v>
      </c>
      <c r="H72" s="49">
        <f t="shared" si="3"/>
        <v>0</v>
      </c>
      <c r="I72" s="25">
        <f t="shared" si="7"/>
        <v>0</v>
      </c>
      <c r="J72" s="15">
        <f>SUMPRODUCT(Business_Portfolio!$V72:$AM72,Business_Portfolio!$V$8:$AM$8)</f>
        <v>3.1239930231341679</v>
      </c>
      <c r="K72" s="25">
        <f t="shared" si="8"/>
        <v>2.0551940795686549E-2</v>
      </c>
      <c r="L72" s="25"/>
      <c r="M72" s="154">
        <v>43</v>
      </c>
      <c r="N72" s="49">
        <f t="shared" si="4"/>
        <v>0</v>
      </c>
      <c r="O72" s="25">
        <f t="shared" si="9"/>
        <v>0</v>
      </c>
      <c r="P72" s="15">
        <f>SUMPRODUCT(Business_Portfolio!$D72:$U72,Business_Portfolio!$D$8:$U$8)</f>
        <v>0.42083189877168264</v>
      </c>
      <c r="Q72" s="25">
        <f t="shared" si="10"/>
        <v>1.1154584785953971E-2</v>
      </c>
      <c r="R72" s="25"/>
      <c r="S72" s="154">
        <v>43</v>
      </c>
      <c r="T72" s="49">
        <f t="shared" si="5"/>
        <v>0</v>
      </c>
      <c r="U72" s="25">
        <f t="shared" si="11"/>
        <v>0</v>
      </c>
    </row>
    <row r="73" spans="1:21" x14ac:dyDescent="0.25">
      <c r="A73" s="155">
        <f t="shared" si="12"/>
        <v>4</v>
      </c>
      <c r="C73" s="79">
        <v>3.6666666666666687</v>
      </c>
      <c r="D73" s="15">
        <f>SUMPRODUCT(Business_Portfolio!D73:AM73,Business_Portfolio!$D$8:$AM$8)</f>
        <v>3.5435083934166074</v>
      </c>
      <c r="E73" s="25">
        <f t="shared" si="6"/>
        <v>1.8676385000742493E-2</v>
      </c>
      <c r="F73" s="25"/>
      <c r="G73" s="154">
        <v>44</v>
      </c>
      <c r="H73" s="49">
        <f t="shared" si="3"/>
        <v>0</v>
      </c>
      <c r="I73" s="25">
        <f t="shared" si="7"/>
        <v>0</v>
      </c>
      <c r="J73" s="15">
        <f>SUMPRODUCT(Business_Portfolio!$V73:$AM73,Business_Portfolio!$V$8:$AM$8)</f>
        <v>3.1228275358244995</v>
      </c>
      <c r="K73" s="25">
        <f t="shared" si="8"/>
        <v>2.0544273356608085E-2</v>
      </c>
      <c r="L73" s="25"/>
      <c r="M73" s="154">
        <v>44</v>
      </c>
      <c r="N73" s="49">
        <f t="shared" si="4"/>
        <v>0</v>
      </c>
      <c r="O73" s="25">
        <f t="shared" si="9"/>
        <v>0</v>
      </c>
      <c r="P73" s="15">
        <f>SUMPRODUCT(Business_Portfolio!$D73:$U73,Business_Portfolio!$D$8:$U$8)</f>
        <v>0.42068085759210738</v>
      </c>
      <c r="Q73" s="25">
        <f t="shared" si="10"/>
        <v>1.1150581283252156E-2</v>
      </c>
      <c r="R73" s="25"/>
      <c r="S73" s="154">
        <v>44</v>
      </c>
      <c r="T73" s="49">
        <f t="shared" si="5"/>
        <v>0</v>
      </c>
      <c r="U73" s="25">
        <f t="shared" si="11"/>
        <v>0</v>
      </c>
    </row>
    <row r="74" spans="1:21" x14ac:dyDescent="0.25">
      <c r="A74" s="155">
        <f t="shared" si="12"/>
        <v>4</v>
      </c>
      <c r="C74" s="79">
        <v>3.7500000000000022</v>
      </c>
      <c r="D74" s="15">
        <f>SUMPRODUCT(Business_Portfolio!D74:AM74,Business_Portfolio!$D$8:$AM$8)</f>
        <v>3.5421911040114966</v>
      </c>
      <c r="E74" s="25">
        <f t="shared" si="6"/>
        <v>1.8669442106481835E-2</v>
      </c>
      <c r="F74" s="25"/>
      <c r="G74" s="154">
        <v>45</v>
      </c>
      <c r="H74" s="49">
        <f t="shared" si="3"/>
        <v>0</v>
      </c>
      <c r="I74" s="25">
        <f t="shared" si="7"/>
        <v>0</v>
      </c>
      <c r="J74" s="15">
        <f>SUMPRODUCT(Business_Portfolio!$V74:$AM74,Business_Portfolio!$V$8:$AM$8)</f>
        <v>3.1216611407701316</v>
      </c>
      <c r="K74" s="25">
        <f t="shared" si="8"/>
        <v>2.0536599945712403E-2</v>
      </c>
      <c r="L74" s="25"/>
      <c r="M74" s="154">
        <v>45</v>
      </c>
      <c r="N74" s="49">
        <f t="shared" si="4"/>
        <v>0</v>
      </c>
      <c r="O74" s="25">
        <f t="shared" si="9"/>
        <v>0</v>
      </c>
      <c r="P74" s="15">
        <f>SUMPRODUCT(Business_Portfolio!$D74:$U74,Business_Portfolio!$D$8:$U$8)</f>
        <v>0.42052996324136405</v>
      </c>
      <c r="Q74" s="25">
        <f t="shared" si="10"/>
        <v>1.1146581672400409E-2</v>
      </c>
      <c r="R74" s="25"/>
      <c r="S74" s="154">
        <v>45</v>
      </c>
      <c r="T74" s="49">
        <f t="shared" si="5"/>
        <v>0</v>
      </c>
      <c r="U74" s="25">
        <f t="shared" si="11"/>
        <v>0</v>
      </c>
    </row>
    <row r="75" spans="1:21" x14ac:dyDescent="0.25">
      <c r="A75" s="155">
        <f t="shared" si="12"/>
        <v>4</v>
      </c>
      <c r="C75" s="79">
        <v>3.8333333333333357</v>
      </c>
      <c r="D75" s="15">
        <f>SUMPRODUCT(Business_Portfolio!D75:AM75,Business_Portfolio!$D$8:$AM$8)</f>
        <v>3.5408730499892642</v>
      </c>
      <c r="E75" s="25">
        <f t="shared" si="6"/>
        <v>1.866249518223672E-2</v>
      </c>
      <c r="F75" s="25"/>
      <c r="G75" s="154">
        <v>46</v>
      </c>
      <c r="H75" s="49">
        <f t="shared" si="3"/>
        <v>0</v>
      </c>
      <c r="I75" s="25">
        <f t="shared" si="7"/>
        <v>0</v>
      </c>
      <c r="J75" s="15">
        <f>SUMPRODUCT(Business_Portfolio!$V75:$AM75,Business_Portfolio!$V$8:$AM$8)</f>
        <v>3.1204938339745589</v>
      </c>
      <c r="K75" s="25">
        <f t="shared" si="8"/>
        <v>2.0528920536707532E-2</v>
      </c>
      <c r="L75" s="25"/>
      <c r="M75" s="154">
        <v>46</v>
      </c>
      <c r="N75" s="49">
        <f t="shared" si="4"/>
        <v>0</v>
      </c>
      <c r="O75" s="25">
        <f t="shared" si="9"/>
        <v>0</v>
      </c>
      <c r="P75" s="15">
        <f>SUMPRODUCT(Business_Portfolio!$D75:$U75,Business_Portfolio!$D$8:$U$8)</f>
        <v>0.42037921601470524</v>
      </c>
      <c r="Q75" s="25">
        <f t="shared" si="10"/>
        <v>1.1142585961224709E-2</v>
      </c>
      <c r="R75" s="25"/>
      <c r="S75" s="154">
        <v>46</v>
      </c>
      <c r="T75" s="49">
        <f t="shared" si="5"/>
        <v>0</v>
      </c>
      <c r="U75" s="25">
        <f t="shared" si="11"/>
        <v>0</v>
      </c>
    </row>
    <row r="76" spans="1:21" x14ac:dyDescent="0.25">
      <c r="A76" s="155">
        <f t="shared" si="12"/>
        <v>4</v>
      </c>
      <c r="C76" s="79">
        <v>3.9166666666666692</v>
      </c>
      <c r="D76" s="15">
        <f>SUMPRODUCT(Business_Portfolio!D76:AM76,Business_Portfolio!$D$8:$AM$8)</f>
        <v>3.5395542276375775</v>
      </c>
      <c r="E76" s="25">
        <f t="shared" si="6"/>
        <v>1.8655544208440965E-2</v>
      </c>
      <c r="F76" s="25"/>
      <c r="G76" s="154">
        <v>47</v>
      </c>
      <c r="H76" s="49">
        <f t="shared" si="3"/>
        <v>0</v>
      </c>
      <c r="I76" s="25">
        <f t="shared" si="7"/>
        <v>0</v>
      </c>
      <c r="J76" s="15">
        <f>SUMPRODUCT(Business_Portfolio!$V76:$AM76,Business_Portfolio!$V$8:$AM$8)</f>
        <v>3.1193256114295176</v>
      </c>
      <c r="K76" s="25">
        <f t="shared" si="8"/>
        <v>2.0521235103224143E-2</v>
      </c>
      <c r="L76" s="25"/>
      <c r="M76" s="154">
        <v>47</v>
      </c>
      <c r="N76" s="49">
        <f t="shared" si="4"/>
        <v>0</v>
      </c>
      <c r="O76" s="25">
        <f t="shared" si="9"/>
        <v>0</v>
      </c>
      <c r="P76" s="15">
        <f>SUMPRODUCT(Business_Portfolio!$D76:$U76,Business_Portfolio!$D$8:$U$8)</f>
        <v>0.42022861620805946</v>
      </c>
      <c r="Q76" s="25">
        <f t="shared" si="10"/>
        <v>1.1138594157568946E-2</v>
      </c>
      <c r="R76" s="25"/>
      <c r="S76" s="154">
        <v>47</v>
      </c>
      <c r="T76" s="49">
        <f t="shared" si="5"/>
        <v>0</v>
      </c>
      <c r="U76" s="25">
        <f t="shared" si="11"/>
        <v>0</v>
      </c>
    </row>
    <row r="77" spans="1:21" x14ac:dyDescent="0.25">
      <c r="A77" s="155">
        <f t="shared" si="12"/>
        <v>4</v>
      </c>
      <c r="C77" s="79">
        <v>4.0000000000000027</v>
      </c>
      <c r="D77" s="15">
        <f>SUMPRODUCT(Business_Portfolio!D77:AM77,Business_Portfolio!$D$8:$AM$8)</f>
        <v>3.5382346332333903</v>
      </c>
      <c r="E77" s="25">
        <f t="shared" si="6"/>
        <v>1.8648589165471907E-2</v>
      </c>
      <c r="F77" s="25"/>
      <c r="G77" s="154">
        <v>48</v>
      </c>
      <c r="H77" s="49">
        <f t="shared" si="3"/>
        <v>0</v>
      </c>
      <c r="I77" s="25">
        <f t="shared" si="7"/>
        <v>0</v>
      </c>
      <c r="J77" s="15">
        <f>SUMPRODUCT(Business_Portfolio!$V77:$AM77,Business_Portfolio!$V$8:$AM$8)</f>
        <v>3.1181564691154295</v>
      </c>
      <c r="K77" s="25">
        <f t="shared" si="8"/>
        <v>2.0513543618818467E-2</v>
      </c>
      <c r="L77" s="25"/>
      <c r="M77" s="154">
        <v>48</v>
      </c>
      <c r="N77" s="49">
        <f t="shared" si="4"/>
        <v>0</v>
      </c>
      <c r="O77" s="25">
        <f t="shared" si="9"/>
        <v>0</v>
      </c>
      <c r="P77" s="15">
        <f>SUMPRODUCT(Business_Portfolio!$D77:$U77,Business_Portfolio!$D$8:$U$8)</f>
        <v>0.42007816411796028</v>
      </c>
      <c r="Q77" s="25">
        <f t="shared" si="10"/>
        <v>1.1134606269293048E-2</v>
      </c>
      <c r="R77" s="25"/>
      <c r="S77" s="154">
        <v>48</v>
      </c>
      <c r="T77" s="49">
        <f t="shared" si="5"/>
        <v>0</v>
      </c>
      <c r="U77" s="25">
        <f t="shared" si="11"/>
        <v>0</v>
      </c>
    </row>
    <row r="78" spans="1:21" x14ac:dyDescent="0.25">
      <c r="A78" s="155">
        <f t="shared" si="12"/>
        <v>5</v>
      </c>
      <c r="C78" s="79">
        <v>4.0833333333333357</v>
      </c>
      <c r="D78" s="15">
        <f>SUMPRODUCT(Business_Portfolio!D78:AM78,Business_Portfolio!$D$8:$AM$8)</f>
        <v>3.7037768447765669</v>
      </c>
      <c r="E78" s="25">
        <f t="shared" si="6"/>
        <v>1.9521094528348645E-2</v>
      </c>
      <c r="F78" s="25"/>
      <c r="G78" s="154">
        <v>49</v>
      </c>
      <c r="H78" s="49">
        <f t="shared" si="3"/>
        <v>0</v>
      </c>
      <c r="I78" s="25">
        <f t="shared" si="7"/>
        <v>0</v>
      </c>
      <c r="J78" s="15">
        <f>SUMPRODUCT(Business_Portfolio!$V78:$AM78,Business_Portfolio!$V$8:$AM$8)</f>
        <v>3.2516785433030928</v>
      </c>
      <c r="K78" s="25">
        <f t="shared" si="8"/>
        <v>2.1391950754590189E-2</v>
      </c>
      <c r="L78" s="25"/>
      <c r="M78" s="154">
        <v>49</v>
      </c>
      <c r="N78" s="49">
        <f t="shared" si="4"/>
        <v>0</v>
      </c>
      <c r="O78" s="25">
        <f t="shared" si="9"/>
        <v>0</v>
      </c>
      <c r="P78" s="15">
        <f>SUMPRODUCT(Business_Portfolio!$D78:$U78,Business_Portfolio!$D$8:$U$8)</f>
        <v>0.45209830147347441</v>
      </c>
      <c r="Q78" s="25">
        <f t="shared" si="10"/>
        <v>1.1983333131568651E-2</v>
      </c>
      <c r="R78" s="25"/>
      <c r="S78" s="154">
        <v>49</v>
      </c>
      <c r="T78" s="49">
        <f t="shared" si="5"/>
        <v>0</v>
      </c>
      <c r="U78" s="25">
        <f t="shared" si="11"/>
        <v>0</v>
      </c>
    </row>
    <row r="79" spans="1:21" x14ac:dyDescent="0.25">
      <c r="A79" s="155">
        <f t="shared" si="12"/>
        <v>5</v>
      </c>
      <c r="C79" s="79">
        <v>4.1666666666666687</v>
      </c>
      <c r="D79" s="15">
        <f>SUMPRODUCT(Business_Portfolio!D79:AM79,Business_Portfolio!$D$8:$AM$8)</f>
        <v>3.7026000825613647</v>
      </c>
      <c r="E79" s="25">
        <f t="shared" si="6"/>
        <v>1.9514892295492001E-2</v>
      </c>
      <c r="F79" s="25"/>
      <c r="G79" s="154">
        <v>50</v>
      </c>
      <c r="H79" s="49">
        <f t="shared" si="3"/>
        <v>0</v>
      </c>
      <c r="I79" s="25">
        <f t="shared" si="7"/>
        <v>0</v>
      </c>
      <c r="J79" s="15">
        <f>SUMPRODUCT(Business_Portfolio!$V79:$AM79,Business_Portfolio!$V$8:$AM$8)</f>
        <v>3.2506851960021135</v>
      </c>
      <c r="K79" s="25">
        <f t="shared" si="8"/>
        <v>2.1385415780034195E-2</v>
      </c>
      <c r="L79" s="25"/>
      <c r="M79" s="154">
        <v>50</v>
      </c>
      <c r="N79" s="49">
        <f t="shared" si="4"/>
        <v>0</v>
      </c>
      <c r="O79" s="25">
        <f t="shared" si="9"/>
        <v>0</v>
      </c>
      <c r="P79" s="15">
        <f>SUMPRODUCT(Business_Portfolio!$D79:$U79,Business_Portfolio!$D$8:$U$8)</f>
        <v>0.45191488655925188</v>
      </c>
      <c r="Q79" s="25">
        <f t="shared" si="10"/>
        <v>1.1978471529542581E-2</v>
      </c>
      <c r="R79" s="25"/>
      <c r="S79" s="154">
        <v>50</v>
      </c>
      <c r="T79" s="49">
        <f t="shared" si="5"/>
        <v>0</v>
      </c>
      <c r="U79" s="25">
        <f t="shared" si="11"/>
        <v>0</v>
      </c>
    </row>
    <row r="80" spans="1:21" x14ac:dyDescent="0.25">
      <c r="A80" s="155">
        <f t="shared" si="12"/>
        <v>5</v>
      </c>
      <c r="C80" s="79">
        <v>4.2500000000000018</v>
      </c>
      <c r="D80" s="15">
        <f>SUMPRODUCT(Business_Portfolio!D80:AM80,Business_Portfolio!$D$8:$AM$8)</f>
        <v>3.701422736387213</v>
      </c>
      <c r="E80" s="25">
        <f t="shared" si="6"/>
        <v>1.9508686984826318E-2</v>
      </c>
      <c r="F80" s="25"/>
      <c r="G80" s="25"/>
      <c r="H80" s="25"/>
      <c r="I80" s="25"/>
      <c r="J80" s="15">
        <f>SUMPRODUCT(Business_Portfolio!$V80:$AM80,Business_Portfolio!$V$8:$AM$8)</f>
        <v>3.2496911810213205</v>
      </c>
      <c r="K80" s="25">
        <f t="shared" si="8"/>
        <v>2.1378876412985678E-2</v>
      </c>
      <c r="L80" s="25"/>
      <c r="M80" s="25"/>
      <c r="N80" s="25"/>
      <c r="O80" s="25"/>
      <c r="P80" s="15">
        <f>SUMPRODUCT(Business_Portfolio!$D80:$U80,Business_Portfolio!$D$8:$U$8)</f>
        <v>0.45173155536589266</v>
      </c>
      <c r="Q80" s="25">
        <f t="shared" si="10"/>
        <v>1.1973612146624592E-2</v>
      </c>
      <c r="R80" s="25"/>
      <c r="S80" s="25"/>
      <c r="T80" s="25"/>
      <c r="U80" s="25"/>
    </row>
    <row r="81" spans="1:21" x14ac:dyDescent="0.25">
      <c r="A81" s="155">
        <f t="shared" si="12"/>
        <v>5</v>
      </c>
      <c r="C81" s="79">
        <v>4.3333333333333348</v>
      </c>
      <c r="D81" s="15">
        <f>SUMPRODUCT(Business_Portfolio!D81:AM81,Business_Portfolio!$D$8:$AM$8)</f>
        <v>3.7002448024912962</v>
      </c>
      <c r="E81" s="25">
        <f t="shared" si="6"/>
        <v>1.9502478576519329E-2</v>
      </c>
      <c r="F81" s="25"/>
      <c r="G81" s="25"/>
      <c r="H81" s="25"/>
      <c r="I81" s="25"/>
      <c r="J81" s="15">
        <f>SUMPRODUCT(Business_Portfolio!$V81:$AM81,Business_Portfolio!$V$8:$AM$8)</f>
        <v>3.2486964944285699</v>
      </c>
      <c r="K81" s="25">
        <f t="shared" si="8"/>
        <v>2.1372332627576079E-2</v>
      </c>
      <c r="L81" s="25"/>
      <c r="M81" s="25"/>
      <c r="N81" s="25"/>
      <c r="O81" s="25"/>
      <c r="P81" s="15">
        <f>SUMPRODUCT(Business_Portfolio!$D81:$U81,Business_Portfolio!$D$8:$U$8)</f>
        <v>0.45154830806272656</v>
      </c>
      <c r="Q81" s="25">
        <f t="shared" si="10"/>
        <v>1.1968754987302949E-2</v>
      </c>
      <c r="R81" s="25"/>
      <c r="S81" s="25"/>
      <c r="T81" s="25"/>
      <c r="U81" s="25"/>
    </row>
    <row r="82" spans="1:21" x14ac:dyDescent="0.25">
      <c r="A82" s="155">
        <f t="shared" si="12"/>
        <v>5</v>
      </c>
      <c r="C82" s="79">
        <v>4.4166666666666679</v>
      </c>
      <c r="D82" s="15">
        <f>SUMPRODUCT(Business_Portfolio!D82:AM82,Business_Portfolio!$D$8:$AM$8)</f>
        <v>3.6990662770994982</v>
      </c>
      <c r="E82" s="25">
        <f t="shared" si="6"/>
        <v>1.9496267050679215E-2</v>
      </c>
      <c r="F82" s="25"/>
      <c r="G82" s="25"/>
      <c r="H82" s="25"/>
      <c r="I82" s="25"/>
      <c r="J82" s="15">
        <f>SUMPRODUCT(Business_Portfolio!$V82:$AM82,Business_Portfolio!$V$8:$AM$8)</f>
        <v>3.247701132279754</v>
      </c>
      <c r="K82" s="25">
        <f t="shared" si="8"/>
        <v>2.1365784397858138E-2</v>
      </c>
      <c r="L82" s="25"/>
      <c r="M82" s="25"/>
      <c r="N82" s="25"/>
      <c r="O82" s="25"/>
      <c r="P82" s="15">
        <f>SUMPRODUCT(Business_Portfolio!$D82:$U82,Business_Portfolio!$D$8:$U$8)</f>
        <v>0.4513651448197436</v>
      </c>
      <c r="Q82" s="25">
        <f t="shared" si="10"/>
        <v>1.1963900056083412E-2</v>
      </c>
      <c r="R82" s="25"/>
      <c r="S82" s="25"/>
      <c r="T82" s="25"/>
      <c r="U82" s="25"/>
    </row>
    <row r="83" spans="1:21" x14ac:dyDescent="0.25">
      <c r="A83" s="155">
        <f t="shared" si="12"/>
        <v>5</v>
      </c>
      <c r="C83" s="79">
        <v>4.5000000000000009</v>
      </c>
      <c r="D83" s="15">
        <f>SUMPRODUCT(Business_Portfolio!D83:AM83,Business_Portfolio!$D$8:$AM$8)</f>
        <v>3.693417549528037</v>
      </c>
      <c r="E83" s="25">
        <f t="shared" si="6"/>
        <v>1.9466494915502418E-2</v>
      </c>
      <c r="F83" s="25"/>
      <c r="G83" s="25"/>
      <c r="H83" s="25"/>
      <c r="I83" s="25"/>
      <c r="J83" s="15">
        <f>SUMPRODUCT(Business_Portfolio!$V83:$AM83,Business_Portfolio!$V$8:$AM$8)</f>
        <v>3.2429815402275062</v>
      </c>
      <c r="K83" s="25">
        <f t="shared" si="8"/>
        <v>2.1334735424406757E-2</v>
      </c>
      <c r="L83" s="25"/>
      <c r="M83" s="25"/>
      <c r="N83" s="25"/>
      <c r="O83" s="25"/>
      <c r="P83" s="15">
        <f>SUMPRODUCT(Business_Portfolio!$D83:$U83,Business_Portfolio!$D$8:$U$8)</f>
        <v>0.45043600930053024</v>
      </c>
      <c r="Q83" s="25">
        <f t="shared" si="10"/>
        <v>1.193927235804779E-2</v>
      </c>
      <c r="R83" s="25"/>
      <c r="S83" s="25"/>
      <c r="T83" s="25"/>
      <c r="U83" s="25"/>
    </row>
    <row r="84" spans="1:21" x14ac:dyDescent="0.25">
      <c r="A84" s="155">
        <f t="shared" si="12"/>
        <v>5</v>
      </c>
      <c r="C84" s="79">
        <v>4.5833333333333339</v>
      </c>
      <c r="D84" s="15">
        <f>SUMPRODUCT(Business_Portfolio!D84:AM84,Business_Portfolio!$D$8:$AM$8)</f>
        <v>3.6922573617202419</v>
      </c>
      <c r="E84" s="25">
        <f t="shared" si="6"/>
        <v>1.9460380039575551E-2</v>
      </c>
      <c r="F84" s="25"/>
      <c r="G84" s="25"/>
      <c r="H84" s="25"/>
      <c r="I84" s="25"/>
      <c r="J84" s="15">
        <f>SUMPRODUCT(Business_Portfolio!$V84:$AM84,Business_Portfolio!$V$8:$AM$8)</f>
        <v>3.2420028857413072</v>
      </c>
      <c r="K84" s="25">
        <f t="shared" si="8"/>
        <v>2.1328297110072874E-2</v>
      </c>
      <c r="L84" s="25"/>
      <c r="M84" s="25"/>
      <c r="N84" s="25"/>
      <c r="O84" s="25"/>
      <c r="P84" s="15">
        <f>SUMPRODUCT(Business_Portfolio!$D84:$U84,Business_Portfolio!$D$8:$U$8)</f>
        <v>0.45025447597893403</v>
      </c>
      <c r="Q84" s="25">
        <f t="shared" si="10"/>
        <v>1.19344606295806E-2</v>
      </c>
      <c r="R84" s="25"/>
      <c r="S84" s="25"/>
      <c r="T84" s="25"/>
      <c r="U84" s="25"/>
    </row>
    <row r="85" spans="1:21" x14ac:dyDescent="0.25">
      <c r="A85" s="155">
        <f t="shared" si="12"/>
        <v>5</v>
      </c>
      <c r="C85" s="79">
        <v>4.666666666666667</v>
      </c>
      <c r="D85" s="15">
        <f>SUMPRODUCT(Business_Portfolio!D85:AM85,Business_Portfolio!$D$8:$AM$8)</f>
        <v>3.6910965883340352</v>
      </c>
      <c r="E85" s="25">
        <f t="shared" si="6"/>
        <v>1.9454262077304125E-2</v>
      </c>
      <c r="F85" s="25"/>
      <c r="G85" s="25"/>
      <c r="H85" s="25"/>
      <c r="I85" s="25"/>
      <c r="J85" s="15">
        <f>SUMPRODUCT(Business_Portfolio!$V85:$AM85,Business_Portfolio!$V$8:$AM$8)</f>
        <v>3.2410235611925531</v>
      </c>
      <c r="K85" s="25">
        <f t="shared" si="8"/>
        <v>2.1321854387571029E-2</v>
      </c>
      <c r="L85" s="25"/>
      <c r="M85" s="25"/>
      <c r="N85" s="25"/>
      <c r="O85" s="25"/>
      <c r="P85" s="15">
        <f>SUMPRODUCT(Business_Portfolio!$D85:$U85,Business_Portfolio!$D$8:$U$8)</f>
        <v>0.45007302714148278</v>
      </c>
      <c r="Q85" s="25">
        <f t="shared" si="10"/>
        <v>1.1929651140453065E-2</v>
      </c>
      <c r="R85" s="25"/>
      <c r="S85" s="25"/>
      <c r="T85" s="25"/>
      <c r="U85" s="25"/>
    </row>
    <row r="86" spans="1:21" x14ac:dyDescent="0.25">
      <c r="A86" s="155">
        <f t="shared" si="12"/>
        <v>5</v>
      </c>
      <c r="C86" s="79">
        <v>4.75</v>
      </c>
      <c r="D86" s="15">
        <f>SUMPRODUCT(Business_Portfolio!D86:AM86,Business_Portfolio!$D$8:$AM$8)</f>
        <v>3.6899352256084268</v>
      </c>
      <c r="E86" s="25">
        <f t="shared" si="6"/>
        <v>1.944814100886549E-2</v>
      </c>
      <c r="F86" s="25"/>
      <c r="G86" s="25"/>
      <c r="H86" s="25"/>
      <c r="I86" s="25"/>
      <c r="J86" s="15">
        <f>SUMPRODUCT(Business_Portfolio!$V86:$AM86,Business_Portfolio!$V$8:$AM$8)</f>
        <v>3.2400435626465534</v>
      </c>
      <c r="K86" s="25">
        <f t="shared" si="8"/>
        <v>2.1315407231015909E-2</v>
      </c>
      <c r="L86" s="25"/>
      <c r="M86" s="25"/>
      <c r="N86" s="25"/>
      <c r="O86" s="25"/>
      <c r="P86" s="15">
        <f>SUMPRODUCT(Business_Portfolio!$D86:$U86,Business_Portfolio!$D$8:$U$8)</f>
        <v>0.4498916629618735</v>
      </c>
      <c r="Q86" s="25">
        <f t="shared" si="10"/>
        <v>1.19248438952692E-2</v>
      </c>
      <c r="R86" s="25"/>
      <c r="S86" s="25"/>
      <c r="T86" s="25"/>
      <c r="U86" s="25"/>
    </row>
    <row r="87" spans="1:21" x14ac:dyDescent="0.25">
      <c r="A87" s="155">
        <f t="shared" si="12"/>
        <v>5</v>
      </c>
      <c r="C87" s="79">
        <v>4.833333333333333</v>
      </c>
      <c r="D87" s="15">
        <f>SUMPRODUCT(Business_Portfolio!D87:AM87,Business_Portfolio!$D$8:$AM$8)</f>
        <v>3.688773269769547</v>
      </c>
      <c r="E87" s="25">
        <f t="shared" si="6"/>
        <v>1.9442016814369127E-2</v>
      </c>
      <c r="F87" s="25"/>
      <c r="G87" s="25"/>
      <c r="H87" s="25"/>
      <c r="I87" s="25"/>
      <c r="J87" s="15">
        <f>SUMPRODUCT(Business_Portfolio!$V87:$AM87,Business_Portfolio!$V$8:$AM$8)</f>
        <v>3.239062886155808</v>
      </c>
      <c r="K87" s="25">
        <f t="shared" si="8"/>
        <v>2.1308955614437936E-2</v>
      </c>
      <c r="L87" s="25"/>
      <c r="M87" s="25"/>
      <c r="N87" s="25"/>
      <c r="O87" s="25"/>
      <c r="P87" s="15">
        <f>SUMPRODUCT(Business_Portfolio!$D87:$U87,Business_Portfolio!$D$8:$U$8)</f>
        <v>0.44971038361373933</v>
      </c>
      <c r="Q87" s="25">
        <f t="shared" si="10"/>
        <v>1.1920038898631333E-2</v>
      </c>
      <c r="R87" s="25"/>
      <c r="S87" s="25"/>
      <c r="T87" s="25"/>
      <c r="U87" s="25"/>
    </row>
    <row r="88" spans="1:21" x14ac:dyDescent="0.25">
      <c r="A88" s="155">
        <f t="shared" si="12"/>
        <v>5</v>
      </c>
      <c r="C88" s="79">
        <v>4.9166666666666661</v>
      </c>
      <c r="D88" s="15">
        <f>SUMPRODUCT(Business_Portfolio!D88:AM88,Business_Portfolio!$D$8:$AM$8)</f>
        <v>3.6876107170326806</v>
      </c>
      <c r="E88" s="25">
        <f t="shared" si="6"/>
        <v>1.9435889473867346E-2</v>
      </c>
      <c r="F88" s="25"/>
      <c r="G88" s="25"/>
      <c r="H88" s="25"/>
      <c r="I88" s="25"/>
      <c r="J88" s="15">
        <f>SUMPRODUCT(Business_Portfolio!$V88:$AM88,Business_Portfolio!$V$8:$AM$8)</f>
        <v>3.2380815277613126</v>
      </c>
      <c r="K88" s="25">
        <f t="shared" si="8"/>
        <v>2.1302499511791848E-2</v>
      </c>
      <c r="L88" s="25"/>
      <c r="M88" s="25"/>
      <c r="N88" s="25"/>
      <c r="O88" s="25"/>
      <c r="P88" s="15">
        <f>SUMPRODUCT(Business_Portfolio!$D88:$U88,Business_Portfolio!$D$8:$U$8)</f>
        <v>0.44952918927136781</v>
      </c>
      <c r="Q88" s="25">
        <f t="shared" si="10"/>
        <v>1.1915236155159136E-2</v>
      </c>
      <c r="R88" s="25"/>
      <c r="S88" s="25"/>
      <c r="T88" s="25"/>
      <c r="U88" s="25"/>
    </row>
    <row r="89" spans="1:21" x14ac:dyDescent="0.25">
      <c r="A89" s="155">
        <f t="shared" si="12"/>
        <v>5</v>
      </c>
      <c r="C89" s="79">
        <v>4.9999999999999991</v>
      </c>
      <c r="D89" s="15">
        <f>SUMPRODUCT(Business_Portfolio!D89:AM89,Business_Portfolio!$D$8:$AM$8)</f>
        <v>3.6864475636003506</v>
      </c>
      <c r="E89" s="25">
        <f t="shared" si="6"/>
        <v>1.9429758967345195E-2</v>
      </c>
      <c r="F89" s="25"/>
      <c r="G89" s="25"/>
      <c r="H89" s="25"/>
      <c r="I89" s="25"/>
      <c r="J89" s="15">
        <f>SUMPRODUCT(Business_Portfolio!$V89:$AM89,Business_Portfolio!$V$8:$AM$8)</f>
        <v>3.2370994834908169</v>
      </c>
      <c r="K89" s="25">
        <f t="shared" si="8"/>
        <v>2.1296038896945237E-2</v>
      </c>
      <c r="L89" s="25"/>
      <c r="M89" s="25"/>
      <c r="N89" s="25"/>
      <c r="O89" s="25"/>
      <c r="P89" s="15">
        <f>SUMPRODUCT(Business_Portfolio!$D89:$U89,Business_Portfolio!$D$8:$U$8)</f>
        <v>0.44934808010953303</v>
      </c>
      <c r="Q89" s="25">
        <f t="shared" si="10"/>
        <v>1.1910435669485174E-2</v>
      </c>
      <c r="R89" s="25"/>
      <c r="S89" s="25"/>
      <c r="T89" s="25"/>
      <c r="U89" s="25"/>
    </row>
    <row r="90" spans="1:21" x14ac:dyDescent="0.25">
      <c r="A90" s="155">
        <f t="shared" si="12"/>
        <v>6</v>
      </c>
      <c r="C90" s="79">
        <v>5.0833333333333321</v>
      </c>
      <c r="D90" s="15">
        <f>SUMPRODUCT(Business_Portfolio!D90:AM90,Business_Portfolio!$D$8:$AM$8)</f>
        <v>3.8498234420543458</v>
      </c>
      <c r="E90" s="25">
        <f t="shared" si="6"/>
        <v>2.0290846473589065E-2</v>
      </c>
      <c r="F90" s="25"/>
      <c r="G90" s="25"/>
      <c r="H90" s="25"/>
      <c r="I90" s="25"/>
      <c r="J90" s="15">
        <f>SUMPRODUCT(Business_Portfolio!$V90:$AM90,Business_Portfolio!$V$8:$AM$8)</f>
        <v>3.3692525363726573</v>
      </c>
      <c r="K90" s="25">
        <f t="shared" si="8"/>
        <v>2.2165439596205431E-2</v>
      </c>
      <c r="L90" s="25"/>
      <c r="M90" s="25"/>
      <c r="N90" s="25"/>
      <c r="O90" s="25"/>
      <c r="P90" s="15">
        <f>SUMPRODUCT(Business_Portfolio!$D90:$U90,Business_Portfolio!$D$8:$U$8)</f>
        <v>0.48057090568168775</v>
      </c>
      <c r="Q90" s="25">
        <f t="shared" si="10"/>
        <v>1.2738028958202592E-2</v>
      </c>
      <c r="R90" s="25"/>
      <c r="S90" s="25"/>
      <c r="T90" s="25"/>
      <c r="U90" s="25"/>
    </row>
    <row r="91" spans="1:21" x14ac:dyDescent="0.25">
      <c r="A91" s="155">
        <f t="shared" si="12"/>
        <v>6</v>
      </c>
      <c r="C91" s="79">
        <v>5.1666666666666652</v>
      </c>
      <c r="D91" s="15">
        <f>SUMPRODUCT(Business_Portfolio!D91:AM91,Business_Portfolio!$D$8:$AM$8)</f>
        <v>3.848859131341408</v>
      </c>
      <c r="E91" s="25">
        <f t="shared" si="6"/>
        <v>2.0285763985801362E-2</v>
      </c>
      <c r="F91" s="25"/>
      <c r="G91" s="25"/>
      <c r="H91" s="25"/>
      <c r="I91" s="25"/>
      <c r="J91" s="15">
        <f>SUMPRODUCT(Business_Portfolio!$V91:$AM91,Business_Portfolio!$V$8:$AM$8)</f>
        <v>3.3684910938007837</v>
      </c>
      <c r="K91" s="25">
        <f t="shared" si="8"/>
        <v>2.2160430262784848E-2</v>
      </c>
      <c r="L91" s="25"/>
      <c r="M91" s="25"/>
      <c r="N91" s="25"/>
      <c r="O91" s="25"/>
      <c r="P91" s="15">
        <f>SUMPRODUCT(Business_Portfolio!$D91:$U91,Business_Portfolio!$D$8:$U$8)</f>
        <v>0.4803680375406244</v>
      </c>
      <c r="Q91" s="25">
        <f t="shared" si="10"/>
        <v>1.2732651728276664E-2</v>
      </c>
      <c r="R91" s="25"/>
      <c r="S91" s="25"/>
      <c r="T91" s="25"/>
      <c r="U91" s="25"/>
    </row>
    <row r="92" spans="1:21" x14ac:dyDescent="0.25">
      <c r="A92" s="155">
        <f t="shared" si="12"/>
        <v>6</v>
      </c>
      <c r="C92" s="79">
        <v>5.2499999999999982</v>
      </c>
      <c r="D92" s="15">
        <f>SUMPRODUCT(Business_Portfolio!D92:AM92,Business_Portfolio!$D$8:$AM$8)</f>
        <v>3.8478945813974978</v>
      </c>
      <c r="E92" s="25">
        <f t="shared" si="6"/>
        <v>2.0280680237124944E-2</v>
      </c>
      <c r="F92" s="25"/>
      <c r="G92" s="25"/>
      <c r="H92" s="25"/>
      <c r="I92" s="25"/>
      <c r="J92" s="15">
        <f>SUMPRODUCT(Business_Portfolio!$V92:$AM92,Business_Portfolio!$V$8:$AM$8)</f>
        <v>3.3677293901182095</v>
      </c>
      <c r="K92" s="25">
        <f t="shared" si="8"/>
        <v>2.2155419211584607E-2</v>
      </c>
      <c r="L92" s="25"/>
      <c r="M92" s="25"/>
      <c r="N92" s="25"/>
      <c r="O92" s="25"/>
      <c r="P92" s="15">
        <f>SUMPRODUCT(Business_Portfolio!$D92:$U92,Business_Portfolio!$D$8:$U$8)</f>
        <v>0.48016519127928931</v>
      </c>
      <c r="Q92" s="25">
        <f t="shared" si="10"/>
        <v>1.2727275078295566E-2</v>
      </c>
      <c r="R92" s="25"/>
      <c r="S92" s="25"/>
      <c r="T92" s="25"/>
      <c r="U92" s="25"/>
    </row>
    <row r="93" spans="1:21" x14ac:dyDescent="0.25">
      <c r="A93" s="155">
        <f t="shared" si="12"/>
        <v>6</v>
      </c>
      <c r="C93" s="79">
        <v>5.3333333333333313</v>
      </c>
      <c r="D93" s="15">
        <f>SUMPRODUCT(Business_Portfolio!D93:AM93,Business_Portfolio!$D$8:$AM$8)</f>
        <v>3.8469297888834362</v>
      </c>
      <c r="E93" s="25">
        <f t="shared" si="6"/>
        <v>2.0275595209960359E-2</v>
      </c>
      <c r="F93" s="25"/>
      <c r="G93" s="25"/>
      <c r="H93" s="25"/>
      <c r="I93" s="25"/>
      <c r="J93" s="15">
        <f>SUMPRODUCT(Business_Portfolio!$V93:$AM93,Business_Portfolio!$V$8:$AM$8)</f>
        <v>3.3669674219632797</v>
      </c>
      <c r="K93" s="25">
        <f t="shared" si="8"/>
        <v>2.2150406420489252E-2</v>
      </c>
      <c r="L93" s="25"/>
      <c r="M93" s="25"/>
      <c r="N93" s="25"/>
      <c r="O93" s="25"/>
      <c r="P93" s="15">
        <f>SUMPRODUCT(Business_Portfolio!$D93:$U93,Business_Portfolio!$D$8:$U$8)</f>
        <v>0.47996236692015665</v>
      </c>
      <c r="Q93" s="25">
        <f t="shared" si="10"/>
        <v>1.2721899008855E-2</v>
      </c>
      <c r="R93" s="25"/>
      <c r="S93" s="25"/>
      <c r="T93" s="25"/>
      <c r="U93" s="25"/>
    </row>
    <row r="94" spans="1:21" x14ac:dyDescent="0.25">
      <c r="A94" s="155">
        <f t="shared" si="12"/>
        <v>6</v>
      </c>
      <c r="C94" s="79">
        <v>5.4166666666666643</v>
      </c>
      <c r="D94" s="15">
        <f>SUMPRODUCT(Business_Portfolio!D94:AM94,Business_Portfolio!$D$8:$AM$8)</f>
        <v>3.8459647504497769</v>
      </c>
      <c r="E94" s="25">
        <f t="shared" ref="E94:E157" si="13">D94/D$10</f>
        <v>2.0270508886654052E-2</v>
      </c>
      <c r="F94" s="25"/>
      <c r="G94" s="25"/>
      <c r="H94" s="25"/>
      <c r="I94" s="25"/>
      <c r="J94" s="15">
        <f>SUMPRODUCT(Business_Portfolio!$V94:$AM94,Business_Portfolio!$V$8:$AM$8)</f>
        <v>3.3662051859637416</v>
      </c>
      <c r="K94" s="25">
        <f t="shared" ref="K94:K157" si="14">J94/J$10</f>
        <v>2.2145391867313607E-2</v>
      </c>
      <c r="L94" s="25"/>
      <c r="M94" s="25"/>
      <c r="N94" s="25"/>
      <c r="O94" s="25"/>
      <c r="P94" s="15">
        <f>SUMPRODUCT(Business_Portfolio!$D94:$U94,Business_Portfolio!$D$8:$U$8)</f>
        <v>0.47975956448603635</v>
      </c>
      <c r="Q94" s="25">
        <f t="shared" ref="Q94:Q157" si="15">P94/P$10</f>
        <v>1.2716523520559565E-2</v>
      </c>
      <c r="R94" s="25"/>
      <c r="S94" s="25"/>
      <c r="T94" s="25"/>
      <c r="U94" s="25"/>
    </row>
    <row r="95" spans="1:21" x14ac:dyDescent="0.25">
      <c r="A95" s="155">
        <f t="shared" ref="A95:A158" si="16">ROUNDUP(C95-0.0001,0)</f>
        <v>6</v>
      </c>
      <c r="C95" s="79">
        <v>5.4999999999999973</v>
      </c>
      <c r="D95" s="15">
        <f>SUMPRODUCT(Business_Portfolio!D95:AM95,Business_Portfolio!$D$8:$AM$8)</f>
        <v>3.8405622317030437</v>
      </c>
      <c r="E95" s="25">
        <f t="shared" si="13"/>
        <v>2.024203441760096E-2</v>
      </c>
      <c r="F95" s="25"/>
      <c r="G95" s="25"/>
      <c r="H95" s="25"/>
      <c r="I95" s="25"/>
      <c r="J95" s="15">
        <f>SUMPRODUCT(Business_Portfolio!$V95:$AM95,Business_Portfolio!$V$8:$AM$8)</f>
        <v>3.3617505386774642</v>
      </c>
      <c r="K95" s="25">
        <f t="shared" si="14"/>
        <v>2.2116085896840797E-2</v>
      </c>
      <c r="L95" s="25"/>
      <c r="M95" s="25"/>
      <c r="N95" s="25"/>
      <c r="O95" s="25"/>
      <c r="P95" s="15">
        <f>SUMPRODUCT(Business_Portfolio!$D95:$U95,Business_Portfolio!$D$8:$U$8)</f>
        <v>0.47881169302557902</v>
      </c>
      <c r="Q95" s="25">
        <f t="shared" si="15"/>
        <v>1.269139920702079E-2</v>
      </c>
      <c r="R95" s="25"/>
      <c r="S95" s="25"/>
      <c r="T95" s="25"/>
      <c r="U95" s="25"/>
    </row>
    <row r="96" spans="1:21" x14ac:dyDescent="0.25">
      <c r="A96" s="155">
        <f t="shared" si="16"/>
        <v>6</v>
      </c>
      <c r="C96" s="79">
        <v>5.5833333333333304</v>
      </c>
      <c r="D96" s="15">
        <f>SUMPRODUCT(Business_Portfolio!D96:AM96,Business_Portfolio!$D$8:$AM$8)</f>
        <v>3.8396164210370167</v>
      </c>
      <c r="E96" s="25">
        <f t="shared" si="13"/>
        <v>2.0237049436002116E-2</v>
      </c>
      <c r="F96" s="25"/>
      <c r="G96" s="25"/>
      <c r="H96" s="25"/>
      <c r="I96" s="25"/>
      <c r="J96" s="15">
        <f>SUMPRODUCT(Business_Portfolio!$V96:$AM96,Business_Portfolio!$V$8:$AM$8)</f>
        <v>3.3610055274162787</v>
      </c>
      <c r="K96" s="25">
        <f t="shared" si="14"/>
        <v>2.2111184660756521E-2</v>
      </c>
      <c r="L96" s="25"/>
      <c r="M96" s="25"/>
      <c r="N96" s="25"/>
      <c r="O96" s="25"/>
      <c r="P96" s="15">
        <f>SUMPRODUCT(Business_Portfolio!$D96:$U96,Business_Portfolio!$D$8:$U$8)</f>
        <v>0.47861089362073772</v>
      </c>
      <c r="Q96" s="25">
        <f t="shared" si="15"/>
        <v>1.2686076811088331E-2</v>
      </c>
      <c r="R96" s="25"/>
      <c r="S96" s="25"/>
      <c r="T96" s="25"/>
      <c r="U96" s="25"/>
    </row>
    <row r="97" spans="1:21" x14ac:dyDescent="0.25">
      <c r="A97" s="155">
        <f t="shared" si="16"/>
        <v>6</v>
      </c>
      <c r="C97" s="79">
        <v>5.6666666666666634</v>
      </c>
      <c r="D97" s="15">
        <f>SUMPRODUCT(Business_Portfolio!D97:AM97,Business_Portfolio!$D$8:$AM$8)</f>
        <v>3.8386703769120647</v>
      </c>
      <c r="E97" s="25">
        <f t="shared" si="13"/>
        <v>2.0232063223936659E-2</v>
      </c>
      <c r="F97" s="25"/>
      <c r="G97" s="25"/>
      <c r="H97" s="25"/>
      <c r="I97" s="25"/>
      <c r="J97" s="15">
        <f>SUMPRODUCT(Business_Portfolio!$V97:$AM97,Business_Portfolio!$V$8:$AM$8)</f>
        <v>3.3602602606652585</v>
      </c>
      <c r="K97" s="25">
        <f t="shared" si="14"/>
        <v>2.2106281743870814E-2</v>
      </c>
      <c r="L97" s="25"/>
      <c r="M97" s="25"/>
      <c r="N97" s="25"/>
      <c r="O97" s="25"/>
      <c r="P97" s="15">
        <f>SUMPRODUCT(Business_Portfolio!$D97:$U97,Business_Portfolio!$D$8:$U$8)</f>
        <v>0.47841011624680641</v>
      </c>
      <c r="Q97" s="25">
        <f t="shared" si="15"/>
        <v>1.2680754999107931E-2</v>
      </c>
      <c r="R97" s="25"/>
      <c r="S97" s="25"/>
      <c r="T97" s="25"/>
      <c r="U97" s="25"/>
    </row>
    <row r="98" spans="1:21" x14ac:dyDescent="0.25">
      <c r="A98" s="155">
        <f t="shared" si="16"/>
        <v>6</v>
      </c>
      <c r="C98" s="79">
        <v>5.7499999999999964</v>
      </c>
      <c r="D98" s="15">
        <f>SUMPRODUCT(Business_Portfolio!D98:AM98,Business_Portfolio!$D$8:$AM$8)</f>
        <v>3.8377240960052927</v>
      </c>
      <c r="E98" s="25">
        <f t="shared" si="13"/>
        <v>2.0227075763890972E-2</v>
      </c>
      <c r="F98" s="25"/>
      <c r="G98" s="25"/>
      <c r="H98" s="25"/>
      <c r="I98" s="25"/>
      <c r="J98" s="15">
        <f>SUMPRODUCT(Business_Portfolio!$V98:$AM98,Business_Portfolio!$V$8:$AM$8)</f>
        <v>3.3595147350757695</v>
      </c>
      <c r="K98" s="25">
        <f t="shared" si="14"/>
        <v>2.2101377124153873E-2</v>
      </c>
      <c r="L98" s="25"/>
      <c r="M98" s="25"/>
      <c r="N98" s="25"/>
      <c r="O98" s="25"/>
      <c r="P98" s="15">
        <f>SUMPRODUCT(Business_Portfolio!$D98:$U98,Business_Portfolio!$D$8:$U$8)</f>
        <v>0.47820936092952349</v>
      </c>
      <c r="Q98" s="25">
        <f t="shared" si="15"/>
        <v>1.2675433771761811E-2</v>
      </c>
      <c r="R98" s="25"/>
      <c r="S98" s="25"/>
      <c r="T98" s="25"/>
      <c r="U98" s="25"/>
    </row>
    <row r="99" spans="1:21" x14ac:dyDescent="0.25">
      <c r="A99" s="155">
        <f t="shared" si="16"/>
        <v>6</v>
      </c>
      <c r="C99" s="79">
        <v>5.8333333333333295</v>
      </c>
      <c r="D99" s="15">
        <f>SUMPRODUCT(Business_Portfolio!D99:AM99,Business_Portfolio!$D$8:$AM$8)</f>
        <v>3.8367775749818298</v>
      </c>
      <c r="E99" s="25">
        <f t="shared" si="13"/>
        <v>2.022208703828831E-2</v>
      </c>
      <c r="F99" s="25"/>
      <c r="G99" s="25"/>
      <c r="H99" s="25"/>
      <c r="I99" s="25"/>
      <c r="J99" s="15">
        <f>SUMPRODUCT(Business_Portfolio!$V99:$AM99,Business_Portfolio!$V$8:$AM$8)</f>
        <v>3.358768947286987</v>
      </c>
      <c r="K99" s="25">
        <f t="shared" si="14"/>
        <v>2.2096470779495708E-2</v>
      </c>
      <c r="L99" s="25"/>
      <c r="M99" s="25"/>
      <c r="N99" s="25"/>
      <c r="O99" s="25"/>
      <c r="P99" s="15">
        <f>SUMPRODUCT(Business_Portfolio!$D99:$U99,Business_Portfolio!$D$8:$U$8)</f>
        <v>0.47800862769484298</v>
      </c>
      <c r="Q99" s="25">
        <f t="shared" si="15"/>
        <v>1.267011312973791E-2</v>
      </c>
      <c r="R99" s="25"/>
      <c r="S99" s="25"/>
      <c r="T99" s="25"/>
      <c r="U99" s="25"/>
    </row>
    <row r="100" spans="1:21" x14ac:dyDescent="0.25">
      <c r="A100" s="155">
        <f t="shared" si="16"/>
        <v>6</v>
      </c>
      <c r="C100" s="79">
        <v>5.9166666666666625</v>
      </c>
      <c r="D100" s="15">
        <f>SUMPRODUCT(Business_Portfolio!D100:AM100,Business_Portfolio!$D$8:$AM$8)</f>
        <v>3.8358308104953522</v>
      </c>
      <c r="E100" s="25">
        <f t="shared" si="13"/>
        <v>2.0217097029491565E-2</v>
      </c>
      <c r="F100" s="25"/>
      <c r="G100" s="25"/>
      <c r="H100" s="25"/>
      <c r="I100" s="25"/>
      <c r="J100" s="15">
        <f>SUMPRODUCT(Business_Portfolio!$V100:$AM100,Business_Portfolio!$V$8:$AM$8)</f>
        <v>3.3580228939263841</v>
      </c>
      <c r="K100" s="25">
        <f t="shared" si="14"/>
        <v>2.2091562687709333E-2</v>
      </c>
      <c r="L100" s="25"/>
      <c r="M100" s="25"/>
      <c r="N100" s="25"/>
      <c r="O100" s="25"/>
      <c r="P100" s="15">
        <f>SUMPRODUCT(Business_Portfolio!$D100:$U100,Business_Portfolio!$D$8:$U$8)</f>
        <v>0.47780791656896809</v>
      </c>
      <c r="Q100" s="25">
        <f t="shared" si="15"/>
        <v>1.2664793073730772E-2</v>
      </c>
      <c r="R100" s="25"/>
      <c r="S100" s="25"/>
      <c r="T100" s="25"/>
      <c r="U100" s="25"/>
    </row>
    <row r="101" spans="1:21" x14ac:dyDescent="0.25">
      <c r="A101" s="155">
        <f t="shared" si="16"/>
        <v>6</v>
      </c>
      <c r="C101" s="79">
        <v>5.9999999999999956</v>
      </c>
      <c r="D101" s="15">
        <f>SUMPRODUCT(Business_Portfolio!D101:AM101,Business_Portfolio!$D$8:$AM$8)</f>
        <v>3.834883799187613</v>
      </c>
      <c r="E101" s="25">
        <f t="shared" si="13"/>
        <v>2.0212105719800793E-2</v>
      </c>
      <c r="F101" s="25"/>
      <c r="G101" s="25"/>
      <c r="H101" s="25"/>
      <c r="I101" s="25"/>
      <c r="J101" s="15">
        <f>SUMPRODUCT(Business_Portfolio!$V101:$AM101,Business_Portfolio!$V$8:$AM$8)</f>
        <v>3.3572765716095185</v>
      </c>
      <c r="K101" s="25">
        <f t="shared" si="14"/>
        <v>2.2086652826529385E-2</v>
      </c>
      <c r="L101" s="25"/>
      <c r="M101" s="25"/>
      <c r="N101" s="25"/>
      <c r="O101" s="25"/>
      <c r="P101" s="15">
        <f>SUMPRODUCT(Business_Portfolio!$D101:$U101,Business_Portfolio!$D$8:$U$8)</f>
        <v>0.47760722757809509</v>
      </c>
      <c r="Q101" s="25">
        <f t="shared" si="15"/>
        <v>1.2659473604434755E-2</v>
      </c>
      <c r="R101" s="25"/>
      <c r="S101" s="25"/>
      <c r="T101" s="25"/>
      <c r="U101" s="25"/>
    </row>
    <row r="102" spans="1:21" x14ac:dyDescent="0.25">
      <c r="A102" s="155">
        <f t="shared" si="16"/>
        <v>7</v>
      </c>
      <c r="C102" s="79">
        <v>6.0833333333333286</v>
      </c>
      <c r="D102" s="15">
        <f>SUMPRODUCT(Business_Portfolio!D102:AM102,Business_Portfolio!$D$8:$AM$8)</f>
        <v>3.9965095617357766</v>
      </c>
      <c r="E102" s="25">
        <f t="shared" si="13"/>
        <v>2.1063969080134928E-2</v>
      </c>
      <c r="F102" s="25"/>
      <c r="G102" s="25"/>
      <c r="H102" s="25"/>
      <c r="I102" s="25"/>
      <c r="J102" s="15">
        <f>SUMPRODUCT(Business_Portfolio!$V102:$AM102,Business_Portfolio!$V$8:$AM$8)</f>
        <v>3.4883935516234099</v>
      </c>
      <c r="K102" s="25">
        <f t="shared" si="14"/>
        <v>2.2949237470797003E-2</v>
      </c>
      <c r="L102" s="25"/>
      <c r="M102" s="25"/>
      <c r="N102" s="25"/>
      <c r="O102" s="25"/>
      <c r="P102" s="15">
        <f>SUMPRODUCT(Business_Portfolio!$D102:$U102,Business_Portfolio!$D$8:$U$8)</f>
        <v>0.50811601011236662</v>
      </c>
      <c r="Q102" s="25">
        <f t="shared" si="15"/>
        <v>1.346814044382612E-2</v>
      </c>
      <c r="R102" s="25"/>
      <c r="S102" s="25"/>
      <c r="T102" s="25"/>
      <c r="U102" s="25"/>
    </row>
    <row r="103" spans="1:21" x14ac:dyDescent="0.25">
      <c r="A103" s="155">
        <f t="shared" si="16"/>
        <v>7</v>
      </c>
      <c r="C103" s="79">
        <v>6.1666666666666616</v>
      </c>
      <c r="D103" s="15">
        <f>SUMPRODUCT(Business_Portfolio!D103:AM103,Business_Portfolio!$D$8:$AM$8)</f>
        <v>3.9958175587954106</v>
      </c>
      <c r="E103" s="25">
        <f t="shared" si="13"/>
        <v>2.106032181536199E-2</v>
      </c>
      <c r="F103" s="25"/>
      <c r="G103" s="25"/>
      <c r="H103" s="25"/>
      <c r="I103" s="25"/>
      <c r="J103" s="15">
        <f>SUMPRODUCT(Business_Portfolio!$V103:$AM103,Business_Portfolio!$V$8:$AM$8)</f>
        <v>3.4879131850987957</v>
      </c>
      <c r="K103" s="25">
        <f t="shared" si="14"/>
        <v>2.2946077263875608E-2</v>
      </c>
      <c r="L103" s="25"/>
      <c r="M103" s="25"/>
      <c r="N103" s="25"/>
      <c r="O103" s="25"/>
      <c r="P103" s="15">
        <f>SUMPRODUCT(Business_Portfolio!$D103:$U103,Business_Portfolio!$D$8:$U$8)</f>
        <v>0.50790437369661534</v>
      </c>
      <c r="Q103" s="25">
        <f t="shared" si="15"/>
        <v>1.3462530801709675E-2</v>
      </c>
      <c r="R103" s="25"/>
      <c r="S103" s="25"/>
      <c r="T103" s="25"/>
      <c r="U103" s="25"/>
    </row>
    <row r="104" spans="1:21" x14ac:dyDescent="0.25">
      <c r="A104" s="155">
        <f t="shared" si="16"/>
        <v>7</v>
      </c>
      <c r="C104" s="79">
        <v>6.2499999999999947</v>
      </c>
      <c r="D104" s="15">
        <f>SUMPRODUCT(Business_Portfolio!D104:AM104,Business_Portfolio!$D$8:$AM$8)</f>
        <v>3.9951258759621395</v>
      </c>
      <c r="E104" s="25">
        <f t="shared" si="13"/>
        <v>2.1056676237742766E-2</v>
      </c>
      <c r="F104" s="25"/>
      <c r="G104" s="25"/>
      <c r="H104" s="25"/>
      <c r="I104" s="25"/>
      <c r="J104" s="15">
        <f>SUMPRODUCT(Business_Portfolio!$V104:$AM104,Business_Portfolio!$V$8:$AM$8)</f>
        <v>3.4874331735479789</v>
      </c>
      <c r="K104" s="25">
        <f t="shared" si="14"/>
        <v>2.2942919392234865E-2</v>
      </c>
      <c r="L104" s="25"/>
      <c r="M104" s="25"/>
      <c r="N104" s="25"/>
      <c r="O104" s="25"/>
      <c r="P104" s="15">
        <f>SUMPRODUCT(Business_Portfolio!$D104:$U104,Business_Portfolio!$D$8:$U$8)</f>
        <v>0.50769270241416065</v>
      </c>
      <c r="Q104" s="25">
        <f t="shared" si="15"/>
        <v>1.345692023541519E-2</v>
      </c>
      <c r="R104" s="25"/>
      <c r="S104" s="25"/>
      <c r="T104" s="25"/>
      <c r="U104" s="25"/>
    </row>
    <row r="105" spans="1:21" x14ac:dyDescent="0.25">
      <c r="A105" s="155">
        <f t="shared" si="16"/>
        <v>7</v>
      </c>
      <c r="C105" s="79">
        <v>6.3333333333333277</v>
      </c>
      <c r="D105" s="15">
        <f>SUMPRODUCT(Business_Portfolio!D105:AM105,Business_Portfolio!$D$8:$AM$8)</f>
        <v>3.9944345110098314</v>
      </c>
      <c r="E105" s="25">
        <f t="shared" si="13"/>
        <v>2.1053032335544224E-2</v>
      </c>
      <c r="F105" s="25"/>
      <c r="G105" s="25"/>
      <c r="H105" s="25"/>
      <c r="I105" s="25"/>
      <c r="J105" s="15">
        <f>SUMPRODUCT(Business_Portfolio!$V105:$AM105,Business_Portfolio!$V$8:$AM$8)</f>
        <v>3.4869535148874813</v>
      </c>
      <c r="K105" s="25">
        <f t="shared" si="14"/>
        <v>2.2939763842168111E-2</v>
      </c>
      <c r="L105" s="25"/>
      <c r="M105" s="25"/>
      <c r="N105" s="25"/>
      <c r="O105" s="25"/>
      <c r="P105" s="15">
        <f>SUMPRODUCT(Business_Portfolio!$D105:$U105,Business_Portfolio!$D$8:$U$8)</f>
        <v>0.50748099612235043</v>
      </c>
      <c r="Q105" s="25">
        <f t="shared" si="15"/>
        <v>1.3451308741161523E-2</v>
      </c>
      <c r="R105" s="25"/>
      <c r="S105" s="25"/>
      <c r="T105" s="25"/>
      <c r="U105" s="25"/>
    </row>
    <row r="106" spans="1:21" x14ac:dyDescent="0.25">
      <c r="A106" s="155">
        <f t="shared" si="16"/>
        <v>7</v>
      </c>
      <c r="C106" s="79">
        <v>6.4166666666666607</v>
      </c>
      <c r="D106" s="15">
        <f>SUMPRODUCT(Business_Portfolio!D106:AM106,Business_Portfolio!$D$8:$AM$8)</f>
        <v>3.9937434617026084</v>
      </c>
      <c r="E106" s="25">
        <f t="shared" si="13"/>
        <v>2.1049390096981962E-2</v>
      </c>
      <c r="F106" s="25"/>
      <c r="G106" s="25"/>
      <c r="H106" s="25"/>
      <c r="I106" s="25"/>
      <c r="J106" s="15">
        <f>SUMPRODUCT(Business_Portfolio!$V106:$AM106,Business_Portfolio!$V$8:$AM$8)</f>
        <v>3.4864742070240524</v>
      </c>
      <c r="K106" s="25">
        <f t="shared" si="14"/>
        <v>2.2936610599904397E-2</v>
      </c>
      <c r="L106" s="25"/>
      <c r="M106" s="25"/>
      <c r="N106" s="25"/>
      <c r="O106" s="25"/>
      <c r="P106" s="15">
        <f>SUMPRODUCT(Business_Portfolio!$D106:$U106,Business_Portfolio!$D$8:$U$8)</f>
        <v>0.50726925467855599</v>
      </c>
      <c r="Q106" s="25">
        <f t="shared" si="15"/>
        <v>1.3445696315168154E-2</v>
      </c>
      <c r="R106" s="25"/>
      <c r="S106" s="25"/>
      <c r="T106" s="25"/>
      <c r="U106" s="25"/>
    </row>
    <row r="107" spans="1:21" x14ac:dyDescent="0.25">
      <c r="A107" s="155">
        <f t="shared" si="16"/>
        <v>7</v>
      </c>
      <c r="C107" s="79">
        <v>6.4999999999999938</v>
      </c>
      <c r="D107" s="15">
        <f>SUMPRODUCT(Business_Portfolio!D107:AM107,Business_Portfolio!$D$8:$AM$8)</f>
        <v>5.6460056134582599</v>
      </c>
      <c r="E107" s="25">
        <f t="shared" si="13"/>
        <v>2.9757788848251913E-2</v>
      </c>
      <c r="F107" s="25"/>
      <c r="G107" s="25"/>
      <c r="H107" s="25"/>
      <c r="I107" s="25"/>
      <c r="J107" s="15">
        <f>SUMPRODUCT(Business_Portfolio!$V107:$AM107,Business_Portfolio!$V$8:$AM$8)</f>
        <v>4.8744324371139207</v>
      </c>
      <c r="K107" s="25">
        <f t="shared" si="14"/>
        <v>3.2067628230371036E-2</v>
      </c>
      <c r="L107" s="25"/>
      <c r="M107" s="25"/>
      <c r="N107" s="25"/>
      <c r="O107" s="25"/>
      <c r="P107" s="15">
        <f>SUMPRODUCT(Business_Portfolio!$D107:$U107,Business_Portfolio!$D$8:$U$8)</f>
        <v>0.77157317634433942</v>
      </c>
      <c r="Q107" s="25">
        <f t="shared" si="15"/>
        <v>2.0451345155206843E-2</v>
      </c>
      <c r="R107" s="25"/>
      <c r="S107" s="25"/>
      <c r="T107" s="25"/>
      <c r="U107" s="25"/>
    </row>
    <row r="108" spans="1:21" x14ac:dyDescent="0.25">
      <c r="A108" s="155">
        <f t="shared" si="16"/>
        <v>7</v>
      </c>
      <c r="C108" s="79">
        <v>6.5833333333333268</v>
      </c>
      <c r="D108" s="15">
        <f>SUMPRODUCT(Business_Portfolio!D108:AM108,Business_Portfolio!$D$8:$AM$8)</f>
        <v>5.6388553452006338</v>
      </c>
      <c r="E108" s="25">
        <f t="shared" si="13"/>
        <v>2.9720102705589991E-2</v>
      </c>
      <c r="F108" s="25"/>
      <c r="G108" s="25"/>
      <c r="H108" s="25"/>
      <c r="I108" s="25"/>
      <c r="J108" s="15">
        <f>SUMPRODUCT(Business_Portfolio!$V108:$AM108,Business_Portfolio!$V$8:$AM$8)</f>
        <v>4.8680652985717145</v>
      </c>
      <c r="K108" s="25">
        <f t="shared" si="14"/>
        <v>3.2025740475376603E-2</v>
      </c>
      <c r="L108" s="25"/>
      <c r="M108" s="25"/>
      <c r="N108" s="25"/>
      <c r="O108" s="25"/>
      <c r="P108" s="15">
        <f>SUMPRODUCT(Business_Portfolio!$D108:$U108,Business_Portfolio!$D$8:$U$8)</f>
        <v>0.77079004662891881</v>
      </c>
      <c r="Q108" s="25">
        <f t="shared" si="15"/>
        <v>2.0430587492029324E-2</v>
      </c>
      <c r="R108" s="25"/>
      <c r="S108" s="25"/>
      <c r="T108" s="25"/>
      <c r="U108" s="25"/>
    </row>
    <row r="109" spans="1:21" x14ac:dyDescent="0.25">
      <c r="A109" s="155">
        <f t="shared" si="16"/>
        <v>7</v>
      </c>
      <c r="C109" s="79">
        <v>6.6666666666666599</v>
      </c>
      <c r="D109" s="15">
        <f>SUMPRODUCT(Business_Portfolio!D109:AM109,Business_Portfolio!$D$8:$AM$8)</f>
        <v>5.6316958213769954</v>
      </c>
      <c r="E109" s="25">
        <f t="shared" si="13"/>
        <v>2.9682367780621086E-2</v>
      </c>
      <c r="F109" s="25"/>
      <c r="G109" s="25"/>
      <c r="H109" s="25"/>
      <c r="I109" s="25"/>
      <c r="J109" s="15">
        <f>SUMPRODUCT(Business_Portfolio!$V109:$AM109,Business_Portfolio!$V$8:$AM$8)</f>
        <v>4.8616891146693648</v>
      </c>
      <c r="K109" s="25">
        <f t="shared" si="14"/>
        <v>3.1983793213301089E-2</v>
      </c>
      <c r="L109" s="25"/>
      <c r="M109" s="25"/>
      <c r="N109" s="25"/>
      <c r="O109" s="25"/>
      <c r="P109" s="15">
        <f>SUMPRODUCT(Business_Portfolio!$D109:$U109,Business_Portfolio!$D$8:$U$8)</f>
        <v>0.77000670670763072</v>
      </c>
      <c r="Q109" s="25">
        <f t="shared" si="15"/>
        <v>2.0409824257127847E-2</v>
      </c>
      <c r="R109" s="25"/>
      <c r="S109" s="25"/>
      <c r="T109" s="25"/>
      <c r="U109" s="25"/>
    </row>
    <row r="110" spans="1:21" x14ac:dyDescent="0.25">
      <c r="A110" s="155">
        <f t="shared" si="16"/>
        <v>7</v>
      </c>
      <c r="C110" s="79">
        <v>6.7499999999999929</v>
      </c>
      <c r="D110" s="15">
        <f>SUMPRODUCT(Business_Portfolio!D110:AM110,Business_Portfolio!$D$8:$AM$8)</f>
        <v>5.6245270071553781</v>
      </c>
      <c r="E110" s="25">
        <f t="shared" si="13"/>
        <v>2.9644583889760132E-2</v>
      </c>
      <c r="F110" s="25"/>
      <c r="G110" s="25"/>
      <c r="H110" s="25"/>
      <c r="I110" s="25"/>
      <c r="J110" s="15">
        <f>SUMPRODUCT(Business_Portfolio!$V110:$AM110,Business_Portfolio!$V$8:$AM$8)</f>
        <v>4.8553038515960312</v>
      </c>
      <c r="K110" s="25">
        <f t="shared" si="14"/>
        <v>3.1941786221711718E-2</v>
      </c>
      <c r="L110" s="25"/>
      <c r="M110" s="25"/>
      <c r="N110" s="25"/>
      <c r="O110" s="25"/>
      <c r="P110" s="15">
        <f>SUMPRODUCT(Business_Portfolio!$D110:$U110,Business_Portfolio!$D$8:$U$8)</f>
        <v>0.76922315555934773</v>
      </c>
      <c r="Q110" s="25">
        <f t="shared" si="15"/>
        <v>2.0389055423436379E-2</v>
      </c>
      <c r="R110" s="25"/>
      <c r="S110" s="25"/>
      <c r="T110" s="25"/>
      <c r="U110" s="25"/>
    </row>
    <row r="111" spans="1:21" x14ac:dyDescent="0.25">
      <c r="A111" s="155">
        <f t="shared" si="16"/>
        <v>7</v>
      </c>
      <c r="C111" s="79">
        <v>6.8333333333333259</v>
      </c>
      <c r="D111" s="15">
        <f>SUMPRODUCT(Business_Portfolio!D111:AM111,Business_Portfolio!$D$8:$AM$8)</f>
        <v>5.6173488676117271</v>
      </c>
      <c r="E111" s="25">
        <f t="shared" si="13"/>
        <v>2.960675084893671E-2</v>
      </c>
      <c r="F111" s="25"/>
      <c r="G111" s="25"/>
      <c r="H111" s="25"/>
      <c r="I111" s="25"/>
      <c r="J111" s="15">
        <f>SUMPRODUCT(Business_Portfolio!$V111:$AM111,Business_Portfolio!$V$8:$AM$8)</f>
        <v>4.848909475449787</v>
      </c>
      <c r="K111" s="25">
        <f t="shared" si="14"/>
        <v>3.1899719277576517E-2</v>
      </c>
      <c r="L111" s="25"/>
      <c r="M111" s="25"/>
      <c r="N111" s="25"/>
      <c r="O111" s="25"/>
      <c r="P111" s="15">
        <f>SUMPRODUCT(Business_Portfolio!$D111:$U111,Business_Portfolio!$D$8:$U$8)</f>
        <v>0.7684393921619409</v>
      </c>
      <c r="Q111" s="25">
        <f t="shared" si="15"/>
        <v>2.0368280963862333E-2</v>
      </c>
      <c r="R111" s="25"/>
      <c r="S111" s="25"/>
      <c r="T111" s="25"/>
      <c r="U111" s="25"/>
    </row>
    <row r="112" spans="1:21" x14ac:dyDescent="0.25">
      <c r="A112" s="155">
        <f t="shared" si="16"/>
        <v>7</v>
      </c>
      <c r="C112" s="79">
        <v>6.916666666666659</v>
      </c>
      <c r="D112" s="15">
        <f>SUMPRODUCT(Business_Portfolio!D112:AM112,Business_Portfolio!$D$8:$AM$8)</f>
        <v>5.610161367725051</v>
      </c>
      <c r="E112" s="25">
        <f t="shared" si="13"/>
        <v>2.9568868473569473E-2</v>
      </c>
      <c r="F112" s="25"/>
      <c r="G112" s="25"/>
      <c r="H112" s="25"/>
      <c r="I112" s="25"/>
      <c r="J112" s="15">
        <f>SUMPRODUCT(Business_Portfolio!$V112:$AM112,Business_Portfolio!$V$8:$AM$8)</f>
        <v>4.8425059522330844</v>
      </c>
      <c r="K112" s="25">
        <f t="shared" si="14"/>
        <v>3.185759215723441E-2</v>
      </c>
      <c r="L112" s="25"/>
      <c r="M112" s="25"/>
      <c r="N112" s="25"/>
      <c r="O112" s="25"/>
      <c r="P112" s="15">
        <f>SUMPRODUCT(Business_Portfolio!$D112:$U112,Business_Portfolio!$D$8:$U$8)</f>
        <v>0.76765541549196603</v>
      </c>
      <c r="Q112" s="25">
        <f t="shared" si="15"/>
        <v>2.0347500851278257E-2</v>
      </c>
      <c r="R112" s="25"/>
      <c r="S112" s="25"/>
      <c r="T112" s="25"/>
      <c r="U112" s="25"/>
    </row>
    <row r="113" spans="1:21" x14ac:dyDescent="0.25">
      <c r="A113" s="155">
        <f t="shared" si="16"/>
        <v>7</v>
      </c>
      <c r="C113" s="79">
        <v>6.999999999999992</v>
      </c>
      <c r="D113" s="15">
        <f>SUMPRODUCT(Business_Portfolio!D113:AM113,Business_Portfolio!$D$8:$AM$8)</f>
        <v>5.6029644723803278</v>
      </c>
      <c r="E113" s="25">
        <f t="shared" si="13"/>
        <v>2.9530936578581492E-2</v>
      </c>
      <c r="F113" s="25"/>
      <c r="G113" s="25"/>
      <c r="H113" s="25"/>
      <c r="I113" s="25"/>
      <c r="J113" s="15">
        <f>SUMPRODUCT(Business_Portfolio!$V113:$AM113,Business_Portfolio!$V$8:$AM$8)</f>
        <v>4.8360932478553167</v>
      </c>
      <c r="K113" s="25">
        <f t="shared" si="14"/>
        <v>3.181540463641213E-2</v>
      </c>
      <c r="L113" s="25"/>
      <c r="M113" s="25"/>
      <c r="N113" s="25"/>
      <c r="O113" s="25"/>
      <c r="P113" s="15">
        <f>SUMPRODUCT(Business_Portfolio!$D113:$U113,Business_Portfolio!$D$8:$U$8)</f>
        <v>0.76687122452501022</v>
      </c>
      <c r="Q113" s="25">
        <f t="shared" si="15"/>
        <v>2.0326715058531036E-2</v>
      </c>
      <c r="R113" s="25"/>
      <c r="S113" s="25"/>
      <c r="T113" s="25"/>
      <c r="U113" s="25"/>
    </row>
    <row r="114" spans="1:21" x14ac:dyDescent="0.25">
      <c r="A114" s="155">
        <f t="shared" si="16"/>
        <v>8</v>
      </c>
      <c r="C114" s="79">
        <v>7.083333333333325</v>
      </c>
      <c r="D114" s="15">
        <f>SUMPRODUCT(Business_Portfolio!D114:AM114,Business_Portfolio!$D$8:$AM$8)</f>
        <v>5.7535428204832328</v>
      </c>
      <c r="E114" s="25">
        <f t="shared" si="13"/>
        <v>3.0324573530922428E-2</v>
      </c>
      <c r="F114" s="25"/>
      <c r="G114" s="25"/>
      <c r="H114" s="25"/>
      <c r="I114" s="25"/>
      <c r="J114" s="15">
        <f>SUMPRODUCT(Business_Portfolio!$V114:$AM114,Business_Portfolio!$V$8:$AM$8)</f>
        <v>4.9579226266790641</v>
      </c>
      <c r="K114" s="25">
        <f t="shared" si="14"/>
        <v>3.2616888558501346E-2</v>
      </c>
      <c r="L114" s="25"/>
      <c r="M114" s="25"/>
      <c r="N114" s="25"/>
      <c r="O114" s="25"/>
      <c r="P114" s="15">
        <f>SUMPRODUCT(Business_Portfolio!$D114:$U114,Business_Portfolio!$D$8:$U$8)</f>
        <v>0.79562019380417004</v>
      </c>
      <c r="Q114" s="25">
        <f t="shared" si="15"/>
        <v>2.1088736227242767E-2</v>
      </c>
      <c r="R114" s="25"/>
      <c r="S114" s="25"/>
      <c r="T114" s="25"/>
      <c r="U114" s="25"/>
    </row>
    <row r="115" spans="1:21" x14ac:dyDescent="0.25">
      <c r="A115" s="155">
        <f t="shared" si="16"/>
        <v>8</v>
      </c>
      <c r="C115" s="79">
        <v>7.1666666666666581</v>
      </c>
      <c r="D115" s="15">
        <f>SUMPRODUCT(Business_Portfolio!D115:AM115,Business_Portfolio!$D$8:$AM$8)</f>
        <v>5.7461441095410253</v>
      </c>
      <c r="E115" s="25">
        <f t="shared" si="13"/>
        <v>3.0285577948374186E-2</v>
      </c>
      <c r="F115" s="25"/>
      <c r="G115" s="25"/>
      <c r="H115" s="25"/>
      <c r="I115" s="25"/>
      <c r="J115" s="15">
        <f>SUMPRODUCT(Business_Portfolio!$V115:$AM115,Business_Portfolio!$V$8:$AM$8)</f>
        <v>4.9513942839538743</v>
      </c>
      <c r="K115" s="25">
        <f t="shared" si="14"/>
        <v>3.2573940282948723E-2</v>
      </c>
      <c r="L115" s="25"/>
      <c r="M115" s="25"/>
      <c r="N115" s="25"/>
      <c r="O115" s="25"/>
      <c r="P115" s="15">
        <f>SUMPRODUCT(Business_Portfolio!$D115:$U115,Business_Portfolio!$D$8:$U$8)</f>
        <v>0.79474982558714991</v>
      </c>
      <c r="Q115" s="25">
        <f t="shared" si="15"/>
        <v>2.1065666217340743E-2</v>
      </c>
      <c r="R115" s="25"/>
      <c r="S115" s="25"/>
      <c r="T115" s="25"/>
      <c r="U115" s="25"/>
    </row>
    <row r="116" spans="1:21" x14ac:dyDescent="0.25">
      <c r="A116" s="155">
        <f t="shared" si="16"/>
        <v>8</v>
      </c>
      <c r="C116" s="79">
        <v>7.2499999999999911</v>
      </c>
      <c r="D116" s="15">
        <f>SUMPRODUCT(Business_Portfolio!D116:AM116,Business_Portfolio!$D$8:$AM$8)</f>
        <v>5.738734786008707</v>
      </c>
      <c r="E116" s="25">
        <f t="shared" si="13"/>
        <v>3.024652643119936E-2</v>
      </c>
      <c r="F116" s="25"/>
      <c r="G116" s="25"/>
      <c r="H116" s="25"/>
      <c r="I116" s="25"/>
      <c r="J116" s="15">
        <f>SUMPRODUCT(Business_Portfolio!$V116:$AM116,Business_Portfolio!$V$8:$AM$8)</f>
        <v>4.9448557431882501</v>
      </c>
      <c r="K116" s="25">
        <f t="shared" si="14"/>
        <v>3.2530924917129986E-2</v>
      </c>
      <c r="L116" s="25"/>
      <c r="M116" s="25"/>
      <c r="N116" s="25"/>
      <c r="O116" s="25"/>
      <c r="P116" s="15">
        <f>SUMPRODUCT(Business_Portfolio!$D116:$U116,Business_Portfolio!$D$8:$U$8)</f>
        <v>0.79387904282045729</v>
      </c>
      <c r="Q116" s="25">
        <f t="shared" si="15"/>
        <v>2.1042585219370837E-2</v>
      </c>
      <c r="R116" s="25"/>
      <c r="S116" s="25"/>
      <c r="T116" s="25"/>
      <c r="U116" s="25"/>
    </row>
    <row r="117" spans="1:21" x14ac:dyDescent="0.25">
      <c r="A117" s="155">
        <f t="shared" si="16"/>
        <v>8</v>
      </c>
      <c r="C117" s="79">
        <v>7.3333333333333242</v>
      </c>
      <c r="D117" s="15">
        <f>SUMPRODUCT(Business_Portfolio!D117:AM117,Business_Portfolio!$D$8:$AM$8)</f>
        <v>5.7313148088298966</v>
      </c>
      <c r="E117" s="25">
        <f t="shared" si="13"/>
        <v>3.0207418763006547E-2</v>
      </c>
      <c r="F117" s="25"/>
      <c r="G117" s="25"/>
      <c r="H117" s="25"/>
      <c r="I117" s="25"/>
      <c r="J117" s="15">
        <f>SUMPRODUCT(Business_Portfolio!$V117:$AM117,Business_Portfolio!$V$8:$AM$8)</f>
        <v>4.9383069648865483</v>
      </c>
      <c r="K117" s="25">
        <f t="shared" si="14"/>
        <v>3.2487842201213535E-2</v>
      </c>
      <c r="L117" s="25"/>
      <c r="M117" s="25"/>
      <c r="N117" s="25"/>
      <c r="O117" s="25"/>
      <c r="P117" s="15">
        <f>SUMPRODUCT(Business_Portfolio!$D117:$U117,Business_Portfolio!$D$8:$U$8)</f>
        <v>0.793007843943348</v>
      </c>
      <c r="Q117" s="25">
        <f t="shared" si="15"/>
        <v>2.1019493191963914E-2</v>
      </c>
      <c r="R117" s="25"/>
      <c r="S117" s="25"/>
      <c r="T117" s="25"/>
      <c r="U117" s="25"/>
    </row>
    <row r="118" spans="1:21" x14ac:dyDescent="0.25">
      <c r="A118" s="155">
        <f t="shared" si="16"/>
        <v>8</v>
      </c>
      <c r="C118" s="79">
        <v>7.4166666666666572</v>
      </c>
      <c r="D118" s="15">
        <f>SUMPRODUCT(Business_Portfolio!D118:AM118,Business_Portfolio!$D$8:$AM$8)</f>
        <v>5.7238841368286719</v>
      </c>
      <c r="E118" s="25">
        <f t="shared" si="13"/>
        <v>3.0168254726774282E-2</v>
      </c>
      <c r="F118" s="25"/>
      <c r="G118" s="25"/>
      <c r="H118" s="25"/>
      <c r="I118" s="25"/>
      <c r="J118" s="15">
        <f>SUMPRODUCT(Business_Portfolio!$V118:$AM118,Business_Portfolio!$V$8:$AM$8)</f>
        <v>4.9317479094358605</v>
      </c>
      <c r="K118" s="25">
        <f t="shared" si="14"/>
        <v>3.2444691874596317E-2</v>
      </c>
      <c r="L118" s="25"/>
      <c r="M118" s="25"/>
      <c r="N118" s="25"/>
      <c r="O118" s="25"/>
      <c r="P118" s="15">
        <f>SUMPRODUCT(Business_Portfolio!$D118:$U118,Business_Portfolio!$D$8:$U$8)</f>
        <v>0.79213622739281098</v>
      </c>
      <c r="Q118" s="25">
        <f t="shared" si="15"/>
        <v>2.0996390093690746E-2</v>
      </c>
      <c r="R118" s="25"/>
      <c r="S118" s="25"/>
      <c r="T118" s="25"/>
      <c r="U118" s="25"/>
    </row>
    <row r="119" spans="1:21" x14ac:dyDescent="0.25">
      <c r="A119" s="155">
        <f t="shared" si="16"/>
        <v>8</v>
      </c>
      <c r="C119" s="79">
        <v>7.4999999999999902</v>
      </c>
      <c r="D119" s="15">
        <f>SUMPRODUCT(Business_Portfolio!D119:AM119,Business_Portfolio!$D$8:$AM$8)</f>
        <v>5.6986451768968536</v>
      </c>
      <c r="E119" s="25">
        <f t="shared" si="13"/>
        <v>3.0035230480639941E-2</v>
      </c>
      <c r="F119" s="25"/>
      <c r="G119" s="25"/>
      <c r="H119" s="25"/>
      <c r="I119" s="25"/>
      <c r="J119" s="15">
        <f>SUMPRODUCT(Business_Portfolio!$V119:$AM119,Business_Portfolio!$V$8:$AM$8)</f>
        <v>4.910347444245069</v>
      </c>
      <c r="K119" s="25">
        <f t="shared" si="14"/>
        <v>3.2303903758123496E-2</v>
      </c>
      <c r="L119" s="25"/>
      <c r="M119" s="25"/>
      <c r="N119" s="25"/>
      <c r="O119" s="25"/>
      <c r="P119" s="15">
        <f>SUMPRODUCT(Business_Portfolio!$D119:$U119,Business_Portfolio!$D$8:$U$8)</f>
        <v>0.78829773265178416</v>
      </c>
      <c r="Q119" s="25">
        <f t="shared" si="15"/>
        <v>2.0894646820036361E-2</v>
      </c>
      <c r="R119" s="25"/>
      <c r="S119" s="25"/>
      <c r="T119" s="25"/>
      <c r="U119" s="25"/>
    </row>
    <row r="120" spans="1:21" x14ac:dyDescent="0.25">
      <c r="A120" s="155">
        <f t="shared" si="16"/>
        <v>8</v>
      </c>
      <c r="C120" s="79">
        <v>7.5833333333333233</v>
      </c>
      <c r="D120" s="15">
        <f>SUMPRODUCT(Business_Portfolio!D120:AM120,Business_Portfolio!$D$8:$AM$8)</f>
        <v>5.6912693427352021</v>
      </c>
      <c r="E120" s="25">
        <f t="shared" si="13"/>
        <v>2.9996355472255435E-2</v>
      </c>
      <c r="F120" s="25"/>
      <c r="G120" s="25"/>
      <c r="H120" s="25"/>
      <c r="I120" s="25"/>
      <c r="J120" s="15">
        <f>SUMPRODUCT(Business_Portfolio!$V120:$AM120,Business_Portfolio!$V$8:$AM$8)</f>
        <v>4.9038363804417218</v>
      </c>
      <c r="K120" s="25">
        <f t="shared" si="14"/>
        <v>3.2261069156121383E-2</v>
      </c>
      <c r="L120" s="25"/>
      <c r="M120" s="25"/>
      <c r="N120" s="25"/>
      <c r="O120" s="25"/>
      <c r="P120" s="15">
        <f>SUMPRODUCT(Business_Portfolio!$D120:$U120,Business_Portfolio!$D$8:$U$8)</f>
        <v>0.78743296229348037</v>
      </c>
      <c r="Q120" s="25">
        <f t="shared" si="15"/>
        <v>2.0871725187170044E-2</v>
      </c>
      <c r="R120" s="25"/>
      <c r="S120" s="25"/>
      <c r="T120" s="25"/>
      <c r="U120" s="25"/>
    </row>
    <row r="121" spans="1:21" x14ac:dyDescent="0.25">
      <c r="A121" s="155">
        <f t="shared" si="16"/>
        <v>8</v>
      </c>
      <c r="C121" s="79">
        <v>7.6666666666666563</v>
      </c>
      <c r="D121" s="15">
        <f>SUMPRODUCT(Business_Portfolio!D121:AM121,Business_Portfolio!$D$8:$AM$8)</f>
        <v>5.6838827455009611</v>
      </c>
      <c r="E121" s="25">
        <f t="shared" si="13"/>
        <v>2.9957423736112689E-2</v>
      </c>
      <c r="F121" s="25"/>
      <c r="G121" s="25"/>
      <c r="H121" s="25"/>
      <c r="I121" s="25"/>
      <c r="J121" s="15">
        <f>SUMPRODUCT(Business_Portfolio!$V121:$AM121,Business_Portfolio!$V$8:$AM$8)</f>
        <v>4.8973149804207727</v>
      </c>
      <c r="K121" s="25">
        <f t="shared" si="14"/>
        <v>3.2218166554821376E-2</v>
      </c>
      <c r="L121" s="25"/>
      <c r="M121" s="25"/>
      <c r="N121" s="25"/>
      <c r="O121" s="25"/>
      <c r="P121" s="15">
        <f>SUMPRODUCT(Business_Portfolio!$D121:$U121,Business_Portfolio!$D$8:$U$8)</f>
        <v>0.78656776508018866</v>
      </c>
      <c r="Q121" s="25">
        <f t="shared" si="15"/>
        <v>2.0848792240070732E-2</v>
      </c>
      <c r="R121" s="25"/>
      <c r="S121" s="25"/>
      <c r="T121" s="25"/>
      <c r="U121" s="25"/>
    </row>
    <row r="122" spans="1:21" x14ac:dyDescent="0.25">
      <c r="A122" s="155">
        <f t="shared" si="16"/>
        <v>8</v>
      </c>
      <c r="C122" s="79">
        <v>7.7499999999999893</v>
      </c>
      <c r="D122" s="15">
        <f>SUMPRODUCT(Business_Portfolio!D122:AM122,Business_Portfolio!$D$8:$AM$8)</f>
        <v>5.6764853439191389</v>
      </c>
      <c r="E122" s="25">
        <f t="shared" si="13"/>
        <v>2.9918435054668083E-2</v>
      </c>
      <c r="F122" s="25"/>
      <c r="G122" s="25"/>
      <c r="H122" s="25"/>
      <c r="I122" s="25"/>
      <c r="J122" s="15">
        <f>SUMPRODUCT(Business_Portfolio!$V122:$AM122,Business_Portfolio!$V$8:$AM$8)</f>
        <v>4.8907832044644852</v>
      </c>
      <c r="K122" s="25">
        <f t="shared" si="14"/>
        <v>3.2175195692930765E-2</v>
      </c>
      <c r="L122" s="25"/>
      <c r="M122" s="25"/>
      <c r="N122" s="25"/>
      <c r="O122" s="25"/>
      <c r="P122" s="15">
        <f>SUMPRODUCT(Business_Portfolio!$D122:$U122,Business_Portfolio!$D$8:$U$8)</f>
        <v>0.78570213945465317</v>
      </c>
      <c r="Q122" s="25">
        <f t="shared" si="15"/>
        <v>2.0825847937461752E-2</v>
      </c>
      <c r="R122" s="25"/>
      <c r="S122" s="25"/>
      <c r="T122" s="25"/>
      <c r="U122" s="25"/>
    </row>
    <row r="123" spans="1:21" x14ac:dyDescent="0.25">
      <c r="A123" s="155">
        <f t="shared" si="16"/>
        <v>8</v>
      </c>
      <c r="C123" s="79">
        <v>7.8333333333333224</v>
      </c>
      <c r="D123" s="15">
        <f>SUMPRODUCT(Business_Portfolio!D123:AM123,Business_Portfolio!$D$8:$AM$8)</f>
        <v>5.6690770965960038</v>
      </c>
      <c r="E123" s="25">
        <f t="shared" si="13"/>
        <v>2.9879389209752166E-2</v>
      </c>
      <c r="F123" s="25"/>
      <c r="G123" s="25"/>
      <c r="H123" s="25"/>
      <c r="I123" s="25"/>
      <c r="J123" s="15">
        <f>SUMPRODUCT(Business_Portfolio!$V123:$AM123,Business_Portfolio!$V$8:$AM$8)</f>
        <v>4.884241012738598</v>
      </c>
      <c r="K123" s="25">
        <f t="shared" si="14"/>
        <v>3.2132156308390281E-2</v>
      </c>
      <c r="L123" s="25"/>
      <c r="M123" s="25"/>
      <c r="N123" s="25"/>
      <c r="O123" s="25"/>
      <c r="P123" s="15">
        <f>SUMPRODUCT(Business_Portfolio!$D123:$U123,Business_Portfolio!$D$8:$U$8)</f>
        <v>0.78483608385740544</v>
      </c>
      <c r="Q123" s="25">
        <f t="shared" si="15"/>
        <v>2.0802892238007773E-2</v>
      </c>
      <c r="R123" s="25"/>
      <c r="S123" s="25"/>
      <c r="T123" s="25"/>
      <c r="U123" s="25"/>
    </row>
    <row r="124" spans="1:21" x14ac:dyDescent="0.25">
      <c r="A124" s="155">
        <f t="shared" si="16"/>
        <v>8</v>
      </c>
      <c r="C124" s="79">
        <v>7.9166666666666554</v>
      </c>
      <c r="D124" s="15">
        <f>SUMPRODUCT(Business_Portfolio!D124:AM124,Business_Portfolio!$D$8:$AM$8)</f>
        <v>5.6616579620164584</v>
      </c>
      <c r="E124" s="25">
        <f t="shared" si="13"/>
        <v>2.9840285982555826E-2</v>
      </c>
      <c r="F124" s="25"/>
      <c r="G124" s="25"/>
      <c r="H124" s="25"/>
      <c r="I124" s="25"/>
      <c r="J124" s="15">
        <f>SUMPRODUCT(Business_Portfolio!$V124:$AM124,Business_Portfolio!$V$8:$AM$8)</f>
        <v>4.8776883652899263</v>
      </c>
      <c r="K124" s="25">
        <f t="shared" si="14"/>
        <v>3.2089048138358264E-2</v>
      </c>
      <c r="L124" s="25"/>
      <c r="M124" s="25"/>
      <c r="N124" s="25"/>
      <c r="O124" s="25"/>
      <c r="P124" s="15">
        <f>SUMPRODUCT(Business_Portfolio!$D124:$U124,Business_Portfolio!$D$8:$U$8)</f>
        <v>0.78396959672653277</v>
      </c>
      <c r="Q124" s="25">
        <f t="shared" si="15"/>
        <v>2.0779925100308686E-2</v>
      </c>
      <c r="R124" s="25"/>
      <c r="S124" s="25"/>
      <c r="T124" s="25"/>
      <c r="U124" s="25"/>
    </row>
    <row r="125" spans="1:21" x14ac:dyDescent="0.25">
      <c r="A125" s="155">
        <f t="shared" si="16"/>
        <v>8</v>
      </c>
      <c r="C125" s="79">
        <v>7.9999999999999885</v>
      </c>
      <c r="D125" s="15">
        <f>SUMPRODUCT(Business_Portfolio!D125:AM125,Business_Portfolio!$D$8:$AM$8)</f>
        <v>5.6542278985456988</v>
      </c>
      <c r="E125" s="25">
        <f t="shared" si="13"/>
        <v>2.9801125153639016E-2</v>
      </c>
      <c r="F125" s="25"/>
      <c r="G125" s="25"/>
      <c r="H125" s="25"/>
      <c r="I125" s="25"/>
      <c r="J125" s="15">
        <f>SUMPRODUCT(Business_Portfolio!$V125:$AM125,Business_Portfolio!$V$8:$AM$8)</f>
        <v>4.8711252220477936</v>
      </c>
      <c r="K125" s="25">
        <f t="shared" si="14"/>
        <v>3.2045870919220114E-2</v>
      </c>
      <c r="L125" s="25"/>
      <c r="M125" s="25"/>
      <c r="N125" s="25"/>
      <c r="O125" s="25"/>
      <c r="P125" s="15">
        <f>SUMPRODUCT(Business_Portfolio!$D125:$U125,Business_Portfolio!$D$8:$U$8)</f>
        <v>0.78310267649790566</v>
      </c>
      <c r="Q125" s="25">
        <f t="shared" si="15"/>
        <v>2.0756946482905624E-2</v>
      </c>
      <c r="R125" s="25"/>
      <c r="S125" s="25"/>
      <c r="T125" s="25"/>
      <c r="U125" s="25"/>
    </row>
    <row r="126" spans="1:21" x14ac:dyDescent="0.25">
      <c r="A126" s="155">
        <f t="shared" si="16"/>
        <v>9</v>
      </c>
      <c r="C126" s="79">
        <v>8.0833333333333215</v>
      </c>
      <c r="D126" s="15">
        <f>SUMPRODUCT(Business_Portfolio!D126:AM126,Business_Portfolio!$D$8:$AM$8)</f>
        <v>5.7978805194134706</v>
      </c>
      <c r="E126" s="25">
        <f t="shared" si="13"/>
        <v>3.0558259427308783E-2</v>
      </c>
      <c r="F126" s="25"/>
      <c r="G126" s="25"/>
      <c r="H126" s="25"/>
      <c r="I126" s="25"/>
      <c r="J126" s="15">
        <f>SUMPRODUCT(Business_Portfolio!$V126:$AM126,Business_Portfolio!$V$8:$AM$8)</f>
        <v>4.9876013473901644</v>
      </c>
      <c r="K126" s="25">
        <f t="shared" si="14"/>
        <v>3.2812137173472422E-2</v>
      </c>
      <c r="L126" s="25"/>
      <c r="M126" s="25"/>
      <c r="N126" s="25"/>
      <c r="O126" s="25"/>
      <c r="P126" s="15">
        <f>SUMPRODUCT(Business_Portfolio!$D126:$U126,Business_Portfolio!$D$8:$U$8)</f>
        <v>0.81027917202330646</v>
      </c>
      <c r="Q126" s="25">
        <f t="shared" si="15"/>
        <v>2.1477287608205272E-2</v>
      </c>
      <c r="R126" s="25"/>
      <c r="S126" s="25"/>
      <c r="T126" s="25"/>
      <c r="U126" s="25"/>
    </row>
    <row r="127" spans="1:21" x14ac:dyDescent="0.25">
      <c r="A127" s="155">
        <f t="shared" si="16"/>
        <v>9</v>
      </c>
      <c r="C127" s="79">
        <v>8.1666666666666554</v>
      </c>
      <c r="D127" s="15">
        <f>SUMPRODUCT(Business_Portfolio!D127:AM127,Business_Portfolio!$D$8:$AM$8)</f>
        <v>5.7902822693816418</v>
      </c>
      <c r="E127" s="25">
        <f t="shared" si="13"/>
        <v>3.0518212155743126E-2</v>
      </c>
      <c r="F127" s="25"/>
      <c r="G127" s="25"/>
      <c r="H127" s="25"/>
      <c r="I127" s="25"/>
      <c r="J127" s="15">
        <f>SUMPRODUCT(Business_Portfolio!$V127:$AM127,Business_Portfolio!$V$8:$AM$8)</f>
        <v>4.9809475539066579</v>
      </c>
      <c r="K127" s="25">
        <f t="shared" si="14"/>
        <v>3.2768363589880181E-2</v>
      </c>
      <c r="L127" s="25"/>
      <c r="M127" s="25"/>
      <c r="N127" s="25"/>
      <c r="O127" s="25"/>
      <c r="P127" s="15">
        <f>SUMPRODUCT(Business_Portfolio!$D127:$U127,Business_Portfolio!$D$8:$U$8)</f>
        <v>0.80933471547498359</v>
      </c>
      <c r="Q127" s="25">
        <f t="shared" si="15"/>
        <v>2.1452253810445011E-2</v>
      </c>
      <c r="R127" s="25"/>
      <c r="S127" s="25"/>
      <c r="T127" s="25"/>
      <c r="U127" s="25"/>
    </row>
    <row r="128" spans="1:21" x14ac:dyDescent="0.25">
      <c r="A128" s="155">
        <f t="shared" si="16"/>
        <v>9</v>
      </c>
      <c r="C128" s="79">
        <v>8.2499999999999893</v>
      </c>
      <c r="D128" s="15">
        <f>SUMPRODUCT(Business_Portfolio!D128:AM128,Business_Portfolio!$D$8:$AM$8)</f>
        <v>5.7826718621202859</v>
      </c>
      <c r="E128" s="25">
        <f t="shared" si="13"/>
        <v>3.0478100808387608E-2</v>
      </c>
      <c r="F128" s="25"/>
      <c r="G128" s="25"/>
      <c r="H128" s="25"/>
      <c r="I128" s="25"/>
      <c r="J128" s="15">
        <f>SUMPRODUCT(Business_Portfolio!$V128:$AM128,Business_Portfolio!$V$8:$AM$8)</f>
        <v>4.9742822565597171</v>
      </c>
      <c r="K128" s="25">
        <f t="shared" si="14"/>
        <v>3.2724514325350597E-2</v>
      </c>
      <c r="L128" s="25"/>
      <c r="M128" s="25"/>
      <c r="N128" s="25"/>
      <c r="O128" s="25"/>
      <c r="P128" s="15">
        <f>SUMPRODUCT(Business_Portfolio!$D128:$U128,Business_Portfolio!$D$8:$U$8)</f>
        <v>0.80838960556056816</v>
      </c>
      <c r="Q128" s="25">
        <f t="shared" si="15"/>
        <v>2.1427202694540622E-2</v>
      </c>
      <c r="R128" s="25"/>
      <c r="S128" s="25"/>
      <c r="T128" s="25"/>
      <c r="U128" s="25"/>
    </row>
    <row r="129" spans="1:21" x14ac:dyDescent="0.25">
      <c r="A129" s="155">
        <f t="shared" si="16"/>
        <v>9</v>
      </c>
      <c r="C129" s="79">
        <v>8.3333333333333233</v>
      </c>
      <c r="D129" s="15">
        <f>SUMPRODUCT(Business_Portfolio!D129:AM129,Business_Portfolio!$D$8:$AM$8)</f>
        <v>5.7750492495443266</v>
      </c>
      <c r="E129" s="25">
        <f t="shared" si="13"/>
        <v>3.0437925131805436E-2</v>
      </c>
      <c r="F129" s="25"/>
      <c r="G129" s="25"/>
      <c r="H129" s="25"/>
      <c r="I129" s="25"/>
      <c r="J129" s="15">
        <f>SUMPRODUCT(Business_Portfolio!$V129:$AM129,Business_Portfolio!$V$8:$AM$8)</f>
        <v>4.9676054094805941</v>
      </c>
      <c r="K129" s="25">
        <f t="shared" si="14"/>
        <v>3.2680589078125072E-2</v>
      </c>
      <c r="L129" s="25"/>
      <c r="M129" s="25"/>
      <c r="N129" s="25"/>
      <c r="O129" s="25"/>
      <c r="P129" s="15">
        <f>SUMPRODUCT(Business_Portfolio!$D129:$U129,Business_Portfolio!$D$8:$U$8)</f>
        <v>0.80744384006373315</v>
      </c>
      <c r="Q129" s="25">
        <f t="shared" si="15"/>
        <v>2.1402134201746071E-2</v>
      </c>
      <c r="R129" s="25"/>
      <c r="S129" s="25"/>
      <c r="T129" s="25"/>
      <c r="U129" s="25"/>
    </row>
    <row r="130" spans="1:21" x14ac:dyDescent="0.25">
      <c r="A130" s="155">
        <f t="shared" si="16"/>
        <v>9</v>
      </c>
      <c r="C130" s="79">
        <v>8.4166666666666572</v>
      </c>
      <c r="D130" s="15">
        <f>SUMPRODUCT(Business_Portfolio!D130:AM130,Business_Portfolio!$D$8:$AM$8)</f>
        <v>5.7674143834207321</v>
      </c>
      <c r="E130" s="25">
        <f t="shared" si="13"/>
        <v>3.0397684871780007E-2</v>
      </c>
      <c r="F130" s="25"/>
      <c r="G130" s="25"/>
      <c r="H130" s="25"/>
      <c r="I130" s="25"/>
      <c r="J130" s="15">
        <f>SUMPRODUCT(Business_Portfolio!$V130:$AM130,Business_Portfolio!$V$8:$AM$8)</f>
        <v>4.9609169666566162</v>
      </c>
      <c r="K130" s="25">
        <f t="shared" si="14"/>
        <v>3.2636587545498148E-2</v>
      </c>
      <c r="L130" s="25"/>
      <c r="M130" s="25"/>
      <c r="N130" s="25"/>
      <c r="O130" s="25"/>
      <c r="P130" s="15">
        <f>SUMPRODUCT(Business_Portfolio!$D130:$U130,Business_Portfolio!$D$8:$U$8)</f>
        <v>0.80649741676411613</v>
      </c>
      <c r="Q130" s="25">
        <f t="shared" si="15"/>
        <v>2.1377048273208347E-2</v>
      </c>
      <c r="R130" s="25"/>
      <c r="S130" s="25"/>
      <c r="T130" s="25"/>
      <c r="U130" s="25"/>
    </row>
    <row r="131" spans="1:21" x14ac:dyDescent="0.25">
      <c r="A131" s="155">
        <f t="shared" si="16"/>
        <v>9</v>
      </c>
      <c r="C131" s="79">
        <v>8.4999999999999911</v>
      </c>
      <c r="D131" s="15">
        <f>SUMPRODUCT(Business_Portfolio!D131:AM131,Business_Portfolio!$D$8:$AM$8)</f>
        <v>5.7422700579458219</v>
      </c>
      <c r="E131" s="25">
        <f t="shared" si="13"/>
        <v>3.0265159405204037E-2</v>
      </c>
      <c r="F131" s="25"/>
      <c r="G131" s="25"/>
      <c r="H131" s="25"/>
      <c r="I131" s="25"/>
      <c r="J131" s="15">
        <f>SUMPRODUCT(Business_Portfolio!$V131:$AM131,Business_Portfolio!$V$8:$AM$8)</f>
        <v>4.9396397113651638</v>
      </c>
      <c r="K131" s="25">
        <f t="shared" si="14"/>
        <v>3.2496609995034245E-2</v>
      </c>
      <c r="L131" s="25"/>
      <c r="M131" s="25"/>
      <c r="N131" s="25"/>
      <c r="O131" s="25"/>
      <c r="P131" s="15">
        <f>SUMPRODUCT(Business_Portfolio!$D131:$U131,Business_Portfolio!$D$8:$U$8)</f>
        <v>0.80263034658065835</v>
      </c>
      <c r="Q131" s="25">
        <f t="shared" si="15"/>
        <v>2.1274547577893859E-2</v>
      </c>
      <c r="R131" s="25"/>
      <c r="S131" s="25"/>
      <c r="T131" s="25"/>
      <c r="U131" s="25"/>
    </row>
    <row r="132" spans="1:21" x14ac:dyDescent="0.25">
      <c r="A132" s="155">
        <f t="shared" si="16"/>
        <v>9</v>
      </c>
      <c r="C132" s="79">
        <v>8.583333333333325</v>
      </c>
      <c r="D132" s="15">
        <f>SUMPRODUCT(Business_Portfolio!D132:AM132,Business_Portfolio!$D$8:$AM$8)</f>
        <v>5.7346904477842902</v>
      </c>
      <c r="E132" s="25">
        <f t="shared" si="13"/>
        <v>3.0225210376779183E-2</v>
      </c>
      <c r="F132" s="25"/>
      <c r="G132" s="25"/>
      <c r="H132" s="25"/>
      <c r="I132" s="25"/>
      <c r="J132" s="15">
        <f>SUMPRODUCT(Business_Portfolio!$V132:$AM132,Business_Portfolio!$V$8:$AM$8)</f>
        <v>4.9329994686515741</v>
      </c>
      <c r="K132" s="25">
        <f t="shared" si="14"/>
        <v>3.245292555844681E-2</v>
      </c>
      <c r="L132" s="25"/>
      <c r="M132" s="25"/>
      <c r="N132" s="25"/>
      <c r="O132" s="25"/>
      <c r="P132" s="15">
        <f>SUMPRODUCT(Business_Portfolio!$D132:$U132,Business_Portfolio!$D$8:$U$8)</f>
        <v>0.80169097913271548</v>
      </c>
      <c r="Q132" s="25">
        <f t="shared" si="15"/>
        <v>2.1249648672003341E-2</v>
      </c>
      <c r="R132" s="25"/>
      <c r="S132" s="25"/>
      <c r="T132" s="25"/>
      <c r="U132" s="25"/>
    </row>
    <row r="133" spans="1:21" x14ac:dyDescent="0.25">
      <c r="A133" s="155">
        <f t="shared" si="16"/>
        <v>9</v>
      </c>
      <c r="C133" s="79">
        <v>8.666666666666659</v>
      </c>
      <c r="D133" s="15">
        <f>SUMPRODUCT(Business_Portfolio!D133:AM133,Business_Portfolio!$D$8:$AM$8)</f>
        <v>5.7270985124834306</v>
      </c>
      <c r="E133" s="25">
        <f t="shared" si="13"/>
        <v>3.018519638758051E-2</v>
      </c>
      <c r="F133" s="25"/>
      <c r="G133" s="25"/>
      <c r="H133" s="25"/>
      <c r="I133" s="25"/>
      <c r="J133" s="15">
        <f>SUMPRODUCT(Business_Portfolio!$V133:$AM133,Business_Portfolio!$V$8:$AM$8)</f>
        <v>4.9263475680334734</v>
      </c>
      <c r="K133" s="25">
        <f t="shared" si="14"/>
        <v>3.2409164427525707E-2</v>
      </c>
      <c r="L133" s="25"/>
      <c r="M133" s="25"/>
      <c r="N133" s="25"/>
      <c r="O133" s="25"/>
      <c r="P133" s="15">
        <f>SUMPRODUCT(Business_Portfolio!$D133:$U133,Business_Portfolio!$D$8:$U$8)</f>
        <v>0.8007509444499582</v>
      </c>
      <c r="Q133" s="25">
        <f t="shared" si="15"/>
        <v>2.1224732080363878E-2</v>
      </c>
      <c r="R133" s="25"/>
      <c r="S133" s="25"/>
      <c r="T133" s="25"/>
      <c r="U133" s="25"/>
    </row>
    <row r="134" spans="1:21" x14ac:dyDescent="0.25">
      <c r="A134" s="155">
        <f t="shared" si="16"/>
        <v>9</v>
      </c>
      <c r="C134" s="79">
        <v>8.7499999999999929</v>
      </c>
      <c r="D134" s="15">
        <f>SUMPRODUCT(Business_Portfolio!D134:AM134,Business_Portfolio!$D$8:$AM$8)</f>
        <v>5.7194942036630243</v>
      </c>
      <c r="E134" s="25">
        <f t="shared" si="13"/>
        <v>3.0145117182615647E-2</v>
      </c>
      <c r="F134" s="25"/>
      <c r="G134" s="25"/>
      <c r="H134" s="25"/>
      <c r="I134" s="25"/>
      <c r="J134" s="15">
        <f>SUMPRODUCT(Business_Portfolio!$V134:$AM134,Business_Portfolio!$V$8:$AM$8)</f>
        <v>4.9196839633481702</v>
      </c>
      <c r="K134" s="25">
        <f t="shared" si="14"/>
        <v>3.2365326298578537E-2</v>
      </c>
      <c r="L134" s="25"/>
      <c r="M134" s="25"/>
      <c r="N134" s="25"/>
      <c r="O134" s="25"/>
      <c r="P134" s="15">
        <f>SUMPRODUCT(Business_Portfolio!$D134:$U134,Business_Portfolio!$D$8:$U$8)</f>
        <v>0.79981024031485481</v>
      </c>
      <c r="Q134" s="25">
        <f t="shared" si="15"/>
        <v>2.1199797744197502E-2</v>
      </c>
      <c r="R134" s="25"/>
      <c r="S134" s="25"/>
      <c r="T134" s="25"/>
      <c r="U134" s="25"/>
    </row>
    <row r="135" spans="1:21" x14ac:dyDescent="0.25">
      <c r="A135" s="155">
        <f t="shared" si="16"/>
        <v>9</v>
      </c>
      <c r="C135" s="79">
        <v>8.8333333333333268</v>
      </c>
      <c r="D135" s="15">
        <f>SUMPRODUCT(Business_Portfolio!D135:AM135,Business_Portfolio!$D$8:$AM$8)</f>
        <v>5.7118774727933763</v>
      </c>
      <c r="E135" s="25">
        <f t="shared" si="13"/>
        <v>3.0104972506104406E-2</v>
      </c>
      <c r="F135" s="25"/>
      <c r="G135" s="25"/>
      <c r="H135" s="25"/>
      <c r="I135" s="25"/>
      <c r="J135" s="15">
        <f>SUMPRODUCT(Business_Portfolio!$V135:$AM135,Business_Portfolio!$V$8:$AM$8)</f>
        <v>4.9130086082876714</v>
      </c>
      <c r="K135" s="25">
        <f t="shared" si="14"/>
        <v>3.2321410866957015E-2</v>
      </c>
      <c r="L135" s="25"/>
      <c r="M135" s="25"/>
      <c r="N135" s="25"/>
      <c r="O135" s="25"/>
      <c r="P135" s="15">
        <f>SUMPRODUCT(Business_Portfolio!$D135:$U135,Business_Portfolio!$D$8:$U$8)</f>
        <v>0.79886886450570649</v>
      </c>
      <c r="Q135" s="25">
        <f t="shared" si="15"/>
        <v>2.1174845604615782E-2</v>
      </c>
      <c r="R135" s="25"/>
      <c r="S135" s="25"/>
      <c r="T135" s="25"/>
      <c r="U135" s="25"/>
    </row>
    <row r="136" spans="1:21" x14ac:dyDescent="0.25">
      <c r="A136" s="155">
        <f t="shared" si="16"/>
        <v>9</v>
      </c>
      <c r="C136" s="79">
        <v>8.9166666666666607</v>
      </c>
      <c r="D136" s="15">
        <f>SUMPRODUCT(Business_Portfolio!D136:AM136,Business_Portfolio!$D$8:$AM$8)</f>
        <v>5.704248271195187</v>
      </c>
      <c r="E136" s="25">
        <f t="shared" si="13"/>
        <v>3.0064762101478078E-2</v>
      </c>
      <c r="F136" s="25"/>
      <c r="G136" s="25"/>
      <c r="H136" s="25"/>
      <c r="I136" s="25"/>
      <c r="J136" s="15">
        <f>SUMPRODUCT(Business_Portfolio!$V136:$AM136,Business_Portfolio!$V$8:$AM$8)</f>
        <v>4.9063214563980404</v>
      </c>
      <c r="K136" s="25">
        <f t="shared" si="14"/>
        <v>3.2277417827052728E-2</v>
      </c>
      <c r="L136" s="25"/>
      <c r="M136" s="25"/>
      <c r="N136" s="25"/>
      <c r="O136" s="25"/>
      <c r="P136" s="15">
        <f>SUMPRODUCT(Business_Portfolio!$D136:$U136,Business_Portfolio!$D$8:$U$8)</f>
        <v>0.79792681479714633</v>
      </c>
      <c r="Q136" s="25">
        <f t="shared" si="15"/>
        <v>2.114987560263307E-2</v>
      </c>
      <c r="R136" s="25"/>
      <c r="S136" s="25"/>
      <c r="T136" s="25"/>
      <c r="U136" s="25"/>
    </row>
    <row r="137" spans="1:21" x14ac:dyDescent="0.25">
      <c r="A137" s="155">
        <f t="shared" si="16"/>
        <v>9</v>
      </c>
      <c r="C137" s="79">
        <v>8.9999999999999947</v>
      </c>
      <c r="D137" s="15">
        <f>SUMPRODUCT(Business_Portfolio!D137:AM137,Business_Portfolio!$D$8:$AM$8)</f>
        <v>5.6966065500391654</v>
      </c>
      <c r="E137" s="25">
        <f t="shared" si="13"/>
        <v>3.0024485711377429E-2</v>
      </c>
      <c r="F137" s="25"/>
      <c r="G137" s="25"/>
      <c r="H137" s="25"/>
      <c r="I137" s="25"/>
      <c r="J137" s="15">
        <f>SUMPRODUCT(Business_Portfolio!$V137:$AM137,Business_Portfolio!$V$8:$AM$8)</f>
        <v>4.8996224610794847</v>
      </c>
      <c r="K137" s="25">
        <f t="shared" si="14"/>
        <v>3.2233346872297709E-2</v>
      </c>
      <c r="L137" s="25"/>
      <c r="M137" s="25"/>
      <c r="N137" s="25"/>
      <c r="O137" s="25"/>
      <c r="P137" s="15">
        <f>SUMPRODUCT(Business_Portfolio!$D137:$U137,Business_Portfolio!$D$8:$U$8)</f>
        <v>0.79698408895967998</v>
      </c>
      <c r="Q137" s="25">
        <f t="shared" si="15"/>
        <v>2.1124887679154311E-2</v>
      </c>
      <c r="R137" s="25"/>
      <c r="S137" s="25"/>
      <c r="T137" s="25"/>
      <c r="U137" s="25"/>
    </row>
    <row r="138" spans="1:21" x14ac:dyDescent="0.25">
      <c r="A138" s="155">
        <f t="shared" si="16"/>
        <v>10</v>
      </c>
      <c r="C138" s="79">
        <v>9.0833333333333286</v>
      </c>
      <c r="D138" s="15">
        <f>SUMPRODUCT(Business_Portfolio!D138:AM138,Business_Portfolio!$D$8:$AM$8)</f>
        <v>5.8336384827037762</v>
      </c>
      <c r="E138" s="25">
        <f t="shared" si="13"/>
        <v>3.0746725042486357E-2</v>
      </c>
      <c r="F138" s="25"/>
      <c r="G138" s="25"/>
      <c r="H138" s="25"/>
      <c r="I138" s="25"/>
      <c r="J138" s="15">
        <f>SUMPRODUCT(Business_Portfolio!$V138:$AM138,Business_Portfolio!$V$8:$AM$8)</f>
        <v>5.0109780995638316</v>
      </c>
      <c r="K138" s="25">
        <f t="shared" si="14"/>
        <v>3.2965926770027486E-2</v>
      </c>
      <c r="L138" s="25"/>
      <c r="M138" s="25"/>
      <c r="N138" s="25"/>
      <c r="O138" s="25"/>
      <c r="P138" s="15">
        <f>SUMPRODUCT(Business_Portfolio!$D138:$U138,Business_Portfolio!$D$8:$U$8)</f>
        <v>0.82266038313994383</v>
      </c>
      <c r="Q138" s="25">
        <f t="shared" si="15"/>
        <v>2.1805464415991072E-2</v>
      </c>
      <c r="R138" s="25"/>
      <c r="S138" s="25"/>
      <c r="T138" s="25"/>
      <c r="U138" s="25"/>
    </row>
    <row r="139" spans="1:21" x14ac:dyDescent="0.25">
      <c r="A139" s="155">
        <f t="shared" si="16"/>
        <v>10</v>
      </c>
      <c r="C139" s="79">
        <v>9.1666666666666625</v>
      </c>
      <c r="D139" s="15">
        <f>SUMPRODUCT(Business_Portfolio!D139:AM139,Business_Portfolio!$D$8:$AM$8)</f>
        <v>5.8258583968228628</v>
      </c>
      <c r="E139" s="25">
        <f t="shared" si="13"/>
        <v>3.0705719388451295E-2</v>
      </c>
      <c r="F139" s="25"/>
      <c r="G139" s="25"/>
      <c r="H139" s="25"/>
      <c r="I139" s="25"/>
      <c r="J139" s="15">
        <f>SUMPRODUCT(Business_Portfolio!$V139:$AM139,Business_Portfolio!$V$8:$AM$8)</f>
        <v>5.0042106691321031</v>
      </c>
      <c r="K139" s="25">
        <f t="shared" si="14"/>
        <v>3.2921405598391747E-2</v>
      </c>
      <c r="L139" s="25"/>
      <c r="M139" s="25"/>
      <c r="N139" s="25"/>
      <c r="O139" s="25"/>
      <c r="P139" s="15">
        <f>SUMPRODUCT(Business_Portfolio!$D139:$U139,Business_Portfolio!$D$8:$U$8)</f>
        <v>0.82164772769076</v>
      </c>
      <c r="Q139" s="25">
        <f t="shared" si="15"/>
        <v>2.1778622935818465E-2</v>
      </c>
      <c r="R139" s="25"/>
      <c r="S139" s="25"/>
      <c r="T139" s="25"/>
      <c r="U139" s="25"/>
    </row>
    <row r="140" spans="1:21" x14ac:dyDescent="0.25">
      <c r="A140" s="155">
        <f t="shared" si="16"/>
        <v>10</v>
      </c>
      <c r="C140" s="79">
        <v>9.2499999999999964</v>
      </c>
      <c r="D140" s="15">
        <f>SUMPRODUCT(Business_Portfolio!D140:AM140,Business_Portfolio!$D$8:$AM$8)</f>
        <v>5.8180645562318789</v>
      </c>
      <c r="E140" s="25">
        <f t="shared" si="13"/>
        <v>3.0664641238959098E-2</v>
      </c>
      <c r="F140" s="25"/>
      <c r="G140" s="25"/>
      <c r="H140" s="25"/>
      <c r="I140" s="25"/>
      <c r="J140" s="15">
        <f>SUMPRODUCT(Business_Portfolio!$V140:$AM140,Business_Portfolio!$V$8:$AM$8)</f>
        <v>4.9974303979568964</v>
      </c>
      <c r="K140" s="25">
        <f t="shared" si="14"/>
        <v>3.2876799950831197E-2</v>
      </c>
      <c r="L140" s="25"/>
      <c r="M140" s="25"/>
      <c r="N140" s="25"/>
      <c r="O140" s="25"/>
      <c r="P140" s="15">
        <f>SUMPRODUCT(Business_Portfolio!$D140:$U140,Business_Portfolio!$D$8:$U$8)</f>
        <v>0.82063415827498398</v>
      </c>
      <c r="Q140" s="25">
        <f t="shared" si="15"/>
        <v>2.175175723001593E-2</v>
      </c>
      <c r="R140" s="25"/>
      <c r="S140" s="25"/>
      <c r="T140" s="25"/>
      <c r="U140" s="25"/>
    </row>
    <row r="141" spans="1:21" x14ac:dyDescent="0.25">
      <c r="A141" s="155">
        <f t="shared" si="16"/>
        <v>10</v>
      </c>
      <c r="C141" s="79">
        <v>9.3333333333333304</v>
      </c>
      <c r="D141" s="15">
        <f>SUMPRODUCT(Business_Portfolio!D141:AM141,Business_Portfolio!$D$8:$AM$8)</f>
        <v>5.8102569051350708</v>
      </c>
      <c r="E141" s="25">
        <f t="shared" si="13"/>
        <v>3.0623490299933141E-2</v>
      </c>
      <c r="F141" s="25"/>
      <c r="G141" s="25"/>
      <c r="H141" s="25"/>
      <c r="I141" s="25"/>
      <c r="J141" s="15">
        <f>SUMPRODUCT(Business_Portfolio!$V141:$AM141,Business_Portfolio!$V$8:$AM$8)</f>
        <v>4.9906372332474387</v>
      </c>
      <c r="K141" s="25">
        <f t="shared" si="14"/>
        <v>3.2832109480049013E-2</v>
      </c>
      <c r="L141" s="25"/>
      <c r="M141" s="25"/>
      <c r="N141" s="25"/>
      <c r="O141" s="25"/>
      <c r="P141" s="15">
        <f>SUMPRODUCT(Business_Portfolio!$D141:$U141,Business_Portfolio!$D$8:$U$8)</f>
        <v>0.81961967188763185</v>
      </c>
      <c r="Q141" s="25">
        <f t="shared" si="15"/>
        <v>2.1724867218933248E-2</v>
      </c>
      <c r="R141" s="25"/>
      <c r="S141" s="25"/>
      <c r="T141" s="25"/>
      <c r="U141" s="25"/>
    </row>
    <row r="142" spans="1:21" x14ac:dyDescent="0.25">
      <c r="A142" s="155">
        <f t="shared" si="16"/>
        <v>10</v>
      </c>
      <c r="C142" s="79">
        <v>9.4166666666666643</v>
      </c>
      <c r="D142" s="15">
        <f>SUMPRODUCT(Business_Portfolio!D142:AM142,Business_Portfolio!$D$8:$AM$8)</f>
        <v>5.8024353875549943</v>
      </c>
      <c r="E142" s="25">
        <f t="shared" si="13"/>
        <v>3.0582266276339184E-2</v>
      </c>
      <c r="F142" s="25"/>
      <c r="G142" s="25"/>
      <c r="H142" s="25"/>
      <c r="I142" s="25"/>
      <c r="J142" s="15">
        <f>SUMPRODUCT(Business_Portfolio!$V142:$AM142,Business_Portfolio!$V$8:$AM$8)</f>
        <v>4.9838311220375351</v>
      </c>
      <c r="K142" s="25">
        <f t="shared" si="14"/>
        <v>3.2787333837594322E-2</v>
      </c>
      <c r="L142" s="25"/>
      <c r="M142" s="25"/>
      <c r="N142" s="25"/>
      <c r="O142" s="25"/>
      <c r="P142" s="15">
        <f>SUMPRODUCT(Business_Portfolio!$D142:$U142,Business_Portfolio!$D$8:$U$8)</f>
        <v>0.81860426551745946</v>
      </c>
      <c r="Q142" s="25">
        <f t="shared" si="15"/>
        <v>2.1697952822754288E-2</v>
      </c>
      <c r="R142" s="25"/>
      <c r="S142" s="25"/>
      <c r="T142" s="25"/>
      <c r="U142" s="25"/>
    </row>
    <row r="143" spans="1:21" x14ac:dyDescent="0.25">
      <c r="A143" s="155">
        <f t="shared" si="16"/>
        <v>10</v>
      </c>
      <c r="C143" s="79">
        <v>9.4999999999999982</v>
      </c>
      <c r="D143" s="15">
        <f>SUMPRODUCT(Business_Portfolio!D143:AM143,Business_Portfolio!$D$8:$AM$8)</f>
        <v>10.191502440235652</v>
      </c>
      <c r="E143" s="25">
        <f t="shared" si="13"/>
        <v>5.3715245507383644E-2</v>
      </c>
      <c r="F143" s="25"/>
      <c r="G143" s="25"/>
      <c r="H143" s="25"/>
      <c r="I143" s="25"/>
      <c r="J143" s="15">
        <f>SUMPRODUCT(Business_Portfolio!$V143:$AM143,Business_Portfolio!$V$8:$AM$8)</f>
        <v>8.667744951675159</v>
      </c>
      <c r="K143" s="25">
        <f t="shared" si="14"/>
        <v>5.702284856584592E-2</v>
      </c>
      <c r="L143" s="25"/>
      <c r="M143" s="25"/>
      <c r="N143" s="25"/>
      <c r="O143" s="25"/>
      <c r="P143" s="15">
        <f>SUMPRODUCT(Business_Portfolio!$D143:$U143,Business_Portfolio!$D$8:$U$8)</f>
        <v>1.5237574885604925</v>
      </c>
      <c r="Q143" s="25">
        <f t="shared" si="15"/>
        <v>4.0388768410832276E-2</v>
      </c>
      <c r="R143" s="25"/>
      <c r="S143" s="25"/>
      <c r="T143" s="25"/>
      <c r="U143" s="25"/>
    </row>
    <row r="144" spans="1:21" x14ac:dyDescent="0.25">
      <c r="A144" s="155">
        <f t="shared" si="16"/>
        <v>10</v>
      </c>
      <c r="C144" s="79">
        <v>9.5833333333333321</v>
      </c>
      <c r="D144" s="15">
        <f>SUMPRODUCT(Business_Portfolio!D144:AM144,Business_Portfolio!$D$8:$AM$8)</f>
        <v>10.164136753124367</v>
      </c>
      <c r="E144" s="25">
        <f t="shared" si="13"/>
        <v>5.3571012151185093E-2</v>
      </c>
      <c r="F144" s="25"/>
      <c r="G144" s="25"/>
      <c r="H144" s="25"/>
      <c r="I144" s="25"/>
      <c r="J144" s="15">
        <f>SUMPRODUCT(Business_Portfolio!$V144:$AM144,Business_Portfolio!$V$8:$AM$8)</f>
        <v>8.6433560670793295</v>
      </c>
      <c r="K144" s="25">
        <f t="shared" si="14"/>
        <v>5.6862400412289085E-2</v>
      </c>
      <c r="L144" s="25"/>
      <c r="M144" s="25"/>
      <c r="N144" s="25"/>
      <c r="O144" s="25"/>
      <c r="P144" s="15">
        <f>SUMPRODUCT(Business_Portfolio!$D144:$U144,Business_Portfolio!$D$8:$U$8)</f>
        <v>1.520780686045037</v>
      </c>
      <c r="Q144" s="25">
        <f t="shared" si="15"/>
        <v>4.0309865180952108E-2</v>
      </c>
      <c r="R144" s="25"/>
      <c r="S144" s="25"/>
      <c r="T144" s="25"/>
      <c r="U144" s="25"/>
    </row>
    <row r="145" spans="1:21" x14ac:dyDescent="0.25">
      <c r="A145" s="155">
        <f t="shared" si="16"/>
        <v>10</v>
      </c>
      <c r="C145" s="79">
        <v>9.6666666666666661</v>
      </c>
      <c r="D145" s="15">
        <f>SUMPRODUCT(Business_Portfolio!D145:AM145,Business_Portfolio!$D$8:$AM$8)</f>
        <v>10.136743971002739</v>
      </c>
      <c r="E145" s="25">
        <f t="shared" si="13"/>
        <v>5.3426635988256997E-2</v>
      </c>
      <c r="F145" s="25"/>
      <c r="G145" s="25"/>
      <c r="H145" s="25"/>
      <c r="I145" s="25"/>
      <c r="J145" s="15">
        <f>SUMPRODUCT(Business_Portfolio!$V145:$AM145,Business_Portfolio!$V$8:$AM$8)</f>
        <v>8.6189397712982707</v>
      </c>
      <c r="K145" s="25">
        <f t="shared" si="14"/>
        <v>5.6701771927645778E-2</v>
      </c>
      <c r="L145" s="25"/>
      <c r="M145" s="25"/>
      <c r="N145" s="25"/>
      <c r="O145" s="25"/>
      <c r="P145" s="15">
        <f>SUMPRODUCT(Business_Portfolio!$D145:$U145,Business_Portfolio!$D$8:$U$8)</f>
        <v>1.5178041997044676</v>
      </c>
      <c r="Q145" s="25">
        <f t="shared" si="15"/>
        <v>4.0230970331614345E-2</v>
      </c>
      <c r="R145" s="25"/>
      <c r="S145" s="25"/>
      <c r="T145" s="25"/>
      <c r="U145" s="25"/>
    </row>
    <row r="146" spans="1:21" x14ac:dyDescent="0.25">
      <c r="A146" s="155">
        <f t="shared" si="16"/>
        <v>10</v>
      </c>
      <c r="C146" s="79">
        <v>9.75</v>
      </c>
      <c r="D146" s="15">
        <f>SUMPRODUCT(Business_Portfolio!D146:AM146,Business_Portfolio!$D$8:$AM$8)</f>
        <v>10.109323903589138</v>
      </c>
      <c r="E146" s="25">
        <f t="shared" si="13"/>
        <v>5.3282116015702631E-2</v>
      </c>
      <c r="F146" s="25"/>
      <c r="G146" s="25"/>
      <c r="H146" s="25"/>
      <c r="I146" s="25"/>
      <c r="J146" s="15">
        <f>SUMPRODUCT(Business_Portfolio!$V146:$AM146,Business_Portfolio!$V$8:$AM$8)</f>
        <v>8.5944958837127157</v>
      </c>
      <c r="K146" s="25">
        <f t="shared" si="14"/>
        <v>5.6540961923668649E-2</v>
      </c>
      <c r="L146" s="25"/>
      <c r="M146" s="25"/>
      <c r="N146" s="25"/>
      <c r="O146" s="25"/>
      <c r="P146" s="15">
        <f>SUMPRODUCT(Business_Portfolio!$D146:$U146,Business_Portfolio!$D$8:$U$8)</f>
        <v>1.5148280198764235</v>
      </c>
      <c r="Q146" s="25">
        <f t="shared" si="15"/>
        <v>4.0152083606708126E-2</v>
      </c>
      <c r="R146" s="25"/>
      <c r="S146" s="25"/>
      <c r="T146" s="25"/>
      <c r="U146" s="25"/>
    </row>
    <row r="147" spans="1:21" x14ac:dyDescent="0.25">
      <c r="A147" s="155">
        <f t="shared" si="16"/>
        <v>10</v>
      </c>
      <c r="C147" s="79">
        <v>9.8333333333333339</v>
      </c>
      <c r="D147" s="15">
        <f>SUMPRODUCT(Business_Portfolio!D147:AM147,Business_Portfolio!$D$8:$AM$8)</f>
        <v>10.081876360113545</v>
      </c>
      <c r="E147" s="25">
        <f t="shared" si="13"/>
        <v>5.3137451228051177E-2</v>
      </c>
      <c r="F147" s="25"/>
      <c r="G147" s="25"/>
      <c r="H147" s="25"/>
      <c r="I147" s="25"/>
      <c r="J147" s="15">
        <f>SUMPRODUCT(Business_Portfolio!$V147:$AM147,Business_Portfolio!$V$8:$AM$8)</f>
        <v>8.5700242232177075</v>
      </c>
      <c r="K147" s="25">
        <f t="shared" si="14"/>
        <v>5.6379969208915089E-2</v>
      </c>
      <c r="L147" s="25"/>
      <c r="M147" s="25"/>
      <c r="N147" s="25"/>
      <c r="O147" s="25"/>
      <c r="P147" s="15">
        <f>SUMPRODUCT(Business_Portfolio!$D147:$U147,Business_Portfolio!$D$8:$U$8)</f>
        <v>1.511852136895836</v>
      </c>
      <c r="Q147" s="25">
        <f t="shared" si="15"/>
        <v>4.0073204750050807E-2</v>
      </c>
      <c r="R147" s="25"/>
      <c r="S147" s="25"/>
      <c r="T147" s="25"/>
      <c r="U147" s="25"/>
    </row>
    <row r="148" spans="1:21" x14ac:dyDescent="0.25">
      <c r="A148" s="155">
        <f t="shared" si="16"/>
        <v>10</v>
      </c>
      <c r="C148" s="79">
        <v>9.9166666666666679</v>
      </c>
      <c r="D148" s="15">
        <f>SUMPRODUCT(Business_Portfolio!D148:AM148,Business_Portfolio!$D$8:$AM$8)</f>
        <v>10.05440114931476</v>
      </c>
      <c r="E148" s="25">
        <f t="shared" si="13"/>
        <v>5.2992640617242966E-2</v>
      </c>
      <c r="F148" s="25"/>
      <c r="G148" s="25"/>
      <c r="H148" s="25"/>
      <c r="I148" s="25"/>
      <c r="J148" s="15">
        <f>SUMPRODUCT(Business_Portfolio!$V148:$AM148,Business_Portfolio!$V$8:$AM$8)</f>
        <v>8.5455246082201413</v>
      </c>
      <c r="K148" s="25">
        <f t="shared" si="14"/>
        <v>5.6218792588731109E-2</v>
      </c>
      <c r="L148" s="25"/>
      <c r="M148" s="25"/>
      <c r="N148" s="25"/>
      <c r="O148" s="25"/>
      <c r="P148" s="15">
        <f>SUMPRODUCT(Business_Portfolio!$D148:$U148,Business_Portfolio!$D$8:$U$8)</f>
        <v>1.5088765410946177</v>
      </c>
      <c r="Q148" s="25">
        <f t="shared" si="15"/>
        <v>3.9994333505379717E-2</v>
      </c>
      <c r="R148" s="25"/>
      <c r="S148" s="25"/>
      <c r="T148" s="25"/>
      <c r="U148" s="25"/>
    </row>
    <row r="149" spans="1:21" x14ac:dyDescent="0.25">
      <c r="A149" s="155">
        <f t="shared" si="16"/>
        <v>10</v>
      </c>
      <c r="C149" s="79">
        <v>10.000000000000002</v>
      </c>
      <c r="D149" s="15">
        <f>SUMPRODUCT(Business_Portfolio!D149:AM149,Business_Portfolio!$D$8:$AM$8)</f>
        <v>10.02689807943999</v>
      </c>
      <c r="E149" s="25">
        <f t="shared" si="13"/>
        <v>5.2847683172627384E-2</v>
      </c>
      <c r="F149" s="25"/>
      <c r="G149" s="25"/>
      <c r="H149" s="25"/>
      <c r="I149" s="25"/>
      <c r="J149" s="15">
        <f>SUMPRODUCT(Business_Portfolio!$V149:$AM149,Business_Portfolio!$V$8:$AM$8)</f>
        <v>8.5209968566382788</v>
      </c>
      <c r="K149" s="25">
        <f t="shared" si="14"/>
        <v>5.6057430865248122E-2</v>
      </c>
      <c r="L149" s="25"/>
      <c r="M149" s="25"/>
      <c r="N149" s="25"/>
      <c r="O149" s="25"/>
      <c r="P149" s="15">
        <f>SUMPRODUCT(Business_Portfolio!$D149:$U149,Business_Portfolio!$D$8:$U$8)</f>
        <v>1.5059012228017101</v>
      </c>
      <c r="Q149" s="25">
        <f t="shared" si="15"/>
        <v>3.991546961635347E-2</v>
      </c>
      <c r="R149" s="25"/>
      <c r="S149" s="25"/>
      <c r="T149" s="25"/>
      <c r="U149" s="25"/>
    </row>
    <row r="150" spans="1:21" x14ac:dyDescent="0.25">
      <c r="A150" s="155">
        <f t="shared" si="16"/>
        <v>11</v>
      </c>
      <c r="C150" s="79">
        <v>10.083333333333336</v>
      </c>
      <c r="D150" s="15">
        <f>SUMPRODUCT(Business_Portfolio!D150:AM150,Business_Portfolio!$D$8:$AM$8)</f>
        <v>10.129651137859444</v>
      </c>
      <c r="E150" s="25">
        <f t="shared" si="13"/>
        <v>5.3389252562616944E-2</v>
      </c>
      <c r="F150" s="25"/>
      <c r="G150" s="25"/>
      <c r="H150" s="25"/>
      <c r="I150" s="25"/>
      <c r="J150" s="15">
        <f>SUMPRODUCT(Business_Portfolio!$V150:$AM150,Business_Portfolio!$V$8:$AM$8)</f>
        <v>8.6029012779653158</v>
      </c>
      <c r="K150" s="25">
        <f t="shared" si="14"/>
        <v>5.6596258834950008E-2</v>
      </c>
      <c r="L150" s="25"/>
      <c r="M150" s="25"/>
      <c r="N150" s="25"/>
      <c r="O150" s="25"/>
      <c r="P150" s="15">
        <f>SUMPRODUCT(Business_Portfolio!$D150:$U150,Business_Portfolio!$D$8:$U$8)</f>
        <v>1.5267498598941245</v>
      </c>
      <c r="Q150" s="25">
        <f t="shared" si="15"/>
        <v>4.0468084308342617E-2</v>
      </c>
      <c r="R150" s="25"/>
      <c r="S150" s="25"/>
      <c r="T150" s="25"/>
      <c r="U150" s="25"/>
    </row>
    <row r="151" spans="1:21" x14ac:dyDescent="0.25">
      <c r="A151" s="155">
        <f t="shared" si="16"/>
        <v>11</v>
      </c>
      <c r="C151" s="79">
        <v>10.16666666666667</v>
      </c>
      <c r="D151" s="15">
        <f>SUMPRODUCT(Business_Portfolio!D151:AM151,Business_Portfolio!$D$8:$AM$8)</f>
        <v>10.100733912376574</v>
      </c>
      <c r="E151" s="25">
        <f t="shared" si="13"/>
        <v>5.3236841681560551E-2</v>
      </c>
      <c r="F151" s="25"/>
      <c r="G151" s="25"/>
      <c r="H151" s="25"/>
      <c r="I151" s="25"/>
      <c r="J151" s="15">
        <f>SUMPRODUCT(Business_Portfolio!$V151:$AM151,Business_Portfolio!$V$8:$AM$8)</f>
        <v>8.5772396209195936</v>
      </c>
      <c r="K151" s="25">
        <f t="shared" si="14"/>
        <v>5.6427437441170521E-2</v>
      </c>
      <c r="L151" s="25"/>
      <c r="M151" s="25"/>
      <c r="N151" s="25"/>
      <c r="O151" s="25"/>
      <c r="P151" s="15">
        <f>SUMPRODUCT(Business_Portfolio!$D151:$U151,Business_Portfolio!$D$8:$U$8)</f>
        <v>1.5234942914569807</v>
      </c>
      <c r="Q151" s="25">
        <f t="shared" si="15"/>
        <v>4.0381792099352304E-2</v>
      </c>
      <c r="R151" s="25"/>
      <c r="S151" s="25"/>
      <c r="T151" s="25"/>
      <c r="U151" s="25"/>
    </row>
    <row r="152" spans="1:21" x14ac:dyDescent="0.25">
      <c r="A152" s="155">
        <f t="shared" si="16"/>
        <v>11</v>
      </c>
      <c r="C152" s="79">
        <v>10.250000000000004</v>
      </c>
      <c r="D152" s="15">
        <f>SUMPRODUCT(Business_Portfolio!D152:AM152,Business_Portfolio!$D$8:$AM$8)</f>
        <v>10.071782439117944</v>
      </c>
      <c r="E152" s="25">
        <f t="shared" si="13"/>
        <v>5.3084250294470441E-2</v>
      </c>
      <c r="F152" s="25"/>
      <c r="G152" s="25"/>
      <c r="H152" s="25"/>
      <c r="I152" s="25"/>
      <c r="J152" s="15">
        <f>SUMPRODUCT(Business_Portfolio!$V152:$AM152,Business_Portfolio!$V$8:$AM$8)</f>
        <v>8.5515440660526725</v>
      </c>
      <c r="K152" s="25">
        <f t="shared" si="14"/>
        <v>5.6258393042406964E-2</v>
      </c>
      <c r="L152" s="25"/>
      <c r="M152" s="25"/>
      <c r="N152" s="25"/>
      <c r="O152" s="25"/>
      <c r="P152" s="15">
        <f>SUMPRODUCT(Business_Portfolio!$D152:$U152,Business_Portfolio!$D$8:$U$8)</f>
        <v>1.520238373065272</v>
      </c>
      <c r="Q152" s="25">
        <f t="shared" si="15"/>
        <v>4.0295490614454255E-2</v>
      </c>
      <c r="R152" s="25"/>
      <c r="S152" s="25"/>
      <c r="T152" s="25"/>
      <c r="U152" s="25"/>
    </row>
    <row r="153" spans="1:21" x14ac:dyDescent="0.25">
      <c r="A153" s="155">
        <f t="shared" si="16"/>
        <v>11</v>
      </c>
      <c r="C153" s="79">
        <v>10.333333333333337</v>
      </c>
      <c r="D153" s="15">
        <f>SUMPRODUCT(Business_Portfolio!D153:AM153,Business_Portfolio!$D$8:$AM$8)</f>
        <v>10.042796493018535</v>
      </c>
      <c r="E153" s="25">
        <f t="shared" si="13"/>
        <v>5.2931477215120863E-2</v>
      </c>
      <c r="F153" s="25"/>
      <c r="G153" s="25"/>
      <c r="H153" s="25"/>
      <c r="I153" s="25"/>
      <c r="J153" s="15">
        <f>SUMPRODUCT(Business_Portfolio!$V153:$AM153,Business_Portfolio!$V$8:$AM$8)</f>
        <v>8.5258144004205718</v>
      </c>
      <c r="K153" s="25">
        <f t="shared" si="14"/>
        <v>5.6089124237756041E-2</v>
      </c>
      <c r="L153" s="25"/>
      <c r="M153" s="25"/>
      <c r="N153" s="25"/>
      <c r="O153" s="25"/>
      <c r="P153" s="15">
        <f>SUMPRODUCT(Business_Portfolio!$D153:$U153,Business_Portfolio!$D$8:$U$8)</f>
        <v>1.5169820925979631</v>
      </c>
      <c r="Q153" s="25">
        <f t="shared" si="15"/>
        <v>4.020917953236789E-2</v>
      </c>
      <c r="R153" s="25"/>
      <c r="S153" s="25"/>
      <c r="T153" s="25"/>
      <c r="U153" s="25"/>
    </row>
    <row r="154" spans="1:21" x14ac:dyDescent="0.25">
      <c r="A154" s="155">
        <f t="shared" si="16"/>
        <v>11</v>
      </c>
      <c r="C154" s="79">
        <v>10.416666666666671</v>
      </c>
      <c r="D154" s="15">
        <f>SUMPRODUCT(Business_Portfolio!D154:AM154,Business_Portfolio!$D$8:$AM$8)</f>
        <v>10.013775848374051</v>
      </c>
      <c r="E154" s="25">
        <f t="shared" si="13"/>
        <v>5.2778521253916681E-2</v>
      </c>
      <c r="F154" s="25"/>
      <c r="G154" s="25"/>
      <c r="H154" s="25"/>
      <c r="I154" s="25"/>
      <c r="J154" s="15">
        <f>SUMPRODUCT(Business_Portfolio!$V154:$AM154,Business_Portfolio!$V$8:$AM$8)</f>
        <v>8.5000504104492371</v>
      </c>
      <c r="K154" s="25">
        <f t="shared" si="14"/>
        <v>5.5919629622169377E-2</v>
      </c>
      <c r="L154" s="25"/>
      <c r="M154" s="25"/>
      <c r="N154" s="25"/>
      <c r="O154" s="25"/>
      <c r="P154" s="15">
        <f>SUMPRODUCT(Business_Portfolio!$D154:$U154,Business_Portfolio!$D$8:$U$8)</f>
        <v>1.5137254379248157</v>
      </c>
      <c r="Q154" s="25">
        <f t="shared" si="15"/>
        <v>4.0122858531568696E-2</v>
      </c>
      <c r="R154" s="25"/>
      <c r="S154" s="25"/>
      <c r="T154" s="25"/>
      <c r="U154" s="25"/>
    </row>
    <row r="155" spans="1:21" x14ac:dyDescent="0.25">
      <c r="A155" s="155">
        <f t="shared" si="16"/>
        <v>11</v>
      </c>
      <c r="C155" s="79">
        <v>10.500000000000005</v>
      </c>
      <c r="D155" s="15">
        <f>SUMPRODUCT(Business_Portfolio!D155:AM155,Business_Portfolio!$D$8:$AM$8)</f>
        <v>9.8900333460703216</v>
      </c>
      <c r="E155" s="25">
        <f t="shared" si="13"/>
        <v>5.2126325080690906E-2</v>
      </c>
      <c r="F155" s="25"/>
      <c r="G155" s="25"/>
      <c r="H155" s="25"/>
      <c r="I155" s="25"/>
      <c r="J155" s="15">
        <f>SUMPRODUCT(Business_Portfolio!$V155:$AM155,Business_Portfolio!$V$8:$AM$8)</f>
        <v>8.3953329214408079</v>
      </c>
      <c r="K155" s="25">
        <f t="shared" si="14"/>
        <v>5.5230720390158659E-2</v>
      </c>
      <c r="L155" s="25"/>
      <c r="M155" s="25"/>
      <c r="N155" s="25"/>
      <c r="O155" s="25"/>
      <c r="P155" s="15">
        <f>SUMPRODUCT(Business_Portfolio!$D155:$U155,Business_Portfolio!$D$8:$U$8)</f>
        <v>1.4947004246295144</v>
      </c>
      <c r="Q155" s="25">
        <f t="shared" si="15"/>
        <v>3.9618580874680627E-2</v>
      </c>
      <c r="R155" s="25"/>
      <c r="S155" s="25"/>
      <c r="T155" s="25"/>
      <c r="U155" s="25"/>
    </row>
    <row r="156" spans="1:21" x14ac:dyDescent="0.25">
      <c r="A156" s="155">
        <f t="shared" si="16"/>
        <v>11</v>
      </c>
      <c r="C156" s="79">
        <v>10.583333333333339</v>
      </c>
      <c r="D156" s="15">
        <f>SUMPRODUCT(Business_Portfolio!D156:AM156,Business_Portfolio!$D$8:$AM$8)</f>
        <v>9.8613583597090138</v>
      </c>
      <c r="E156" s="25">
        <f t="shared" si="13"/>
        <v>5.1975190943074699E-2</v>
      </c>
      <c r="F156" s="25"/>
      <c r="G156" s="25"/>
      <c r="H156" s="25"/>
      <c r="I156" s="25"/>
      <c r="J156" s="15">
        <f>SUMPRODUCT(Business_Portfolio!$V156:$AM156,Business_Portfolio!$V$8:$AM$8)</f>
        <v>8.3698727981736845</v>
      </c>
      <c r="K156" s="25">
        <f t="shared" si="14"/>
        <v>5.5063224834899116E-2</v>
      </c>
      <c r="L156" s="25"/>
      <c r="M156" s="25"/>
      <c r="N156" s="25"/>
      <c r="O156" s="25"/>
      <c r="P156" s="15">
        <f>SUMPRODUCT(Business_Portfolio!$D156:$U156,Business_Portfolio!$D$8:$U$8)</f>
        <v>1.491485561535328</v>
      </c>
      <c r="Q156" s="25">
        <f t="shared" si="15"/>
        <v>3.9533367602911061E-2</v>
      </c>
      <c r="R156" s="25"/>
      <c r="S156" s="25"/>
      <c r="T156" s="25"/>
      <c r="U156" s="25"/>
    </row>
    <row r="157" spans="1:21" x14ac:dyDescent="0.25">
      <c r="A157" s="155">
        <f t="shared" si="16"/>
        <v>11</v>
      </c>
      <c r="C157" s="79">
        <v>10.666666666666673</v>
      </c>
      <c r="D157" s="15">
        <f>SUMPRODUCT(Business_Portfolio!D157:AM157,Business_Portfolio!$D$8:$AM$8)</f>
        <v>9.8326473886806003</v>
      </c>
      <c r="E157" s="25">
        <f t="shared" si="13"/>
        <v>5.1823867144980121E-2</v>
      </c>
      <c r="F157" s="25"/>
      <c r="G157" s="25"/>
      <c r="H157" s="25"/>
      <c r="I157" s="25"/>
      <c r="J157" s="15">
        <f>SUMPRODUCT(Business_Portfolio!$V157:$AM157,Business_Portfolio!$V$8:$AM$8)</f>
        <v>8.3443772369948839</v>
      </c>
      <c r="K157" s="25">
        <f t="shared" si="14"/>
        <v>5.4895496142799212E-2</v>
      </c>
      <c r="L157" s="25"/>
      <c r="M157" s="25"/>
      <c r="N157" s="25"/>
      <c r="O157" s="25"/>
      <c r="P157" s="15">
        <f>SUMPRODUCT(Business_Portfolio!$D157:$U157,Business_Portfolio!$D$8:$U$8)</f>
        <v>1.4882701516857155</v>
      </c>
      <c r="Q157" s="25">
        <f t="shared" si="15"/>
        <v>3.9448139838823351E-2</v>
      </c>
      <c r="R157" s="25"/>
      <c r="S157" s="25"/>
      <c r="T157" s="25"/>
      <c r="U157" s="25"/>
    </row>
    <row r="158" spans="1:21" x14ac:dyDescent="0.25">
      <c r="A158" s="155">
        <f t="shared" si="16"/>
        <v>11</v>
      </c>
      <c r="C158" s="79">
        <v>10.750000000000007</v>
      </c>
      <c r="D158" s="15">
        <f>SUMPRODUCT(Business_Portfolio!D158:AM158,Business_Portfolio!$D$8:$AM$8)</f>
        <v>9.8039002082659472</v>
      </c>
      <c r="E158" s="25">
        <f t="shared" ref="E158:E221" si="17">D158/D$10</f>
        <v>5.1672352502004436E-2</v>
      </c>
      <c r="F158" s="25"/>
      <c r="G158" s="25"/>
      <c r="H158" s="25"/>
      <c r="I158" s="25"/>
      <c r="J158" s="15">
        <f>SUMPRODUCT(Business_Portfolio!$V158:$AM158,Business_Portfolio!$V$8:$AM$8)</f>
        <v>8.3188460250466711</v>
      </c>
      <c r="K158" s="25">
        <f t="shared" ref="K158:K221" si="18">J158/J$10</f>
        <v>5.4727532913523058E-2</v>
      </c>
      <c r="L158" s="25"/>
      <c r="M158" s="25"/>
      <c r="N158" s="25"/>
      <c r="O158" s="25"/>
      <c r="P158" s="15">
        <f>SUMPRODUCT(Business_Portfolio!$D158:$U158,Business_Portfolio!$D$8:$U$8)</f>
        <v>1.4850541832192745</v>
      </c>
      <c r="Q158" s="25">
        <f t="shared" ref="Q158:Q221" si="19">P158/P$10</f>
        <v>3.9362897268018775E-2</v>
      </c>
      <c r="R158" s="25"/>
      <c r="S158" s="25"/>
      <c r="T158" s="25"/>
      <c r="U158" s="25"/>
    </row>
    <row r="159" spans="1:21" x14ac:dyDescent="0.25">
      <c r="A159" s="155">
        <f t="shared" ref="A159:A222" si="20">ROUNDUP(C159-0.0001,0)</f>
        <v>11</v>
      </c>
      <c r="C159" s="79">
        <v>10.833333333333341</v>
      </c>
      <c r="D159" s="15">
        <f>SUMPRODUCT(Business_Portfolio!D159:AM159,Business_Portfolio!$D$8:$AM$8)</f>
        <v>9.7751165930926298</v>
      </c>
      <c r="E159" s="25">
        <f t="shared" si="17"/>
        <v>5.152064582630167E-2</v>
      </c>
      <c r="F159" s="25"/>
      <c r="G159" s="25"/>
      <c r="H159" s="25"/>
      <c r="I159" s="25"/>
      <c r="J159" s="15">
        <f>SUMPRODUCT(Business_Portfolio!$V159:$AM159,Business_Portfolio!$V$8:$AM$8)</f>
        <v>8.293278948828311</v>
      </c>
      <c r="K159" s="25">
        <f t="shared" si="18"/>
        <v>5.4559333742504622E-2</v>
      </c>
      <c r="L159" s="25"/>
      <c r="M159" s="25"/>
      <c r="N159" s="25"/>
      <c r="O159" s="25"/>
      <c r="P159" s="15">
        <f>SUMPRODUCT(Business_Portfolio!$D159:$U159,Business_Portfolio!$D$8:$U$8)</f>
        <v>1.4818376442643182</v>
      </c>
      <c r="Q159" s="25">
        <f t="shared" si="19"/>
        <v>3.927763957582598E-2</v>
      </c>
      <c r="R159" s="25"/>
      <c r="S159" s="25"/>
      <c r="T159" s="25"/>
      <c r="U159" s="25"/>
    </row>
    <row r="160" spans="1:21" x14ac:dyDescent="0.25">
      <c r="A160" s="155">
        <f t="shared" si="20"/>
        <v>11</v>
      </c>
      <c r="C160" s="79">
        <v>10.916666666666675</v>
      </c>
      <c r="D160" s="15">
        <f>SUMPRODUCT(Business_Portfolio!D160:AM160,Business_Portfolio!$D$8:$AM$8)</f>
        <v>9.7462963171314509</v>
      </c>
      <c r="E160" s="25">
        <f t="shared" si="17"/>
        <v>5.1368745926564263E-2</v>
      </c>
      <c r="F160" s="25"/>
      <c r="G160" s="25"/>
      <c r="H160" s="25"/>
      <c r="I160" s="25"/>
      <c r="J160" s="15">
        <f>SUMPRODUCT(Business_Portfolio!$V160:$AM160,Business_Portfolio!$V$8:$AM$8)</f>
        <v>8.2676757941931527</v>
      </c>
      <c r="K160" s="25">
        <f t="shared" si="18"/>
        <v>5.4390897220928568E-2</v>
      </c>
      <c r="L160" s="25"/>
      <c r="M160" s="25"/>
      <c r="N160" s="25"/>
      <c r="O160" s="25"/>
      <c r="P160" s="15">
        <f>SUMPRODUCT(Business_Portfolio!$D160:$U160,Business_Portfolio!$D$8:$U$8)</f>
        <v>1.4786205229382969</v>
      </c>
      <c r="Q160" s="25">
        <f t="shared" si="19"/>
        <v>3.9192366447285708E-2</v>
      </c>
      <c r="R160" s="25"/>
      <c r="S160" s="25"/>
      <c r="T160" s="25"/>
      <c r="U160" s="25"/>
    </row>
    <row r="161" spans="1:21" x14ac:dyDescent="0.25">
      <c r="A161" s="155">
        <f t="shared" si="20"/>
        <v>11</v>
      </c>
      <c r="C161" s="79">
        <v>11.000000000000009</v>
      </c>
      <c r="D161" s="15">
        <f>SUMPRODUCT(Business_Portfolio!D161:AM161,Business_Portfolio!$D$8:$AM$8)</f>
        <v>9.7174391536935936</v>
      </c>
      <c r="E161" s="25">
        <f t="shared" si="17"/>
        <v>5.1216651608008097E-2</v>
      </c>
      <c r="F161" s="25"/>
      <c r="G161" s="25"/>
      <c r="H161" s="25"/>
      <c r="I161" s="25"/>
      <c r="J161" s="15">
        <f>SUMPRODUCT(Business_Portfolio!$V161:$AM161,Business_Portfolio!$V$8:$AM$8)</f>
        <v>8.2420363463452482</v>
      </c>
      <c r="K161" s="25">
        <f t="shared" si="18"/>
        <v>5.4222221935707998E-2</v>
      </c>
      <c r="L161" s="25"/>
      <c r="M161" s="25"/>
      <c r="N161" s="25"/>
      <c r="O161" s="25"/>
      <c r="P161" s="15">
        <f>SUMPRODUCT(Business_Portfolio!$D161:$U161,Business_Portfolio!$D$8:$U$8)</f>
        <v>1.4754028073483472</v>
      </c>
      <c r="Q161" s="25">
        <f t="shared" si="19"/>
        <v>3.9107077567165305E-2</v>
      </c>
      <c r="R161" s="25"/>
      <c r="S161" s="25"/>
      <c r="T161" s="25"/>
      <c r="U161" s="25"/>
    </row>
    <row r="162" spans="1:21" x14ac:dyDescent="0.25">
      <c r="A162" s="155">
        <f t="shared" si="20"/>
        <v>12</v>
      </c>
      <c r="C162" s="79">
        <v>11.083333333333343</v>
      </c>
      <c r="D162" s="15">
        <f>SUMPRODUCT(Business_Portfolio!D162:AM162,Business_Portfolio!$D$8:$AM$8)</f>
        <v>9.129407652412187</v>
      </c>
      <c r="E162" s="25">
        <f t="shared" si="17"/>
        <v>4.8117377811761446E-2</v>
      </c>
      <c r="F162" s="25"/>
      <c r="G162" s="25"/>
      <c r="H162" s="25"/>
      <c r="I162" s="25"/>
      <c r="J162" s="15">
        <f>SUMPRODUCT(Business_Portfolio!$V162:$AM162,Business_Portfolio!$V$8:$AM$8)</f>
        <v>7.7591994322527675</v>
      </c>
      <c r="K162" s="25">
        <f t="shared" si="18"/>
        <v>5.1045762961915188E-2</v>
      </c>
      <c r="L162" s="25"/>
      <c r="M162" s="25"/>
      <c r="N162" s="25"/>
      <c r="O162" s="25"/>
      <c r="P162" s="15">
        <f>SUMPRODUCT(Business_Portfolio!$D162:$U162,Business_Portfolio!$D$8:$U$8)</f>
        <v>1.3702082201594183</v>
      </c>
      <c r="Q162" s="25">
        <f t="shared" si="19"/>
        <v>3.6318786220318165E-2</v>
      </c>
      <c r="R162" s="25"/>
      <c r="S162" s="25"/>
      <c r="T162" s="25"/>
      <c r="U162" s="25"/>
    </row>
    <row r="163" spans="1:21" x14ac:dyDescent="0.25">
      <c r="A163" s="155">
        <f t="shared" si="20"/>
        <v>12</v>
      </c>
      <c r="C163" s="79">
        <v>11.166666666666677</v>
      </c>
      <c r="D163" s="15">
        <f>SUMPRODUCT(Business_Portfolio!D163:AM163,Business_Portfolio!$D$8:$AM$8)</f>
        <v>9.1080130416727503</v>
      </c>
      <c r="E163" s="25">
        <f t="shared" si="17"/>
        <v>4.8004615559567233E-2</v>
      </c>
      <c r="F163" s="25"/>
      <c r="G163" s="25"/>
      <c r="H163" s="25"/>
      <c r="I163" s="25"/>
      <c r="J163" s="15">
        <f>SUMPRODUCT(Business_Portfolio!$V163:$AM163,Business_Portfolio!$V$8:$AM$8)</f>
        <v>7.7395124166803706</v>
      </c>
      <c r="K163" s="25">
        <f t="shared" si="18"/>
        <v>5.0916247186594495E-2</v>
      </c>
      <c r="L163" s="25"/>
      <c r="M163" s="25"/>
      <c r="N163" s="25"/>
      <c r="O163" s="25"/>
      <c r="P163" s="15">
        <f>SUMPRODUCT(Business_Portfolio!$D163:$U163,Business_Portfolio!$D$8:$U$8)</f>
        <v>1.368500624992383</v>
      </c>
      <c r="Q163" s="25">
        <f t="shared" si="19"/>
        <v>3.6273524644077446E-2</v>
      </c>
      <c r="R163" s="25"/>
      <c r="S163" s="25"/>
      <c r="T163" s="25"/>
      <c r="U163" s="25"/>
    </row>
    <row r="164" spans="1:21" x14ac:dyDescent="0.25">
      <c r="A164" s="155">
        <f t="shared" si="20"/>
        <v>12</v>
      </c>
      <c r="C164" s="79">
        <v>11.250000000000011</v>
      </c>
      <c r="D164" s="15">
        <f>SUMPRODUCT(Business_Portfolio!D164:AM164,Business_Portfolio!$D$8:$AM$8)</f>
        <v>9.0866079266040742</v>
      </c>
      <c r="E164" s="25">
        <f t="shared" si="17"/>
        <v>4.789179794334527E-2</v>
      </c>
      <c r="F164" s="25"/>
      <c r="G164" s="25"/>
      <c r="H164" s="25"/>
      <c r="I164" s="25"/>
      <c r="J164" s="15">
        <f>SUMPRODUCT(Business_Portfolio!$V164:$AM164,Business_Portfolio!$V$8:$AM$8)</f>
        <v>7.7198133102991005</v>
      </c>
      <c r="K164" s="25">
        <f t="shared" si="18"/>
        <v>5.0786651868974478E-2</v>
      </c>
      <c r="L164" s="25"/>
      <c r="M164" s="25"/>
      <c r="N164" s="25"/>
      <c r="O164" s="25"/>
      <c r="P164" s="15">
        <f>SUMPRODUCT(Business_Portfolio!$D164:$U164,Business_Portfolio!$D$8:$U$8)</f>
        <v>1.3667946163049718</v>
      </c>
      <c r="Q164" s="25">
        <f t="shared" si="19"/>
        <v>3.6228305119120223E-2</v>
      </c>
      <c r="R164" s="25"/>
      <c r="S164" s="25"/>
      <c r="T164" s="25"/>
      <c r="U164" s="25"/>
    </row>
    <row r="165" spans="1:21" x14ac:dyDescent="0.25">
      <c r="A165" s="155">
        <f t="shared" si="20"/>
        <v>12</v>
      </c>
      <c r="C165" s="79">
        <v>11.333333333333345</v>
      </c>
      <c r="D165" s="15">
        <f>SUMPRODUCT(Business_Portfolio!D165:AM165,Business_Portfolio!$D$8:$AM$8)</f>
        <v>9.065192210163854</v>
      </c>
      <c r="E165" s="25">
        <f t="shared" si="17"/>
        <v>4.777892445162521E-2</v>
      </c>
      <c r="F165" s="25"/>
      <c r="G165" s="25"/>
      <c r="H165" s="25"/>
      <c r="I165" s="25"/>
      <c r="J165" s="15">
        <f>SUMPRODUCT(Business_Portfolio!$V165:$AM165,Business_Portfolio!$V$8:$AM$8)</f>
        <v>7.7001020193738423</v>
      </c>
      <c r="K165" s="25">
        <f t="shared" si="18"/>
        <v>5.0656976392396094E-2</v>
      </c>
      <c r="L165" s="25"/>
      <c r="M165" s="25"/>
      <c r="N165" s="25"/>
      <c r="O165" s="25"/>
      <c r="P165" s="15">
        <f>SUMPRODUCT(Business_Portfolio!$D165:$U165,Business_Portfolio!$D$8:$U$8)</f>
        <v>1.3650901907900121</v>
      </c>
      <c r="Q165" s="25">
        <f t="shared" si="19"/>
        <v>3.6183127557786465E-2</v>
      </c>
      <c r="R165" s="25"/>
      <c r="S165" s="25"/>
      <c r="T165" s="25"/>
      <c r="U165" s="25"/>
    </row>
    <row r="166" spans="1:21" x14ac:dyDescent="0.25">
      <c r="A166" s="155">
        <f t="shared" si="20"/>
        <v>12</v>
      </c>
      <c r="C166" s="79">
        <v>11.416666666666679</v>
      </c>
      <c r="D166" s="15">
        <f>SUMPRODUCT(Business_Portfolio!D166:AM166,Business_Portfolio!$D$8:$AM$8)</f>
        <v>9.0437657951544725</v>
      </c>
      <c r="E166" s="25">
        <f t="shared" si="17"/>
        <v>4.766599457211812E-2</v>
      </c>
      <c r="F166" s="25"/>
      <c r="G166" s="25"/>
      <c r="H166" s="25"/>
      <c r="I166" s="25"/>
      <c r="J166" s="15">
        <f>SUMPRODUCT(Business_Portfolio!$V166:$AM166,Business_Portfolio!$V$8:$AM$8)</f>
        <v>7.6803784500089654</v>
      </c>
      <c r="K166" s="25">
        <f t="shared" si="18"/>
        <v>5.0527220139144326E-2</v>
      </c>
      <c r="L166" s="25"/>
      <c r="M166" s="25"/>
      <c r="N166" s="25"/>
      <c r="O166" s="25"/>
      <c r="P166" s="15">
        <f>SUMPRODUCT(Business_Portfolio!$D166:$U166,Business_Portfolio!$D$8:$U$8)</f>
        <v>1.3633873451455076</v>
      </c>
      <c r="Q166" s="25">
        <f t="shared" si="19"/>
        <v>3.6137991872553336E-2</v>
      </c>
      <c r="R166" s="25"/>
      <c r="S166" s="25"/>
      <c r="T166" s="25"/>
      <c r="U166" s="25"/>
    </row>
    <row r="167" spans="1:21" x14ac:dyDescent="0.25">
      <c r="A167" s="155">
        <f t="shared" si="20"/>
        <v>12</v>
      </c>
      <c r="C167" s="79">
        <v>11.500000000000012</v>
      </c>
      <c r="D167" s="15">
        <f>SUMPRODUCT(Business_Portfolio!D167:AM167,Business_Portfolio!$D$8:$AM$8)</f>
        <v>8.9305473158534756</v>
      </c>
      <c r="E167" s="25">
        <f t="shared" si="17"/>
        <v>4.7069266224429564E-2</v>
      </c>
      <c r="F167" s="25"/>
      <c r="G167" s="25"/>
      <c r="H167" s="25"/>
      <c r="I167" s="25"/>
      <c r="J167" s="15">
        <f>SUMPRODUCT(Business_Portfolio!$V167:$AM167,Business_Portfolio!$V$8:$AM$8)</f>
        <v>7.5840896126163058</v>
      </c>
      <c r="K167" s="25">
        <f t="shared" si="18"/>
        <v>4.9893760822582199E-2</v>
      </c>
      <c r="L167" s="25"/>
      <c r="M167" s="25"/>
      <c r="N167" s="25"/>
      <c r="O167" s="25"/>
      <c r="P167" s="15">
        <f>SUMPRODUCT(Business_Portfolio!$D167:$U167,Business_Portfolio!$D$8:$U$8)</f>
        <v>1.3464577032371694</v>
      </c>
      <c r="Q167" s="25">
        <f t="shared" si="19"/>
        <v>3.568925420173135E-2</v>
      </c>
      <c r="R167" s="25"/>
      <c r="S167" s="25"/>
      <c r="T167" s="25"/>
      <c r="U167" s="25"/>
    </row>
    <row r="168" spans="1:21" x14ac:dyDescent="0.25">
      <c r="A168" s="155">
        <f t="shared" si="20"/>
        <v>12</v>
      </c>
      <c r="C168" s="79">
        <v>11.583333333333346</v>
      </c>
      <c r="D168" s="15">
        <f>SUMPRODUCT(Business_Portfolio!D168:AM168,Business_Portfolio!$D$8:$AM$8)</f>
        <v>8.9093652592292791</v>
      </c>
      <c r="E168" s="25">
        <f t="shared" si="17"/>
        <v>4.6957624258135371E-2</v>
      </c>
      <c r="F168" s="25"/>
      <c r="G168" s="25"/>
      <c r="H168" s="25"/>
      <c r="I168" s="25"/>
      <c r="J168" s="15">
        <f>SUMPRODUCT(Business_Portfolio!$V168:$AM168,Business_Portfolio!$V$8:$AM$8)</f>
        <v>7.564591468765121</v>
      </c>
      <c r="K168" s="25">
        <f t="shared" si="18"/>
        <v>4.9765487585386133E-2</v>
      </c>
      <c r="L168" s="25"/>
      <c r="M168" s="25"/>
      <c r="N168" s="25"/>
      <c r="O168" s="25"/>
      <c r="P168" s="15">
        <f>SUMPRODUCT(Business_Portfolio!$D168:$U168,Business_Portfolio!$D$8:$U$8)</f>
        <v>1.3447737904641588</v>
      </c>
      <c r="Q168" s="25">
        <f t="shared" si="19"/>
        <v>3.564462035184135E-2</v>
      </c>
      <c r="R168" s="25"/>
      <c r="S168" s="25"/>
      <c r="T168" s="25"/>
      <c r="U168" s="25"/>
    </row>
    <row r="169" spans="1:21" x14ac:dyDescent="0.25">
      <c r="A169" s="155">
        <f t="shared" si="20"/>
        <v>12</v>
      </c>
      <c r="C169" s="79">
        <v>11.66666666666668</v>
      </c>
      <c r="D169" s="15">
        <f>SUMPRODUCT(Business_Portfolio!D169:AM169,Business_Portfolio!$D$8:$AM$8)</f>
        <v>8.8881715202476617</v>
      </c>
      <c r="E169" s="25">
        <f t="shared" si="17"/>
        <v>4.6845920718908168E-2</v>
      </c>
      <c r="F169" s="25"/>
      <c r="G169" s="25"/>
      <c r="H169" s="25"/>
      <c r="I169" s="25"/>
      <c r="J169" s="15">
        <f>SUMPRODUCT(Business_Portfolio!$V169:$AM169,Business_Portfolio!$V$8:$AM$8)</f>
        <v>7.54508016670973</v>
      </c>
      <c r="K169" s="25">
        <f t="shared" si="18"/>
        <v>4.9637127783773376E-2</v>
      </c>
      <c r="L169" s="25"/>
      <c r="M169" s="25"/>
      <c r="N169" s="25"/>
      <c r="O169" s="25"/>
      <c r="P169" s="15">
        <f>SUMPRODUCT(Business_Portfolio!$D169:$U169,Business_Portfolio!$D$8:$U$8)</f>
        <v>1.3430913535379319</v>
      </c>
      <c r="Q169" s="25">
        <f t="shared" si="19"/>
        <v>3.5600025620796977E-2</v>
      </c>
      <c r="R169" s="25"/>
      <c r="S169" s="25"/>
      <c r="T169" s="25"/>
      <c r="U169" s="25"/>
    </row>
    <row r="170" spans="1:21" x14ac:dyDescent="0.25">
      <c r="A170" s="155">
        <f t="shared" si="20"/>
        <v>12</v>
      </c>
      <c r="C170" s="79">
        <v>11.750000000000014</v>
      </c>
      <c r="D170" s="15">
        <f>SUMPRODUCT(Business_Portfolio!D170:AM170,Business_Portfolio!$D$8:$AM$8)</f>
        <v>8.8669660028543564</v>
      </c>
      <c r="E170" s="25">
        <f t="shared" si="17"/>
        <v>4.6734155100485161E-2</v>
      </c>
      <c r="F170" s="25"/>
      <c r="G170" s="25"/>
      <c r="H170" s="25"/>
      <c r="I170" s="25"/>
      <c r="J170" s="15">
        <f>SUMPRODUCT(Business_Portfolio!$V170:$AM170,Business_Portfolio!$V$8:$AM$8)</f>
        <v>7.5255556135285202</v>
      </c>
      <c r="K170" s="25">
        <f t="shared" si="18"/>
        <v>4.9508680806436695E-2</v>
      </c>
      <c r="L170" s="25"/>
      <c r="M170" s="25"/>
      <c r="N170" s="25"/>
      <c r="O170" s="25"/>
      <c r="P170" s="15">
        <f>SUMPRODUCT(Business_Portfolio!$D170:$U170,Business_Portfolio!$D$8:$U$8)</f>
        <v>1.3414103893258364</v>
      </c>
      <c r="Q170" s="25">
        <f t="shared" si="19"/>
        <v>3.5555469925564027E-2</v>
      </c>
      <c r="R170" s="25"/>
      <c r="S170" s="25"/>
      <c r="T170" s="25"/>
      <c r="U170" s="25"/>
    </row>
    <row r="171" spans="1:21" x14ac:dyDescent="0.25">
      <c r="A171" s="155">
        <f t="shared" si="20"/>
        <v>12</v>
      </c>
      <c r="C171" s="79">
        <v>11.833333333333348</v>
      </c>
      <c r="D171" s="15">
        <f>SUMPRODUCT(Business_Portfolio!D171:AM171,Business_Portfolio!$D$8:$AM$8)</f>
        <v>8.8457486108321319</v>
      </c>
      <c r="E171" s="25">
        <f t="shared" si="17"/>
        <v>4.6622326895744644E-2</v>
      </c>
      <c r="F171" s="25"/>
      <c r="G171" s="25"/>
      <c r="H171" s="25"/>
      <c r="I171" s="25"/>
      <c r="J171" s="15">
        <f>SUMPRODUCT(Business_Portfolio!$V171:$AM171,Business_Portfolio!$V$8:$AM$8)</f>
        <v>7.506017716132372</v>
      </c>
      <c r="K171" s="25">
        <f t="shared" si="18"/>
        <v>4.9380146040966896E-2</v>
      </c>
      <c r="L171" s="25"/>
      <c r="M171" s="25"/>
      <c r="N171" s="25"/>
      <c r="O171" s="25"/>
      <c r="P171" s="15">
        <f>SUMPRODUCT(Business_Portfolio!$D171:$U171,Business_Portfolio!$D$8:$U$8)</f>
        <v>1.339730894699759</v>
      </c>
      <c r="Q171" s="25">
        <f t="shared" si="19"/>
        <v>3.5510953183228632E-2</v>
      </c>
      <c r="R171" s="25"/>
      <c r="S171" s="25"/>
      <c r="T171" s="25"/>
      <c r="U171" s="25"/>
    </row>
    <row r="172" spans="1:21" x14ac:dyDescent="0.25">
      <c r="A172" s="155">
        <f t="shared" si="20"/>
        <v>12</v>
      </c>
      <c r="C172" s="79">
        <v>11.916666666666682</v>
      </c>
      <c r="D172" s="15">
        <f>SUMPRODUCT(Business_Portfolio!D172:AM172,Business_Portfolio!$D$8:$AM$8)</f>
        <v>8.8245192478007137</v>
      </c>
      <c r="E172" s="25">
        <f t="shared" si="17"/>
        <v>4.6510435596705556E-2</v>
      </c>
      <c r="F172" s="25"/>
      <c r="G172" s="25"/>
      <c r="H172" s="25"/>
      <c r="I172" s="25"/>
      <c r="J172" s="15">
        <f>SUMPRODUCT(Business_Portfolio!$V172:$AM172,Business_Portfolio!$V$8:$AM$8)</f>
        <v>7.4864663812644432</v>
      </c>
      <c r="K172" s="25">
        <f t="shared" si="18"/>
        <v>4.9251522873851372E-2</v>
      </c>
      <c r="L172" s="25"/>
      <c r="M172" s="25"/>
      <c r="N172" s="25"/>
      <c r="O172" s="25"/>
      <c r="P172" s="15">
        <f>SUMPRODUCT(Business_Portfolio!$D172:$U172,Business_Portfolio!$D$8:$U$8)</f>
        <v>1.3380528665362716</v>
      </c>
      <c r="Q172" s="25">
        <f t="shared" si="19"/>
        <v>3.5466475311001097E-2</v>
      </c>
      <c r="R172" s="25"/>
      <c r="S172" s="25"/>
      <c r="T172" s="25"/>
      <c r="U172" s="25"/>
    </row>
    <row r="173" spans="1:21" x14ac:dyDescent="0.25">
      <c r="A173" s="155">
        <f t="shared" si="20"/>
        <v>12</v>
      </c>
      <c r="C173" s="79">
        <v>12.000000000000016</v>
      </c>
      <c r="D173" s="15">
        <f>SUMPRODUCT(Business_Portfolio!D173:AM173,Business_Portfolio!$D$8:$AM$8)</f>
        <v>8.8032778172159674</v>
      </c>
      <c r="E173" s="25">
        <f t="shared" si="17"/>
        <v>4.6398480694523209E-2</v>
      </c>
      <c r="F173" s="25"/>
      <c r="G173" s="25"/>
      <c r="H173" s="25"/>
      <c r="I173" s="25"/>
      <c r="J173" s="15">
        <f>SUMPRODUCT(Business_Portfolio!$V173:$AM173,Business_Portfolio!$V$8:$AM$8)</f>
        <v>7.4669015154995115</v>
      </c>
      <c r="K173" s="25">
        <f t="shared" si="18"/>
        <v>4.9122810690469788E-2</v>
      </c>
      <c r="L173" s="25"/>
      <c r="M173" s="25"/>
      <c r="N173" s="25"/>
      <c r="O173" s="25"/>
      <c r="P173" s="15">
        <f>SUMPRODUCT(Business_Portfolio!$D173:$U173,Business_Portfolio!$D$8:$U$8)</f>
        <v>1.3363763017164554</v>
      </c>
      <c r="Q173" s="25">
        <f t="shared" si="19"/>
        <v>3.5422036226211248E-2</v>
      </c>
      <c r="R173" s="25"/>
      <c r="S173" s="25"/>
      <c r="T173" s="25"/>
      <c r="U173" s="25"/>
    </row>
    <row r="174" spans="1:21" x14ac:dyDescent="0.25">
      <c r="A174" s="155">
        <f t="shared" si="20"/>
        <v>13</v>
      </c>
      <c r="C174" s="79">
        <v>12.08333333333335</v>
      </c>
      <c r="D174" s="15">
        <f>SUMPRODUCT(Business_Portfolio!D174:AM174,Business_Portfolio!$D$8:$AM$8)</f>
        <v>8.7820242223690528</v>
      </c>
      <c r="E174" s="25">
        <f t="shared" si="17"/>
        <v>4.6286461679484824E-2</v>
      </c>
      <c r="F174" s="25"/>
      <c r="G174" s="25"/>
      <c r="H174" s="25"/>
      <c r="I174" s="25"/>
      <c r="J174" s="15">
        <f>SUMPRODUCT(Business_Portfolio!$V174:$AM174,Business_Portfolio!$V$8:$AM$8)</f>
        <v>7.4473230252430929</v>
      </c>
      <c r="K174" s="25">
        <f t="shared" si="18"/>
        <v>4.8994008875088285E-2</v>
      </c>
      <c r="L174" s="25"/>
      <c r="M174" s="25"/>
      <c r="N174" s="25"/>
      <c r="O174" s="25"/>
      <c r="P174" s="15">
        <f>SUMPRODUCT(Business_Portfolio!$D174:$U174,Business_Portfolio!$D$8:$U$8)</f>
        <v>1.3347011971259584</v>
      </c>
      <c r="Q174" s="25">
        <f t="shared" si="19"/>
        <v>3.5377635846309964E-2</v>
      </c>
      <c r="R174" s="25"/>
      <c r="S174" s="25"/>
      <c r="T174" s="25"/>
      <c r="U174" s="25"/>
    </row>
    <row r="175" spans="1:21" x14ac:dyDescent="0.25">
      <c r="A175" s="155">
        <f t="shared" si="20"/>
        <v>13</v>
      </c>
      <c r="C175" s="79">
        <v>12.166666666666684</v>
      </c>
      <c r="D175" s="15">
        <f>SUMPRODUCT(Business_Portfolio!D175:AM175,Business_Portfolio!$D$8:$AM$8)</f>
        <v>8.760758366385792</v>
      </c>
      <c r="E175" s="25">
        <f t="shared" si="17"/>
        <v>4.6174378041006187E-2</v>
      </c>
      <c r="F175" s="25"/>
      <c r="G175" s="25"/>
      <c r="H175" s="25"/>
      <c r="I175" s="25"/>
      <c r="J175" s="15">
        <f>SUMPRODUCT(Business_Portfolio!$V175:$AM175,Business_Portfolio!$V$8:$AM$8)</f>
        <v>7.4277308167307812</v>
      </c>
      <c r="K175" s="25">
        <f t="shared" si="18"/>
        <v>4.8865116810855112E-2</v>
      </c>
      <c r="L175" s="25"/>
      <c r="M175" s="25"/>
      <c r="N175" s="25"/>
      <c r="O175" s="25"/>
      <c r="P175" s="15">
        <f>SUMPRODUCT(Business_Portfolio!$D175:$U175,Business_Portfolio!$D$8:$U$8)</f>
        <v>1.3330275496550099</v>
      </c>
      <c r="Q175" s="25">
        <f t="shared" si="19"/>
        <v>3.5333274088869569E-2</v>
      </c>
      <c r="R175" s="25"/>
      <c r="S175" s="25"/>
      <c r="T175" s="25"/>
      <c r="U175" s="25"/>
    </row>
    <row r="176" spans="1:21" x14ac:dyDescent="0.25">
      <c r="A176" s="155">
        <f t="shared" si="20"/>
        <v>13</v>
      </c>
      <c r="C176" s="79">
        <v>12.250000000000018</v>
      </c>
      <c r="D176" s="15">
        <f>SUMPRODUCT(Business_Portfolio!D176:AM176,Business_Portfolio!$D$8:$AM$8)</f>
        <v>8.7394801522263172</v>
      </c>
      <c r="E176" s="25">
        <f t="shared" si="17"/>
        <v>4.6062229267629803E-2</v>
      </c>
      <c r="F176" s="25"/>
      <c r="G176" s="25"/>
      <c r="H176" s="25"/>
      <c r="I176" s="25"/>
      <c r="J176" s="15">
        <f>SUMPRODUCT(Business_Portfolio!$V176:$AM176,Business_Portfolio!$V$8:$AM$8)</f>
        <v>7.4081247960279351</v>
      </c>
      <c r="K176" s="25">
        <f t="shared" si="18"/>
        <v>4.8736133879798617E-2</v>
      </c>
      <c r="L176" s="25"/>
      <c r="M176" s="25"/>
      <c r="N176" s="25"/>
      <c r="O176" s="25"/>
      <c r="P176" s="15">
        <f>SUMPRODUCT(Business_Portfolio!$D176:$U176,Business_Portfolio!$D$8:$U$8)</f>
        <v>1.3313553561983822</v>
      </c>
      <c r="Q176" s="25">
        <f t="shared" si="19"/>
        <v>3.5288950871582771E-2</v>
      </c>
      <c r="R176" s="25"/>
      <c r="S176" s="25"/>
      <c r="T176" s="25"/>
      <c r="U176" s="25"/>
    </row>
    <row r="177" spans="1:21" x14ac:dyDescent="0.25">
      <c r="A177" s="155">
        <f t="shared" si="20"/>
        <v>13</v>
      </c>
      <c r="C177" s="79">
        <v>12.333333333333352</v>
      </c>
      <c r="D177" s="15">
        <f>SUMPRODUCT(Business_Portfolio!D177:AM177,Business_Portfolio!$D$8:$AM$8)</f>
        <v>8.7181894826844637</v>
      </c>
      <c r="E177" s="25">
        <f t="shared" si="17"/>
        <v>4.5950014847021686E-2</v>
      </c>
      <c r="F177" s="25"/>
      <c r="G177" s="25"/>
      <c r="H177" s="25"/>
      <c r="I177" s="25"/>
      <c r="J177" s="15">
        <f>SUMPRODUCT(Business_Portfolio!$V177:$AM177,Business_Portfolio!$V$8:$AM$8)</f>
        <v>7.3885048690290693</v>
      </c>
      <c r="K177" s="25">
        <f t="shared" si="18"/>
        <v>4.8607059462823177E-2</v>
      </c>
      <c r="L177" s="25"/>
      <c r="M177" s="25"/>
      <c r="N177" s="25"/>
      <c r="O177" s="25"/>
      <c r="P177" s="15">
        <f>SUMPRODUCT(Business_Portfolio!$D177:$U177,Business_Portfolio!$D$8:$U$8)</f>
        <v>1.3296846136553919</v>
      </c>
      <c r="Q177" s="25">
        <f t="shared" si="19"/>
        <v>3.5244666112262769E-2</v>
      </c>
      <c r="R177" s="25"/>
      <c r="S177" s="25"/>
      <c r="T177" s="25"/>
      <c r="U177" s="25"/>
    </row>
    <row r="178" spans="1:21" x14ac:dyDescent="0.25">
      <c r="A178" s="155">
        <f t="shared" si="20"/>
        <v>13</v>
      </c>
      <c r="C178" s="79">
        <v>12.416666666666686</v>
      </c>
      <c r="D178" s="15">
        <f>SUMPRODUCT(Business_Portfolio!D178:AM178,Business_Portfolio!$D$8:$AM$8)</f>
        <v>8.6968862603862096</v>
      </c>
      <c r="E178" s="25">
        <f t="shared" si="17"/>
        <v>4.5837734265963159E-2</v>
      </c>
      <c r="F178" s="25"/>
      <c r="G178" s="25"/>
      <c r="H178" s="25"/>
      <c r="I178" s="25"/>
      <c r="J178" s="15">
        <f>SUMPRODUCT(Business_Portfolio!$V178:$AM178,Business_Portfolio!$V$8:$AM$8)</f>
        <v>7.3688709414563585</v>
      </c>
      <c r="K178" s="25">
        <f t="shared" si="18"/>
        <v>4.847789293969941E-2</v>
      </c>
      <c r="L178" s="25"/>
      <c r="M178" s="25"/>
      <c r="N178" s="25"/>
      <c r="O178" s="25"/>
      <c r="P178" s="15">
        <f>SUMPRODUCT(Business_Portfolio!$D178:$U178,Business_Portfolio!$D$8:$U$8)</f>
        <v>1.3280153189298507</v>
      </c>
      <c r="Q178" s="25">
        <f t="shared" si="19"/>
        <v>3.5200419728841872E-2</v>
      </c>
      <c r="R178" s="25"/>
      <c r="S178" s="25"/>
      <c r="T178" s="25"/>
      <c r="U178" s="25"/>
    </row>
    <row r="179" spans="1:21" x14ac:dyDescent="0.25">
      <c r="A179" s="155">
        <f t="shared" si="20"/>
        <v>13</v>
      </c>
      <c r="C179" s="79">
        <v>12.50000000000002</v>
      </c>
      <c r="D179" s="15">
        <f>SUMPRODUCT(Business_Portfolio!D179:AM179,Business_Portfolio!$D$8:$AM$8)</f>
        <v>7.7762288898972791</v>
      </c>
      <c r="E179" s="25">
        <f t="shared" si="17"/>
        <v>4.0985325411233814E-2</v>
      </c>
      <c r="F179" s="25"/>
      <c r="G179" s="25"/>
      <c r="H179" s="25"/>
      <c r="I179" s="25"/>
      <c r="J179" s="15">
        <f>SUMPRODUCT(Business_Portfolio!$V179:$AM179,Business_Portfolio!$V$8:$AM$8)</f>
        <v>6.5951333058962387</v>
      </c>
      <c r="K179" s="25">
        <f t="shared" si="18"/>
        <v>4.338767348028702E-2</v>
      </c>
      <c r="L179" s="25"/>
      <c r="M179" s="25"/>
      <c r="N179" s="25"/>
      <c r="O179" s="25"/>
      <c r="P179" s="15">
        <f>SUMPRODUCT(Business_Portfolio!$D179:$U179,Business_Portfolio!$D$8:$U$8)</f>
        <v>1.1810955840010413</v>
      </c>
      <c r="Q179" s="25">
        <f t="shared" si="19"/>
        <v>3.1306160180607355E-2</v>
      </c>
      <c r="R179" s="25"/>
      <c r="S179" s="25"/>
      <c r="T179" s="25"/>
      <c r="U179" s="25"/>
    </row>
    <row r="180" spans="1:21" x14ac:dyDescent="0.25">
      <c r="A180" s="155">
        <f t="shared" si="20"/>
        <v>13</v>
      </c>
      <c r="C180" s="79">
        <v>12.583333333333353</v>
      </c>
      <c r="D180" s="15">
        <f>SUMPRODUCT(Business_Portfolio!D180:AM180,Business_Portfolio!$D$8:$AM$8)</f>
        <v>7.7575374946094922</v>
      </c>
      <c r="E180" s="25">
        <f t="shared" si="17"/>
        <v>4.0886810703255609E-2</v>
      </c>
      <c r="F180" s="25"/>
      <c r="G180" s="25"/>
      <c r="H180" s="25"/>
      <c r="I180" s="25"/>
      <c r="J180" s="15">
        <f>SUMPRODUCT(Business_Portfolio!$V180:$AM180,Business_Portfolio!$V$8:$AM$8)</f>
        <v>6.577926175572351</v>
      </c>
      <c r="K180" s="25">
        <f t="shared" si="18"/>
        <v>4.3274472227575703E-2</v>
      </c>
      <c r="L180" s="25"/>
      <c r="M180" s="25"/>
      <c r="N180" s="25"/>
      <c r="O180" s="25"/>
      <c r="P180" s="15">
        <f>SUMPRODUCT(Business_Portfolio!$D180:$U180,Business_Portfolio!$D$8:$U$8)</f>
        <v>1.1796113190371413</v>
      </c>
      <c r="Q180" s="25">
        <f t="shared" si="19"/>
        <v>3.1266818202413761E-2</v>
      </c>
      <c r="R180" s="25"/>
      <c r="S180" s="25"/>
      <c r="T180" s="25"/>
      <c r="U180" s="25"/>
    </row>
    <row r="181" spans="1:21" x14ac:dyDescent="0.25">
      <c r="A181" s="155">
        <f t="shared" si="20"/>
        <v>13</v>
      </c>
      <c r="C181" s="79">
        <v>12.666666666666687</v>
      </c>
      <c r="D181" s="15">
        <f>SUMPRODUCT(Business_Portfolio!D181:AM181,Business_Portfolio!$D$8:$AM$8)</f>
        <v>7.7388307464987749</v>
      </c>
      <c r="E181" s="25">
        <f t="shared" si="17"/>
        <v>4.0788215076820303E-2</v>
      </c>
      <c r="F181" s="25"/>
      <c r="G181" s="25"/>
      <c r="H181" s="25"/>
      <c r="I181" s="25"/>
      <c r="J181" s="15">
        <f>SUMPRODUCT(Business_Portfolio!$V181:$AM181,Business_Portfolio!$V$8:$AM$8)</f>
        <v>6.5607028219771975</v>
      </c>
      <c r="K181" s="25">
        <f t="shared" si="18"/>
        <v>4.3161164246165541E-2</v>
      </c>
      <c r="L181" s="25"/>
      <c r="M181" s="25"/>
      <c r="N181" s="25"/>
      <c r="O181" s="25"/>
      <c r="P181" s="15">
        <f>SUMPRODUCT(Business_Portfolio!$D181:$U181,Business_Portfolio!$D$8:$U$8)</f>
        <v>1.1781279245215788</v>
      </c>
      <c r="Q181" s="25">
        <f t="shared" si="19"/>
        <v>3.1227499296353746E-2</v>
      </c>
      <c r="R181" s="25"/>
      <c r="S181" s="25"/>
      <c r="T181" s="25"/>
      <c r="U181" s="25"/>
    </row>
    <row r="182" spans="1:21" x14ac:dyDescent="0.25">
      <c r="A182" s="155">
        <f t="shared" si="20"/>
        <v>13</v>
      </c>
      <c r="C182" s="79">
        <v>12.750000000000021</v>
      </c>
      <c r="D182" s="15">
        <f>SUMPRODUCT(Business_Portfolio!D182:AM182,Business_Portfolio!$D$8:$AM$8)</f>
        <v>7.7201085605255706</v>
      </c>
      <c r="E182" s="25">
        <f t="shared" si="17"/>
        <v>4.0689538083719147E-2</v>
      </c>
      <c r="F182" s="25"/>
      <c r="G182" s="25"/>
      <c r="H182" s="25"/>
      <c r="I182" s="25"/>
      <c r="J182" s="15">
        <f>SUMPRODUCT(Business_Portfolio!$V182:$AM182,Business_Portfolio!$V$8:$AM$8)</f>
        <v>6.5434631623587638</v>
      </c>
      <c r="K182" s="25">
        <f t="shared" si="18"/>
        <v>4.3047748991652465E-2</v>
      </c>
      <c r="L182" s="25"/>
      <c r="M182" s="25"/>
      <c r="N182" s="25"/>
      <c r="O182" s="25"/>
      <c r="P182" s="15">
        <f>SUMPRODUCT(Business_Portfolio!$D182:$U182,Business_Portfolio!$D$8:$U$8)</f>
        <v>1.1766453981668055</v>
      </c>
      <c r="Q182" s="25">
        <f t="shared" si="19"/>
        <v>3.1188203401793478E-2</v>
      </c>
      <c r="R182" s="25"/>
      <c r="S182" s="25"/>
      <c r="T182" s="25"/>
      <c r="U182" s="25"/>
    </row>
    <row r="183" spans="1:21" x14ac:dyDescent="0.25">
      <c r="A183" s="155">
        <f t="shared" si="20"/>
        <v>13</v>
      </c>
      <c r="C183" s="79">
        <v>12.833333333333355</v>
      </c>
      <c r="D183" s="15">
        <f>SUMPRODUCT(Business_Portfolio!D183:AM183,Business_Portfolio!$D$8:$AM$8)</f>
        <v>7.7013708514757822</v>
      </c>
      <c r="E183" s="25">
        <f t="shared" si="17"/>
        <v>4.0590779274823442E-2</v>
      </c>
      <c r="F183" s="25"/>
      <c r="G183" s="25"/>
      <c r="H183" s="25"/>
      <c r="I183" s="25"/>
      <c r="J183" s="15">
        <f>SUMPRODUCT(Business_Portfolio!$V183:$AM183,Business_Portfolio!$V$8:$AM$8)</f>
        <v>6.5262071137886002</v>
      </c>
      <c r="K183" s="25">
        <f t="shared" si="18"/>
        <v>4.2934225918471687E-2</v>
      </c>
      <c r="L183" s="25"/>
      <c r="M183" s="25"/>
      <c r="N183" s="25"/>
      <c r="O183" s="25"/>
      <c r="P183" s="15">
        <f>SUMPRODUCT(Business_Portfolio!$D183:$U183,Business_Portfolio!$D$8:$U$8)</f>
        <v>1.1751637376871817</v>
      </c>
      <c r="Q183" s="25">
        <f t="shared" si="19"/>
        <v>3.1148930458149711E-2</v>
      </c>
      <c r="R183" s="25"/>
      <c r="S183" s="25"/>
      <c r="T183" s="25"/>
      <c r="U183" s="25"/>
    </row>
    <row r="184" spans="1:21" x14ac:dyDescent="0.25">
      <c r="A184" s="155">
        <f t="shared" si="20"/>
        <v>13</v>
      </c>
      <c r="C184" s="79">
        <v>12.916666666666689</v>
      </c>
      <c r="D184" s="15">
        <f>SUMPRODUCT(Business_Portfolio!D184:AM184,Business_Portfolio!$D$8:$AM$8)</f>
        <v>7.682617533961225</v>
      </c>
      <c r="E184" s="25">
        <f t="shared" si="17"/>
        <v>4.0491938200086966E-2</v>
      </c>
      <c r="F184" s="25"/>
      <c r="G184" s="25"/>
      <c r="H184" s="25"/>
      <c r="I184" s="25"/>
      <c r="J184" s="15">
        <f>SUMPRODUCT(Business_Portfolio!$V184:$AM184,Business_Portfolio!$V$8:$AM$8)</f>
        <v>6.5089345931622251</v>
      </c>
      <c r="K184" s="25">
        <f t="shared" si="18"/>
        <v>4.2820594479900359E-2</v>
      </c>
      <c r="L184" s="25"/>
      <c r="M184" s="25"/>
      <c r="N184" s="25"/>
      <c r="O184" s="25"/>
      <c r="P184" s="15">
        <f>SUMPRODUCT(Business_Portfolio!$D184:$U184,Business_Portfolio!$D$8:$U$8)</f>
        <v>1.1736829407990002</v>
      </c>
      <c r="Q184" s="25">
        <f t="shared" si="19"/>
        <v>3.1109680404890417E-2</v>
      </c>
      <c r="R184" s="25"/>
      <c r="S184" s="25"/>
      <c r="T184" s="25"/>
      <c r="U184" s="25"/>
    </row>
    <row r="185" spans="1:21" x14ac:dyDescent="0.25">
      <c r="A185" s="155">
        <f t="shared" si="20"/>
        <v>13</v>
      </c>
      <c r="C185" s="79">
        <v>13.000000000000023</v>
      </c>
      <c r="D185" s="15">
        <f>SUMPRODUCT(Business_Portfolio!D185:AM185,Business_Portfolio!$D$8:$AM$8)</f>
        <v>7.6638485224185269</v>
      </c>
      <c r="E185" s="25">
        <f t="shared" si="17"/>
        <v>4.039301440854013E-2</v>
      </c>
      <c r="F185" s="25"/>
      <c r="G185" s="25"/>
      <c r="H185" s="25"/>
      <c r="I185" s="25"/>
      <c r="J185" s="15">
        <f>SUMPRODUCT(Business_Portfolio!$V185:$AM185,Business_Portfolio!$V$8:$AM$8)</f>
        <v>6.4916455171979548</v>
      </c>
      <c r="K185" s="25">
        <f t="shared" si="18"/>
        <v>4.2706854128049851E-2</v>
      </c>
      <c r="L185" s="25"/>
      <c r="M185" s="25"/>
      <c r="N185" s="25"/>
      <c r="O185" s="25"/>
      <c r="P185" s="15">
        <f>SUMPRODUCT(Business_Portfolio!$D185:$U185,Business_Portfolio!$D$8:$U$8)</f>
        <v>1.1722030052205716</v>
      </c>
      <c r="Q185" s="25">
        <f t="shared" si="19"/>
        <v>3.1070453181537068E-2</v>
      </c>
      <c r="R185" s="25"/>
      <c r="S185" s="25"/>
      <c r="T185" s="25"/>
      <c r="U185" s="25"/>
    </row>
    <row r="186" spans="1:21" x14ac:dyDescent="0.25">
      <c r="A186" s="155">
        <f t="shared" si="20"/>
        <v>14</v>
      </c>
      <c r="C186" s="79">
        <v>13.083333333333357</v>
      </c>
      <c r="D186" s="15">
        <f>SUMPRODUCT(Business_Portfolio!D186:AM186,Business_Portfolio!$D$8:$AM$8)</f>
        <v>7.6450637311087295</v>
      </c>
      <c r="E186" s="25">
        <f t="shared" si="17"/>
        <v>4.0294007448287913E-2</v>
      </c>
      <c r="F186" s="25"/>
      <c r="G186" s="25"/>
      <c r="H186" s="25"/>
      <c r="I186" s="25"/>
      <c r="J186" s="15">
        <f>SUMPRODUCT(Business_Portfolio!$V186:$AM186,Business_Portfolio!$V$8:$AM$8)</f>
        <v>6.474339802436563</v>
      </c>
      <c r="K186" s="25">
        <f t="shared" si="18"/>
        <v>4.2593004313863536E-2</v>
      </c>
      <c r="L186" s="25"/>
      <c r="M186" s="25"/>
      <c r="N186" s="25"/>
      <c r="O186" s="25"/>
      <c r="P186" s="15">
        <f>SUMPRODUCT(Business_Portfolio!$D186:$U186,Business_Portfolio!$D$8:$U$8)</f>
        <v>1.1707239286721665</v>
      </c>
      <c r="Q186" s="25">
        <f t="shared" si="19"/>
        <v>3.1031248727663066E-2</v>
      </c>
      <c r="R186" s="25"/>
      <c r="S186" s="25"/>
      <c r="T186" s="25"/>
      <c r="U186" s="25"/>
    </row>
    <row r="187" spans="1:21" x14ac:dyDescent="0.25">
      <c r="A187" s="155">
        <f t="shared" si="20"/>
        <v>14</v>
      </c>
      <c r="C187" s="79">
        <v>13.166666666666691</v>
      </c>
      <c r="D187" s="15">
        <f>SUMPRODUCT(Business_Portfolio!D187:AM187,Business_Portfolio!$D$8:$AM$8)</f>
        <v>7.626263074116685</v>
      </c>
      <c r="E187" s="25">
        <f t="shared" si="17"/>
        <v>4.0194916866506683E-2</v>
      </c>
      <c r="F187" s="25"/>
      <c r="G187" s="25"/>
      <c r="H187" s="25"/>
      <c r="I187" s="25"/>
      <c r="J187" s="15">
        <f>SUMPRODUCT(Business_Portfolio!$V187:$AM187,Business_Portfolio!$V$8:$AM$8)</f>
        <v>6.4570173652407021</v>
      </c>
      <c r="K187" s="25">
        <f t="shared" si="18"/>
        <v>4.2479044487112975E-2</v>
      </c>
      <c r="L187" s="25"/>
      <c r="M187" s="25"/>
      <c r="N187" s="25"/>
      <c r="O187" s="25"/>
      <c r="P187" s="15">
        <f>SUMPRODUCT(Business_Portfolio!$D187:$U187,Business_Portfolio!$D$8:$U$8)</f>
        <v>1.1692457088759838</v>
      </c>
      <c r="Q187" s="25">
        <f t="shared" si="19"/>
        <v>3.0992066982892953E-2</v>
      </c>
      <c r="R187" s="25"/>
      <c r="S187" s="25"/>
      <c r="T187" s="25"/>
      <c r="U187" s="25"/>
    </row>
    <row r="188" spans="1:21" x14ac:dyDescent="0.25">
      <c r="A188" s="155">
        <f t="shared" si="20"/>
        <v>14</v>
      </c>
      <c r="C188" s="79">
        <v>13.250000000000025</v>
      </c>
      <c r="D188" s="15">
        <f>SUMPRODUCT(Business_Portfolio!D188:AM188,Business_Portfolio!$D$8:$AM$8)</f>
        <v>7.607446465350252</v>
      </c>
      <c r="E188" s="25">
        <f t="shared" si="17"/>
        <v>4.0095742209439934E-2</v>
      </c>
      <c r="F188" s="25"/>
      <c r="G188" s="25"/>
      <c r="H188" s="25"/>
      <c r="I188" s="25"/>
      <c r="J188" s="15">
        <f>SUMPRODUCT(Business_Portfolio!$V188:$AM188,Business_Portfolio!$V$8:$AM$8)</f>
        <v>6.4396781217941044</v>
      </c>
      <c r="K188" s="25">
        <f t="shared" si="18"/>
        <v>4.236497409639265E-2</v>
      </c>
      <c r="L188" s="25"/>
      <c r="M188" s="25"/>
      <c r="N188" s="25"/>
      <c r="O188" s="25"/>
      <c r="P188" s="15">
        <f>SUMPRODUCT(Business_Portfolio!$D188:$U188,Business_Portfolio!$D$8:$U$8)</f>
        <v>1.1677683435561483</v>
      </c>
      <c r="Q188" s="25">
        <f t="shared" si="19"/>
        <v>3.0952907886902289E-2</v>
      </c>
      <c r="R188" s="25"/>
      <c r="S188" s="25"/>
      <c r="T188" s="25"/>
      <c r="U188" s="25"/>
    </row>
    <row r="189" spans="1:21" x14ac:dyDescent="0.25">
      <c r="A189" s="155">
        <f t="shared" si="20"/>
        <v>14</v>
      </c>
      <c r="C189" s="79">
        <v>13.333333333333359</v>
      </c>
      <c r="D189" s="15">
        <f>SUMPRODUCT(Business_Portfolio!D189:AM189,Business_Portfolio!$D$8:$AM$8)</f>
        <v>7.5886138185403214</v>
      </c>
      <c r="E189" s="25">
        <f t="shared" si="17"/>
        <v>3.999648302239843E-2</v>
      </c>
      <c r="F189" s="25"/>
      <c r="G189" s="25"/>
      <c r="H189" s="25"/>
      <c r="I189" s="25"/>
      <c r="J189" s="15">
        <f>SUMPRODUCT(Business_Portfolio!$V189:$AM189,Business_Portfolio!$V$8:$AM$8)</f>
        <v>6.4223219881015634</v>
      </c>
      <c r="K189" s="25">
        <f t="shared" si="18"/>
        <v>4.2250792589119866E-2</v>
      </c>
      <c r="L189" s="25"/>
      <c r="M189" s="25"/>
      <c r="N189" s="25"/>
      <c r="O189" s="25"/>
      <c r="P189" s="15">
        <f>SUMPRODUCT(Business_Portfolio!$D189:$U189,Business_Portfolio!$D$8:$U$8)</f>
        <v>1.1662918304387566</v>
      </c>
      <c r="Q189" s="25">
        <f t="shared" si="19"/>
        <v>3.091377137941892E-2</v>
      </c>
      <c r="R189" s="25"/>
      <c r="S189" s="25"/>
      <c r="T189" s="25"/>
      <c r="U189" s="25"/>
    </row>
    <row r="190" spans="1:21" x14ac:dyDescent="0.25">
      <c r="A190" s="155">
        <f t="shared" si="20"/>
        <v>14</v>
      </c>
      <c r="C190" s="79">
        <v>13.416666666666693</v>
      </c>
      <c r="D190" s="15">
        <f>SUMPRODUCT(Business_Portfolio!D190:AM190,Business_Portfolio!$D$8:$AM$8)</f>
        <v>7.5697650472395894</v>
      </c>
      <c r="E190" s="25">
        <f t="shared" si="17"/>
        <v>3.9897138849753759E-2</v>
      </c>
      <c r="F190" s="25"/>
      <c r="G190" s="25"/>
      <c r="H190" s="25"/>
      <c r="I190" s="25"/>
      <c r="J190" s="15">
        <f>SUMPRODUCT(Business_Portfolio!$V190:$AM190,Business_Portfolio!$V$8:$AM$8)</f>
        <v>6.4049488799877308</v>
      </c>
      <c r="K190" s="25">
        <f t="shared" si="18"/>
        <v>4.2136499411526807E-2</v>
      </c>
      <c r="L190" s="25"/>
      <c r="M190" s="25"/>
      <c r="N190" s="25"/>
      <c r="O190" s="25"/>
      <c r="P190" s="15">
        <f>SUMPRODUCT(Business_Portfolio!$D190:$U190,Business_Portfolio!$D$8:$U$8)</f>
        <v>1.1648161672518584</v>
      </c>
      <c r="Q190" s="25">
        <f t="shared" si="19"/>
        <v>3.0874657400222449E-2</v>
      </c>
      <c r="R190" s="25"/>
      <c r="S190" s="25"/>
      <c r="T190" s="25"/>
      <c r="U190" s="25"/>
    </row>
    <row r="191" spans="1:21" x14ac:dyDescent="0.25">
      <c r="A191" s="155">
        <f t="shared" si="20"/>
        <v>14</v>
      </c>
      <c r="C191" s="79">
        <v>13.500000000000027</v>
      </c>
      <c r="D191" s="15">
        <f>SUMPRODUCT(Business_Portfolio!D191:AM191,Business_Portfolio!$D$8:$AM$8)</f>
        <v>7.4831556627732967</v>
      </c>
      <c r="E191" s="25">
        <f t="shared" si="17"/>
        <v>3.9440656169488345E-2</v>
      </c>
      <c r="F191" s="25"/>
      <c r="G191" s="25"/>
      <c r="H191" s="25"/>
      <c r="I191" s="25"/>
      <c r="J191" s="15">
        <f>SUMPRODUCT(Business_Portfolio!$V191:$AM191,Business_Portfolio!$V$8:$AM$8)</f>
        <v>6.3309918333188078</v>
      </c>
      <c r="K191" s="25">
        <f t="shared" si="18"/>
        <v>4.1649955160848996E-2</v>
      </c>
      <c r="L191" s="25"/>
      <c r="M191" s="25"/>
      <c r="N191" s="25"/>
      <c r="O191" s="25"/>
      <c r="P191" s="15">
        <f>SUMPRODUCT(Business_Portfolio!$D191:$U191,Business_Portfolio!$D$8:$U$8)</f>
        <v>1.1521638294544878</v>
      </c>
      <c r="Q191" s="25">
        <f t="shared" si="19"/>
        <v>3.0539294099310058E-2</v>
      </c>
      <c r="R191" s="25"/>
      <c r="S191" s="25"/>
      <c r="T191" s="25"/>
      <c r="U191" s="25"/>
    </row>
    <row r="192" spans="1:21" x14ac:dyDescent="0.25">
      <c r="A192" s="155">
        <f t="shared" si="20"/>
        <v>14</v>
      </c>
      <c r="C192" s="79">
        <v>13.583333333333361</v>
      </c>
      <c r="D192" s="15">
        <f>SUMPRODUCT(Business_Portfolio!D192:AM192,Business_Portfolio!$D$8:$AM$8)</f>
        <v>7.4644491711147278</v>
      </c>
      <c r="E192" s="25">
        <f t="shared" si="17"/>
        <v>3.9342061894707542E-2</v>
      </c>
      <c r="F192" s="25"/>
      <c r="G192" s="25"/>
      <c r="H192" s="25"/>
      <c r="I192" s="25"/>
      <c r="J192" s="15">
        <f>SUMPRODUCT(Business_Portfolio!$V192:$AM192,Business_Portfolio!$V$8:$AM$8)</f>
        <v>6.3137494384937352</v>
      </c>
      <c r="K192" s="25">
        <f t="shared" si="18"/>
        <v>4.1536521912120025E-2</v>
      </c>
      <c r="L192" s="25"/>
      <c r="M192" s="25"/>
      <c r="N192" s="25"/>
      <c r="O192" s="25"/>
      <c r="P192" s="15">
        <f>SUMPRODUCT(Business_Portfolio!$D192:$U192,Business_Portfolio!$D$8:$U$8)</f>
        <v>1.1506997326209916</v>
      </c>
      <c r="Q192" s="25">
        <f t="shared" si="19"/>
        <v>3.0500486698274754E-2</v>
      </c>
      <c r="R192" s="25"/>
      <c r="S192" s="25"/>
      <c r="T192" s="25"/>
      <c r="U192" s="25"/>
    </row>
    <row r="193" spans="1:21" x14ac:dyDescent="0.25">
      <c r="A193" s="155">
        <f t="shared" si="20"/>
        <v>14</v>
      </c>
      <c r="C193" s="79">
        <v>13.666666666666694</v>
      </c>
      <c r="D193" s="15">
        <f>SUMPRODUCT(Business_Portfolio!D193:AM193,Business_Portfolio!$D$8:$AM$8)</f>
        <v>7.4457260821036568</v>
      </c>
      <c r="E193" s="25">
        <f t="shared" si="17"/>
        <v>3.9243380142062731E-2</v>
      </c>
      <c r="F193" s="25"/>
      <c r="G193" s="25"/>
      <c r="H193" s="25"/>
      <c r="I193" s="25"/>
      <c r="J193" s="15">
        <f>SUMPRODUCT(Business_Portfolio!$V193:$AM193,Business_Portfolio!$V$8:$AM$8)</f>
        <v>6.2964896450426497</v>
      </c>
      <c r="K193" s="25">
        <f t="shared" si="18"/>
        <v>4.1422974202337814E-2</v>
      </c>
      <c r="L193" s="25"/>
      <c r="M193" s="25"/>
      <c r="N193" s="25"/>
      <c r="O193" s="25"/>
      <c r="P193" s="15">
        <f>SUMPRODUCT(Business_Portfolio!$D193:$U193,Business_Portfolio!$D$8:$U$8)</f>
        <v>1.149236437061006</v>
      </c>
      <c r="Q193" s="25">
        <f t="shared" si="19"/>
        <v>3.046170053582269E-2</v>
      </c>
      <c r="R193" s="25"/>
      <c r="S193" s="25"/>
      <c r="T193" s="25"/>
      <c r="U193" s="25"/>
    </row>
    <row r="194" spans="1:21" x14ac:dyDescent="0.25">
      <c r="A194" s="155">
        <f t="shared" si="20"/>
        <v>14</v>
      </c>
      <c r="C194" s="79">
        <v>13.750000000000028</v>
      </c>
      <c r="D194" s="15">
        <f>SUMPRODUCT(Business_Portfolio!D194:AM194,Business_Portfolio!$D$8:$AM$8)</f>
        <v>7.426986309585712</v>
      </c>
      <c r="E194" s="25">
        <f t="shared" si="17"/>
        <v>3.9144610457469434E-2</v>
      </c>
      <c r="F194" s="25"/>
      <c r="G194" s="25"/>
      <c r="H194" s="25"/>
      <c r="I194" s="25"/>
      <c r="J194" s="15">
        <f>SUMPRODUCT(Business_Portfolio!$V194:$AM194,Business_Portfolio!$V$8:$AM$8)</f>
        <v>6.2792123690144575</v>
      </c>
      <c r="K194" s="25">
        <f t="shared" si="18"/>
        <v>4.1309311479209868E-2</v>
      </c>
      <c r="L194" s="25"/>
      <c r="M194" s="25"/>
      <c r="N194" s="25"/>
      <c r="O194" s="25"/>
      <c r="P194" s="15">
        <f>SUMPRODUCT(Business_Portfolio!$D194:$U194,Business_Portfolio!$D$8:$U$8)</f>
        <v>1.1477739405712553</v>
      </c>
      <c r="Q194" s="25">
        <f t="shared" si="19"/>
        <v>3.042293555355376E-2</v>
      </c>
      <c r="R194" s="25"/>
      <c r="S194" s="25"/>
      <c r="T194" s="25"/>
      <c r="U194" s="25"/>
    </row>
    <row r="195" spans="1:21" x14ac:dyDescent="0.25">
      <c r="A195" s="155">
        <f t="shared" si="20"/>
        <v>14</v>
      </c>
      <c r="C195" s="79">
        <v>13.833333333333362</v>
      </c>
      <c r="D195" s="15">
        <f>SUMPRODUCT(Business_Portfolio!D195:AM195,Business_Portfolio!$D$8:$AM$8)</f>
        <v>7.4082297672243254</v>
      </c>
      <c r="E195" s="25">
        <f t="shared" si="17"/>
        <v>3.9045752385882863E-2</v>
      </c>
      <c r="F195" s="25"/>
      <c r="G195" s="25"/>
      <c r="H195" s="25"/>
      <c r="I195" s="25"/>
      <c r="J195" s="15">
        <f>SUMPRODUCT(Business_Portfolio!$V195:$AM195,Business_Portfolio!$V$8:$AM$8)</f>
        <v>6.2619175262741837</v>
      </c>
      <c r="K195" s="25">
        <f t="shared" si="18"/>
        <v>4.1195533189233975E-2</v>
      </c>
      <c r="L195" s="25"/>
      <c r="M195" s="25"/>
      <c r="N195" s="25"/>
      <c r="O195" s="25"/>
      <c r="P195" s="15">
        <f>SUMPRODUCT(Business_Portfolio!$D195:$U195,Business_Portfolio!$D$8:$U$8)</f>
        <v>1.1463122409501418</v>
      </c>
      <c r="Q195" s="25">
        <f t="shared" si="19"/>
        <v>3.0384191693112343E-2</v>
      </c>
      <c r="R195" s="25"/>
      <c r="S195" s="25"/>
      <c r="T195" s="25"/>
      <c r="U195" s="25"/>
    </row>
    <row r="196" spans="1:21" x14ac:dyDescent="0.25">
      <c r="A196" s="155">
        <f t="shared" si="20"/>
        <v>14</v>
      </c>
      <c r="C196" s="79">
        <v>13.916666666666696</v>
      </c>
      <c r="D196" s="15">
        <f>SUMPRODUCT(Business_Portfolio!D196:AM196,Business_Portfolio!$D$8:$AM$8)</f>
        <v>7.3894563685015626</v>
      </c>
      <c r="E196" s="25">
        <f t="shared" si="17"/>
        <v>3.8946805471302338E-2</v>
      </c>
      <c r="F196" s="25"/>
      <c r="G196" s="25"/>
      <c r="H196" s="25"/>
      <c r="I196" s="25"/>
      <c r="J196" s="15">
        <f>SUMPRODUCT(Business_Portfolio!$V196:$AM196,Business_Portfolio!$V$8:$AM$8)</f>
        <v>6.2446050325037996</v>
      </c>
      <c r="K196" s="25">
        <f t="shared" si="18"/>
        <v>4.1081638777703676E-2</v>
      </c>
      <c r="L196" s="25"/>
      <c r="M196" s="25"/>
      <c r="N196" s="25"/>
      <c r="O196" s="25"/>
      <c r="P196" s="15">
        <f>SUMPRODUCT(Business_Portfolio!$D196:$U196,Business_Portfolio!$D$8:$U$8)</f>
        <v>1.1448513359977621</v>
      </c>
      <c r="Q196" s="25">
        <f t="shared" si="19"/>
        <v>3.0345468896187722E-2</v>
      </c>
      <c r="R196" s="25"/>
      <c r="S196" s="25"/>
      <c r="T196" s="25"/>
      <c r="U196" s="25"/>
    </row>
    <row r="197" spans="1:21" x14ac:dyDescent="0.25">
      <c r="A197" s="155">
        <f t="shared" si="20"/>
        <v>14</v>
      </c>
      <c r="C197" s="79">
        <v>14.00000000000003</v>
      </c>
      <c r="D197" s="15">
        <f>SUMPRODUCT(Business_Portfolio!D197:AM197,Business_Portfolio!$D$8:$AM$8)</f>
        <v>7.3706660267161839</v>
      </c>
      <c r="E197" s="25">
        <f t="shared" si="17"/>
        <v>3.8847769256761047E-2</v>
      </c>
      <c r="F197" s="25"/>
      <c r="G197" s="25"/>
      <c r="H197" s="25"/>
      <c r="I197" s="25"/>
      <c r="J197" s="15">
        <f>SUMPRODUCT(Business_Portfolio!$V197:$AM197,Business_Portfolio!$V$8:$AM$8)</f>
        <v>6.2272748032002863</v>
      </c>
      <c r="K197" s="25">
        <f t="shared" si="18"/>
        <v>4.0967627688695503E-2</v>
      </c>
      <c r="L197" s="25"/>
      <c r="M197" s="25"/>
      <c r="N197" s="25"/>
      <c r="O197" s="25"/>
      <c r="P197" s="15">
        <f>SUMPRODUCT(Business_Portfolio!$D197:$U197,Business_Portfolio!$D$8:$U$8)</f>
        <v>1.1433912235158981</v>
      </c>
      <c r="Q197" s="25">
        <f t="shared" si="19"/>
        <v>3.0306767104513847E-2</v>
      </c>
      <c r="R197" s="25"/>
      <c r="S197" s="25"/>
      <c r="T197" s="25"/>
      <c r="U197" s="25"/>
    </row>
    <row r="198" spans="1:21" x14ac:dyDescent="0.25">
      <c r="A198" s="155">
        <f t="shared" si="20"/>
        <v>15</v>
      </c>
      <c r="C198" s="79">
        <v>14.083333333333364</v>
      </c>
      <c r="D198" s="15">
        <f>SUMPRODUCT(Business_Portfolio!D198:AM198,Business_Portfolio!$D$8:$AM$8)</f>
        <v>7.3518586549842917</v>
      </c>
      <c r="E198" s="25">
        <f t="shared" si="17"/>
        <v>3.8748643284329462E-2</v>
      </c>
      <c r="F198" s="25"/>
      <c r="G198" s="25"/>
      <c r="H198" s="25"/>
      <c r="I198" s="25"/>
      <c r="J198" s="15">
        <f>SUMPRODUCT(Business_Portfolio!$V198:$AM198,Business_Portfolio!$V$8:$AM$8)</f>
        <v>6.2099267536763367</v>
      </c>
      <c r="K198" s="25">
        <f t="shared" si="18"/>
        <v>4.0853499365073591E-2</v>
      </c>
      <c r="L198" s="25"/>
      <c r="M198" s="25"/>
      <c r="N198" s="25"/>
      <c r="O198" s="25"/>
      <c r="P198" s="15">
        <f>SUMPRODUCT(Business_Portfolio!$D198:$U198,Business_Portfolio!$D$8:$U$8)</f>
        <v>1.1419319013079563</v>
      </c>
      <c r="Q198" s="25">
        <f t="shared" si="19"/>
        <v>3.0268086259867745E-2</v>
      </c>
      <c r="R198" s="25"/>
      <c r="S198" s="25"/>
      <c r="T198" s="25"/>
      <c r="U198" s="25"/>
    </row>
    <row r="199" spans="1:21" x14ac:dyDescent="0.25">
      <c r="A199" s="155">
        <f t="shared" si="20"/>
        <v>15</v>
      </c>
      <c r="C199" s="79">
        <v>14.166666666666698</v>
      </c>
      <c r="D199" s="15">
        <f>SUMPRODUCT(Business_Portfolio!D199:AM199,Business_Portfolio!$D$8:$AM$8)</f>
        <v>7.3330341662376561</v>
      </c>
      <c r="E199" s="25">
        <f t="shared" si="17"/>
        <v>3.864942709510652E-2</v>
      </c>
      <c r="F199" s="25"/>
      <c r="G199" s="25"/>
      <c r="H199" s="25"/>
      <c r="I199" s="25"/>
      <c r="J199" s="15">
        <f>SUMPRODUCT(Business_Portfolio!$V199:$AM199,Business_Portfolio!$V$8:$AM$8)</f>
        <v>6.1925607990586018</v>
      </c>
      <c r="K199" s="25">
        <f t="shared" si="18"/>
        <v>4.0739253248478165E-2</v>
      </c>
      <c r="L199" s="25"/>
      <c r="M199" s="25"/>
      <c r="N199" s="25"/>
      <c r="O199" s="25"/>
      <c r="P199" s="15">
        <f>SUMPRODUCT(Business_Portfolio!$D199:$U199,Business_Portfolio!$D$8:$U$8)</f>
        <v>1.1404733671790535</v>
      </c>
      <c r="Q199" s="25">
        <f t="shared" si="19"/>
        <v>3.0229426304071758E-2</v>
      </c>
      <c r="R199" s="25"/>
      <c r="S199" s="25"/>
      <c r="T199" s="25"/>
      <c r="U199" s="25"/>
    </row>
    <row r="200" spans="1:21" x14ac:dyDescent="0.25">
      <c r="A200" s="155">
        <f t="shared" si="20"/>
        <v>15</v>
      </c>
      <c r="C200" s="79">
        <v>14.250000000000032</v>
      </c>
      <c r="D200" s="15">
        <f>SUMPRODUCT(Business_Portfolio!D200:AM200,Business_Portfolio!$D$8:$AM$8)</f>
        <v>7.3141924732238932</v>
      </c>
      <c r="E200" s="25">
        <f t="shared" si="17"/>
        <v>3.8550120229220546E-2</v>
      </c>
      <c r="F200" s="25"/>
      <c r="G200" s="25"/>
      <c r="H200" s="25"/>
      <c r="I200" s="25"/>
      <c r="J200" s="15">
        <f>SUMPRODUCT(Business_Portfolio!$V200:$AM200,Business_Portfolio!$V$8:$AM$8)</f>
        <v>6.1751768542879217</v>
      </c>
      <c r="K200" s="25">
        <f t="shared" si="18"/>
        <v>4.0624888779327059E-2</v>
      </c>
      <c r="L200" s="25"/>
      <c r="M200" s="25"/>
      <c r="N200" s="25"/>
      <c r="O200" s="25"/>
      <c r="P200" s="15">
        <f>SUMPRODUCT(Business_Portfolio!$D200:$U200,Business_Portfolio!$D$8:$U$8)</f>
        <v>1.1390156189359708</v>
      </c>
      <c r="Q200" s="25">
        <f t="shared" si="19"/>
        <v>3.0190787178992356E-2</v>
      </c>
      <c r="R200" s="25"/>
      <c r="S200" s="25"/>
      <c r="T200" s="25"/>
      <c r="U200" s="25"/>
    </row>
    <row r="201" spans="1:21" x14ac:dyDescent="0.25">
      <c r="A201" s="155">
        <f t="shared" si="20"/>
        <v>15</v>
      </c>
      <c r="C201" s="79">
        <v>14.333333333333366</v>
      </c>
      <c r="D201" s="15">
        <f>SUMPRODUCT(Business_Portfolio!D201:AM201,Business_Portfolio!$D$8:$AM$8)</f>
        <v>7.2953334885056131</v>
      </c>
      <c r="E201" s="25">
        <f t="shared" si="17"/>
        <v>3.8450722225824789E-2</v>
      </c>
      <c r="F201" s="25"/>
      <c r="G201" s="25"/>
      <c r="H201" s="25"/>
      <c r="I201" s="25"/>
      <c r="J201" s="15">
        <f>SUMPRODUCT(Business_Portfolio!$V201:$AM201,Business_Portfolio!$V$8:$AM$8)</f>
        <v>6.157774834118519</v>
      </c>
      <c r="K201" s="25">
        <f t="shared" si="18"/>
        <v>4.0510405396810382E-2</v>
      </c>
      <c r="L201" s="25"/>
      <c r="M201" s="25"/>
      <c r="N201" s="25"/>
      <c r="O201" s="25"/>
      <c r="P201" s="15">
        <f>SUMPRODUCT(Business_Portfolio!$D201:$U201,Business_Portfolio!$D$8:$U$8)</f>
        <v>1.1375586543870948</v>
      </c>
      <c r="Q201" s="25">
        <f t="shared" si="19"/>
        <v>3.0152168826538556E-2</v>
      </c>
      <c r="R201" s="25"/>
      <c r="S201" s="25"/>
      <c r="T201" s="25"/>
      <c r="U201" s="25"/>
    </row>
    <row r="202" spans="1:21" x14ac:dyDescent="0.25">
      <c r="A202" s="155">
        <f t="shared" si="20"/>
        <v>15</v>
      </c>
      <c r="C202" s="79">
        <v>14.4166666666667</v>
      </c>
      <c r="D202" s="15">
        <f>SUMPRODUCT(Business_Portfolio!D202:AM202,Business_Portfolio!$D$8:$AM$8)</f>
        <v>7.2764571244597462</v>
      </c>
      <c r="E202" s="25">
        <f t="shared" si="17"/>
        <v>3.8351232623093846E-2</v>
      </c>
      <c r="F202" s="25"/>
      <c r="G202" s="25"/>
      <c r="H202" s="25"/>
      <c r="I202" s="25"/>
      <c r="J202" s="15">
        <f>SUMPRODUCT(Business_Portfolio!$V202:$AM202,Business_Portfolio!$V$8:$AM$8)</f>
        <v>6.1403546531172317</v>
      </c>
      <c r="K202" s="25">
        <f t="shared" si="18"/>
        <v>4.0395802538885486E-2</v>
      </c>
      <c r="L202" s="25"/>
      <c r="M202" s="25"/>
      <c r="N202" s="25"/>
      <c r="O202" s="25"/>
      <c r="P202" s="15">
        <f>SUMPRODUCT(Business_Portfolio!$D202:$U202,Business_Portfolio!$D$8:$U$8)</f>
        <v>1.1361024713425141</v>
      </c>
      <c r="Q202" s="25">
        <f t="shared" si="19"/>
        <v>3.0113571188664492E-2</v>
      </c>
      <c r="R202" s="25"/>
      <c r="S202" s="25"/>
      <c r="T202" s="25"/>
      <c r="U202" s="25"/>
    </row>
    <row r="203" spans="1:21" x14ac:dyDescent="0.25">
      <c r="A203" s="155">
        <f t="shared" si="20"/>
        <v>15</v>
      </c>
      <c r="C203" s="79">
        <v>14.500000000000034</v>
      </c>
      <c r="D203" s="15">
        <f>SUMPRODUCT(Business_Portfolio!D203:AM203,Business_Portfolio!$D$8:$AM$8)</f>
        <v>7.1916171240865072</v>
      </c>
      <c r="E203" s="25">
        <f t="shared" si="17"/>
        <v>3.7904075643480771E-2</v>
      </c>
      <c r="F203" s="25"/>
      <c r="G203" s="25"/>
      <c r="H203" s="25"/>
      <c r="I203" s="25"/>
      <c r="J203" s="15">
        <f>SUMPRODUCT(Business_Portfolio!$V203:$AM203,Business_Portfolio!$V$8:$AM$8)</f>
        <v>6.067791998276169</v>
      </c>
      <c r="K203" s="25">
        <f t="shared" si="18"/>
        <v>3.9918431630811178E-2</v>
      </c>
      <c r="L203" s="25"/>
      <c r="M203" s="25"/>
      <c r="N203" s="25"/>
      <c r="O203" s="25"/>
      <c r="P203" s="15">
        <f>SUMPRODUCT(Business_Portfolio!$D203:$U203,Business_Portfolio!$D$8:$U$8)</f>
        <v>1.1238251258103384</v>
      </c>
      <c r="Q203" s="25">
        <f t="shared" si="19"/>
        <v>2.9788147445633534E-2</v>
      </c>
      <c r="R203" s="25"/>
      <c r="S203" s="25"/>
      <c r="T203" s="25"/>
      <c r="U203" s="25"/>
    </row>
    <row r="204" spans="1:21" x14ac:dyDescent="0.25">
      <c r="A204" s="155">
        <f t="shared" si="20"/>
        <v>15</v>
      </c>
      <c r="C204" s="79">
        <v>14.583333333333368</v>
      </c>
      <c r="D204" s="15">
        <f>SUMPRODUCT(Business_Portfolio!D204:AM204,Business_Portfolio!$D$8:$AM$8)</f>
        <v>7.1728731715371694</v>
      </c>
      <c r="E204" s="25">
        <f t="shared" si="17"/>
        <v>3.7805283927649799E-2</v>
      </c>
      <c r="F204" s="25"/>
      <c r="G204" s="25"/>
      <c r="H204" s="25"/>
      <c r="I204" s="25"/>
      <c r="J204" s="15">
        <f>SUMPRODUCT(Business_Portfolio!$V204:$AM204,Business_Portfolio!$V$8:$AM$8)</f>
        <v>6.0504936973576129</v>
      </c>
      <c r="K204" s="25">
        <f t="shared" si="18"/>
        <v>3.9804630590376248E-2</v>
      </c>
      <c r="L204" s="25"/>
      <c r="M204" s="25"/>
      <c r="N204" s="25"/>
      <c r="O204" s="25"/>
      <c r="P204" s="15">
        <f>SUMPRODUCT(Business_Portfolio!$D204:$U204,Business_Portfolio!$D$8:$U$8)</f>
        <v>1.1223794741795572</v>
      </c>
      <c r="Q204" s="25">
        <f t="shared" si="19"/>
        <v>2.9749828953775932E-2</v>
      </c>
      <c r="R204" s="25"/>
      <c r="S204" s="25"/>
      <c r="T204" s="25"/>
      <c r="U204" s="25"/>
    </row>
    <row r="205" spans="1:21" x14ac:dyDescent="0.25">
      <c r="A205" s="155">
        <f t="shared" si="20"/>
        <v>15</v>
      </c>
      <c r="C205" s="79">
        <v>14.666666666666702</v>
      </c>
      <c r="D205" s="15">
        <f>SUMPRODUCT(Business_Portfolio!D205:AM205,Business_Portfolio!$D$8:$AM$8)</f>
        <v>7.154111380073596</v>
      </c>
      <c r="E205" s="25">
        <f t="shared" si="17"/>
        <v>3.7706398190190185E-2</v>
      </c>
      <c r="F205" s="25"/>
      <c r="G205" s="25"/>
      <c r="H205" s="25"/>
      <c r="I205" s="25"/>
      <c r="J205" s="15">
        <f>SUMPRODUCT(Business_Portfolio!$V205:$AM205,Business_Portfolio!$V$8:$AM$8)</f>
        <v>6.0331768192175375</v>
      </c>
      <c r="K205" s="25">
        <f t="shared" si="18"/>
        <v>3.9690707335213571E-2</v>
      </c>
      <c r="L205" s="25"/>
      <c r="M205" s="25"/>
      <c r="N205" s="25"/>
      <c r="O205" s="25"/>
      <c r="P205" s="15">
        <f>SUMPRODUCT(Business_Portfolio!$D205:$U205,Business_Portfolio!$D$8:$U$8)</f>
        <v>1.1209345608560584</v>
      </c>
      <c r="Q205" s="25">
        <f t="shared" si="19"/>
        <v>2.9711530031516557E-2</v>
      </c>
      <c r="R205" s="25"/>
      <c r="S205" s="25"/>
      <c r="T205" s="25"/>
      <c r="U205" s="25"/>
    </row>
    <row r="206" spans="1:21" x14ac:dyDescent="0.25">
      <c r="A206" s="155">
        <f t="shared" si="20"/>
        <v>15</v>
      </c>
      <c r="C206" s="79">
        <v>14.750000000000036</v>
      </c>
      <c r="D206" s="15">
        <f>SUMPRODUCT(Business_Portfolio!D206:AM206,Business_Portfolio!$D$8:$AM$8)</f>
        <v>7.1353316622590839</v>
      </c>
      <c r="E206" s="25">
        <f t="shared" si="17"/>
        <v>3.7607417970258787E-2</v>
      </c>
      <c r="F206" s="25"/>
      <c r="G206" s="25"/>
      <c r="H206" s="25"/>
      <c r="I206" s="25"/>
      <c r="J206" s="15">
        <f>SUMPRODUCT(Business_Portfolio!$V206:$AM206,Business_Portfolio!$V$8:$AM$8)</f>
        <v>6.0158412785501509</v>
      </c>
      <c r="K206" s="25">
        <f t="shared" si="18"/>
        <v>3.9576661304118431E-2</v>
      </c>
      <c r="L206" s="25"/>
      <c r="M206" s="25"/>
      <c r="N206" s="25"/>
      <c r="O206" s="25"/>
      <c r="P206" s="15">
        <f>SUMPRODUCT(Business_Portfolio!$D206:$U206,Business_Portfolio!$D$8:$U$8)</f>
        <v>1.1194903837089336</v>
      </c>
      <c r="Q206" s="25">
        <f t="shared" si="19"/>
        <v>2.9673250622373477E-2</v>
      </c>
      <c r="R206" s="25"/>
      <c r="S206" s="25"/>
      <c r="T206" s="25"/>
      <c r="U206" s="25"/>
    </row>
    <row r="207" spans="1:21" x14ac:dyDescent="0.25">
      <c r="A207" s="155">
        <f t="shared" si="20"/>
        <v>15</v>
      </c>
      <c r="C207" s="79">
        <v>14.833333333333369</v>
      </c>
      <c r="D207" s="15">
        <f>SUMPRODUCT(Business_Portfolio!D207:AM207,Business_Portfolio!$D$8:$AM$8)</f>
        <v>7.1165339304681989</v>
      </c>
      <c r="E207" s="25">
        <f t="shared" si="17"/>
        <v>3.7508342806017746E-2</v>
      </c>
      <c r="F207" s="25"/>
      <c r="G207" s="25"/>
      <c r="H207" s="25"/>
      <c r="I207" s="25"/>
      <c r="J207" s="15">
        <f>SUMPRODUCT(Business_Portfolio!$V207:$AM207,Business_Portfolio!$V$8:$AM$8)</f>
        <v>5.9984869898594226</v>
      </c>
      <c r="K207" s="25">
        <f t="shared" si="18"/>
        <v>3.9462491934634608E-2</v>
      </c>
      <c r="L207" s="25"/>
      <c r="M207" s="25"/>
      <c r="N207" s="25"/>
      <c r="O207" s="25"/>
      <c r="P207" s="15">
        <f>SUMPRODUCT(Business_Portfolio!$D207:$U207,Business_Portfolio!$D$8:$U$8)</f>
        <v>1.118046940608777</v>
      </c>
      <c r="Q207" s="25">
        <f t="shared" si="19"/>
        <v>2.9634990669904587E-2</v>
      </c>
      <c r="R207" s="25"/>
      <c r="S207" s="25"/>
      <c r="T207" s="25"/>
      <c r="U207" s="25"/>
    </row>
    <row r="208" spans="1:21" x14ac:dyDescent="0.25">
      <c r="A208" s="155">
        <f t="shared" si="20"/>
        <v>15</v>
      </c>
      <c r="C208" s="79">
        <v>14.916666666666703</v>
      </c>
      <c r="D208" s="15">
        <f>SUMPRODUCT(Business_Portfolio!D208:AM208,Business_Portfolio!$D$8:$AM$8)</f>
        <v>7.0977180968853473</v>
      </c>
      <c r="E208" s="25">
        <f t="shared" si="17"/>
        <v>3.740917223462694E-2</v>
      </c>
      <c r="F208" s="25"/>
      <c r="G208" s="25"/>
      <c r="H208" s="25"/>
      <c r="I208" s="25"/>
      <c r="J208" s="15">
        <f>SUMPRODUCT(Business_Portfolio!$V208:$AM208,Business_Portfolio!$V$8:$AM$8)</f>
        <v>5.9811138674578395</v>
      </c>
      <c r="K208" s="25">
        <f t="shared" si="18"/>
        <v>3.934819866304614E-2</v>
      </c>
      <c r="L208" s="25"/>
      <c r="M208" s="25"/>
      <c r="N208" s="25"/>
      <c r="O208" s="25"/>
      <c r="P208" s="15">
        <f>SUMPRODUCT(Business_Portfolio!$D208:$U208,Business_Portfolio!$D$8:$U$8)</f>
        <v>1.1166042294275069</v>
      </c>
      <c r="Q208" s="25">
        <f t="shared" si="19"/>
        <v>2.9596750117702884E-2</v>
      </c>
      <c r="R208" s="25"/>
      <c r="S208" s="25"/>
      <c r="T208" s="25"/>
      <c r="U208" s="25"/>
    </row>
    <row r="209" spans="1:21" x14ac:dyDescent="0.25">
      <c r="A209" s="155">
        <f t="shared" si="20"/>
        <v>15</v>
      </c>
      <c r="C209" s="79">
        <v>15.000000000000037</v>
      </c>
      <c r="D209" s="15">
        <f>SUMPRODUCT(Business_Portfolio!D209:AM209,Business_Portfolio!$D$8:$AM$8)</f>
        <v>7.0788840735050709</v>
      </c>
      <c r="E209" s="25">
        <f t="shared" si="17"/>
        <v>3.7309905792245558E-2</v>
      </c>
      <c r="F209" s="25"/>
      <c r="G209" s="25"/>
      <c r="H209" s="25"/>
      <c r="I209" s="25"/>
      <c r="J209" s="15">
        <f>SUMPRODUCT(Business_Portfolio!$V209:$AM209,Business_Portfolio!$V$8:$AM$8)</f>
        <v>5.9637218254665232</v>
      </c>
      <c r="K209" s="25">
        <f t="shared" si="18"/>
        <v>3.9233780924378139E-2</v>
      </c>
      <c r="L209" s="25"/>
      <c r="M209" s="25"/>
      <c r="N209" s="25"/>
      <c r="O209" s="25"/>
      <c r="P209" s="15">
        <f>SUMPRODUCT(Business_Portfolio!$D209:$U209,Business_Portfolio!$D$8:$U$8)</f>
        <v>1.1151622480385466</v>
      </c>
      <c r="Q209" s="25">
        <f t="shared" si="19"/>
        <v>2.9558528909401246E-2</v>
      </c>
      <c r="R209" s="25"/>
      <c r="S209" s="25"/>
      <c r="T209" s="25"/>
      <c r="U209" s="25"/>
    </row>
    <row r="210" spans="1:21" x14ac:dyDescent="0.25">
      <c r="A210" s="155">
        <f t="shared" si="20"/>
        <v>16</v>
      </c>
      <c r="C210" s="79">
        <v>15.083333333333371</v>
      </c>
      <c r="D210" s="15">
        <f>SUMPRODUCT(Business_Portfolio!D210:AM210,Business_Portfolio!$D$8:$AM$8)</f>
        <v>7.0600317721308903</v>
      </c>
      <c r="E210" s="25">
        <f t="shared" si="17"/>
        <v>3.7210543014025994E-2</v>
      </c>
      <c r="F210" s="25"/>
      <c r="G210" s="25"/>
      <c r="H210" s="25"/>
      <c r="I210" s="25"/>
      <c r="J210" s="15">
        <f>SUMPRODUCT(Business_Portfolio!$V210:$AM210,Business_Portfolio!$V$8:$AM$8)</f>
        <v>5.9463107778141673</v>
      </c>
      <c r="K210" s="25">
        <f t="shared" si="18"/>
        <v>3.9119238152389775E-2</v>
      </c>
      <c r="L210" s="25"/>
      <c r="M210" s="25"/>
      <c r="N210" s="25"/>
      <c r="O210" s="25"/>
      <c r="P210" s="15">
        <f>SUMPRODUCT(Business_Portfolio!$D210:$U210,Business_Portfolio!$D$8:$U$8)</f>
        <v>1.1137209943167234</v>
      </c>
      <c r="Q210" s="25">
        <f t="shared" si="19"/>
        <v>2.9520326988669781E-2</v>
      </c>
      <c r="R210" s="25"/>
      <c r="S210" s="25"/>
      <c r="T210" s="25"/>
      <c r="U210" s="25"/>
    </row>
    <row r="211" spans="1:21" x14ac:dyDescent="0.25">
      <c r="A211" s="155">
        <f t="shared" si="20"/>
        <v>16</v>
      </c>
      <c r="C211" s="79">
        <v>15.166666666666705</v>
      </c>
      <c r="D211" s="15">
        <f>SUMPRODUCT(Business_Portfolio!D211:AM211,Business_Portfolio!$D$8:$AM$8)</f>
        <v>7.041161104374857</v>
      </c>
      <c r="E211" s="25">
        <f t="shared" si="17"/>
        <v>3.7111083434111479E-2</v>
      </c>
      <c r="F211" s="25"/>
      <c r="G211" s="25"/>
      <c r="H211" s="25"/>
      <c r="I211" s="25"/>
      <c r="J211" s="15">
        <f>SUMPRODUCT(Business_Portfolio!$V211:$AM211,Business_Portfolio!$V$8:$AM$8)</f>
        <v>5.9288806382366035</v>
      </c>
      <c r="K211" s="25">
        <f t="shared" si="18"/>
        <v>3.9004569779571431E-2</v>
      </c>
      <c r="L211" s="25"/>
      <c r="M211" s="25"/>
      <c r="N211" s="25"/>
      <c r="O211" s="25"/>
      <c r="P211" s="15">
        <f>SUMPRODUCT(Business_Portfolio!$D211:$U211,Business_Portfolio!$D$8:$U$8)</f>
        <v>1.1122804661382519</v>
      </c>
      <c r="Q211" s="25">
        <f t="shared" si="19"/>
        <v>2.9482144299215352E-2</v>
      </c>
      <c r="R211" s="25"/>
      <c r="S211" s="25"/>
      <c r="T211" s="25"/>
      <c r="U211" s="25"/>
    </row>
    <row r="212" spans="1:21" x14ac:dyDescent="0.25">
      <c r="A212" s="155">
        <f t="shared" si="20"/>
        <v>16</v>
      </c>
      <c r="C212" s="79">
        <v>15.250000000000039</v>
      </c>
      <c r="D212" s="15">
        <f>SUMPRODUCT(Business_Portfolio!D212:AM212,Business_Portfolio!$D$8:$AM$8)</f>
        <v>7.0222719816571235</v>
      </c>
      <c r="E212" s="25">
        <f t="shared" si="17"/>
        <v>3.7011526585633829E-2</v>
      </c>
      <c r="F212" s="25"/>
      <c r="G212" s="25"/>
      <c r="H212" s="25"/>
      <c r="I212" s="25"/>
      <c r="J212" s="15">
        <f>SUMPRODUCT(Business_Portfolio!$V212:$AM212,Business_Portfolio!$V$8:$AM$8)</f>
        <v>5.9114313202763302</v>
      </c>
      <c r="K212" s="25">
        <f t="shared" si="18"/>
        <v>3.8889775237141606E-2</v>
      </c>
      <c r="L212" s="25"/>
      <c r="M212" s="25"/>
      <c r="N212" s="25"/>
      <c r="O212" s="25"/>
      <c r="P212" s="15">
        <f>SUMPRODUCT(Business_Portfolio!$D212:$U212,Business_Portfolio!$D$8:$U$8)</f>
        <v>1.1108406613807924</v>
      </c>
      <c r="Q212" s="25">
        <f t="shared" si="19"/>
        <v>2.9443980784783157E-2</v>
      </c>
      <c r="R212" s="25"/>
      <c r="S212" s="25"/>
      <c r="T212" s="25"/>
      <c r="U212" s="25"/>
    </row>
    <row r="213" spans="1:21" x14ac:dyDescent="0.25">
      <c r="A213" s="155">
        <f t="shared" si="20"/>
        <v>16</v>
      </c>
      <c r="C213" s="79">
        <v>15.333333333333373</v>
      </c>
      <c r="D213" s="15">
        <f>SUMPRODUCT(Business_Portfolio!D213:AM213,Business_Portfolio!$D$8:$AM$8)</f>
        <v>7.0033643152050136</v>
      </c>
      <c r="E213" s="25">
        <f t="shared" si="17"/>
        <v>3.6911872000708529E-2</v>
      </c>
      <c r="F213" s="25"/>
      <c r="G213" s="25"/>
      <c r="H213" s="25"/>
      <c r="I213" s="25"/>
      <c r="J213" s="15">
        <f>SUMPRODUCT(Business_Portfolio!$V213:$AM213,Business_Portfolio!$V$8:$AM$8)</f>
        <v>5.8939627372816172</v>
      </c>
      <c r="K213" s="25">
        <f t="shared" si="18"/>
        <v>3.8774853955041017E-2</v>
      </c>
      <c r="L213" s="25"/>
      <c r="M213" s="25"/>
      <c r="N213" s="25"/>
      <c r="O213" s="25"/>
      <c r="P213" s="15">
        <f>SUMPRODUCT(Business_Portfolio!$D213:$U213,Business_Portfolio!$D$8:$U$8)</f>
        <v>1.1094015779233948</v>
      </c>
      <c r="Q213" s="25">
        <f t="shared" si="19"/>
        <v>2.9405836389155213E-2</v>
      </c>
      <c r="R213" s="25"/>
      <c r="S213" s="25"/>
      <c r="T213" s="25"/>
      <c r="U213" s="25"/>
    </row>
    <row r="214" spans="1:21" x14ac:dyDescent="0.25">
      <c r="A214" s="155">
        <f t="shared" si="20"/>
        <v>16</v>
      </c>
      <c r="C214" s="79">
        <v>15.416666666666707</v>
      </c>
      <c r="D214" s="15">
        <f>SUMPRODUCT(Business_Portfolio!D214:AM214,Business_Portfolio!$D$8:$AM$8)</f>
        <v>6.9844380160525503</v>
      </c>
      <c r="E214" s="25">
        <f t="shared" si="17"/>
        <v>3.681211921043228E-2</v>
      </c>
      <c r="F214" s="25"/>
      <c r="G214" s="25"/>
      <c r="H214" s="25"/>
      <c r="I214" s="25"/>
      <c r="J214" s="15">
        <f>SUMPRODUCT(Business_Portfolio!$V214:$AM214,Business_Portfolio!$V$8:$AM$8)</f>
        <v>5.8764748024060829</v>
      </c>
      <c r="K214" s="25">
        <f t="shared" si="18"/>
        <v>3.8659805361929818E-2</v>
      </c>
      <c r="L214" s="25"/>
      <c r="M214" s="25"/>
      <c r="N214" s="25"/>
      <c r="O214" s="25"/>
      <c r="P214" s="15">
        <f>SUMPRODUCT(Business_Portfolio!$D214:$U214,Business_Portfolio!$D$8:$U$8)</f>
        <v>1.107963213646467</v>
      </c>
      <c r="Q214" s="25">
        <f t="shared" si="19"/>
        <v>2.9367711056149545E-2</v>
      </c>
      <c r="R214" s="25"/>
      <c r="S214" s="25"/>
      <c r="T214" s="25"/>
      <c r="U214" s="25"/>
    </row>
    <row r="215" spans="1:21" x14ac:dyDescent="0.25">
      <c r="A215" s="155">
        <f t="shared" si="20"/>
        <v>16</v>
      </c>
      <c r="C215" s="79">
        <v>15.500000000000041</v>
      </c>
      <c r="D215" s="15">
        <f>SUMPRODUCT(Business_Portfolio!D215:AM215,Business_Portfolio!$D$8:$AM$8)</f>
        <v>2.1309691753830502</v>
      </c>
      <c r="E215" s="25">
        <f t="shared" si="17"/>
        <v>1.1231467891570332E-2</v>
      </c>
      <c r="F215" s="25"/>
      <c r="G215" s="25"/>
      <c r="H215" s="25"/>
      <c r="I215" s="25"/>
      <c r="J215" s="15">
        <f>SUMPRODUCT(Business_Portfolio!$V215:$AM215,Business_Portfolio!$V$8:$AM$8)</f>
        <v>1.8042979956700762</v>
      </c>
      <c r="K215" s="25">
        <f t="shared" si="18"/>
        <v>1.187000909098853E-2</v>
      </c>
      <c r="L215" s="25"/>
      <c r="M215" s="25"/>
      <c r="N215" s="25"/>
      <c r="O215" s="25"/>
      <c r="P215" s="15">
        <f>SUMPRODUCT(Business_Portfolio!$D215:$U215,Business_Portfolio!$D$8:$U$8)</f>
        <v>0.32667117971297399</v>
      </c>
      <c r="Q215" s="25">
        <f t="shared" si="19"/>
        <v>8.6587575273444749E-3</v>
      </c>
      <c r="R215" s="25"/>
      <c r="S215" s="25"/>
      <c r="T215" s="25"/>
      <c r="U215" s="25"/>
    </row>
    <row r="216" spans="1:21" x14ac:dyDescent="0.25">
      <c r="A216" s="155">
        <f t="shared" si="20"/>
        <v>16</v>
      </c>
      <c r="C216" s="79">
        <v>15.583333333333375</v>
      </c>
      <c r="D216" s="15">
        <f>SUMPRODUCT(Business_Portfolio!D216:AM216,Business_Portfolio!$D$8:$AM$8)</f>
        <v>2.1265973692535622</v>
      </c>
      <c r="E216" s="25">
        <f t="shared" si="17"/>
        <v>1.1208425887613289E-2</v>
      </c>
      <c r="F216" s="25"/>
      <c r="G216" s="25"/>
      <c r="H216" s="25"/>
      <c r="I216" s="25"/>
      <c r="J216" s="15">
        <f>SUMPRODUCT(Business_Portfolio!$V216:$AM216,Business_Portfolio!$V$8:$AM$8)</f>
        <v>1.8002445015121409</v>
      </c>
      <c r="K216" s="25">
        <f t="shared" si="18"/>
        <v>1.1843342203024109E-2</v>
      </c>
      <c r="L216" s="25"/>
      <c r="M216" s="25"/>
      <c r="N216" s="25"/>
      <c r="O216" s="25"/>
      <c r="P216" s="15">
        <f>SUMPRODUCT(Business_Portfolio!$D216:$U216,Business_Portfolio!$D$8:$U$8)</f>
        <v>0.32635286774142136</v>
      </c>
      <c r="Q216" s="25">
        <f t="shared" si="19"/>
        <v>8.6503203392761952E-3</v>
      </c>
      <c r="R216" s="25"/>
      <c r="S216" s="25"/>
      <c r="T216" s="25"/>
      <c r="U216" s="25"/>
    </row>
    <row r="217" spans="1:21" x14ac:dyDescent="0.25">
      <c r="A217" s="155">
        <f t="shared" si="20"/>
        <v>16</v>
      </c>
      <c r="C217" s="79">
        <v>15.666666666666709</v>
      </c>
      <c r="D217" s="15">
        <f>SUMPRODUCT(Business_Portfolio!D217:AM217,Business_Portfolio!$D$8:$AM$8)</f>
        <v>2.1222161891396194</v>
      </c>
      <c r="E217" s="25">
        <f t="shared" si="17"/>
        <v>1.1185334477214032E-2</v>
      </c>
      <c r="F217" s="25"/>
      <c r="G217" s="25"/>
      <c r="H217" s="25"/>
      <c r="I217" s="25"/>
      <c r="J217" s="15">
        <f>SUMPRODUCT(Business_Portfolio!$V217:$AM217,Business_Portfolio!$V$8:$AM$8)</f>
        <v>1.7961817739839963</v>
      </c>
      <c r="K217" s="25">
        <f t="shared" si="18"/>
        <v>1.1816614571109085E-2</v>
      </c>
      <c r="L217" s="25"/>
      <c r="M217" s="25"/>
      <c r="N217" s="25"/>
      <c r="O217" s="25"/>
      <c r="P217" s="15">
        <f>SUMPRODUCT(Business_Portfolio!$D217:$U217,Business_Portfolio!$D$8:$U$8)</f>
        <v>0.32603441515562387</v>
      </c>
      <c r="Q217" s="25">
        <f t="shared" si="19"/>
        <v>8.6418794240819032E-3</v>
      </c>
      <c r="R217" s="25"/>
      <c r="S217" s="25"/>
      <c r="T217" s="25"/>
      <c r="U217" s="25"/>
    </row>
    <row r="218" spans="1:21" x14ac:dyDescent="0.25">
      <c r="A218" s="155">
        <f t="shared" si="20"/>
        <v>16</v>
      </c>
      <c r="C218" s="79">
        <v>15.750000000000043</v>
      </c>
      <c r="D218" s="15">
        <f>SUMPRODUCT(Business_Portfolio!D218:AM218,Business_Portfolio!$D$8:$AM$8)</f>
        <v>2.1178256081931988</v>
      </c>
      <c r="E218" s="25">
        <f t="shared" si="17"/>
        <v>1.1162193518867602E-2</v>
      </c>
      <c r="F218" s="25"/>
      <c r="G218" s="25"/>
      <c r="H218" s="25"/>
      <c r="I218" s="25"/>
      <c r="J218" s="15">
        <f>SUMPRODUCT(Business_Portfolio!$V218:$AM218,Business_Portfolio!$V$8:$AM$8)</f>
        <v>1.7921097864072377</v>
      </c>
      <c r="K218" s="25">
        <f t="shared" si="18"/>
        <v>1.1789826019733144E-2</v>
      </c>
      <c r="L218" s="25"/>
      <c r="M218" s="25"/>
      <c r="N218" s="25"/>
      <c r="O218" s="25"/>
      <c r="P218" s="15">
        <f>SUMPRODUCT(Business_Portfolio!$D218:$U218,Business_Portfolio!$D$8:$U$8)</f>
        <v>0.32571582178596065</v>
      </c>
      <c r="Q218" s="25">
        <f t="shared" si="19"/>
        <v>8.633434777265624E-3</v>
      </c>
      <c r="R218" s="25"/>
      <c r="S218" s="25"/>
      <c r="T218" s="25"/>
      <c r="U218" s="25"/>
    </row>
    <row r="219" spans="1:21" x14ac:dyDescent="0.25">
      <c r="A219" s="155">
        <f t="shared" si="20"/>
        <v>16</v>
      </c>
      <c r="C219" s="79">
        <v>15.833333333333377</v>
      </c>
      <c r="D219" s="15">
        <f>SUMPRODUCT(Business_Portfolio!D219:AM219,Business_Portfolio!$D$8:$AM$8)</f>
        <v>2.1134255994934872</v>
      </c>
      <c r="E219" s="25">
        <f t="shared" si="17"/>
        <v>1.1139002870685394E-2</v>
      </c>
      <c r="F219" s="25"/>
      <c r="G219" s="25"/>
      <c r="H219" s="25"/>
      <c r="I219" s="25"/>
      <c r="J219" s="15">
        <f>SUMPRODUCT(Business_Portfolio!$V219:$AM219,Business_Portfolio!$V$8:$AM$8)</f>
        <v>1.7880285120307937</v>
      </c>
      <c r="K219" s="25">
        <f t="shared" si="18"/>
        <v>1.1762976372907916E-2</v>
      </c>
      <c r="L219" s="25"/>
      <c r="M219" s="25"/>
      <c r="N219" s="25"/>
      <c r="O219" s="25"/>
      <c r="P219" s="15">
        <f>SUMPRODUCT(Business_Portfolio!$D219:$U219,Business_Portfolio!$D$8:$U$8)</f>
        <v>0.32539708746269369</v>
      </c>
      <c r="Q219" s="25">
        <f t="shared" si="19"/>
        <v>8.6249863943282743E-3</v>
      </c>
      <c r="R219" s="25"/>
      <c r="S219" s="25"/>
      <c r="T219" s="25"/>
      <c r="U219" s="25"/>
    </row>
    <row r="220" spans="1:21" x14ac:dyDescent="0.25">
      <c r="A220" s="155">
        <f t="shared" si="20"/>
        <v>16</v>
      </c>
      <c r="C220" s="79">
        <v>15.91666666666671</v>
      </c>
      <c r="D220" s="15">
        <f>SUMPRODUCT(Business_Portfolio!D220:AM220,Business_Portfolio!$D$8:$AM$8)</f>
        <v>2.1090161360466047</v>
      </c>
      <c r="E220" s="25">
        <f t="shared" si="17"/>
        <v>1.1115762390393691E-2</v>
      </c>
      <c r="F220" s="25"/>
      <c r="G220" s="25"/>
      <c r="H220" s="25"/>
      <c r="I220" s="25"/>
      <c r="J220" s="15">
        <f>SUMPRODUCT(Business_Portfolio!$V220:$AM220,Business_Portfolio!$V$8:$AM$8)</f>
        <v>1.7839379240305877</v>
      </c>
      <c r="K220" s="25">
        <f t="shared" si="18"/>
        <v>1.173606545416475E-2</v>
      </c>
      <c r="L220" s="25"/>
      <c r="M220" s="25"/>
      <c r="N220" s="25"/>
      <c r="O220" s="25"/>
      <c r="P220" s="15">
        <f>SUMPRODUCT(Business_Portfolio!$D220:$U220,Business_Portfolio!$D$8:$U$8)</f>
        <v>0.32507821201601778</v>
      </c>
      <c r="Q220" s="25">
        <f t="shared" si="19"/>
        <v>8.6165342707689926E-3</v>
      </c>
      <c r="R220" s="25"/>
      <c r="S220" s="25"/>
      <c r="T220" s="25"/>
      <c r="U220" s="25"/>
    </row>
    <row r="221" spans="1:21" x14ac:dyDescent="0.25">
      <c r="A221" s="155">
        <f t="shared" si="20"/>
        <v>16</v>
      </c>
      <c r="C221" s="79">
        <v>16.000000000000043</v>
      </c>
      <c r="D221" s="15">
        <f>SUMPRODUCT(Business_Portfolio!D221:AM221,Business_Portfolio!$D$8:$AM$8)</f>
        <v>2.1045971907855439</v>
      </c>
      <c r="E221" s="25">
        <f t="shared" si="17"/>
        <v>1.1092471935333361E-2</v>
      </c>
      <c r="F221" s="25"/>
      <c r="G221" s="25"/>
      <c r="H221" s="25"/>
      <c r="I221" s="25"/>
      <c r="J221" s="15">
        <f>SUMPRODUCT(Business_Portfolio!$V221:$AM221,Business_Portfolio!$V$8:$AM$8)</f>
        <v>1.7798379955095294</v>
      </c>
      <c r="K221" s="25">
        <f t="shared" si="18"/>
        <v>1.1709093086554658E-2</v>
      </c>
      <c r="L221" s="25"/>
      <c r="M221" s="25"/>
      <c r="N221" s="25"/>
      <c r="O221" s="25"/>
      <c r="P221" s="15">
        <f>SUMPRODUCT(Business_Portfolio!$D221:$U221,Business_Portfolio!$D$8:$U$8)</f>
        <v>0.32475919527601455</v>
      </c>
      <c r="Q221" s="25">
        <f t="shared" si="19"/>
        <v>8.6080784020839164E-3</v>
      </c>
      <c r="R221" s="25"/>
      <c r="S221" s="25"/>
      <c r="T221" s="25"/>
      <c r="U221" s="25"/>
    </row>
    <row r="222" spans="1:21" x14ac:dyDescent="0.25">
      <c r="A222" s="155">
        <f t="shared" si="20"/>
        <v>17</v>
      </c>
      <c r="C222" s="79">
        <v>16.083333333333375</v>
      </c>
      <c r="D222" s="15">
        <f>SUMPRODUCT(Business_Portfolio!D222:AM222,Business_Portfolio!$D$8:$AM$8)</f>
        <v>2.1001687365697559</v>
      </c>
      <c r="E222" s="25">
        <f t="shared" ref="E222:E285" si="21">D222/D$10</f>
        <v>1.1069131362457654E-2</v>
      </c>
      <c r="F222" s="25"/>
      <c r="G222" s="25"/>
      <c r="H222" s="25"/>
      <c r="I222" s="25"/>
      <c r="J222" s="15">
        <f>SUMPRODUCT(Business_Portfolio!$V222:$AM222,Business_Portfolio!$V$8:$AM$8)</f>
        <v>1.7757286994970911</v>
      </c>
      <c r="K222" s="25">
        <f t="shared" ref="K222:K285" si="22">J222/J$10</f>
        <v>1.1682059092645527E-2</v>
      </c>
      <c r="L222" s="25"/>
      <c r="M222" s="25"/>
      <c r="N222" s="25"/>
      <c r="O222" s="25"/>
      <c r="P222" s="15">
        <f>SUMPRODUCT(Business_Portfolio!$D222:$U222,Business_Portfolio!$D$8:$U$8)</f>
        <v>0.32444003707266439</v>
      </c>
      <c r="Q222" s="25">
        <f t="shared" ref="Q222:Q285" si="23">P222/P$10</f>
        <v>8.5996187837665012E-3</v>
      </c>
      <c r="R222" s="25"/>
      <c r="S222" s="25"/>
      <c r="T222" s="25"/>
      <c r="U222" s="25"/>
    </row>
    <row r="223" spans="1:21" x14ac:dyDescent="0.25">
      <c r="A223" s="155">
        <f t="shared" ref="A223:A286" si="24">ROUNDUP(C223-0.0001,0)</f>
        <v>17</v>
      </c>
      <c r="C223" s="79">
        <v>16.166666666666707</v>
      </c>
      <c r="D223" s="15">
        <f>SUMPRODUCT(Business_Portfolio!D223:AM223,Business_Portfolio!$D$8:$AM$8)</f>
        <v>2.0957307461851471</v>
      </c>
      <c r="E223" s="25">
        <f t="shared" si="21"/>
        <v>1.1045740528332204E-2</v>
      </c>
      <c r="F223" s="25"/>
      <c r="G223" s="25"/>
      <c r="H223" s="25"/>
      <c r="I223" s="25"/>
      <c r="J223" s="15">
        <f>SUMPRODUCT(Business_Portfolio!$V223:$AM223,Business_Portfolio!$V$8:$AM$8)</f>
        <v>1.7716100089492621</v>
      </c>
      <c r="K223" s="25">
        <f t="shared" si="22"/>
        <v>1.1654963294521812E-2</v>
      </c>
      <c r="L223" s="25"/>
      <c r="M223" s="25"/>
      <c r="N223" s="25"/>
      <c r="O223" s="25"/>
      <c r="P223" s="15">
        <f>SUMPRODUCT(Business_Portfolio!$D223:$U223,Business_Portfolio!$D$8:$U$8)</f>
        <v>0.32412073723588558</v>
      </c>
      <c r="Q223" s="25">
        <f t="shared" si="23"/>
        <v>8.5911554113085511E-3</v>
      </c>
      <c r="R223" s="25"/>
      <c r="S223" s="25"/>
      <c r="T223" s="25"/>
      <c r="U223" s="25"/>
    </row>
    <row r="224" spans="1:21" x14ac:dyDescent="0.25">
      <c r="A224" s="155">
        <f t="shared" si="24"/>
        <v>17</v>
      </c>
      <c r="C224" s="79">
        <v>16.250000000000039</v>
      </c>
      <c r="D224" s="15">
        <f>SUMPRODUCT(Business_Portfolio!D224:AM224,Business_Portfolio!$D$8:$AM$8)</f>
        <v>2.0912831923438562</v>
      </c>
      <c r="E224" s="25">
        <f t="shared" si="21"/>
        <v>1.1022299289133843E-2</v>
      </c>
      <c r="F224" s="25"/>
      <c r="G224" s="25"/>
      <c r="H224" s="25"/>
      <c r="I224" s="25"/>
      <c r="J224" s="15">
        <f>SUMPRODUCT(Business_Portfolio!$V224:$AM224,Business_Portfolio!$V$8:$AM$8)</f>
        <v>1.7674818967483779</v>
      </c>
      <c r="K224" s="25">
        <f t="shared" si="22"/>
        <v>1.1627805513783425E-2</v>
      </c>
      <c r="L224" s="25"/>
      <c r="M224" s="25"/>
      <c r="N224" s="25"/>
      <c r="O224" s="25"/>
      <c r="P224" s="15">
        <f>SUMPRODUCT(Business_Portfolio!$D224:$U224,Business_Portfolio!$D$8:$U$8)</f>
        <v>0.32380129559547843</v>
      </c>
      <c r="Q224" s="25">
        <f t="shared" si="23"/>
        <v>8.5826882801987529E-3</v>
      </c>
      <c r="R224" s="25"/>
      <c r="S224" s="25"/>
      <c r="T224" s="25"/>
      <c r="U224" s="25"/>
    </row>
    <row r="225" spans="1:21" x14ac:dyDescent="0.25">
      <c r="A225" s="155">
        <f t="shared" si="24"/>
        <v>17</v>
      </c>
      <c r="C225" s="79">
        <v>16.333333333333371</v>
      </c>
      <c r="D225" s="15">
        <f>SUMPRODUCT(Business_Portfolio!D225:AM225,Business_Portfolio!$D$8:$AM$8)</f>
        <v>2.0868260476840157</v>
      </c>
      <c r="E225" s="25">
        <f t="shared" si="21"/>
        <v>1.0998807500649344E-2</v>
      </c>
      <c r="F225" s="25"/>
      <c r="G225" s="25"/>
      <c r="H225" s="25"/>
      <c r="I225" s="25"/>
      <c r="J225" s="15">
        <f>SUMPRODUCT(Business_Portfolio!$V225:$AM225,Business_Portfolio!$V$8:$AM$8)</f>
        <v>1.7633443357028766</v>
      </c>
      <c r="K225" s="25">
        <f t="shared" si="22"/>
        <v>1.1600585571544128E-2</v>
      </c>
      <c r="L225" s="25"/>
      <c r="M225" s="25"/>
      <c r="N225" s="25"/>
      <c r="O225" s="25"/>
      <c r="P225" s="15">
        <f>SUMPRODUCT(Business_Portfolio!$D225:$U225,Business_Portfolio!$D$8:$U$8)</f>
        <v>0.32348171198113862</v>
      </c>
      <c r="Q225" s="25">
        <f t="shared" si="23"/>
        <v>8.5742173859230091E-3</v>
      </c>
      <c r="R225" s="25"/>
      <c r="S225" s="25"/>
      <c r="T225" s="25"/>
      <c r="U225" s="25"/>
    </row>
    <row r="226" spans="1:21" x14ac:dyDescent="0.25">
      <c r="A226" s="155">
        <f t="shared" si="24"/>
        <v>17</v>
      </c>
      <c r="C226" s="79">
        <v>16.416666666666703</v>
      </c>
      <c r="D226" s="15">
        <f>SUMPRODUCT(Business_Portfolio!D226:AM226,Business_Portfolio!$D$8:$AM$8)</f>
        <v>2.082359284769427</v>
      </c>
      <c r="E226" s="25">
        <f t="shared" si="21"/>
        <v>1.0975265018273717E-2</v>
      </c>
      <c r="F226" s="25"/>
      <c r="G226" s="25"/>
      <c r="H226" s="25"/>
      <c r="I226" s="25"/>
      <c r="J226" s="15">
        <f>SUMPRODUCT(Business_Portfolio!$V226:$AM226,Business_Portfolio!$V$8:$AM$8)</f>
        <v>1.7591972985469282</v>
      </c>
      <c r="K226" s="25">
        <f t="shared" si="22"/>
        <v>1.1573303288429086E-2</v>
      </c>
      <c r="L226" s="25"/>
      <c r="M226" s="25"/>
      <c r="N226" s="25"/>
      <c r="O226" s="25"/>
      <c r="P226" s="15">
        <f>SUMPRODUCT(Business_Portfolio!$D226:$U226,Business_Portfolio!$D$8:$U$8)</f>
        <v>0.32316198622249859</v>
      </c>
      <c r="Q226" s="25">
        <f t="shared" si="23"/>
        <v>8.5657427239655554E-3</v>
      </c>
      <c r="R226" s="25"/>
      <c r="S226" s="25"/>
      <c r="T226" s="25"/>
      <c r="U226" s="25"/>
    </row>
    <row r="227" spans="1:21" x14ac:dyDescent="0.25">
      <c r="A227" s="155">
        <f t="shared" si="24"/>
        <v>17</v>
      </c>
      <c r="C227" s="79">
        <v>16.500000000000036</v>
      </c>
      <c r="D227" s="15">
        <f>SUMPRODUCT(Business_Portfolio!D227:AM227,Business_Portfolio!$D$8:$AM$8)</f>
        <v>2.0749927916969479</v>
      </c>
      <c r="E227" s="25">
        <f t="shared" si="21"/>
        <v>1.0936439242953832E-2</v>
      </c>
      <c r="F227" s="25"/>
      <c r="G227" s="25"/>
      <c r="H227" s="25"/>
      <c r="I227" s="25"/>
      <c r="J227" s="15">
        <f>SUMPRODUCT(Business_Portfolio!$V227:$AM227,Business_Portfolio!$V$8:$AM$8)</f>
        <v>1.752353351041414</v>
      </c>
      <c r="K227" s="25">
        <f t="shared" si="22"/>
        <v>1.1528278730787468E-2</v>
      </c>
      <c r="L227" s="25"/>
      <c r="M227" s="25"/>
      <c r="N227" s="25"/>
      <c r="O227" s="25"/>
      <c r="P227" s="15">
        <f>SUMPRODUCT(Business_Portfolio!$D227:$U227,Business_Portfolio!$D$8:$U$8)</f>
        <v>0.32263944065553368</v>
      </c>
      <c r="Q227" s="25">
        <f t="shared" si="23"/>
        <v>8.5518921131914009E-3</v>
      </c>
      <c r="R227" s="25"/>
      <c r="S227" s="25"/>
      <c r="T227" s="25"/>
      <c r="U227" s="25"/>
    </row>
    <row r="228" spans="1:21" x14ac:dyDescent="0.25">
      <c r="A228" s="155">
        <f t="shared" si="24"/>
        <v>17</v>
      </c>
      <c r="C228" s="79">
        <v>16.583333333333368</v>
      </c>
      <c r="D228" s="15">
        <f>SUMPRODUCT(Business_Portfolio!D228:AM228,Business_Portfolio!$D$8:$AM$8)</f>
        <v>2.0705103423592144</v>
      </c>
      <c r="E228" s="25">
        <f t="shared" si="21"/>
        <v>1.0912814083850676E-2</v>
      </c>
      <c r="F228" s="25"/>
      <c r="G228" s="25"/>
      <c r="H228" s="25"/>
      <c r="I228" s="25"/>
      <c r="J228" s="15">
        <f>SUMPRODUCT(Business_Portfolio!$V228:$AM228,Business_Portfolio!$V$8:$AM$8)</f>
        <v>1.7481921467448791</v>
      </c>
      <c r="K228" s="25">
        <f t="shared" si="22"/>
        <v>1.1500903245724656E-2</v>
      </c>
      <c r="L228" s="25"/>
      <c r="M228" s="25"/>
      <c r="N228" s="25"/>
      <c r="O228" s="25"/>
      <c r="P228" s="15">
        <f>SUMPRODUCT(Business_Portfolio!$D228:$U228,Business_Portfolio!$D$8:$U$8)</f>
        <v>0.32231819561433495</v>
      </c>
      <c r="Q228" s="25">
        <f t="shared" si="23"/>
        <v>8.5433771810781815E-3</v>
      </c>
      <c r="R228" s="25"/>
      <c r="S228" s="25"/>
      <c r="T228" s="25"/>
      <c r="U228" s="25"/>
    </row>
    <row r="229" spans="1:21" x14ac:dyDescent="0.25">
      <c r="A229" s="155">
        <f t="shared" si="24"/>
        <v>17</v>
      </c>
      <c r="C229" s="79">
        <v>16.6666666666667</v>
      </c>
      <c r="D229" s="15">
        <f>SUMPRODUCT(Business_Portfolio!D229:AM229,Business_Portfolio!$D$8:$AM$8)</f>
        <v>2.0660182200595298</v>
      </c>
      <c r="E229" s="25">
        <f t="shared" si="21"/>
        <v>1.0889137942517077E-2</v>
      </c>
      <c r="F229" s="25"/>
      <c r="G229" s="25"/>
      <c r="H229" s="25"/>
      <c r="I229" s="25"/>
      <c r="J229" s="15">
        <f>SUMPRODUCT(Business_Portfolio!$V229:$AM229,Business_Portfolio!$V$8:$AM$8)</f>
        <v>1.7440214099033766</v>
      </c>
      <c r="K229" s="25">
        <f t="shared" si="22"/>
        <v>1.1473465048518008E-2</v>
      </c>
      <c r="L229" s="25"/>
      <c r="M229" s="25"/>
      <c r="N229" s="25"/>
      <c r="O229" s="25"/>
      <c r="P229" s="15">
        <f>SUMPRODUCT(Business_Portfolio!$D229:$U229,Business_Portfolio!$D$8:$U$8)</f>
        <v>0.32199681015615322</v>
      </c>
      <c r="Q229" s="25">
        <f t="shared" si="23"/>
        <v>8.5348585270675799E-3</v>
      </c>
      <c r="R229" s="25"/>
      <c r="S229" s="25"/>
      <c r="T229" s="25"/>
      <c r="U229" s="25"/>
    </row>
    <row r="230" spans="1:21" x14ac:dyDescent="0.25">
      <c r="A230" s="155">
        <f t="shared" si="24"/>
        <v>17</v>
      </c>
      <c r="C230" s="79">
        <v>16.750000000000032</v>
      </c>
      <c r="D230" s="15">
        <f>SUMPRODUCT(Business_Portfolio!D230:AM230,Business_Portfolio!$D$8:$AM$8)</f>
        <v>2.0615163971183939</v>
      </c>
      <c r="E230" s="25">
        <f t="shared" si="21"/>
        <v>1.0865410673065694E-2</v>
      </c>
      <c r="F230" s="25"/>
      <c r="G230" s="25"/>
      <c r="H230" s="25"/>
      <c r="I230" s="25"/>
      <c r="J230" s="15">
        <f>SUMPRODUCT(Business_Portfolio!$V230:$AM230,Business_Portfolio!$V$8:$AM$8)</f>
        <v>1.7398411130111182</v>
      </c>
      <c r="K230" s="25">
        <f t="shared" si="22"/>
        <v>1.1445963958214069E-2</v>
      </c>
      <c r="L230" s="25"/>
      <c r="M230" s="25"/>
      <c r="N230" s="25"/>
      <c r="O230" s="25"/>
      <c r="P230" s="15">
        <f>SUMPRODUCT(Business_Portfolio!$D230:$U230,Business_Portfolio!$D$8:$U$8)</f>
        <v>0.32167528410727542</v>
      </c>
      <c r="Q230" s="25">
        <f t="shared" si="23"/>
        <v>8.5263361465551506E-3</v>
      </c>
      <c r="R230" s="25"/>
      <c r="S230" s="25"/>
      <c r="T230" s="25"/>
      <c r="U230" s="25"/>
    </row>
    <row r="231" spans="1:21" x14ac:dyDescent="0.25">
      <c r="A231" s="155">
        <f t="shared" si="24"/>
        <v>17</v>
      </c>
      <c r="C231" s="79">
        <v>16.833333333333364</v>
      </c>
      <c r="D231" s="15">
        <f>SUMPRODUCT(Business_Portfolio!D231:AM231,Business_Portfolio!$D$8:$AM$8)</f>
        <v>2.0570048457813863</v>
      </c>
      <c r="E231" s="25">
        <f t="shared" si="21"/>
        <v>1.084163212921432E-2</v>
      </c>
      <c r="F231" s="25"/>
      <c r="G231" s="25"/>
      <c r="H231" s="25"/>
      <c r="I231" s="25"/>
      <c r="J231" s="15">
        <f>SUMPRODUCT(Business_Portfolio!$V231:$AM231,Business_Portfolio!$V$8:$AM$8)</f>
        <v>1.7356512284875316</v>
      </c>
      <c r="K231" s="25">
        <f t="shared" si="22"/>
        <v>1.1418399793367399E-2</v>
      </c>
      <c r="L231" s="25"/>
      <c r="M231" s="25"/>
      <c r="N231" s="25"/>
      <c r="O231" s="25"/>
      <c r="P231" s="15">
        <f>SUMPRODUCT(Business_Portfolio!$D231:$U231,Business_Portfolio!$D$8:$U$8)</f>
        <v>0.32135361729385492</v>
      </c>
      <c r="Q231" s="25">
        <f t="shared" si="23"/>
        <v>8.5178100349329097E-3</v>
      </c>
      <c r="R231" s="25"/>
      <c r="S231" s="25"/>
      <c r="T231" s="25"/>
      <c r="U231" s="25"/>
    </row>
    <row r="232" spans="1:21" x14ac:dyDescent="0.25">
      <c r="A232" s="155">
        <f t="shared" si="24"/>
        <v>17</v>
      </c>
      <c r="C232" s="79">
        <v>16.916666666666696</v>
      </c>
      <c r="D232" s="15">
        <f>SUMPRODUCT(Business_Portfolio!D232:AM232,Business_Portfolio!$D$8:$AM$8)</f>
        <v>2.0524835382188251</v>
      </c>
      <c r="E232" s="25">
        <f t="shared" si="21"/>
        <v>1.0817802164284072E-2</v>
      </c>
      <c r="F232" s="25"/>
      <c r="G232" s="25"/>
      <c r="H232" s="25"/>
      <c r="I232" s="25"/>
      <c r="J232" s="15">
        <f>SUMPRODUCT(Business_Portfolio!$V232:$AM232,Business_Portfolio!$V$8:$AM$8)</f>
        <v>1.7314517286768634</v>
      </c>
      <c r="K232" s="25">
        <f t="shared" si="22"/>
        <v>1.1390772372037962E-2</v>
      </c>
      <c r="L232" s="25"/>
      <c r="M232" s="25"/>
      <c r="N232" s="25"/>
      <c r="O232" s="25"/>
      <c r="P232" s="15">
        <f>SUMPRODUCT(Business_Portfolio!$D232:$U232,Business_Portfolio!$D$8:$U$8)</f>
        <v>0.32103180954196214</v>
      </c>
      <c r="Q232" s="25">
        <f t="shared" si="23"/>
        <v>8.5092801875906749E-3</v>
      </c>
      <c r="R232" s="25"/>
      <c r="S232" s="25"/>
      <c r="T232" s="25"/>
      <c r="U232" s="25"/>
    </row>
    <row r="233" spans="1:21" x14ac:dyDescent="0.25">
      <c r="A233" s="155">
        <f t="shared" si="24"/>
        <v>17</v>
      </c>
      <c r="C233" s="79">
        <v>17.000000000000028</v>
      </c>
      <c r="D233" s="15">
        <f>SUMPRODUCT(Business_Portfolio!D233:AM233,Business_Portfolio!$D$8:$AM$8)</f>
        <v>2.0479524465255801</v>
      </c>
      <c r="E233" s="25">
        <f t="shared" si="21"/>
        <v>1.0793920631198406E-2</v>
      </c>
      <c r="F233" s="25"/>
      <c r="G233" s="25"/>
      <c r="H233" s="25"/>
      <c r="I233" s="25"/>
      <c r="J233" s="15">
        <f>SUMPRODUCT(Business_Portfolio!$V233:$AM233,Business_Portfolio!$V$8:$AM$8)</f>
        <v>1.7272425858480094</v>
      </c>
      <c r="K233" s="25">
        <f t="shared" si="22"/>
        <v>1.1363081511790007E-2</v>
      </c>
      <c r="L233" s="25"/>
      <c r="M233" s="25"/>
      <c r="N233" s="25"/>
      <c r="O233" s="25"/>
      <c r="P233" s="15">
        <f>SUMPRODUCT(Business_Portfolio!$D233:$U233,Business_Portfolio!$D$8:$U$8)</f>
        <v>0.32070986067757057</v>
      </c>
      <c r="Q233" s="25">
        <f t="shared" si="23"/>
        <v>8.5007465999156935E-3</v>
      </c>
      <c r="R233" s="25"/>
      <c r="S233" s="25"/>
      <c r="T233" s="25"/>
      <c r="U233" s="25"/>
    </row>
    <row r="234" spans="1:21" x14ac:dyDescent="0.25">
      <c r="A234" s="155">
        <f t="shared" si="24"/>
        <v>18</v>
      </c>
      <c r="C234" s="79">
        <v>17.083333333333361</v>
      </c>
      <c r="D234" s="15">
        <f>SUMPRODUCT(Business_Portfolio!D234:AM234,Business_Portfolio!$D$8:$AM$8)</f>
        <v>2.0434115427208299</v>
      </c>
      <c r="E234" s="25">
        <f t="shared" si="21"/>
        <v>1.0769987382481848E-2</v>
      </c>
      <c r="F234" s="25"/>
      <c r="G234" s="25"/>
      <c r="H234" s="25"/>
      <c r="I234" s="25"/>
      <c r="J234" s="15">
        <f>SUMPRODUCT(Business_Portfolio!$V234:$AM234,Business_Portfolio!$V$8:$AM$8)</f>
        <v>1.7230237721942954</v>
      </c>
      <c r="K234" s="25">
        <f t="shared" si="22"/>
        <v>1.1335327029690626E-2</v>
      </c>
      <c r="L234" s="25"/>
      <c r="M234" s="25"/>
      <c r="N234" s="25"/>
      <c r="O234" s="25"/>
      <c r="P234" s="15">
        <f>SUMPRODUCT(Business_Portfolio!$D234:$U234,Business_Portfolio!$D$8:$U$8)</f>
        <v>0.32038777052653444</v>
      </c>
      <c r="Q234" s="25">
        <f t="shared" si="23"/>
        <v>8.4922092672920502E-3</v>
      </c>
      <c r="R234" s="25"/>
      <c r="S234" s="25"/>
      <c r="T234" s="25"/>
      <c r="U234" s="25"/>
    </row>
    <row r="235" spans="1:21" x14ac:dyDescent="0.25">
      <c r="A235" s="155">
        <f t="shared" si="24"/>
        <v>18</v>
      </c>
      <c r="C235" s="79">
        <v>17.166666666666693</v>
      </c>
      <c r="D235" s="15">
        <f>SUMPRODUCT(Business_Portfolio!D235:AM235,Business_Portfolio!$D$8:$AM$8)</f>
        <v>2.038860798747848</v>
      </c>
      <c r="E235" s="25">
        <f t="shared" si="21"/>
        <v>1.0746002270258855E-2</v>
      </c>
      <c r="F235" s="25"/>
      <c r="G235" s="25"/>
      <c r="H235" s="25"/>
      <c r="I235" s="25"/>
      <c r="J235" s="15">
        <f>SUMPRODUCT(Business_Portfolio!$V235:$AM235,Business_Portfolio!$V$8:$AM$8)</f>
        <v>1.7187952598332403</v>
      </c>
      <c r="K235" s="25">
        <f t="shared" si="22"/>
        <v>1.1307508742308204E-2</v>
      </c>
      <c r="L235" s="25"/>
      <c r="M235" s="25"/>
      <c r="N235" s="25"/>
      <c r="O235" s="25"/>
      <c r="P235" s="15">
        <f>SUMPRODUCT(Business_Portfolio!$D235:$U235,Business_Portfolio!$D$8:$U$8)</f>
        <v>0.32006553891460748</v>
      </c>
      <c r="Q235" s="25">
        <f t="shared" si="23"/>
        <v>8.4836681851011685E-3</v>
      </c>
      <c r="R235" s="25"/>
      <c r="S235" s="25"/>
      <c r="T235" s="25"/>
      <c r="U235" s="25"/>
    </row>
    <row r="236" spans="1:21" x14ac:dyDescent="0.25">
      <c r="A236" s="155">
        <f t="shared" si="24"/>
        <v>18</v>
      </c>
      <c r="C236" s="79">
        <v>17.250000000000025</v>
      </c>
      <c r="D236" s="15">
        <f>SUMPRODUCT(Business_Portfolio!D236:AM236,Business_Portfolio!$D$8:$AM$8)</f>
        <v>2.034300186474018</v>
      </c>
      <c r="E236" s="25">
        <f t="shared" si="21"/>
        <v>1.0721965146253898E-2</v>
      </c>
      <c r="F236" s="25"/>
      <c r="G236" s="25"/>
      <c r="H236" s="25"/>
      <c r="I236" s="25"/>
      <c r="J236" s="15">
        <f>SUMPRODUCT(Business_Portfolio!$V236:$AM236,Business_Portfolio!$V$8:$AM$8)</f>
        <v>1.7145570208065539</v>
      </c>
      <c r="K236" s="25">
        <f t="shared" si="22"/>
        <v>1.1279626465712386E-2</v>
      </c>
      <c r="L236" s="25"/>
      <c r="M236" s="25"/>
      <c r="N236" s="25"/>
      <c r="O236" s="25"/>
      <c r="P236" s="15">
        <f>SUMPRODUCT(Business_Portfolio!$D236:$U236,Business_Portfolio!$D$8:$U$8)</f>
        <v>0.31974316566746397</v>
      </c>
      <c r="Q236" s="25">
        <f t="shared" si="23"/>
        <v>8.4751233487223628E-3</v>
      </c>
      <c r="R236" s="25"/>
      <c r="S236" s="25"/>
      <c r="T236" s="25"/>
      <c r="U236" s="25"/>
    </row>
    <row r="237" spans="1:21" x14ac:dyDescent="0.25">
      <c r="A237" s="155">
        <f t="shared" si="24"/>
        <v>18</v>
      </c>
      <c r="C237" s="79">
        <v>17.333333333333357</v>
      </c>
      <c r="D237" s="15">
        <f>SUMPRODUCT(Business_Portfolio!D237:AM237,Business_Portfolio!$D$8:$AM$8)</f>
        <v>2.0297296776902991</v>
      </c>
      <c r="E237" s="25">
        <f t="shared" si="21"/>
        <v>1.0697875861788648E-2</v>
      </c>
      <c r="F237" s="25"/>
      <c r="G237" s="25"/>
      <c r="H237" s="25"/>
      <c r="I237" s="25"/>
      <c r="J237" s="15">
        <f>SUMPRODUCT(Business_Portfolio!$V237:$AM237,Business_Portfolio!$V$8:$AM$8)</f>
        <v>1.7103090270796442</v>
      </c>
      <c r="K237" s="25">
        <f t="shared" si="22"/>
        <v>1.1251680015470859E-2</v>
      </c>
      <c r="L237" s="25"/>
      <c r="M237" s="25"/>
      <c r="N237" s="25"/>
      <c r="O237" s="25"/>
      <c r="P237" s="15">
        <f>SUMPRODUCT(Business_Portfolio!$D237:$U237,Business_Portfolio!$D$8:$U$8)</f>
        <v>0.31942065061065467</v>
      </c>
      <c r="Q237" s="25">
        <f t="shared" si="23"/>
        <v>8.466574753531679E-3</v>
      </c>
      <c r="R237" s="25"/>
      <c r="S237" s="25"/>
      <c r="T237" s="25"/>
      <c r="U237" s="25"/>
    </row>
    <row r="238" spans="1:21" x14ac:dyDescent="0.25">
      <c r="A238" s="155">
        <f t="shared" si="24"/>
        <v>18</v>
      </c>
      <c r="C238" s="79">
        <v>17.416666666666689</v>
      </c>
      <c r="D238" s="15">
        <f>SUMPRODUCT(Business_Portfolio!D238:AM238,Business_Portfolio!$D$8:$AM$8)</f>
        <v>2.0251492441112453</v>
      </c>
      <c r="E238" s="25">
        <f t="shared" si="21"/>
        <v>1.0673734267782078E-2</v>
      </c>
      <c r="F238" s="25"/>
      <c r="G238" s="25"/>
      <c r="H238" s="25"/>
      <c r="I238" s="25"/>
      <c r="J238" s="15">
        <f>SUMPRODUCT(Business_Portfolio!$V238:$AM238,Business_Portfolio!$V$8:$AM$8)</f>
        <v>1.706051250541623</v>
      </c>
      <c r="K238" s="25">
        <f t="shared" si="22"/>
        <v>1.1223669206649372E-2</v>
      </c>
      <c r="L238" s="25"/>
      <c r="M238" s="25"/>
      <c r="N238" s="25"/>
      <c r="O238" s="25"/>
      <c r="P238" s="15">
        <f>SUMPRODUCT(Business_Portfolio!$D238:$U238,Business_Portfolio!$D$8:$U$8)</f>
        <v>0.3190979935696226</v>
      </c>
      <c r="Q238" s="25">
        <f t="shared" si="23"/>
        <v>8.4580223949023026E-3</v>
      </c>
      <c r="R238" s="25"/>
      <c r="S238" s="25"/>
      <c r="T238" s="25"/>
      <c r="U238" s="25"/>
    </row>
    <row r="239" spans="1:21" x14ac:dyDescent="0.25">
      <c r="A239" s="155">
        <f t="shared" si="24"/>
        <v>18</v>
      </c>
      <c r="C239" s="79">
        <v>17.500000000000021</v>
      </c>
      <c r="D239" s="15">
        <f>SUMPRODUCT(Business_Portfolio!D239:AM239,Business_Portfolio!$D$8:$AM$8)</f>
        <v>2.0173419143437239</v>
      </c>
      <c r="E239" s="25">
        <f t="shared" si="21"/>
        <v>1.0632585022351508E-2</v>
      </c>
      <c r="F239" s="25"/>
      <c r="G239" s="25"/>
      <c r="H239" s="25"/>
      <c r="I239" s="25"/>
      <c r="J239" s="15">
        <f>SUMPRODUCT(Business_Portfolio!$V239:$AM239,Business_Portfolio!$V$8:$AM$8)</f>
        <v>1.6987261986343984</v>
      </c>
      <c r="K239" s="25">
        <f t="shared" si="22"/>
        <v>1.1175479587784098E-2</v>
      </c>
      <c r="L239" s="25"/>
      <c r="M239" s="25"/>
      <c r="N239" s="25"/>
      <c r="O239" s="25"/>
      <c r="P239" s="15">
        <f>SUMPRODUCT(Business_Portfolio!$D239:$U239,Business_Portfolio!$D$8:$U$8)</f>
        <v>0.31861571570932551</v>
      </c>
      <c r="Q239" s="25">
        <f t="shared" si="23"/>
        <v>8.4452391213463429E-3</v>
      </c>
      <c r="R239" s="25"/>
      <c r="S239" s="25"/>
      <c r="T239" s="25"/>
      <c r="U239" s="25"/>
    </row>
    <row r="240" spans="1:21" x14ac:dyDescent="0.25">
      <c r="A240" s="155">
        <f t="shared" si="24"/>
        <v>18</v>
      </c>
      <c r="C240" s="79">
        <v>17.583333333333353</v>
      </c>
      <c r="D240" s="15">
        <f>SUMPRODUCT(Business_Portfolio!D240:AM240,Business_Portfolio!$D$8:$AM$8)</f>
        <v>2.012748712690259</v>
      </c>
      <c r="E240" s="25">
        <f t="shared" si="21"/>
        <v>1.060837613304126E-2</v>
      </c>
      <c r="F240" s="25"/>
      <c r="G240" s="25"/>
      <c r="H240" s="25"/>
      <c r="I240" s="25"/>
      <c r="J240" s="15">
        <f>SUMPRODUCT(Business_Portfolio!$V240:$AM240,Business_Portfolio!$V$8:$AM$8)</f>
        <v>1.6944572811281347</v>
      </c>
      <c r="K240" s="25">
        <f t="shared" si="22"/>
        <v>1.1147395485418727E-2</v>
      </c>
      <c r="L240" s="25"/>
      <c r="M240" s="25"/>
      <c r="N240" s="25"/>
      <c r="O240" s="25"/>
      <c r="P240" s="15">
        <f>SUMPRODUCT(Business_Portfolio!$D240:$U240,Business_Portfolio!$D$8:$U$8)</f>
        <v>0.31829143156212397</v>
      </c>
      <c r="Q240" s="25">
        <f t="shared" si="23"/>
        <v>8.4366436345848627E-3</v>
      </c>
      <c r="R240" s="25"/>
      <c r="S240" s="25"/>
      <c r="T240" s="25"/>
      <c r="U240" s="25"/>
    </row>
    <row r="241" spans="1:21" x14ac:dyDescent="0.25">
      <c r="A241" s="155">
        <f t="shared" si="24"/>
        <v>18</v>
      </c>
      <c r="C241" s="79">
        <v>17.666666666666686</v>
      </c>
      <c r="D241" s="15">
        <f>SUMPRODUCT(Business_Portfolio!D241:AM241,Business_Portfolio!$D$8:$AM$8)</f>
        <v>2.0081455255697302</v>
      </c>
      <c r="E241" s="25">
        <f t="shared" si="21"/>
        <v>1.0584114614413795E-2</v>
      </c>
      <c r="F241" s="25"/>
      <c r="G241" s="25"/>
      <c r="H241" s="25"/>
      <c r="I241" s="25"/>
      <c r="J241" s="15">
        <f>SUMPRODUCT(Business_Portfolio!$V241:$AM241,Business_Portfolio!$V$8:$AM$8)</f>
        <v>1.6901785183439364</v>
      </c>
      <c r="K241" s="25">
        <f t="shared" si="22"/>
        <v>1.111924661352035E-2</v>
      </c>
      <c r="L241" s="25"/>
      <c r="M241" s="25"/>
      <c r="N241" s="25"/>
      <c r="O241" s="25"/>
      <c r="P241" s="15">
        <f>SUMPRODUCT(Business_Portfolio!$D241:$U241,Business_Portfolio!$D$8:$U$8)</f>
        <v>0.31796700722579391</v>
      </c>
      <c r="Q241" s="25">
        <f t="shared" si="23"/>
        <v>8.4280444319655198E-3</v>
      </c>
      <c r="R241" s="25"/>
      <c r="S241" s="25"/>
      <c r="T241" s="25"/>
      <c r="U241" s="25"/>
    </row>
    <row r="242" spans="1:21" x14ac:dyDescent="0.25">
      <c r="A242" s="155">
        <f t="shared" si="24"/>
        <v>18</v>
      </c>
      <c r="C242" s="79">
        <v>17.750000000000018</v>
      </c>
      <c r="D242" s="15">
        <f>SUMPRODUCT(Business_Portfolio!D242:AM242,Business_Portfolio!$D$8:$AM$8)</f>
        <v>2.0035323244435488</v>
      </c>
      <c r="E242" s="25">
        <f t="shared" si="21"/>
        <v>1.0559800316053872E-2</v>
      </c>
      <c r="F242" s="25"/>
      <c r="G242" s="25"/>
      <c r="H242" s="25"/>
      <c r="I242" s="25"/>
      <c r="J242" s="15">
        <f>SUMPRODUCT(Business_Portfolio!$V242:$AM242,Business_Portfolio!$V$8:$AM$8)</f>
        <v>1.6858898819214838</v>
      </c>
      <c r="K242" s="25">
        <f t="shared" si="22"/>
        <v>1.1091032785513768E-2</v>
      </c>
      <c r="L242" s="25"/>
      <c r="M242" s="25"/>
      <c r="N242" s="25"/>
      <c r="O242" s="25"/>
      <c r="P242" s="15">
        <f>SUMPRODUCT(Business_Portfolio!$D242:$U242,Business_Portfolio!$D$8:$U$8)</f>
        <v>0.31764244252206469</v>
      </c>
      <c r="Q242" s="25">
        <f t="shared" si="23"/>
        <v>8.4194415087630661E-3</v>
      </c>
      <c r="R242" s="25"/>
      <c r="S242" s="25"/>
      <c r="T242" s="25"/>
      <c r="U242" s="25"/>
    </row>
    <row r="243" spans="1:21" x14ac:dyDescent="0.25">
      <c r="A243" s="155">
        <f t="shared" si="24"/>
        <v>18</v>
      </c>
      <c r="C243" s="79">
        <v>17.83333333333335</v>
      </c>
      <c r="D243" s="15">
        <f>SUMPRODUCT(Business_Portfolio!D243:AM243,Business_Portfolio!$D$8:$AM$8)</f>
        <v>1.9989090806958036</v>
      </c>
      <c r="E243" s="25">
        <f t="shared" si="21"/>
        <v>1.0535433087138715E-2</v>
      </c>
      <c r="F243" s="25"/>
      <c r="G243" s="25"/>
      <c r="H243" s="25"/>
      <c r="I243" s="25"/>
      <c r="J243" s="15">
        <f>SUMPRODUCT(Business_Portfolio!$V243:$AM243,Business_Portfolio!$V$8:$AM$8)</f>
        <v>1.6815913434232672</v>
      </c>
      <c r="K243" s="25">
        <f t="shared" si="22"/>
        <v>1.106275381431597E-2</v>
      </c>
      <c r="L243" s="25"/>
      <c r="M243" s="25"/>
      <c r="N243" s="25"/>
      <c r="O243" s="25"/>
      <c r="P243" s="15">
        <f>SUMPRODUCT(Business_Portfolio!$D243:$U243,Business_Portfolio!$D$8:$U$8)</f>
        <v>0.31731773727253637</v>
      </c>
      <c r="Q243" s="25">
        <f t="shared" si="23"/>
        <v>8.410834860248826E-3</v>
      </c>
      <c r="R243" s="25"/>
      <c r="S243" s="25"/>
      <c r="T243" s="25"/>
      <c r="U243" s="25"/>
    </row>
    <row r="244" spans="1:21" x14ac:dyDescent="0.25">
      <c r="A244" s="155">
        <f t="shared" si="24"/>
        <v>18</v>
      </c>
      <c r="C244" s="79">
        <v>17.916666666666682</v>
      </c>
      <c r="D244" s="15">
        <f>SUMPRODUCT(Business_Portfolio!D244:AM244,Business_Portfolio!$D$8:$AM$8)</f>
        <v>1.9942757656328871</v>
      </c>
      <c r="E244" s="25">
        <f t="shared" si="21"/>
        <v>1.0511012776436041E-2</v>
      </c>
      <c r="F244" s="25"/>
      <c r="G244" s="25"/>
      <c r="H244" s="25"/>
      <c r="I244" s="25"/>
      <c r="J244" s="15">
        <f>SUMPRODUCT(Business_Portfolio!$V244:$AM244,Business_Portfolio!$V$8:$AM$8)</f>
        <v>1.6772828743341832</v>
      </c>
      <c r="K244" s="25">
        <f t="shared" si="22"/>
        <v>1.1034409512333483E-2</v>
      </c>
      <c r="L244" s="25"/>
      <c r="M244" s="25"/>
      <c r="N244" s="25"/>
      <c r="O244" s="25"/>
      <c r="P244" s="15">
        <f>SUMPRODUCT(Business_Portfolio!$D244:$U244,Business_Portfolio!$D$8:$U$8)</f>
        <v>0.31699289129870412</v>
      </c>
      <c r="Q244" s="25">
        <f t="shared" si="23"/>
        <v>8.4022244816913446E-3</v>
      </c>
      <c r="R244" s="25"/>
      <c r="S244" s="25"/>
      <c r="T244" s="25"/>
      <c r="U244" s="25"/>
    </row>
    <row r="245" spans="1:21" x14ac:dyDescent="0.25">
      <c r="A245" s="155">
        <f t="shared" si="24"/>
        <v>18</v>
      </c>
      <c r="C245" s="79">
        <v>18.000000000000014</v>
      </c>
      <c r="D245" s="15">
        <f>SUMPRODUCT(Business_Portfolio!D245:AM245,Business_Portfolio!$D$8:$AM$8)</f>
        <v>1.9896323504835891</v>
      </c>
      <c r="E245" s="25">
        <f t="shared" si="21"/>
        <v>1.0486539232304555E-2</v>
      </c>
      <c r="F245" s="25"/>
      <c r="G245" s="25"/>
      <c r="H245" s="25"/>
      <c r="I245" s="25"/>
      <c r="J245" s="15">
        <f>SUMPRODUCT(Business_Portfolio!$V245:$AM245,Business_Portfolio!$V$8:$AM$8)</f>
        <v>1.6729644460616315</v>
      </c>
      <c r="K245" s="25">
        <f t="shared" si="22"/>
        <v>1.1005999691462993E-2</v>
      </c>
      <c r="L245" s="25"/>
      <c r="M245" s="25"/>
      <c r="N245" s="25"/>
      <c r="O245" s="25"/>
      <c r="P245" s="15">
        <f>SUMPRODUCT(Business_Portfolio!$D245:$U245,Business_Portfolio!$D$8:$U$8)</f>
        <v>0.31666790442195797</v>
      </c>
      <c r="Q245" s="25">
        <f t="shared" si="23"/>
        <v>8.3936103683563811E-3</v>
      </c>
      <c r="R245" s="25"/>
      <c r="S245" s="25"/>
      <c r="T245" s="25"/>
      <c r="U245" s="25"/>
    </row>
    <row r="246" spans="1:21" x14ac:dyDescent="0.25">
      <c r="A246" s="155">
        <f t="shared" si="24"/>
        <v>19</v>
      </c>
      <c r="C246" s="79">
        <v>18.083333333333346</v>
      </c>
      <c r="D246" s="15">
        <f>SUMPRODUCT(Business_Portfolio!D246:AM246,Business_Portfolio!$D$8:$AM$8)</f>
        <v>1.9849788063985894</v>
      </c>
      <c r="E246" s="25">
        <f t="shared" si="21"/>
        <v>1.0462012302691278E-2</v>
      </c>
      <c r="F246" s="25"/>
      <c r="G246" s="25"/>
      <c r="H246" s="25"/>
      <c r="I246" s="25"/>
      <c r="J246" s="15">
        <f>SUMPRODUCT(Business_Portfolio!$V246:$AM246,Business_Portfolio!$V$8:$AM$8)</f>
        <v>1.6686360299350265</v>
      </c>
      <c r="K246" s="25">
        <f t="shared" si="22"/>
        <v>1.0977524163088146E-2</v>
      </c>
      <c r="L246" s="25"/>
      <c r="M246" s="25"/>
      <c r="N246" s="25"/>
      <c r="O246" s="25"/>
      <c r="P246" s="15">
        <f>SUMPRODUCT(Business_Portfolio!$D246:$U246,Business_Portfolio!$D$8:$U$8)</f>
        <v>0.31634277646356351</v>
      </c>
      <c r="Q246" s="25">
        <f t="shared" si="23"/>
        <v>8.3849925155063936E-3</v>
      </c>
      <c r="R246" s="25"/>
      <c r="S246" s="25"/>
      <c r="T246" s="25"/>
      <c r="U246" s="25"/>
    </row>
    <row r="247" spans="1:21" x14ac:dyDescent="0.25">
      <c r="A247" s="155">
        <f t="shared" si="24"/>
        <v>19</v>
      </c>
      <c r="C247" s="79">
        <v>18.166666666666679</v>
      </c>
      <c r="D247" s="15">
        <f>SUMPRODUCT(Business_Portfolio!D247:AM247,Business_Portfolio!$D$8:$AM$8)</f>
        <v>1.9803151044504914</v>
      </c>
      <c r="E247" s="25">
        <f t="shared" si="21"/>
        <v>1.0437431835131723E-2</v>
      </c>
      <c r="F247" s="25"/>
      <c r="G247" s="25"/>
      <c r="H247" s="25"/>
      <c r="I247" s="25"/>
      <c r="J247" s="15">
        <f>SUMPRODUCT(Business_Portfolio!$V247:$AM247,Business_Portfolio!$V$8:$AM$8)</f>
        <v>1.6642975972058083</v>
      </c>
      <c r="K247" s="25">
        <f t="shared" si="22"/>
        <v>1.0948982738079614E-2</v>
      </c>
      <c r="L247" s="25"/>
      <c r="M247" s="25"/>
      <c r="N247" s="25"/>
      <c r="O247" s="25"/>
      <c r="P247" s="15">
        <f>SUMPRODUCT(Business_Portfolio!$D247:$U247,Business_Portfolio!$D$8:$U$8)</f>
        <v>0.31601750724468292</v>
      </c>
      <c r="Q247" s="25">
        <f t="shared" si="23"/>
        <v>8.376370918401101E-3</v>
      </c>
      <c r="R247" s="25"/>
      <c r="S247" s="25"/>
      <c r="T247" s="25"/>
      <c r="U247" s="25"/>
    </row>
    <row r="248" spans="1:21" x14ac:dyDescent="0.25">
      <c r="A248" s="155">
        <f t="shared" si="24"/>
        <v>19</v>
      </c>
      <c r="C248" s="79">
        <v>18.250000000000011</v>
      </c>
      <c r="D248" s="15">
        <f>SUMPRODUCT(Business_Portfolio!D248:AM248,Business_Portfolio!$D$8:$AM$8)</f>
        <v>1.975641215633382</v>
      </c>
      <c r="E248" s="25">
        <f t="shared" si="21"/>
        <v>1.0412797676747569E-2</v>
      </c>
      <c r="F248" s="25"/>
      <c r="G248" s="25"/>
      <c r="H248" s="25"/>
      <c r="I248" s="25"/>
      <c r="J248" s="15">
        <f>SUMPRODUCT(Business_Portfolio!$V248:$AM248,Business_Portfolio!$V$8:$AM$8)</f>
        <v>1.6599491190470161</v>
      </c>
      <c r="K248" s="25">
        <f t="shared" si="22"/>
        <v>1.0920375226792291E-2</v>
      </c>
      <c r="L248" s="25"/>
      <c r="M248" s="25"/>
      <c r="N248" s="25"/>
      <c r="O248" s="25"/>
      <c r="P248" s="15">
        <f>SUMPRODUCT(Business_Portfolio!$D248:$U248,Business_Portfolio!$D$8:$U$8)</f>
        <v>0.31569209658636566</v>
      </c>
      <c r="Q248" s="25">
        <f t="shared" si="23"/>
        <v>8.367745572297235E-3</v>
      </c>
      <c r="R248" s="25"/>
      <c r="S248" s="25"/>
      <c r="T248" s="25"/>
      <c r="U248" s="25"/>
    </row>
    <row r="249" spans="1:21" x14ac:dyDescent="0.25">
      <c r="A249" s="155">
        <f t="shared" si="24"/>
        <v>19</v>
      </c>
      <c r="C249" s="79">
        <v>18.333333333333343</v>
      </c>
      <c r="D249" s="15">
        <f>SUMPRODUCT(Business_Portfolio!D249:AM249,Business_Portfolio!$D$8:$AM$8)</f>
        <v>1.9709571108628627</v>
      </c>
      <c r="E249" s="25">
        <f t="shared" si="21"/>
        <v>1.0388109674246838E-2</v>
      </c>
      <c r="F249" s="25"/>
      <c r="G249" s="25"/>
      <c r="H249" s="25"/>
      <c r="I249" s="25"/>
      <c r="J249" s="15">
        <f>SUMPRODUCT(Business_Portfolio!$V249:$AM249,Business_Portfolio!$V$8:$AM$8)</f>
        <v>1.6555905665533179</v>
      </c>
      <c r="K249" s="25">
        <f t="shared" si="22"/>
        <v>1.0891701439065482E-2</v>
      </c>
      <c r="L249" s="25"/>
      <c r="M249" s="25"/>
      <c r="N249" s="25"/>
      <c r="O249" s="25"/>
      <c r="P249" s="15">
        <f>SUMPRODUCT(Business_Portfolio!$D249:$U249,Business_Portfolio!$D$8:$U$8)</f>
        <v>0.31536654430954481</v>
      </c>
      <c r="Q249" s="25">
        <f t="shared" si="23"/>
        <v>8.3591164724484412E-3</v>
      </c>
      <c r="R249" s="25"/>
      <c r="S249" s="25"/>
      <c r="T249" s="25"/>
      <c r="U249" s="25"/>
    </row>
    <row r="250" spans="1:21" x14ac:dyDescent="0.25">
      <c r="A250" s="155">
        <f t="shared" si="24"/>
        <v>19</v>
      </c>
      <c r="C250" s="79">
        <v>18.416666666666675</v>
      </c>
      <c r="D250" s="15">
        <f>SUMPRODUCT(Business_Portfolio!D250:AM250,Business_Portfolio!$D$8:$AM$8)</f>
        <v>1.9662627609756635</v>
      </c>
      <c r="E250" s="25">
        <f t="shared" si="21"/>
        <v>1.0363367673921847E-2</v>
      </c>
      <c r="F250" s="25"/>
      <c r="G250" s="25"/>
      <c r="H250" s="25"/>
      <c r="I250" s="25"/>
      <c r="J250" s="15">
        <f>SUMPRODUCT(Business_Portfolio!$V250:$AM250,Business_Portfolio!$V$8:$AM$8)</f>
        <v>1.6512219107406081</v>
      </c>
      <c r="K250" s="25">
        <f t="shared" si="22"/>
        <v>1.0862961184220268E-2</v>
      </c>
      <c r="L250" s="25"/>
      <c r="M250" s="25"/>
      <c r="N250" s="25"/>
      <c r="O250" s="25"/>
      <c r="P250" s="15">
        <f>SUMPRODUCT(Business_Portfolio!$D250:$U250,Business_Portfolio!$D$8:$U$8)</f>
        <v>0.31504085023505535</v>
      </c>
      <c r="Q250" s="25">
        <f t="shared" si="23"/>
        <v>8.3504836141057651E-3</v>
      </c>
      <c r="R250" s="25"/>
      <c r="S250" s="25"/>
      <c r="T250" s="25"/>
      <c r="U250" s="25"/>
    </row>
    <row r="251" spans="1:21" x14ac:dyDescent="0.25">
      <c r="A251" s="155">
        <f t="shared" si="24"/>
        <v>19</v>
      </c>
      <c r="C251" s="79">
        <v>18.500000000000007</v>
      </c>
      <c r="D251" s="15">
        <f>SUMPRODUCT(Business_Portfolio!D251:AM251,Business_Portfolio!$D$8:$AM$8)</f>
        <v>1.958166500721938</v>
      </c>
      <c r="E251" s="25">
        <f t="shared" si="21"/>
        <v>1.0320695593944355E-2</v>
      </c>
      <c r="F251" s="25"/>
      <c r="G251" s="25"/>
      <c r="H251" s="25"/>
      <c r="I251" s="25"/>
      <c r="J251" s="15">
        <f>SUMPRODUCT(Business_Portfolio!$V251:$AM251,Business_Portfolio!$V$8:$AM$8)</f>
        <v>1.6435846756073473</v>
      </c>
      <c r="K251" s="25">
        <f t="shared" si="22"/>
        <v>1.0812717792785278E-2</v>
      </c>
      <c r="L251" s="25"/>
      <c r="M251" s="25"/>
      <c r="N251" s="25"/>
      <c r="O251" s="25"/>
      <c r="P251" s="15">
        <f>SUMPRODUCT(Business_Portfolio!$D251:$U251,Business_Portfolio!$D$8:$U$8)</f>
        <v>0.31458182511459071</v>
      </c>
      <c r="Q251" s="25">
        <f t="shared" si="23"/>
        <v>8.3383166784717251E-3</v>
      </c>
      <c r="R251" s="25"/>
      <c r="S251" s="25"/>
      <c r="T251" s="25"/>
      <c r="U251" s="25"/>
    </row>
    <row r="252" spans="1:21" x14ac:dyDescent="0.25">
      <c r="A252" s="155">
        <f t="shared" si="24"/>
        <v>19</v>
      </c>
      <c r="C252" s="79">
        <v>18.583333333333339</v>
      </c>
      <c r="D252" s="15">
        <f>SUMPRODUCT(Business_Portfolio!D252:AM252,Business_Portfolio!$D$8:$AM$8)</f>
        <v>1.9534605939963465</v>
      </c>
      <c r="E252" s="25">
        <f t="shared" si="21"/>
        <v>1.0295892682245875E-2</v>
      </c>
      <c r="F252" s="25"/>
      <c r="G252" s="25"/>
      <c r="H252" s="25"/>
      <c r="I252" s="25"/>
      <c r="J252" s="15">
        <f>SUMPRODUCT(Business_Portfolio!$V252:$AM252,Business_Portfolio!$V$8:$AM$8)</f>
        <v>1.6392061137041316</v>
      </c>
      <c r="K252" s="25">
        <f t="shared" si="22"/>
        <v>1.0783912368336904E-2</v>
      </c>
      <c r="L252" s="25"/>
      <c r="M252" s="25"/>
      <c r="N252" s="25"/>
      <c r="O252" s="25"/>
      <c r="P252" s="15">
        <f>SUMPRODUCT(Business_Portfolio!$D252:$U252,Business_Portfolio!$D$8:$U$8)</f>
        <v>0.31425448029221481</v>
      </c>
      <c r="Q252" s="25">
        <f t="shared" si="23"/>
        <v>8.3296400653487829E-3</v>
      </c>
      <c r="R252" s="25"/>
      <c r="S252" s="25"/>
      <c r="T252" s="25"/>
      <c r="U252" s="25"/>
    </row>
    <row r="253" spans="1:21" x14ac:dyDescent="0.25">
      <c r="A253" s="155">
        <f t="shared" si="24"/>
        <v>19</v>
      </c>
      <c r="C253" s="79">
        <v>18.666666666666671</v>
      </c>
      <c r="D253" s="15">
        <f>SUMPRODUCT(Business_Portfolio!D253:AM253,Business_Portfolio!$D$8:$AM$8)</f>
        <v>1.9487443768751391</v>
      </c>
      <c r="E253" s="25">
        <f t="shared" si="21"/>
        <v>1.0271035428664536E-2</v>
      </c>
      <c r="F253" s="25"/>
      <c r="G253" s="25"/>
      <c r="H253" s="25"/>
      <c r="I253" s="25"/>
      <c r="J253" s="15">
        <f>SUMPRODUCT(Business_Portfolio!$V253:$AM253,Business_Portfolio!$V$8:$AM$8)</f>
        <v>1.6348173814077271</v>
      </c>
      <c r="K253" s="25">
        <f t="shared" si="22"/>
        <v>1.0755040035506489E-2</v>
      </c>
      <c r="L253" s="25"/>
      <c r="M253" s="25"/>
      <c r="N253" s="25"/>
      <c r="O253" s="25"/>
      <c r="P253" s="15">
        <f>SUMPRODUCT(Business_Portfolio!$D253:$U253,Business_Portfolio!$D$8:$U$8)</f>
        <v>0.31392699546741187</v>
      </c>
      <c r="Q253" s="25">
        <f t="shared" si="23"/>
        <v>8.3209597413166948E-3</v>
      </c>
      <c r="R253" s="25"/>
      <c r="S253" s="25"/>
      <c r="T253" s="25"/>
      <c r="U253" s="25"/>
    </row>
    <row r="254" spans="1:21" x14ac:dyDescent="0.25">
      <c r="A254" s="155">
        <f t="shared" si="24"/>
        <v>19</v>
      </c>
      <c r="C254" s="79">
        <v>18.750000000000004</v>
      </c>
      <c r="D254" s="15">
        <f>SUMPRODUCT(Business_Portfolio!D254:AM254,Business_Portfolio!$D$8:$AM$8)</f>
        <v>1.9440178199318501</v>
      </c>
      <c r="E254" s="25">
        <f t="shared" si="21"/>
        <v>1.0246123678105457E-2</v>
      </c>
      <c r="F254" s="25"/>
      <c r="G254" s="25"/>
      <c r="H254" s="25"/>
      <c r="I254" s="25"/>
      <c r="J254" s="15">
        <f>SUMPRODUCT(Business_Portfolio!$V254:$AM254,Business_Portfolio!$V$8:$AM$8)</f>
        <v>1.6304184494748191</v>
      </c>
      <c r="K254" s="25">
        <f t="shared" si="22"/>
        <v>1.0726100601909842E-2</v>
      </c>
      <c r="L254" s="25"/>
      <c r="M254" s="25"/>
      <c r="N254" s="25"/>
      <c r="O254" s="25"/>
      <c r="P254" s="15">
        <f>SUMPRODUCT(Business_Portfolio!$D254:$U254,Business_Portfolio!$D$8:$U$8)</f>
        <v>0.31359937045703101</v>
      </c>
      <c r="Q254" s="25">
        <f t="shared" si="23"/>
        <v>8.3122757015208545E-3</v>
      </c>
      <c r="R254" s="25"/>
      <c r="S254" s="25"/>
      <c r="T254" s="25"/>
      <c r="U254" s="25"/>
    </row>
    <row r="255" spans="1:21" x14ac:dyDescent="0.25">
      <c r="A255" s="155">
        <f t="shared" si="24"/>
        <v>19</v>
      </c>
      <c r="C255" s="79">
        <v>18.833333333333336</v>
      </c>
      <c r="D255" s="15">
        <f>SUMPRODUCT(Business_Portfolio!D255:AM255,Business_Portfolio!$D$8:$AM$8)</f>
        <v>1.9392808936602821</v>
      </c>
      <c r="E255" s="25">
        <f t="shared" si="21"/>
        <v>1.0221157275053527E-2</v>
      </c>
      <c r="F255" s="25"/>
      <c r="G255" s="25"/>
      <c r="H255" s="25"/>
      <c r="I255" s="25"/>
      <c r="J255" s="15">
        <f>SUMPRODUCT(Business_Portfolio!$V255:$AM255,Business_Portfolio!$V$8:$AM$8)</f>
        <v>1.6260092885824731</v>
      </c>
      <c r="K255" s="25">
        <f t="shared" si="22"/>
        <v>1.0697093874638972E-2</v>
      </c>
      <c r="L255" s="25"/>
      <c r="M255" s="25"/>
      <c r="N255" s="25"/>
      <c r="O255" s="25"/>
      <c r="P255" s="15">
        <f>SUMPRODUCT(Business_Portfolio!$D255:$U255,Business_Portfolio!$D$8:$U$8)</f>
        <v>0.31327160507780905</v>
      </c>
      <c r="Q255" s="25">
        <f t="shared" si="23"/>
        <v>8.3035879411036823E-3</v>
      </c>
      <c r="R255" s="25"/>
      <c r="S255" s="25"/>
      <c r="T255" s="25"/>
      <c r="U255" s="25"/>
    </row>
    <row r="256" spans="1:21" x14ac:dyDescent="0.25">
      <c r="A256" s="155">
        <f t="shared" si="24"/>
        <v>19</v>
      </c>
      <c r="C256" s="79">
        <v>18.916666666666668</v>
      </c>
      <c r="D256" s="15">
        <f>SUMPRODUCT(Business_Portfolio!D256:AM256,Business_Portfolio!$D$8:$AM$8)</f>
        <v>1.9345335684742191</v>
      </c>
      <c r="E256" s="25">
        <f t="shared" si="21"/>
        <v>1.0196136063571889E-2</v>
      </c>
      <c r="F256" s="25"/>
      <c r="G256" s="25"/>
      <c r="H256" s="25"/>
      <c r="I256" s="25"/>
      <c r="J256" s="15">
        <f>SUMPRODUCT(Business_Portfolio!$V256:$AM256,Business_Portfolio!$V$8:$AM$8)</f>
        <v>1.6215898693278732</v>
      </c>
      <c r="K256" s="25">
        <f t="shared" si="22"/>
        <v>1.0668019660260373E-2</v>
      </c>
      <c r="L256" s="25"/>
      <c r="M256" s="25"/>
      <c r="N256" s="25"/>
      <c r="O256" s="25"/>
      <c r="P256" s="15">
        <f>SUMPRODUCT(Business_Portfolio!$D256:$U256,Business_Portfolio!$D$8:$U$8)</f>
        <v>0.31294369914634601</v>
      </c>
      <c r="Q256" s="25">
        <f t="shared" si="23"/>
        <v>8.2948964552039747E-3</v>
      </c>
      <c r="R256" s="25"/>
      <c r="S256" s="25"/>
      <c r="T256" s="25"/>
      <c r="U256" s="25"/>
    </row>
    <row r="257" spans="1:21" x14ac:dyDescent="0.25">
      <c r="A257" s="155">
        <f t="shared" si="24"/>
        <v>19</v>
      </c>
      <c r="C257" s="79">
        <v>19</v>
      </c>
      <c r="D257" s="15">
        <f>SUMPRODUCT(Business_Portfolio!D257:AM257,Business_Portfolio!$D$8:$AM$8)</f>
        <v>1.9297758147074082</v>
      </c>
      <c r="E257" s="25">
        <f t="shared" si="21"/>
        <v>1.0171059887301846E-2</v>
      </c>
      <c r="F257" s="25"/>
      <c r="G257" s="25"/>
      <c r="H257" s="25"/>
      <c r="I257" s="25"/>
      <c r="J257" s="15">
        <f>SUMPRODUCT(Business_Portfolio!$V257:$AM257,Business_Portfolio!$V$8:$AM$8)</f>
        <v>1.6171601622282661</v>
      </c>
      <c r="K257" s="25">
        <f t="shared" si="22"/>
        <v>1.0638877764814645E-2</v>
      </c>
      <c r="L257" s="25"/>
      <c r="M257" s="25"/>
      <c r="N257" s="25"/>
      <c r="O257" s="25"/>
      <c r="P257" s="15">
        <f>SUMPRODUCT(Business_Portfolio!$D257:$U257,Business_Portfolio!$D$8:$U$8)</f>
        <v>0.31261565247914197</v>
      </c>
      <c r="Q257" s="25">
        <f t="shared" si="23"/>
        <v>8.2862012389578726E-3</v>
      </c>
      <c r="R257" s="25"/>
      <c r="S257" s="25"/>
      <c r="T257" s="25"/>
      <c r="U257" s="25"/>
    </row>
    <row r="258" spans="1:21" x14ac:dyDescent="0.25">
      <c r="A258" s="155">
        <f t="shared" si="24"/>
        <v>20</v>
      </c>
      <c r="C258" s="79">
        <v>19.083333333333332</v>
      </c>
      <c r="D258" s="15">
        <f>SUMPRODUCT(Business_Portfolio!D258:AM258,Business_Portfolio!$D$8:$AM$8)</f>
        <v>1.9250076026130731</v>
      </c>
      <c r="E258" s="25">
        <f t="shared" si="21"/>
        <v>1.0145928589460292E-2</v>
      </c>
      <c r="F258" s="25"/>
      <c r="G258" s="25"/>
      <c r="H258" s="25"/>
      <c r="I258" s="25"/>
      <c r="J258" s="15">
        <f>SUMPRODUCT(Business_Portfolio!$V258:$AM258,Business_Portfolio!$V$8:$AM$8)</f>
        <v>1.6127201377205176</v>
      </c>
      <c r="K258" s="25">
        <f t="shared" si="22"/>
        <v>1.060966799381359E-2</v>
      </c>
      <c r="L258" s="25"/>
      <c r="M258" s="25"/>
      <c r="N258" s="25"/>
      <c r="O258" s="25"/>
      <c r="P258" s="15">
        <f>SUMPRODUCT(Business_Portfolio!$D258:$U258,Business_Portfolio!$D$8:$U$8)</f>
        <v>0.31228746489255543</v>
      </c>
      <c r="Q258" s="25">
        <f t="shared" si="23"/>
        <v>8.2775022874977712E-3</v>
      </c>
      <c r="R258" s="25"/>
      <c r="S258" s="25"/>
      <c r="T258" s="25"/>
      <c r="U258" s="25"/>
    </row>
    <row r="259" spans="1:21" x14ac:dyDescent="0.25">
      <c r="A259" s="155">
        <f t="shared" si="24"/>
        <v>20</v>
      </c>
      <c r="C259" s="79">
        <v>19.166666666666664</v>
      </c>
      <c r="D259" s="15">
        <f>SUMPRODUCT(Business_Portfolio!D259:AM259,Business_Portfolio!$D$8:$AM$8)</f>
        <v>1.9202289023639534</v>
      </c>
      <c r="E259" s="25">
        <f t="shared" si="21"/>
        <v>1.0120742012839924E-2</v>
      </c>
      <c r="F259" s="25"/>
      <c r="G259" s="25"/>
      <c r="H259" s="25"/>
      <c r="I259" s="25"/>
      <c r="J259" s="15">
        <f>SUMPRODUCT(Business_Portfolio!$V259:$AM259,Business_Portfolio!$V$8:$AM$8)</f>
        <v>1.6082697661611118</v>
      </c>
      <c r="K259" s="25">
        <f t="shared" si="22"/>
        <v>1.0580390152240195E-2</v>
      </c>
      <c r="L259" s="25"/>
      <c r="M259" s="25"/>
      <c r="N259" s="25"/>
      <c r="O259" s="25"/>
      <c r="P259" s="15">
        <f>SUMPRODUCT(Business_Portfolio!$D259:$U259,Business_Portfolio!$D$8:$U$8)</f>
        <v>0.31195913620284133</v>
      </c>
      <c r="Q259" s="25">
        <f t="shared" si="23"/>
        <v>8.2687995959533165E-3</v>
      </c>
      <c r="R259" s="25"/>
      <c r="S259" s="25"/>
      <c r="T259" s="25"/>
      <c r="U259" s="25"/>
    </row>
    <row r="260" spans="1:21" x14ac:dyDescent="0.25">
      <c r="A260" s="155">
        <f t="shared" si="24"/>
        <v>20</v>
      </c>
      <c r="C260" s="79">
        <v>19.249999999999996</v>
      </c>
      <c r="D260" s="15">
        <f>SUMPRODUCT(Business_Portfolio!D260:AM260,Business_Portfolio!$D$8:$AM$8)</f>
        <v>1.9154396840519168</v>
      </c>
      <c r="E260" s="25">
        <f t="shared" si="21"/>
        <v>1.0095499999807196E-2</v>
      </c>
      <c r="F260" s="25"/>
      <c r="G260" s="25"/>
      <c r="H260" s="25"/>
      <c r="I260" s="25"/>
      <c r="J260" s="15">
        <f>SUMPRODUCT(Business_Portfolio!$V260:$AM260,Business_Portfolio!$V$8:$AM$8)</f>
        <v>1.6038090178257993</v>
      </c>
      <c r="K260" s="25">
        <f t="shared" si="22"/>
        <v>1.0551044044546322E-2</v>
      </c>
      <c r="L260" s="25"/>
      <c r="M260" s="25"/>
      <c r="N260" s="25"/>
      <c r="O260" s="25"/>
      <c r="P260" s="15">
        <f>SUMPRODUCT(Business_Portfolio!$D260:$U260,Business_Portfolio!$D$8:$U$8)</f>
        <v>0.3116306662261174</v>
      </c>
      <c r="Q260" s="25">
        <f t="shared" si="23"/>
        <v>8.2600931594505201E-3</v>
      </c>
      <c r="R260" s="25"/>
      <c r="S260" s="25"/>
      <c r="T260" s="25"/>
      <c r="U260" s="25"/>
    </row>
    <row r="261" spans="1:21" x14ac:dyDescent="0.25">
      <c r="A261" s="155">
        <f t="shared" si="24"/>
        <v>20</v>
      </c>
      <c r="C261" s="79">
        <v>19.333333333333329</v>
      </c>
      <c r="D261" s="15">
        <f>SUMPRODUCT(Business_Portfolio!D261:AM261,Business_Portfolio!$D$8:$AM$8)</f>
        <v>1.9106399176878508</v>
      </c>
      <c r="E261" s="25">
        <f t="shared" si="21"/>
        <v>1.007020239230175E-2</v>
      </c>
      <c r="F261" s="25"/>
      <c r="G261" s="25"/>
      <c r="H261" s="25"/>
      <c r="I261" s="25"/>
      <c r="J261" s="15">
        <f>SUMPRODUCT(Business_Portfolio!$V261:$AM261,Business_Portfolio!$V$8:$AM$8)</f>
        <v>1.5993378629094557</v>
      </c>
      <c r="K261" s="25">
        <f t="shared" si="22"/>
        <v>1.0521629474651781E-2</v>
      </c>
      <c r="L261" s="25"/>
      <c r="M261" s="25"/>
      <c r="N261" s="25"/>
      <c r="O261" s="25"/>
      <c r="P261" s="15">
        <f>SUMPRODUCT(Business_Portfolio!$D261:$U261,Business_Portfolio!$D$8:$U$8)</f>
        <v>0.31130205477839518</v>
      </c>
      <c r="Q261" s="25">
        <f t="shared" si="23"/>
        <v>8.2513829731125747E-3</v>
      </c>
      <c r="R261" s="25"/>
      <c r="S261" s="25"/>
      <c r="T261" s="25"/>
      <c r="U261" s="25"/>
    </row>
    <row r="262" spans="1:21" x14ac:dyDescent="0.25">
      <c r="A262" s="155">
        <f t="shared" si="24"/>
        <v>20</v>
      </c>
      <c r="C262" s="79">
        <v>19.416666666666661</v>
      </c>
      <c r="D262" s="15">
        <f>SUMPRODUCT(Business_Portfolio!D262:AM262,Business_Portfolio!$D$8:$AM$8)</f>
        <v>1.9058295732013801</v>
      </c>
      <c r="E262" s="25">
        <f t="shared" si="21"/>
        <v>1.0044849031834922E-2</v>
      </c>
      <c r="F262" s="25"/>
      <c r="G262" s="25"/>
      <c r="H262" s="25"/>
      <c r="I262" s="25"/>
      <c r="J262" s="15">
        <f>SUMPRODUCT(Business_Portfolio!$V262:$AM262,Business_Portfolio!$V$8:$AM$8)</f>
        <v>1.594856271525827</v>
      </c>
      <c r="K262" s="25">
        <f t="shared" si="22"/>
        <v>1.0492146245942651E-2</v>
      </c>
      <c r="L262" s="25"/>
      <c r="M262" s="25"/>
      <c r="N262" s="25"/>
      <c r="O262" s="25"/>
      <c r="P262" s="15">
        <f>SUMPRODUCT(Business_Portfolio!$D262:$U262,Business_Portfolio!$D$8:$U$8)</f>
        <v>0.31097330167555343</v>
      </c>
      <c r="Q262" s="25">
        <f t="shared" si="23"/>
        <v>8.2426690320591585E-3</v>
      </c>
      <c r="R262" s="25"/>
      <c r="S262" s="25"/>
      <c r="T262" s="25"/>
      <c r="U262" s="25"/>
    </row>
    <row r="263" spans="1:21" x14ac:dyDescent="0.25">
      <c r="A263" s="155">
        <f t="shared" si="24"/>
        <v>20</v>
      </c>
      <c r="C263" s="79">
        <v>19.499999999999993</v>
      </c>
      <c r="D263" s="15">
        <f>SUMPRODUCT(Business_Portfolio!D263:AM263,Business_Portfolio!$D$8:$AM$8)</f>
        <v>1.8976531831976213</v>
      </c>
      <c r="E263" s="25">
        <f t="shared" si="21"/>
        <v>1.0001754620682932E-2</v>
      </c>
      <c r="F263" s="25"/>
      <c r="G263" s="25"/>
      <c r="H263" s="25"/>
      <c r="I263" s="25"/>
      <c r="J263" s="15">
        <f>SUMPRODUCT(Business_Portfolio!$V263:$AM263,Business_Portfolio!$V$8:$AM$8)</f>
        <v>1.5871071182923728</v>
      </c>
      <c r="K263" s="25">
        <f t="shared" si="22"/>
        <v>1.0441166574320057E-2</v>
      </c>
      <c r="L263" s="25"/>
      <c r="M263" s="25"/>
      <c r="N263" s="25"/>
      <c r="O263" s="25"/>
      <c r="P263" s="15">
        <f>SUMPRODUCT(Business_Portfolio!$D263:$U263,Business_Portfolio!$D$8:$U$8)</f>
        <v>0.31054606490524828</v>
      </c>
      <c r="Q263" s="25">
        <f t="shared" si="23"/>
        <v>8.2313446795280031E-3</v>
      </c>
      <c r="R263" s="25"/>
      <c r="S263" s="25"/>
      <c r="T263" s="25"/>
      <c r="U263" s="25"/>
    </row>
    <row r="264" spans="1:21" x14ac:dyDescent="0.25">
      <c r="A264" s="155">
        <f t="shared" si="24"/>
        <v>20</v>
      </c>
      <c r="C264" s="79">
        <v>19.583333333333325</v>
      </c>
      <c r="D264" s="15">
        <f>SUMPRODUCT(Business_Portfolio!D264:AM264,Business_Portfolio!$D$8:$AM$8)</f>
        <v>1.8928306216210344</v>
      </c>
      <c r="E264" s="25">
        <f t="shared" si="21"/>
        <v>9.9763368689255311E-3</v>
      </c>
      <c r="F264" s="25"/>
      <c r="G264" s="25"/>
      <c r="H264" s="25"/>
      <c r="I264" s="25"/>
      <c r="J264" s="15">
        <f>SUMPRODUCT(Business_Portfolio!$V264:$AM264,Business_Portfolio!$V$8:$AM$8)</f>
        <v>1.5826150177160361</v>
      </c>
      <c r="K264" s="25">
        <f t="shared" si="22"/>
        <v>1.0411614208354616E-2</v>
      </c>
      <c r="L264" s="25"/>
      <c r="M264" s="25"/>
      <c r="N264" s="25"/>
      <c r="O264" s="25"/>
      <c r="P264" s="15">
        <f>SUMPRODUCT(Business_Portfolio!$D264:$U264,Business_Portfolio!$D$8:$U$8)</f>
        <v>0.31021560390499869</v>
      </c>
      <c r="Q264" s="25">
        <f t="shared" si="23"/>
        <v>8.2225854688871402E-3</v>
      </c>
      <c r="R264" s="25"/>
      <c r="S264" s="25"/>
      <c r="T264" s="25"/>
      <c r="U264" s="25"/>
    </row>
    <row r="265" spans="1:21" x14ac:dyDescent="0.25">
      <c r="A265" s="155">
        <f t="shared" si="24"/>
        <v>20</v>
      </c>
      <c r="C265" s="79">
        <v>19.666666666666657</v>
      </c>
      <c r="D265" s="15">
        <f>SUMPRODUCT(Business_Portfolio!D265:AM265,Business_Portfolio!$D$8:$AM$8)</f>
        <v>1.8879974135765323</v>
      </c>
      <c r="E265" s="25">
        <f t="shared" si="21"/>
        <v>9.9508630039854881E-3</v>
      </c>
      <c r="F265" s="25"/>
      <c r="G265" s="25"/>
      <c r="H265" s="25"/>
      <c r="I265" s="25"/>
      <c r="J265" s="15">
        <f>SUMPRODUCT(Business_Portfolio!$V265:$AM265,Business_Portfolio!$V$8:$AM$8)</f>
        <v>1.5781124105063316</v>
      </c>
      <c r="K265" s="25">
        <f t="shared" si="22"/>
        <v>1.0381992721970105E-2</v>
      </c>
      <c r="L265" s="25"/>
      <c r="M265" s="25"/>
      <c r="N265" s="25"/>
      <c r="O265" s="25"/>
      <c r="P265" s="15">
        <f>SUMPRODUCT(Business_Portfolio!$D265:$U265,Business_Portfolio!$D$8:$U$8)</f>
        <v>0.30988500307020073</v>
      </c>
      <c r="Q265" s="25">
        <f t="shared" si="23"/>
        <v>8.2138225517869277E-3</v>
      </c>
      <c r="R265" s="25"/>
      <c r="S265" s="25"/>
      <c r="T265" s="25"/>
      <c r="U265" s="25"/>
    </row>
    <row r="266" spans="1:21" x14ac:dyDescent="0.25">
      <c r="A266" s="155">
        <f t="shared" si="24"/>
        <v>20</v>
      </c>
      <c r="C266" s="79">
        <v>19.749999999999989</v>
      </c>
      <c r="D266" s="15">
        <f>SUMPRODUCT(Business_Portfolio!D266:AM266,Business_Portfolio!$D$8:$AM$8)</f>
        <v>1.8831535287199359</v>
      </c>
      <c r="E266" s="25">
        <f t="shared" si="21"/>
        <v>9.9253328659310285E-3</v>
      </c>
      <c r="F266" s="25"/>
      <c r="G266" s="25"/>
      <c r="H266" s="25"/>
      <c r="I266" s="25"/>
      <c r="J266" s="15">
        <f>SUMPRODUCT(Business_Portfolio!$V266:$AM266,Business_Portfolio!$V$8:$AM$8)</f>
        <v>1.5735992665074874</v>
      </c>
      <c r="K266" s="25">
        <f t="shared" si="22"/>
        <v>1.0352301916779509E-2</v>
      </c>
      <c r="L266" s="25"/>
      <c r="M266" s="25"/>
      <c r="N266" s="25"/>
      <c r="O266" s="25"/>
      <c r="P266" s="15">
        <f>SUMPRODUCT(Business_Portfolio!$D266:$U266,Business_Portfolio!$D$8:$U$8)</f>
        <v>0.30955426221244886</v>
      </c>
      <c r="Q266" s="25">
        <f t="shared" si="23"/>
        <v>8.2050559232334837E-3</v>
      </c>
      <c r="R266" s="25"/>
      <c r="S266" s="25"/>
      <c r="T266" s="25"/>
      <c r="U266" s="25"/>
    </row>
    <row r="267" spans="1:21" x14ac:dyDescent="0.25">
      <c r="A267" s="155">
        <f t="shared" si="24"/>
        <v>20</v>
      </c>
      <c r="C267" s="79">
        <v>19.833333333333321</v>
      </c>
      <c r="D267" s="15">
        <f>SUMPRODUCT(Business_Portfolio!D267:AM267,Business_Portfolio!$D$8:$AM$8)</f>
        <v>1.8782989366248433</v>
      </c>
      <c r="E267" s="25">
        <f t="shared" si="21"/>
        <v>9.8997462943970198E-3</v>
      </c>
      <c r="F267" s="25"/>
      <c r="G267" s="25"/>
      <c r="H267" s="25"/>
      <c r="I267" s="25"/>
      <c r="J267" s="15">
        <f>SUMPRODUCT(Business_Portfolio!$V267:$AM267,Business_Portfolio!$V$8:$AM$8)</f>
        <v>1.5690755554816378</v>
      </c>
      <c r="K267" s="25">
        <f t="shared" si="22"/>
        <v>1.0322541593855747E-2</v>
      </c>
      <c r="L267" s="25"/>
      <c r="M267" s="25"/>
      <c r="N267" s="25"/>
      <c r="O267" s="25"/>
      <c r="P267" s="15">
        <f>SUMPRODUCT(Business_Portfolio!$D267:$U267,Business_Portfolio!$D$8:$U$8)</f>
        <v>0.30922338114320597</v>
      </c>
      <c r="Q267" s="25">
        <f t="shared" si="23"/>
        <v>8.1962855782294342E-3</v>
      </c>
      <c r="R267" s="25"/>
      <c r="S267" s="25"/>
      <c r="T267" s="25"/>
      <c r="U267" s="25"/>
    </row>
    <row r="268" spans="1:21" x14ac:dyDescent="0.25">
      <c r="A268" s="155">
        <f t="shared" si="24"/>
        <v>20</v>
      </c>
      <c r="C268" s="79">
        <v>19.916666666666654</v>
      </c>
      <c r="D268" s="15">
        <f>SUMPRODUCT(Business_Portfolio!D268:AM268,Business_Portfolio!$D$8:$AM$8)</f>
        <v>1.8734336067824477</v>
      </c>
      <c r="E268" s="25">
        <f t="shared" si="21"/>
        <v>9.8741031285840084E-3</v>
      </c>
      <c r="F268" s="25"/>
      <c r="G268" s="25"/>
      <c r="H268" s="25"/>
      <c r="I268" s="25"/>
      <c r="J268" s="15">
        <f>SUMPRODUCT(Business_Portfolio!$V268:$AM268,Business_Portfolio!$V$8:$AM$8)</f>
        <v>1.5645412471086453</v>
      </c>
      <c r="K268" s="25">
        <f t="shared" si="22"/>
        <v>1.0292711553730486E-2</v>
      </c>
      <c r="L268" s="25"/>
      <c r="M268" s="25"/>
      <c r="N268" s="25"/>
      <c r="O268" s="25"/>
      <c r="P268" s="15">
        <f>SUMPRODUCT(Business_Portfolio!$D268:$U268,Business_Portfolio!$D$8:$U$8)</f>
        <v>0.30889235967380252</v>
      </c>
      <c r="Q268" s="25">
        <f t="shared" si="23"/>
        <v>8.187511511773899E-3</v>
      </c>
      <c r="R268" s="25"/>
      <c r="S268" s="25"/>
      <c r="T268" s="25"/>
      <c r="U268" s="25"/>
    </row>
    <row r="269" spans="1:21" x14ac:dyDescent="0.25">
      <c r="A269" s="155">
        <f t="shared" si="24"/>
        <v>20</v>
      </c>
      <c r="C269" s="79">
        <v>19.999999999999986</v>
      </c>
      <c r="D269" s="15">
        <f>SUMPRODUCT(Business_Portfolio!D269:AM269,Business_Portfolio!$D$8:$AM$8)</f>
        <v>1.8685575086013224</v>
      </c>
      <c r="E269" s="25">
        <f t="shared" si="21"/>
        <v>9.8484032072570799E-3</v>
      </c>
      <c r="F269" s="25"/>
      <c r="G269" s="25"/>
      <c r="H269" s="25"/>
      <c r="I269" s="25"/>
      <c r="J269" s="15">
        <f>SUMPRODUCT(Business_Portfolio!$V269:$AM269,Business_Portfolio!$V$8:$AM$8)</f>
        <v>1.5599963109858834</v>
      </c>
      <c r="K269" s="25">
        <f t="shared" si="22"/>
        <v>1.0262811596392724E-2</v>
      </c>
      <c r="L269" s="25"/>
      <c r="M269" s="25"/>
      <c r="N269" s="25"/>
      <c r="O269" s="25"/>
      <c r="P269" s="15">
        <f>SUMPRODUCT(Business_Portfolio!$D269:$U269,Business_Portfolio!$D$8:$U$8)</f>
        <v>0.30856119761543893</v>
      </c>
      <c r="Q269" s="25">
        <f t="shared" si="23"/>
        <v>8.1787337188625499E-3</v>
      </c>
      <c r="R269" s="25"/>
      <c r="S269" s="25"/>
      <c r="T269" s="25"/>
      <c r="U269" s="25"/>
    </row>
    <row r="270" spans="1:21" x14ac:dyDescent="0.25">
      <c r="A270" s="155">
        <f t="shared" si="24"/>
        <v>21</v>
      </c>
      <c r="C270" s="79">
        <v>20.083333333333318</v>
      </c>
      <c r="D270" s="15">
        <f>SUMPRODUCT(Business_Portfolio!D270:AM270,Business_Portfolio!$D$8:$AM$8)</f>
        <v>1.8636706114071488</v>
      </c>
      <c r="E270" s="25">
        <f t="shared" si="21"/>
        <v>9.8226463687444351E-3</v>
      </c>
      <c r="F270" s="25"/>
      <c r="G270" s="25"/>
      <c r="H270" s="25"/>
      <c r="I270" s="25"/>
      <c r="J270" s="15">
        <f>SUMPRODUCT(Business_Portfolio!$V270:$AM270,Business_Portfolio!$V$8:$AM$8)</f>
        <v>1.5554407166279627</v>
      </c>
      <c r="K270" s="25">
        <f t="shared" si="22"/>
        <v>1.023284152128698E-2</v>
      </c>
      <c r="L270" s="25"/>
      <c r="M270" s="25"/>
      <c r="N270" s="25"/>
      <c r="O270" s="25"/>
      <c r="P270" s="15">
        <f>SUMPRODUCT(Business_Portfolio!$D270:$U270,Business_Portfolio!$D$8:$U$8)</f>
        <v>0.30822989477918605</v>
      </c>
      <c r="Q270" s="25">
        <f t="shared" si="23"/>
        <v>8.1699521944876233E-3</v>
      </c>
      <c r="R270" s="25"/>
      <c r="S270" s="25"/>
      <c r="T270" s="25"/>
      <c r="U270" s="25"/>
    </row>
    <row r="271" spans="1:21" x14ac:dyDescent="0.25">
      <c r="A271" s="155">
        <f t="shared" si="24"/>
        <v>21</v>
      </c>
      <c r="C271" s="79">
        <v>20.16666666666665</v>
      </c>
      <c r="D271" s="15">
        <f>SUMPRODUCT(Business_Portfolio!D271:AM271,Business_Portfolio!$D$8:$AM$8)</f>
        <v>1.8587728844425637</v>
      </c>
      <c r="E271" s="25">
        <f t="shared" si="21"/>
        <v>9.7968324509365781E-3</v>
      </c>
      <c r="F271" s="25"/>
      <c r="G271" s="25"/>
      <c r="H271" s="25"/>
      <c r="I271" s="25"/>
      <c r="J271" s="15">
        <f>SUMPRODUCT(Business_Portfolio!$V271:$AM271,Business_Portfolio!$V$8:$AM$8)</f>
        <v>1.5508744334665836</v>
      </c>
      <c r="K271" s="25">
        <f t="shared" si="22"/>
        <v>1.0202801127312332E-2</v>
      </c>
      <c r="L271" s="25"/>
      <c r="M271" s="25"/>
      <c r="N271" s="25"/>
      <c r="O271" s="25"/>
      <c r="P271" s="15">
        <f>SUMPRODUCT(Business_Portfolio!$D271:$U271,Business_Portfolio!$D$8:$U$8)</f>
        <v>0.30789845097598045</v>
      </c>
      <c r="Q271" s="25">
        <f t="shared" si="23"/>
        <v>8.1611669336378E-3</v>
      </c>
      <c r="R271" s="25"/>
      <c r="S271" s="25"/>
      <c r="T271" s="25"/>
      <c r="U271" s="25"/>
    </row>
    <row r="272" spans="1:21" x14ac:dyDescent="0.25">
      <c r="A272" s="155">
        <f t="shared" si="24"/>
        <v>21</v>
      </c>
      <c r="C272" s="79">
        <v>20.249999999999982</v>
      </c>
      <c r="D272" s="15">
        <f>SUMPRODUCT(Business_Portfolio!D272:AM272,Business_Portfolio!$D$8:$AM$8)</f>
        <v>1.8538642968668901</v>
      </c>
      <c r="E272" s="25">
        <f t="shared" si="21"/>
        <v>9.7709612912849006E-3</v>
      </c>
      <c r="F272" s="25"/>
      <c r="G272" s="25"/>
      <c r="H272" s="25"/>
      <c r="I272" s="25"/>
      <c r="J272" s="15">
        <f>SUMPRODUCT(Business_Portfolio!$V272:$AM272,Business_Portfolio!$V$8:$AM$8)</f>
        <v>1.5462974308502611</v>
      </c>
      <c r="K272" s="25">
        <f t="shared" si="22"/>
        <v>1.0172690212820598E-2</v>
      </c>
      <c r="L272" s="25"/>
      <c r="M272" s="25"/>
      <c r="N272" s="25"/>
      <c r="O272" s="25"/>
      <c r="P272" s="15">
        <f>SUMPRODUCT(Business_Portfolio!$D272:$U272,Business_Portfolio!$D$8:$U$8)</f>
        <v>0.30756686601662941</v>
      </c>
      <c r="Q272" s="25">
        <f t="shared" si="23"/>
        <v>8.152377931298329E-3</v>
      </c>
      <c r="R272" s="25"/>
      <c r="S272" s="25"/>
      <c r="T272" s="25"/>
      <c r="U272" s="25"/>
    </row>
    <row r="273" spans="1:21" x14ac:dyDescent="0.25">
      <c r="A273" s="155">
        <f t="shared" si="24"/>
        <v>21</v>
      </c>
      <c r="C273" s="79">
        <v>20.333333333333314</v>
      </c>
      <c r="D273" s="15">
        <f>SUMPRODUCT(Business_Portfolio!D273:AM273,Business_Portfolio!$D$8:$AM$8)</f>
        <v>1.8489448177559231</v>
      </c>
      <c r="E273" s="25">
        <f t="shared" si="21"/>
        <v>9.7450327268005527E-3</v>
      </c>
      <c r="F273" s="25"/>
      <c r="G273" s="25"/>
      <c r="H273" s="25"/>
      <c r="I273" s="25"/>
      <c r="J273" s="15">
        <f>SUMPRODUCT(Business_Portfolio!$V273:$AM273,Business_Portfolio!$V$8:$AM$8)</f>
        <v>1.5417096780441137</v>
      </c>
      <c r="K273" s="25">
        <f t="shared" si="22"/>
        <v>1.0142508575614958E-2</v>
      </c>
      <c r="L273" s="25"/>
      <c r="M273" s="25"/>
      <c r="N273" s="25"/>
      <c r="O273" s="25"/>
      <c r="P273" s="15">
        <f>SUMPRODUCT(Business_Portfolio!$D273:$U273,Business_Portfolio!$D$8:$U$8)</f>
        <v>0.3072351397118096</v>
      </c>
      <c r="Q273" s="25">
        <f t="shared" si="23"/>
        <v>8.1435851824510005E-3</v>
      </c>
      <c r="R273" s="25"/>
      <c r="S273" s="25"/>
      <c r="T273" s="25"/>
      <c r="U273" s="25"/>
    </row>
    <row r="274" spans="1:21" x14ac:dyDescent="0.25">
      <c r="A274" s="155">
        <f t="shared" si="24"/>
        <v>21</v>
      </c>
      <c r="C274" s="79">
        <v>20.416666666666647</v>
      </c>
      <c r="D274" s="15">
        <f>SUMPRODUCT(Business_Portfolio!D274:AM274,Business_Portfolio!$D$8:$AM$8)</f>
        <v>1.8440144161017245</v>
      </c>
      <c r="E274" s="25">
        <f t="shared" si="21"/>
        <v>9.7190465940533606E-3</v>
      </c>
      <c r="F274" s="25"/>
      <c r="G274" s="25"/>
      <c r="H274" s="25"/>
      <c r="I274" s="25"/>
      <c r="J274" s="15">
        <f>SUMPRODUCT(Business_Portfolio!$V274:$AM274,Business_Portfolio!$V$8:$AM$8)</f>
        <v>1.5371111442296594</v>
      </c>
      <c r="K274" s="25">
        <f t="shared" si="22"/>
        <v>1.0112256012948602E-2</v>
      </c>
      <c r="L274" s="25"/>
      <c r="M274" s="25"/>
      <c r="N274" s="25"/>
      <c r="O274" s="25"/>
      <c r="P274" s="15">
        <f>SUMPRODUCT(Business_Portfolio!$D274:$U274,Business_Portfolio!$D$8:$U$8)</f>
        <v>0.30690327187206512</v>
      </c>
      <c r="Q274" s="25">
        <f t="shared" si="23"/>
        <v>8.1347886820740886E-3</v>
      </c>
      <c r="R274" s="25"/>
      <c r="S274" s="25"/>
      <c r="T274" s="25"/>
      <c r="U274" s="25"/>
    </row>
    <row r="275" spans="1:21" x14ac:dyDescent="0.25">
      <c r="A275" s="155">
        <f t="shared" si="24"/>
        <v>21</v>
      </c>
      <c r="C275" s="79">
        <v>20.499999999999979</v>
      </c>
      <c r="D275" s="15">
        <f>SUMPRODUCT(Business_Portfolio!D275:AM275,Business_Portfolio!$D$8:$AM$8)</f>
        <v>0</v>
      </c>
      <c r="E275" s="25">
        <f t="shared" si="21"/>
        <v>0</v>
      </c>
      <c r="F275" s="25"/>
      <c r="G275" s="25"/>
      <c r="H275" s="25"/>
      <c r="I275" s="25"/>
      <c r="J275" s="15">
        <f>SUMPRODUCT(Business_Portfolio!$V275:$AM275,Business_Portfolio!$V$8:$AM$8)</f>
        <v>0</v>
      </c>
      <c r="K275" s="25">
        <f t="shared" si="22"/>
        <v>0</v>
      </c>
      <c r="L275" s="25"/>
      <c r="M275" s="25"/>
      <c r="N275" s="25"/>
      <c r="O275" s="25"/>
      <c r="P275" s="15">
        <f>SUMPRODUCT(Business_Portfolio!$D275:$U275,Business_Portfolio!$D$8:$U$8)</f>
        <v>0</v>
      </c>
      <c r="Q275" s="25">
        <f t="shared" si="23"/>
        <v>0</v>
      </c>
      <c r="R275" s="25"/>
      <c r="S275" s="25"/>
      <c r="T275" s="25"/>
      <c r="U275" s="25"/>
    </row>
    <row r="276" spans="1:21" x14ac:dyDescent="0.25">
      <c r="A276" s="155">
        <f t="shared" si="24"/>
        <v>21</v>
      </c>
      <c r="C276" s="79">
        <v>20.583333333333311</v>
      </c>
      <c r="D276" s="15">
        <f>SUMPRODUCT(Business_Portfolio!D276:AM276,Business_Portfolio!$D$8:$AM$8)</f>
        <v>0</v>
      </c>
      <c r="E276" s="25">
        <f t="shared" si="21"/>
        <v>0</v>
      </c>
      <c r="F276" s="25"/>
      <c r="G276" s="25"/>
      <c r="H276" s="25"/>
      <c r="I276" s="25"/>
      <c r="J276" s="15">
        <f>SUMPRODUCT(Business_Portfolio!$V276:$AM276,Business_Portfolio!$V$8:$AM$8)</f>
        <v>0</v>
      </c>
      <c r="K276" s="25">
        <f t="shared" si="22"/>
        <v>0</v>
      </c>
      <c r="L276" s="25"/>
      <c r="M276" s="25"/>
      <c r="N276" s="25"/>
      <c r="O276" s="25"/>
      <c r="P276" s="15">
        <f>SUMPRODUCT(Business_Portfolio!$D276:$U276,Business_Portfolio!$D$8:$U$8)</f>
        <v>0</v>
      </c>
      <c r="Q276" s="25">
        <f t="shared" si="23"/>
        <v>0</v>
      </c>
      <c r="R276" s="25"/>
      <c r="S276" s="25"/>
      <c r="T276" s="25"/>
      <c r="U276" s="25"/>
    </row>
    <row r="277" spans="1:21" x14ac:dyDescent="0.25">
      <c r="A277" s="155">
        <f t="shared" si="24"/>
        <v>21</v>
      </c>
      <c r="C277" s="79">
        <v>20.666666666666643</v>
      </c>
      <c r="D277" s="15">
        <f>SUMPRODUCT(Business_Portfolio!D277:AM277,Business_Portfolio!$D$8:$AM$8)</f>
        <v>0</v>
      </c>
      <c r="E277" s="25">
        <f t="shared" si="21"/>
        <v>0</v>
      </c>
      <c r="F277" s="25"/>
      <c r="G277" s="25"/>
      <c r="H277" s="25"/>
      <c r="I277" s="25"/>
      <c r="J277" s="15">
        <f>SUMPRODUCT(Business_Portfolio!$V277:$AM277,Business_Portfolio!$V$8:$AM$8)</f>
        <v>0</v>
      </c>
      <c r="K277" s="25">
        <f t="shared" si="22"/>
        <v>0</v>
      </c>
      <c r="L277" s="25"/>
      <c r="M277" s="25"/>
      <c r="N277" s="25"/>
      <c r="O277" s="25"/>
      <c r="P277" s="15">
        <f>SUMPRODUCT(Business_Portfolio!$D277:$U277,Business_Portfolio!$D$8:$U$8)</f>
        <v>0</v>
      </c>
      <c r="Q277" s="25">
        <f t="shared" si="23"/>
        <v>0</v>
      </c>
      <c r="R277" s="25"/>
      <c r="S277" s="25"/>
      <c r="T277" s="25"/>
      <c r="U277" s="25"/>
    </row>
    <row r="278" spans="1:21" x14ac:dyDescent="0.25">
      <c r="A278" s="155">
        <f t="shared" si="24"/>
        <v>21</v>
      </c>
      <c r="C278" s="79">
        <v>20.749999999999975</v>
      </c>
      <c r="D278" s="15">
        <f>SUMPRODUCT(Business_Portfolio!D278:AM278,Business_Portfolio!$D$8:$AM$8)</f>
        <v>0</v>
      </c>
      <c r="E278" s="25">
        <f t="shared" si="21"/>
        <v>0</v>
      </c>
      <c r="F278" s="25"/>
      <c r="G278" s="25"/>
      <c r="H278" s="25"/>
      <c r="I278" s="25"/>
      <c r="J278" s="15">
        <f>SUMPRODUCT(Business_Portfolio!$V278:$AM278,Business_Portfolio!$V$8:$AM$8)</f>
        <v>0</v>
      </c>
      <c r="K278" s="25">
        <f t="shared" si="22"/>
        <v>0</v>
      </c>
      <c r="L278" s="25"/>
      <c r="M278" s="25"/>
      <c r="N278" s="25"/>
      <c r="O278" s="25"/>
      <c r="P278" s="15">
        <f>SUMPRODUCT(Business_Portfolio!$D278:$U278,Business_Portfolio!$D$8:$U$8)</f>
        <v>0</v>
      </c>
      <c r="Q278" s="25">
        <f t="shared" si="23"/>
        <v>0</v>
      </c>
      <c r="R278" s="25"/>
      <c r="S278" s="25"/>
      <c r="T278" s="25"/>
      <c r="U278" s="25"/>
    </row>
    <row r="279" spans="1:21" x14ac:dyDescent="0.25">
      <c r="A279" s="155">
        <f t="shared" si="24"/>
        <v>21</v>
      </c>
      <c r="C279" s="79">
        <v>20.833333333333307</v>
      </c>
      <c r="D279" s="15">
        <f>SUMPRODUCT(Business_Portfolio!D279:AM279,Business_Portfolio!$D$8:$AM$8)</f>
        <v>0</v>
      </c>
      <c r="E279" s="25">
        <f t="shared" si="21"/>
        <v>0</v>
      </c>
      <c r="F279" s="25"/>
      <c r="G279" s="25"/>
      <c r="H279" s="25"/>
      <c r="I279" s="25"/>
      <c r="J279" s="15">
        <f>SUMPRODUCT(Business_Portfolio!$V279:$AM279,Business_Portfolio!$V$8:$AM$8)</f>
        <v>0</v>
      </c>
      <c r="K279" s="25">
        <f t="shared" si="22"/>
        <v>0</v>
      </c>
      <c r="L279" s="25"/>
      <c r="M279" s="25"/>
      <c r="N279" s="25"/>
      <c r="O279" s="25"/>
      <c r="P279" s="15">
        <f>SUMPRODUCT(Business_Portfolio!$D279:$U279,Business_Portfolio!$D$8:$U$8)</f>
        <v>0</v>
      </c>
      <c r="Q279" s="25">
        <f t="shared" si="23"/>
        <v>0</v>
      </c>
      <c r="R279" s="25"/>
      <c r="S279" s="25"/>
      <c r="T279" s="25"/>
      <c r="U279" s="25"/>
    </row>
    <row r="280" spans="1:21" x14ac:dyDescent="0.25">
      <c r="A280" s="155">
        <f t="shared" si="24"/>
        <v>21</v>
      </c>
      <c r="C280" s="79">
        <v>20.916666666666639</v>
      </c>
      <c r="D280" s="15">
        <f>SUMPRODUCT(Business_Portfolio!D280:AM280,Business_Portfolio!$D$8:$AM$8)</f>
        <v>0</v>
      </c>
      <c r="E280" s="25">
        <f t="shared" si="21"/>
        <v>0</v>
      </c>
      <c r="F280" s="25"/>
      <c r="G280" s="25"/>
      <c r="H280" s="25"/>
      <c r="I280" s="25"/>
      <c r="J280" s="15">
        <f>SUMPRODUCT(Business_Portfolio!$V280:$AM280,Business_Portfolio!$V$8:$AM$8)</f>
        <v>0</v>
      </c>
      <c r="K280" s="25">
        <f t="shared" si="22"/>
        <v>0</v>
      </c>
      <c r="L280" s="25"/>
      <c r="M280" s="25"/>
      <c r="N280" s="25"/>
      <c r="O280" s="25"/>
      <c r="P280" s="15">
        <f>SUMPRODUCT(Business_Portfolio!$D280:$U280,Business_Portfolio!$D$8:$U$8)</f>
        <v>0</v>
      </c>
      <c r="Q280" s="25">
        <f t="shared" si="23"/>
        <v>0</v>
      </c>
      <c r="R280" s="25"/>
      <c r="S280" s="25"/>
      <c r="T280" s="25"/>
      <c r="U280" s="25"/>
    </row>
    <row r="281" spans="1:21" x14ac:dyDescent="0.25">
      <c r="A281" s="155">
        <f t="shared" si="24"/>
        <v>21</v>
      </c>
      <c r="C281" s="79">
        <v>20.999999999999972</v>
      </c>
      <c r="D281" s="15">
        <f>SUMPRODUCT(Business_Portfolio!D281:AM281,Business_Portfolio!$D$8:$AM$8)</f>
        <v>0</v>
      </c>
      <c r="E281" s="25">
        <f t="shared" si="21"/>
        <v>0</v>
      </c>
      <c r="F281" s="25"/>
      <c r="G281" s="25"/>
      <c r="H281" s="25"/>
      <c r="I281" s="25"/>
      <c r="J281" s="15">
        <f>SUMPRODUCT(Business_Portfolio!$V281:$AM281,Business_Portfolio!$V$8:$AM$8)</f>
        <v>0</v>
      </c>
      <c r="K281" s="25">
        <f t="shared" si="22"/>
        <v>0</v>
      </c>
      <c r="L281" s="25"/>
      <c r="M281" s="25"/>
      <c r="N281" s="25"/>
      <c r="O281" s="25"/>
      <c r="P281" s="15">
        <f>SUMPRODUCT(Business_Portfolio!$D281:$U281,Business_Portfolio!$D$8:$U$8)</f>
        <v>0</v>
      </c>
      <c r="Q281" s="25">
        <f t="shared" si="23"/>
        <v>0</v>
      </c>
      <c r="R281" s="25"/>
      <c r="S281" s="25"/>
      <c r="T281" s="25"/>
      <c r="U281" s="25"/>
    </row>
    <row r="282" spans="1:21" x14ac:dyDescent="0.25">
      <c r="A282" s="155">
        <f t="shared" si="24"/>
        <v>22</v>
      </c>
      <c r="C282" s="79">
        <v>21.083333333333304</v>
      </c>
      <c r="D282" s="15">
        <f>SUMPRODUCT(Business_Portfolio!D282:AM282,Business_Portfolio!$D$8:$AM$8)</f>
        <v>0</v>
      </c>
      <c r="E282" s="25">
        <f t="shared" si="21"/>
        <v>0</v>
      </c>
      <c r="F282" s="25"/>
      <c r="G282" s="25"/>
      <c r="H282" s="25"/>
      <c r="I282" s="25"/>
      <c r="J282" s="15">
        <f>SUMPRODUCT(Business_Portfolio!$V282:$AM282,Business_Portfolio!$V$8:$AM$8)</f>
        <v>0</v>
      </c>
      <c r="K282" s="25">
        <f t="shared" si="22"/>
        <v>0</v>
      </c>
      <c r="L282" s="25"/>
      <c r="M282" s="25"/>
      <c r="N282" s="25"/>
      <c r="O282" s="25"/>
      <c r="P282" s="15">
        <f>SUMPRODUCT(Business_Portfolio!$D282:$U282,Business_Portfolio!$D$8:$U$8)</f>
        <v>0</v>
      </c>
      <c r="Q282" s="25">
        <f t="shared" si="23"/>
        <v>0</v>
      </c>
      <c r="R282" s="25"/>
      <c r="S282" s="25"/>
      <c r="T282" s="25"/>
      <c r="U282" s="25"/>
    </row>
    <row r="283" spans="1:21" x14ac:dyDescent="0.25">
      <c r="A283" s="155">
        <f t="shared" si="24"/>
        <v>22</v>
      </c>
      <c r="C283" s="79">
        <v>21.166666666666636</v>
      </c>
      <c r="D283" s="15">
        <f>SUMPRODUCT(Business_Portfolio!D283:AM283,Business_Portfolio!$D$8:$AM$8)</f>
        <v>0</v>
      </c>
      <c r="E283" s="25">
        <f t="shared" si="21"/>
        <v>0</v>
      </c>
      <c r="F283" s="25"/>
      <c r="G283" s="25"/>
      <c r="H283" s="25"/>
      <c r="I283" s="25"/>
      <c r="J283" s="15">
        <f>SUMPRODUCT(Business_Portfolio!$V283:$AM283,Business_Portfolio!$V$8:$AM$8)</f>
        <v>0</v>
      </c>
      <c r="K283" s="25">
        <f t="shared" si="22"/>
        <v>0</v>
      </c>
      <c r="L283" s="25"/>
      <c r="M283" s="25"/>
      <c r="N283" s="25"/>
      <c r="O283" s="25"/>
      <c r="P283" s="15">
        <f>SUMPRODUCT(Business_Portfolio!$D283:$U283,Business_Portfolio!$D$8:$U$8)</f>
        <v>0</v>
      </c>
      <c r="Q283" s="25">
        <f t="shared" si="23"/>
        <v>0</v>
      </c>
      <c r="R283" s="25"/>
      <c r="S283" s="25"/>
      <c r="T283" s="25"/>
      <c r="U283" s="25"/>
    </row>
    <row r="284" spans="1:21" x14ac:dyDescent="0.25">
      <c r="A284" s="155">
        <f t="shared" si="24"/>
        <v>22</v>
      </c>
      <c r="C284" s="79">
        <v>21.249999999999968</v>
      </c>
      <c r="D284" s="15">
        <f>SUMPRODUCT(Business_Portfolio!D284:AM284,Business_Portfolio!$D$8:$AM$8)</f>
        <v>0</v>
      </c>
      <c r="E284" s="25">
        <f t="shared" si="21"/>
        <v>0</v>
      </c>
      <c r="F284" s="25"/>
      <c r="G284" s="25"/>
      <c r="H284" s="25"/>
      <c r="I284" s="25"/>
      <c r="J284" s="15">
        <f>SUMPRODUCT(Business_Portfolio!$V284:$AM284,Business_Portfolio!$V$8:$AM$8)</f>
        <v>0</v>
      </c>
      <c r="K284" s="25">
        <f t="shared" si="22"/>
        <v>0</v>
      </c>
      <c r="L284" s="25"/>
      <c r="M284" s="25"/>
      <c r="N284" s="25"/>
      <c r="O284" s="25"/>
      <c r="P284" s="15">
        <f>SUMPRODUCT(Business_Portfolio!$D284:$U284,Business_Portfolio!$D$8:$U$8)</f>
        <v>0</v>
      </c>
      <c r="Q284" s="25">
        <f t="shared" si="23"/>
        <v>0</v>
      </c>
      <c r="R284" s="25"/>
      <c r="S284" s="25"/>
      <c r="T284" s="25"/>
      <c r="U284" s="25"/>
    </row>
    <row r="285" spans="1:21" x14ac:dyDescent="0.25">
      <c r="A285" s="155">
        <f t="shared" si="24"/>
        <v>22</v>
      </c>
      <c r="C285" s="79">
        <v>21.3333333333333</v>
      </c>
      <c r="D285" s="15">
        <f>SUMPRODUCT(Business_Portfolio!D285:AM285,Business_Portfolio!$D$8:$AM$8)</f>
        <v>0</v>
      </c>
      <c r="E285" s="25">
        <f t="shared" si="21"/>
        <v>0</v>
      </c>
      <c r="F285" s="25"/>
      <c r="G285" s="25"/>
      <c r="H285" s="25"/>
      <c r="I285" s="25"/>
      <c r="J285" s="15">
        <f>SUMPRODUCT(Business_Portfolio!$V285:$AM285,Business_Portfolio!$V$8:$AM$8)</f>
        <v>0</v>
      </c>
      <c r="K285" s="25">
        <f t="shared" si="22"/>
        <v>0</v>
      </c>
      <c r="L285" s="25"/>
      <c r="M285" s="25"/>
      <c r="N285" s="25"/>
      <c r="O285" s="25"/>
      <c r="P285" s="15">
        <f>SUMPRODUCT(Business_Portfolio!$D285:$U285,Business_Portfolio!$D$8:$U$8)</f>
        <v>0</v>
      </c>
      <c r="Q285" s="25">
        <f t="shared" si="23"/>
        <v>0</v>
      </c>
      <c r="R285" s="25"/>
      <c r="S285" s="25"/>
      <c r="T285" s="25"/>
      <c r="U285" s="25"/>
    </row>
    <row r="286" spans="1:21" x14ac:dyDescent="0.25">
      <c r="A286" s="155">
        <f t="shared" si="24"/>
        <v>22</v>
      </c>
      <c r="C286" s="79">
        <v>21.416666666666632</v>
      </c>
      <c r="D286" s="15">
        <f>SUMPRODUCT(Business_Portfolio!D286:AM286,Business_Portfolio!$D$8:$AM$8)</f>
        <v>0</v>
      </c>
      <c r="E286" s="25">
        <f t="shared" ref="E286:E349" si="25">D286/D$10</f>
        <v>0</v>
      </c>
      <c r="F286" s="25"/>
      <c r="G286" s="25"/>
      <c r="H286" s="25"/>
      <c r="I286" s="25"/>
      <c r="J286" s="15">
        <f>SUMPRODUCT(Business_Portfolio!$V286:$AM286,Business_Portfolio!$V$8:$AM$8)</f>
        <v>0</v>
      </c>
      <c r="K286" s="25">
        <f t="shared" ref="K286:K349" si="26">J286/J$10</f>
        <v>0</v>
      </c>
      <c r="L286" s="25"/>
      <c r="M286" s="25"/>
      <c r="N286" s="25"/>
      <c r="O286" s="25"/>
      <c r="P286" s="15">
        <f>SUMPRODUCT(Business_Portfolio!$D286:$U286,Business_Portfolio!$D$8:$U$8)</f>
        <v>0</v>
      </c>
      <c r="Q286" s="25">
        <f t="shared" ref="Q286:Q349" si="27">P286/P$10</f>
        <v>0</v>
      </c>
      <c r="R286" s="25"/>
      <c r="S286" s="25"/>
      <c r="T286" s="25"/>
      <c r="U286" s="25"/>
    </row>
    <row r="287" spans="1:21" x14ac:dyDescent="0.25">
      <c r="A287" s="155">
        <f t="shared" ref="A287:A350" si="28">ROUNDUP(C287-0.0001,0)</f>
        <v>22</v>
      </c>
      <c r="C287" s="79">
        <v>21.499999999999964</v>
      </c>
      <c r="D287" s="15">
        <f>SUMPRODUCT(Business_Portfolio!D287:AM287,Business_Portfolio!$D$8:$AM$8)</f>
        <v>0</v>
      </c>
      <c r="E287" s="25">
        <f t="shared" si="25"/>
        <v>0</v>
      </c>
      <c r="F287" s="25"/>
      <c r="G287" s="25"/>
      <c r="H287" s="25"/>
      <c r="I287" s="25"/>
      <c r="J287" s="15">
        <f>SUMPRODUCT(Business_Portfolio!$V287:$AM287,Business_Portfolio!$V$8:$AM$8)</f>
        <v>0</v>
      </c>
      <c r="K287" s="25">
        <f t="shared" si="26"/>
        <v>0</v>
      </c>
      <c r="L287" s="25"/>
      <c r="M287" s="25"/>
      <c r="N287" s="25"/>
      <c r="O287" s="25"/>
      <c r="P287" s="15">
        <f>SUMPRODUCT(Business_Portfolio!$D287:$U287,Business_Portfolio!$D$8:$U$8)</f>
        <v>0</v>
      </c>
      <c r="Q287" s="25">
        <f t="shared" si="27"/>
        <v>0</v>
      </c>
      <c r="R287" s="25"/>
      <c r="S287" s="25"/>
      <c r="T287" s="25"/>
      <c r="U287" s="25"/>
    </row>
    <row r="288" spans="1:21" x14ac:dyDescent="0.25">
      <c r="A288" s="155">
        <f t="shared" si="28"/>
        <v>22</v>
      </c>
      <c r="C288" s="79">
        <v>21.583333333333297</v>
      </c>
      <c r="D288" s="15">
        <f>SUMPRODUCT(Business_Portfolio!D288:AM288,Business_Portfolio!$D$8:$AM$8)</f>
        <v>0</v>
      </c>
      <c r="E288" s="25">
        <f t="shared" si="25"/>
        <v>0</v>
      </c>
      <c r="F288" s="25"/>
      <c r="G288" s="25"/>
      <c r="H288" s="25"/>
      <c r="I288" s="25"/>
      <c r="J288" s="15">
        <f>SUMPRODUCT(Business_Portfolio!$V288:$AM288,Business_Portfolio!$V$8:$AM$8)</f>
        <v>0</v>
      </c>
      <c r="K288" s="25">
        <f t="shared" si="26"/>
        <v>0</v>
      </c>
      <c r="L288" s="25"/>
      <c r="M288" s="25"/>
      <c r="N288" s="25"/>
      <c r="O288" s="25"/>
      <c r="P288" s="15">
        <f>SUMPRODUCT(Business_Portfolio!$D288:$U288,Business_Portfolio!$D$8:$U$8)</f>
        <v>0</v>
      </c>
      <c r="Q288" s="25">
        <f t="shared" si="27"/>
        <v>0</v>
      </c>
      <c r="R288" s="25"/>
      <c r="S288" s="25"/>
      <c r="T288" s="25"/>
      <c r="U288" s="25"/>
    </row>
    <row r="289" spans="1:21" x14ac:dyDescent="0.25">
      <c r="A289" s="155">
        <f t="shared" si="28"/>
        <v>22</v>
      </c>
      <c r="C289" s="79">
        <v>21.666666666666629</v>
      </c>
      <c r="D289" s="15">
        <f>SUMPRODUCT(Business_Portfolio!D289:AM289,Business_Portfolio!$D$8:$AM$8)</f>
        <v>0</v>
      </c>
      <c r="E289" s="25">
        <f t="shared" si="25"/>
        <v>0</v>
      </c>
      <c r="F289" s="25"/>
      <c r="G289" s="25"/>
      <c r="H289" s="25"/>
      <c r="I289" s="25"/>
      <c r="J289" s="15">
        <f>SUMPRODUCT(Business_Portfolio!$V289:$AM289,Business_Portfolio!$V$8:$AM$8)</f>
        <v>0</v>
      </c>
      <c r="K289" s="25">
        <f t="shared" si="26"/>
        <v>0</v>
      </c>
      <c r="L289" s="25"/>
      <c r="M289" s="25"/>
      <c r="N289" s="25"/>
      <c r="O289" s="25"/>
      <c r="P289" s="15">
        <f>SUMPRODUCT(Business_Portfolio!$D289:$U289,Business_Portfolio!$D$8:$U$8)</f>
        <v>0</v>
      </c>
      <c r="Q289" s="25">
        <f t="shared" si="27"/>
        <v>0</v>
      </c>
      <c r="R289" s="25"/>
      <c r="S289" s="25"/>
      <c r="T289" s="25"/>
      <c r="U289" s="25"/>
    </row>
    <row r="290" spans="1:21" x14ac:dyDescent="0.25">
      <c r="A290" s="155">
        <f t="shared" si="28"/>
        <v>22</v>
      </c>
      <c r="C290" s="79">
        <v>21.749999999999961</v>
      </c>
      <c r="D290" s="15">
        <f>SUMPRODUCT(Business_Portfolio!D290:AM290,Business_Portfolio!$D$8:$AM$8)</f>
        <v>0</v>
      </c>
      <c r="E290" s="25">
        <f t="shared" si="25"/>
        <v>0</v>
      </c>
      <c r="F290" s="25"/>
      <c r="G290" s="25"/>
      <c r="H290" s="25"/>
      <c r="I290" s="25"/>
      <c r="J290" s="15">
        <f>SUMPRODUCT(Business_Portfolio!$V290:$AM290,Business_Portfolio!$V$8:$AM$8)</f>
        <v>0</v>
      </c>
      <c r="K290" s="25">
        <f t="shared" si="26"/>
        <v>0</v>
      </c>
      <c r="L290" s="25"/>
      <c r="M290" s="25"/>
      <c r="N290" s="25"/>
      <c r="O290" s="25"/>
      <c r="P290" s="15">
        <f>SUMPRODUCT(Business_Portfolio!$D290:$U290,Business_Portfolio!$D$8:$U$8)</f>
        <v>0</v>
      </c>
      <c r="Q290" s="25">
        <f t="shared" si="27"/>
        <v>0</v>
      </c>
      <c r="R290" s="25"/>
      <c r="S290" s="25"/>
      <c r="T290" s="25"/>
      <c r="U290" s="25"/>
    </row>
    <row r="291" spans="1:21" x14ac:dyDescent="0.25">
      <c r="A291" s="155">
        <f t="shared" si="28"/>
        <v>22</v>
      </c>
      <c r="C291" s="79">
        <v>21.833333333333293</v>
      </c>
      <c r="D291" s="15">
        <f>SUMPRODUCT(Business_Portfolio!D291:AM291,Business_Portfolio!$D$8:$AM$8)</f>
        <v>0</v>
      </c>
      <c r="E291" s="25">
        <f t="shared" si="25"/>
        <v>0</v>
      </c>
      <c r="F291" s="25"/>
      <c r="G291" s="25"/>
      <c r="H291" s="25"/>
      <c r="I291" s="25"/>
      <c r="J291" s="15">
        <f>SUMPRODUCT(Business_Portfolio!$V291:$AM291,Business_Portfolio!$V$8:$AM$8)</f>
        <v>0</v>
      </c>
      <c r="K291" s="25">
        <f t="shared" si="26"/>
        <v>0</v>
      </c>
      <c r="L291" s="25"/>
      <c r="M291" s="25"/>
      <c r="N291" s="25"/>
      <c r="O291" s="25"/>
      <c r="P291" s="15">
        <f>SUMPRODUCT(Business_Portfolio!$D291:$U291,Business_Portfolio!$D$8:$U$8)</f>
        <v>0</v>
      </c>
      <c r="Q291" s="25">
        <f t="shared" si="27"/>
        <v>0</v>
      </c>
      <c r="R291" s="25"/>
      <c r="S291" s="25"/>
      <c r="T291" s="25"/>
      <c r="U291" s="25"/>
    </row>
    <row r="292" spans="1:21" x14ac:dyDescent="0.25">
      <c r="A292" s="155">
        <f t="shared" si="28"/>
        <v>22</v>
      </c>
      <c r="C292" s="79">
        <v>21.916666666666625</v>
      </c>
      <c r="D292" s="15">
        <f>SUMPRODUCT(Business_Portfolio!D292:AM292,Business_Portfolio!$D$8:$AM$8)</f>
        <v>0</v>
      </c>
      <c r="E292" s="25">
        <f t="shared" si="25"/>
        <v>0</v>
      </c>
      <c r="F292" s="25"/>
      <c r="G292" s="25"/>
      <c r="H292" s="25"/>
      <c r="I292" s="25"/>
      <c r="J292" s="15">
        <f>SUMPRODUCT(Business_Portfolio!$V292:$AM292,Business_Portfolio!$V$8:$AM$8)</f>
        <v>0</v>
      </c>
      <c r="K292" s="25">
        <f t="shared" si="26"/>
        <v>0</v>
      </c>
      <c r="L292" s="25"/>
      <c r="M292" s="25"/>
      <c r="N292" s="25"/>
      <c r="O292" s="25"/>
      <c r="P292" s="15">
        <f>SUMPRODUCT(Business_Portfolio!$D292:$U292,Business_Portfolio!$D$8:$U$8)</f>
        <v>0</v>
      </c>
      <c r="Q292" s="25">
        <f t="shared" si="27"/>
        <v>0</v>
      </c>
      <c r="R292" s="25"/>
      <c r="S292" s="25"/>
      <c r="T292" s="25"/>
      <c r="U292" s="25"/>
    </row>
    <row r="293" spans="1:21" x14ac:dyDescent="0.25">
      <c r="A293" s="155">
        <f t="shared" si="28"/>
        <v>22</v>
      </c>
      <c r="C293" s="79">
        <v>21.999999999999957</v>
      </c>
      <c r="D293" s="15">
        <f>SUMPRODUCT(Business_Portfolio!D293:AM293,Business_Portfolio!$D$8:$AM$8)</f>
        <v>0</v>
      </c>
      <c r="E293" s="25">
        <f t="shared" si="25"/>
        <v>0</v>
      </c>
      <c r="F293" s="25"/>
      <c r="G293" s="25"/>
      <c r="H293" s="25"/>
      <c r="I293" s="25"/>
      <c r="J293" s="15">
        <f>SUMPRODUCT(Business_Portfolio!$V293:$AM293,Business_Portfolio!$V$8:$AM$8)</f>
        <v>0</v>
      </c>
      <c r="K293" s="25">
        <f t="shared" si="26"/>
        <v>0</v>
      </c>
      <c r="L293" s="25"/>
      <c r="M293" s="25"/>
      <c r="N293" s="25"/>
      <c r="O293" s="25"/>
      <c r="P293" s="15">
        <f>SUMPRODUCT(Business_Portfolio!$D293:$U293,Business_Portfolio!$D$8:$U$8)</f>
        <v>0</v>
      </c>
      <c r="Q293" s="25">
        <f t="shared" si="27"/>
        <v>0</v>
      </c>
      <c r="R293" s="25"/>
      <c r="S293" s="25"/>
      <c r="T293" s="25"/>
      <c r="U293" s="25"/>
    </row>
    <row r="294" spans="1:21" x14ac:dyDescent="0.25">
      <c r="A294" s="155">
        <f t="shared" si="28"/>
        <v>23</v>
      </c>
      <c r="C294" s="79">
        <v>22.08333333333329</v>
      </c>
      <c r="D294" s="15">
        <f>SUMPRODUCT(Business_Portfolio!D294:AM294,Business_Portfolio!$D$8:$AM$8)</f>
        <v>0</v>
      </c>
      <c r="E294" s="25">
        <f t="shared" si="25"/>
        <v>0</v>
      </c>
      <c r="F294" s="25"/>
      <c r="G294" s="25"/>
      <c r="H294" s="25"/>
      <c r="I294" s="25"/>
      <c r="J294" s="15">
        <f>SUMPRODUCT(Business_Portfolio!$V294:$AM294,Business_Portfolio!$V$8:$AM$8)</f>
        <v>0</v>
      </c>
      <c r="K294" s="25">
        <f t="shared" si="26"/>
        <v>0</v>
      </c>
      <c r="L294" s="25"/>
      <c r="M294" s="25"/>
      <c r="N294" s="25"/>
      <c r="O294" s="25"/>
      <c r="P294" s="15">
        <f>SUMPRODUCT(Business_Portfolio!$D294:$U294,Business_Portfolio!$D$8:$U$8)</f>
        <v>0</v>
      </c>
      <c r="Q294" s="25">
        <f t="shared" si="27"/>
        <v>0</v>
      </c>
      <c r="R294" s="25"/>
      <c r="S294" s="25"/>
      <c r="T294" s="25"/>
      <c r="U294" s="25"/>
    </row>
    <row r="295" spans="1:21" x14ac:dyDescent="0.25">
      <c r="A295" s="155">
        <f t="shared" si="28"/>
        <v>23</v>
      </c>
      <c r="C295" s="79">
        <v>22.166666666666622</v>
      </c>
      <c r="D295" s="15">
        <f>SUMPRODUCT(Business_Portfolio!D295:AM295,Business_Portfolio!$D$8:$AM$8)</f>
        <v>0</v>
      </c>
      <c r="E295" s="25">
        <f t="shared" si="25"/>
        <v>0</v>
      </c>
      <c r="F295" s="25"/>
      <c r="G295" s="25"/>
      <c r="H295" s="25"/>
      <c r="I295" s="25"/>
      <c r="J295" s="15">
        <f>SUMPRODUCT(Business_Portfolio!$V295:$AM295,Business_Portfolio!$V$8:$AM$8)</f>
        <v>0</v>
      </c>
      <c r="K295" s="25">
        <f t="shared" si="26"/>
        <v>0</v>
      </c>
      <c r="L295" s="25"/>
      <c r="M295" s="25"/>
      <c r="N295" s="25"/>
      <c r="O295" s="25"/>
      <c r="P295" s="15">
        <f>SUMPRODUCT(Business_Portfolio!$D295:$U295,Business_Portfolio!$D$8:$U$8)</f>
        <v>0</v>
      </c>
      <c r="Q295" s="25">
        <f t="shared" si="27"/>
        <v>0</v>
      </c>
      <c r="R295" s="25"/>
      <c r="S295" s="25"/>
      <c r="T295" s="25"/>
      <c r="U295" s="25"/>
    </row>
    <row r="296" spans="1:21" x14ac:dyDescent="0.25">
      <c r="A296" s="155">
        <f t="shared" si="28"/>
        <v>23</v>
      </c>
      <c r="C296" s="79">
        <v>22.249999999999954</v>
      </c>
      <c r="D296" s="15">
        <f>SUMPRODUCT(Business_Portfolio!D296:AM296,Business_Portfolio!$D$8:$AM$8)</f>
        <v>0</v>
      </c>
      <c r="E296" s="25">
        <f t="shared" si="25"/>
        <v>0</v>
      </c>
      <c r="F296" s="25"/>
      <c r="G296" s="25"/>
      <c r="H296" s="25"/>
      <c r="I296" s="25"/>
      <c r="J296" s="15">
        <f>SUMPRODUCT(Business_Portfolio!$V296:$AM296,Business_Portfolio!$V$8:$AM$8)</f>
        <v>0</v>
      </c>
      <c r="K296" s="25">
        <f t="shared" si="26"/>
        <v>0</v>
      </c>
      <c r="L296" s="25"/>
      <c r="M296" s="25"/>
      <c r="N296" s="25"/>
      <c r="O296" s="25"/>
      <c r="P296" s="15">
        <f>SUMPRODUCT(Business_Portfolio!$D296:$U296,Business_Portfolio!$D$8:$U$8)</f>
        <v>0</v>
      </c>
      <c r="Q296" s="25">
        <f t="shared" si="27"/>
        <v>0</v>
      </c>
      <c r="R296" s="25"/>
      <c r="S296" s="25"/>
      <c r="T296" s="25"/>
      <c r="U296" s="25"/>
    </row>
    <row r="297" spans="1:21" x14ac:dyDescent="0.25">
      <c r="A297" s="155">
        <f t="shared" si="28"/>
        <v>23</v>
      </c>
      <c r="C297" s="79">
        <v>22.333333333333286</v>
      </c>
      <c r="D297" s="15">
        <f>SUMPRODUCT(Business_Portfolio!D297:AM297,Business_Portfolio!$D$8:$AM$8)</f>
        <v>0</v>
      </c>
      <c r="E297" s="25">
        <f t="shared" si="25"/>
        <v>0</v>
      </c>
      <c r="F297" s="25"/>
      <c r="G297" s="25"/>
      <c r="H297" s="25"/>
      <c r="I297" s="25"/>
      <c r="J297" s="15">
        <f>SUMPRODUCT(Business_Portfolio!$V297:$AM297,Business_Portfolio!$V$8:$AM$8)</f>
        <v>0</v>
      </c>
      <c r="K297" s="25">
        <f t="shared" si="26"/>
        <v>0</v>
      </c>
      <c r="L297" s="25"/>
      <c r="M297" s="25"/>
      <c r="N297" s="25"/>
      <c r="O297" s="25"/>
      <c r="P297" s="15">
        <f>SUMPRODUCT(Business_Portfolio!$D297:$U297,Business_Portfolio!$D$8:$U$8)</f>
        <v>0</v>
      </c>
      <c r="Q297" s="25">
        <f t="shared" si="27"/>
        <v>0</v>
      </c>
      <c r="R297" s="25"/>
      <c r="S297" s="25"/>
      <c r="T297" s="25"/>
      <c r="U297" s="25"/>
    </row>
    <row r="298" spans="1:21" x14ac:dyDescent="0.25">
      <c r="A298" s="155">
        <f t="shared" si="28"/>
        <v>23</v>
      </c>
      <c r="C298" s="79">
        <v>22.416666666666618</v>
      </c>
      <c r="D298" s="15">
        <f>SUMPRODUCT(Business_Portfolio!D298:AM298,Business_Portfolio!$D$8:$AM$8)</f>
        <v>0</v>
      </c>
      <c r="E298" s="25">
        <f t="shared" si="25"/>
        <v>0</v>
      </c>
      <c r="F298" s="25"/>
      <c r="G298" s="25"/>
      <c r="H298" s="25"/>
      <c r="I298" s="25"/>
      <c r="J298" s="15">
        <f>SUMPRODUCT(Business_Portfolio!$V298:$AM298,Business_Portfolio!$V$8:$AM$8)</f>
        <v>0</v>
      </c>
      <c r="K298" s="25">
        <f t="shared" si="26"/>
        <v>0</v>
      </c>
      <c r="L298" s="25"/>
      <c r="M298" s="25"/>
      <c r="N298" s="25"/>
      <c r="O298" s="25"/>
      <c r="P298" s="15">
        <f>SUMPRODUCT(Business_Portfolio!$D298:$U298,Business_Portfolio!$D$8:$U$8)</f>
        <v>0</v>
      </c>
      <c r="Q298" s="25">
        <f t="shared" si="27"/>
        <v>0</v>
      </c>
      <c r="R298" s="25"/>
      <c r="S298" s="25"/>
      <c r="T298" s="25"/>
      <c r="U298" s="25"/>
    </row>
    <row r="299" spans="1:21" x14ac:dyDescent="0.25">
      <c r="A299" s="155">
        <f t="shared" si="28"/>
        <v>23</v>
      </c>
      <c r="C299" s="79">
        <v>22.49999999999995</v>
      </c>
      <c r="D299" s="15">
        <f>SUMPRODUCT(Business_Portfolio!D299:AM299,Business_Portfolio!$D$8:$AM$8)</f>
        <v>0</v>
      </c>
      <c r="E299" s="25">
        <f t="shared" si="25"/>
        <v>0</v>
      </c>
      <c r="F299" s="25"/>
      <c r="G299" s="25"/>
      <c r="H299" s="25"/>
      <c r="I299" s="25"/>
      <c r="J299" s="15">
        <f>SUMPRODUCT(Business_Portfolio!$V299:$AM299,Business_Portfolio!$V$8:$AM$8)</f>
        <v>0</v>
      </c>
      <c r="K299" s="25">
        <f t="shared" si="26"/>
        <v>0</v>
      </c>
      <c r="L299" s="25"/>
      <c r="M299" s="25"/>
      <c r="N299" s="25"/>
      <c r="O299" s="25"/>
      <c r="P299" s="15">
        <f>SUMPRODUCT(Business_Portfolio!$D299:$U299,Business_Portfolio!$D$8:$U$8)</f>
        <v>0</v>
      </c>
      <c r="Q299" s="25">
        <f t="shared" si="27"/>
        <v>0</v>
      </c>
      <c r="R299" s="25"/>
      <c r="S299" s="25"/>
      <c r="T299" s="25"/>
      <c r="U299" s="25"/>
    </row>
    <row r="300" spans="1:21" x14ac:dyDescent="0.25">
      <c r="A300" s="155">
        <f t="shared" si="28"/>
        <v>23</v>
      </c>
      <c r="C300" s="79">
        <v>22.583333333333282</v>
      </c>
      <c r="D300" s="15">
        <f>SUMPRODUCT(Business_Portfolio!D300:AM300,Business_Portfolio!$D$8:$AM$8)</f>
        <v>0</v>
      </c>
      <c r="E300" s="25">
        <f t="shared" si="25"/>
        <v>0</v>
      </c>
      <c r="F300" s="25"/>
      <c r="G300" s="25"/>
      <c r="H300" s="25"/>
      <c r="I300" s="25"/>
      <c r="J300" s="15">
        <f>SUMPRODUCT(Business_Portfolio!$V300:$AM300,Business_Portfolio!$V$8:$AM$8)</f>
        <v>0</v>
      </c>
      <c r="K300" s="25">
        <f t="shared" si="26"/>
        <v>0</v>
      </c>
      <c r="L300" s="25"/>
      <c r="M300" s="25"/>
      <c r="N300" s="25"/>
      <c r="O300" s="25"/>
      <c r="P300" s="15">
        <f>SUMPRODUCT(Business_Portfolio!$D300:$U300,Business_Portfolio!$D$8:$U$8)</f>
        <v>0</v>
      </c>
      <c r="Q300" s="25">
        <f t="shared" si="27"/>
        <v>0</v>
      </c>
      <c r="R300" s="25"/>
      <c r="S300" s="25"/>
      <c r="T300" s="25"/>
      <c r="U300" s="25"/>
    </row>
    <row r="301" spans="1:21" x14ac:dyDescent="0.25">
      <c r="A301" s="155">
        <f t="shared" si="28"/>
        <v>23</v>
      </c>
      <c r="C301" s="79">
        <v>22.666666666666615</v>
      </c>
      <c r="D301" s="15">
        <f>SUMPRODUCT(Business_Portfolio!D301:AM301,Business_Portfolio!$D$8:$AM$8)</f>
        <v>0</v>
      </c>
      <c r="E301" s="25">
        <f t="shared" si="25"/>
        <v>0</v>
      </c>
      <c r="F301" s="25"/>
      <c r="G301" s="25"/>
      <c r="H301" s="25"/>
      <c r="I301" s="25"/>
      <c r="J301" s="15">
        <f>SUMPRODUCT(Business_Portfolio!$V301:$AM301,Business_Portfolio!$V$8:$AM$8)</f>
        <v>0</v>
      </c>
      <c r="K301" s="25">
        <f t="shared" si="26"/>
        <v>0</v>
      </c>
      <c r="L301" s="25"/>
      <c r="M301" s="25"/>
      <c r="N301" s="25"/>
      <c r="O301" s="25"/>
      <c r="P301" s="15">
        <f>SUMPRODUCT(Business_Portfolio!$D301:$U301,Business_Portfolio!$D$8:$U$8)</f>
        <v>0</v>
      </c>
      <c r="Q301" s="25">
        <f t="shared" si="27"/>
        <v>0</v>
      </c>
      <c r="R301" s="25"/>
      <c r="S301" s="25"/>
      <c r="T301" s="25"/>
      <c r="U301" s="25"/>
    </row>
    <row r="302" spans="1:21" x14ac:dyDescent="0.25">
      <c r="A302" s="155">
        <f t="shared" si="28"/>
        <v>23</v>
      </c>
      <c r="C302" s="79">
        <v>22.749999999999947</v>
      </c>
      <c r="D302" s="15">
        <f>SUMPRODUCT(Business_Portfolio!D302:AM302,Business_Portfolio!$D$8:$AM$8)</f>
        <v>0</v>
      </c>
      <c r="E302" s="25">
        <f t="shared" si="25"/>
        <v>0</v>
      </c>
      <c r="F302" s="25"/>
      <c r="G302" s="25"/>
      <c r="H302" s="25"/>
      <c r="I302" s="25"/>
      <c r="J302" s="15">
        <f>SUMPRODUCT(Business_Portfolio!$V302:$AM302,Business_Portfolio!$V$8:$AM$8)</f>
        <v>0</v>
      </c>
      <c r="K302" s="25">
        <f t="shared" si="26"/>
        <v>0</v>
      </c>
      <c r="L302" s="25"/>
      <c r="M302" s="25"/>
      <c r="N302" s="25"/>
      <c r="O302" s="25"/>
      <c r="P302" s="15">
        <f>SUMPRODUCT(Business_Portfolio!$D302:$U302,Business_Portfolio!$D$8:$U$8)</f>
        <v>0</v>
      </c>
      <c r="Q302" s="25">
        <f t="shared" si="27"/>
        <v>0</v>
      </c>
      <c r="R302" s="25"/>
      <c r="S302" s="25"/>
      <c r="T302" s="25"/>
      <c r="U302" s="25"/>
    </row>
    <row r="303" spans="1:21" x14ac:dyDescent="0.25">
      <c r="A303" s="155">
        <f t="shared" si="28"/>
        <v>23</v>
      </c>
      <c r="C303" s="79">
        <v>22.833333333333279</v>
      </c>
      <c r="D303" s="15">
        <f>SUMPRODUCT(Business_Portfolio!D303:AM303,Business_Portfolio!$D$8:$AM$8)</f>
        <v>0</v>
      </c>
      <c r="E303" s="25">
        <f t="shared" si="25"/>
        <v>0</v>
      </c>
      <c r="F303" s="25"/>
      <c r="G303" s="25"/>
      <c r="H303" s="25"/>
      <c r="I303" s="25"/>
      <c r="J303" s="15">
        <f>SUMPRODUCT(Business_Portfolio!$V303:$AM303,Business_Portfolio!$V$8:$AM$8)</f>
        <v>0</v>
      </c>
      <c r="K303" s="25">
        <f t="shared" si="26"/>
        <v>0</v>
      </c>
      <c r="L303" s="25"/>
      <c r="M303" s="25"/>
      <c r="N303" s="25"/>
      <c r="O303" s="25"/>
      <c r="P303" s="15">
        <f>SUMPRODUCT(Business_Portfolio!$D303:$U303,Business_Portfolio!$D$8:$U$8)</f>
        <v>0</v>
      </c>
      <c r="Q303" s="25">
        <f t="shared" si="27"/>
        <v>0</v>
      </c>
      <c r="R303" s="25"/>
      <c r="S303" s="25"/>
      <c r="T303" s="25"/>
      <c r="U303" s="25"/>
    </row>
    <row r="304" spans="1:21" x14ac:dyDescent="0.25">
      <c r="A304" s="155">
        <f t="shared" si="28"/>
        <v>23</v>
      </c>
      <c r="C304" s="79">
        <v>22.916666666666611</v>
      </c>
      <c r="D304" s="15">
        <f>SUMPRODUCT(Business_Portfolio!D304:AM304,Business_Portfolio!$D$8:$AM$8)</f>
        <v>0</v>
      </c>
      <c r="E304" s="25">
        <f t="shared" si="25"/>
        <v>0</v>
      </c>
      <c r="F304" s="25"/>
      <c r="G304" s="25"/>
      <c r="H304" s="25"/>
      <c r="I304" s="25"/>
      <c r="J304" s="15">
        <f>SUMPRODUCT(Business_Portfolio!$V304:$AM304,Business_Portfolio!$V$8:$AM$8)</f>
        <v>0</v>
      </c>
      <c r="K304" s="25">
        <f t="shared" si="26"/>
        <v>0</v>
      </c>
      <c r="L304" s="25"/>
      <c r="M304" s="25"/>
      <c r="N304" s="25"/>
      <c r="O304" s="25"/>
      <c r="P304" s="15">
        <f>SUMPRODUCT(Business_Portfolio!$D304:$U304,Business_Portfolio!$D$8:$U$8)</f>
        <v>0</v>
      </c>
      <c r="Q304" s="25">
        <f t="shared" si="27"/>
        <v>0</v>
      </c>
      <c r="R304" s="25"/>
      <c r="S304" s="25"/>
      <c r="T304" s="25"/>
      <c r="U304" s="25"/>
    </row>
    <row r="305" spans="1:21" x14ac:dyDescent="0.25">
      <c r="A305" s="155">
        <f t="shared" si="28"/>
        <v>23</v>
      </c>
      <c r="C305" s="79">
        <v>22.999999999999943</v>
      </c>
      <c r="D305" s="15">
        <f>SUMPRODUCT(Business_Portfolio!D305:AM305,Business_Portfolio!$D$8:$AM$8)</f>
        <v>0</v>
      </c>
      <c r="E305" s="25">
        <f t="shared" si="25"/>
        <v>0</v>
      </c>
      <c r="F305" s="25"/>
      <c r="G305" s="25"/>
      <c r="H305" s="25"/>
      <c r="I305" s="25"/>
      <c r="J305" s="15">
        <f>SUMPRODUCT(Business_Portfolio!$V305:$AM305,Business_Portfolio!$V$8:$AM$8)</f>
        <v>0</v>
      </c>
      <c r="K305" s="25">
        <f t="shared" si="26"/>
        <v>0</v>
      </c>
      <c r="L305" s="25"/>
      <c r="M305" s="25"/>
      <c r="N305" s="25"/>
      <c r="O305" s="25"/>
      <c r="P305" s="15">
        <f>SUMPRODUCT(Business_Portfolio!$D305:$U305,Business_Portfolio!$D$8:$U$8)</f>
        <v>0</v>
      </c>
      <c r="Q305" s="25">
        <f t="shared" si="27"/>
        <v>0</v>
      </c>
      <c r="R305" s="25"/>
      <c r="S305" s="25"/>
      <c r="T305" s="25"/>
      <c r="U305" s="25"/>
    </row>
    <row r="306" spans="1:21" x14ac:dyDescent="0.25">
      <c r="A306" s="155">
        <f t="shared" si="28"/>
        <v>24</v>
      </c>
      <c r="C306" s="79">
        <v>23.083333333333275</v>
      </c>
      <c r="D306" s="15">
        <f>SUMPRODUCT(Business_Portfolio!D306:AM306,Business_Portfolio!$D$8:$AM$8)</f>
        <v>0</v>
      </c>
      <c r="E306" s="25">
        <f t="shared" si="25"/>
        <v>0</v>
      </c>
      <c r="F306" s="25"/>
      <c r="G306" s="25"/>
      <c r="H306" s="25"/>
      <c r="I306" s="25"/>
      <c r="J306" s="15">
        <f>SUMPRODUCT(Business_Portfolio!$V306:$AM306,Business_Portfolio!$V$8:$AM$8)</f>
        <v>0</v>
      </c>
      <c r="K306" s="25">
        <f t="shared" si="26"/>
        <v>0</v>
      </c>
      <c r="L306" s="25"/>
      <c r="M306" s="25"/>
      <c r="N306" s="25"/>
      <c r="O306" s="25"/>
      <c r="P306" s="15">
        <f>SUMPRODUCT(Business_Portfolio!$D306:$U306,Business_Portfolio!$D$8:$U$8)</f>
        <v>0</v>
      </c>
      <c r="Q306" s="25">
        <f t="shared" si="27"/>
        <v>0</v>
      </c>
      <c r="R306" s="25"/>
      <c r="S306" s="25"/>
      <c r="T306" s="25"/>
      <c r="U306" s="25"/>
    </row>
    <row r="307" spans="1:21" x14ac:dyDescent="0.25">
      <c r="A307" s="155">
        <f t="shared" si="28"/>
        <v>24</v>
      </c>
      <c r="C307" s="79">
        <v>23.166666666666607</v>
      </c>
      <c r="D307" s="15">
        <f>SUMPRODUCT(Business_Portfolio!D307:AM307,Business_Portfolio!$D$8:$AM$8)</f>
        <v>0</v>
      </c>
      <c r="E307" s="25">
        <f t="shared" si="25"/>
        <v>0</v>
      </c>
      <c r="F307" s="25"/>
      <c r="G307" s="25"/>
      <c r="H307" s="25"/>
      <c r="I307" s="25"/>
      <c r="J307" s="15">
        <f>SUMPRODUCT(Business_Portfolio!$V307:$AM307,Business_Portfolio!$V$8:$AM$8)</f>
        <v>0</v>
      </c>
      <c r="K307" s="25">
        <f t="shared" si="26"/>
        <v>0</v>
      </c>
      <c r="L307" s="25"/>
      <c r="M307" s="25"/>
      <c r="N307" s="25"/>
      <c r="O307" s="25"/>
      <c r="P307" s="15">
        <f>SUMPRODUCT(Business_Portfolio!$D307:$U307,Business_Portfolio!$D$8:$U$8)</f>
        <v>0</v>
      </c>
      <c r="Q307" s="25">
        <f t="shared" si="27"/>
        <v>0</v>
      </c>
      <c r="R307" s="25"/>
      <c r="S307" s="25"/>
      <c r="T307" s="25"/>
      <c r="U307" s="25"/>
    </row>
    <row r="308" spans="1:21" x14ac:dyDescent="0.25">
      <c r="A308" s="155">
        <f t="shared" si="28"/>
        <v>24</v>
      </c>
      <c r="C308" s="79">
        <v>23.24999999999994</v>
      </c>
      <c r="D308" s="15">
        <f>SUMPRODUCT(Business_Portfolio!D308:AM308,Business_Portfolio!$D$8:$AM$8)</f>
        <v>0</v>
      </c>
      <c r="E308" s="25">
        <f t="shared" si="25"/>
        <v>0</v>
      </c>
      <c r="F308" s="25"/>
      <c r="G308" s="25"/>
      <c r="H308" s="25"/>
      <c r="I308" s="25"/>
      <c r="J308" s="15">
        <f>SUMPRODUCT(Business_Portfolio!$V308:$AM308,Business_Portfolio!$V$8:$AM$8)</f>
        <v>0</v>
      </c>
      <c r="K308" s="25">
        <f t="shared" si="26"/>
        <v>0</v>
      </c>
      <c r="L308" s="25"/>
      <c r="M308" s="25"/>
      <c r="N308" s="25"/>
      <c r="O308" s="25"/>
      <c r="P308" s="15">
        <f>SUMPRODUCT(Business_Portfolio!$D308:$U308,Business_Portfolio!$D$8:$U$8)</f>
        <v>0</v>
      </c>
      <c r="Q308" s="25">
        <f t="shared" si="27"/>
        <v>0</v>
      </c>
      <c r="R308" s="25"/>
      <c r="S308" s="25"/>
      <c r="T308" s="25"/>
      <c r="U308" s="25"/>
    </row>
    <row r="309" spans="1:21" x14ac:dyDescent="0.25">
      <c r="A309" s="155">
        <f t="shared" si="28"/>
        <v>24</v>
      </c>
      <c r="C309" s="79">
        <v>23.333333333333272</v>
      </c>
      <c r="D309" s="15">
        <f>SUMPRODUCT(Business_Portfolio!D309:AM309,Business_Portfolio!$D$8:$AM$8)</f>
        <v>0</v>
      </c>
      <c r="E309" s="25">
        <f t="shared" si="25"/>
        <v>0</v>
      </c>
      <c r="F309" s="25"/>
      <c r="G309" s="25"/>
      <c r="H309" s="25"/>
      <c r="I309" s="25"/>
      <c r="J309" s="15">
        <f>SUMPRODUCT(Business_Portfolio!$V309:$AM309,Business_Portfolio!$V$8:$AM$8)</f>
        <v>0</v>
      </c>
      <c r="K309" s="25">
        <f t="shared" si="26"/>
        <v>0</v>
      </c>
      <c r="L309" s="25"/>
      <c r="M309" s="25"/>
      <c r="N309" s="25"/>
      <c r="O309" s="25"/>
      <c r="P309" s="15">
        <f>SUMPRODUCT(Business_Portfolio!$D309:$U309,Business_Portfolio!$D$8:$U$8)</f>
        <v>0</v>
      </c>
      <c r="Q309" s="25">
        <f t="shared" si="27"/>
        <v>0</v>
      </c>
      <c r="R309" s="25"/>
      <c r="S309" s="25"/>
      <c r="T309" s="25"/>
      <c r="U309" s="25"/>
    </row>
    <row r="310" spans="1:21" x14ac:dyDescent="0.25">
      <c r="A310" s="155">
        <f t="shared" si="28"/>
        <v>24</v>
      </c>
      <c r="C310" s="79">
        <v>23.416666666666604</v>
      </c>
      <c r="D310" s="15">
        <f>SUMPRODUCT(Business_Portfolio!D310:AM310,Business_Portfolio!$D$8:$AM$8)</f>
        <v>0</v>
      </c>
      <c r="E310" s="25">
        <f t="shared" si="25"/>
        <v>0</v>
      </c>
      <c r="F310" s="25"/>
      <c r="G310" s="25"/>
      <c r="H310" s="25"/>
      <c r="I310" s="25"/>
      <c r="J310" s="15">
        <f>SUMPRODUCT(Business_Portfolio!$V310:$AM310,Business_Portfolio!$V$8:$AM$8)</f>
        <v>0</v>
      </c>
      <c r="K310" s="25">
        <f t="shared" si="26"/>
        <v>0</v>
      </c>
      <c r="L310" s="25"/>
      <c r="M310" s="25"/>
      <c r="N310" s="25"/>
      <c r="O310" s="25"/>
      <c r="P310" s="15">
        <f>SUMPRODUCT(Business_Portfolio!$D310:$U310,Business_Portfolio!$D$8:$U$8)</f>
        <v>0</v>
      </c>
      <c r="Q310" s="25">
        <f t="shared" si="27"/>
        <v>0</v>
      </c>
      <c r="R310" s="25"/>
      <c r="S310" s="25"/>
      <c r="T310" s="25"/>
      <c r="U310" s="25"/>
    </row>
    <row r="311" spans="1:21" x14ac:dyDescent="0.25">
      <c r="A311" s="155">
        <f t="shared" si="28"/>
        <v>24</v>
      </c>
      <c r="C311" s="79">
        <v>23.499999999999936</v>
      </c>
      <c r="D311" s="15">
        <f>SUMPRODUCT(Business_Portfolio!D311:AM311,Business_Portfolio!$D$8:$AM$8)</f>
        <v>0</v>
      </c>
      <c r="E311" s="25">
        <f t="shared" si="25"/>
        <v>0</v>
      </c>
      <c r="F311" s="25"/>
      <c r="G311" s="25"/>
      <c r="H311" s="25"/>
      <c r="I311" s="25"/>
      <c r="J311" s="15">
        <f>SUMPRODUCT(Business_Portfolio!$V311:$AM311,Business_Portfolio!$V$8:$AM$8)</f>
        <v>0</v>
      </c>
      <c r="K311" s="25">
        <f t="shared" si="26"/>
        <v>0</v>
      </c>
      <c r="L311" s="25"/>
      <c r="M311" s="25"/>
      <c r="N311" s="25"/>
      <c r="O311" s="25"/>
      <c r="P311" s="15">
        <f>SUMPRODUCT(Business_Portfolio!$D311:$U311,Business_Portfolio!$D$8:$U$8)</f>
        <v>0</v>
      </c>
      <c r="Q311" s="25">
        <f t="shared" si="27"/>
        <v>0</v>
      </c>
      <c r="R311" s="25"/>
      <c r="S311" s="25"/>
      <c r="T311" s="25"/>
      <c r="U311" s="25"/>
    </row>
    <row r="312" spans="1:21" x14ac:dyDescent="0.25">
      <c r="A312" s="155">
        <f t="shared" si="28"/>
        <v>24</v>
      </c>
      <c r="C312" s="79">
        <v>23.583333333333268</v>
      </c>
      <c r="D312" s="15">
        <f>SUMPRODUCT(Business_Portfolio!D312:AM312,Business_Portfolio!$D$8:$AM$8)</f>
        <v>0</v>
      </c>
      <c r="E312" s="25">
        <f t="shared" si="25"/>
        <v>0</v>
      </c>
      <c r="F312" s="25"/>
      <c r="G312" s="25"/>
      <c r="H312" s="25"/>
      <c r="I312" s="25"/>
      <c r="J312" s="15">
        <f>SUMPRODUCT(Business_Portfolio!$V312:$AM312,Business_Portfolio!$V$8:$AM$8)</f>
        <v>0</v>
      </c>
      <c r="K312" s="25">
        <f t="shared" si="26"/>
        <v>0</v>
      </c>
      <c r="L312" s="25"/>
      <c r="M312" s="25"/>
      <c r="N312" s="25"/>
      <c r="O312" s="25"/>
      <c r="P312" s="15">
        <f>SUMPRODUCT(Business_Portfolio!$D312:$U312,Business_Portfolio!$D$8:$U$8)</f>
        <v>0</v>
      </c>
      <c r="Q312" s="25">
        <f t="shared" si="27"/>
        <v>0</v>
      </c>
      <c r="R312" s="25"/>
      <c r="S312" s="25"/>
      <c r="T312" s="25"/>
      <c r="U312" s="25"/>
    </row>
    <row r="313" spans="1:21" x14ac:dyDescent="0.25">
      <c r="A313" s="155">
        <f t="shared" si="28"/>
        <v>24</v>
      </c>
      <c r="C313" s="79">
        <v>23.6666666666666</v>
      </c>
      <c r="D313" s="15">
        <f>SUMPRODUCT(Business_Portfolio!D313:AM313,Business_Portfolio!$D$8:$AM$8)</f>
        <v>0</v>
      </c>
      <c r="E313" s="25">
        <f t="shared" si="25"/>
        <v>0</v>
      </c>
      <c r="F313" s="25"/>
      <c r="G313" s="25"/>
      <c r="H313" s="25"/>
      <c r="I313" s="25"/>
      <c r="J313" s="15">
        <f>SUMPRODUCT(Business_Portfolio!$V313:$AM313,Business_Portfolio!$V$8:$AM$8)</f>
        <v>0</v>
      </c>
      <c r="K313" s="25">
        <f t="shared" si="26"/>
        <v>0</v>
      </c>
      <c r="L313" s="25"/>
      <c r="M313" s="25"/>
      <c r="N313" s="25"/>
      <c r="O313" s="25"/>
      <c r="P313" s="15">
        <f>SUMPRODUCT(Business_Portfolio!$D313:$U313,Business_Portfolio!$D$8:$U$8)</f>
        <v>0</v>
      </c>
      <c r="Q313" s="25">
        <f t="shared" si="27"/>
        <v>0</v>
      </c>
      <c r="R313" s="25"/>
      <c r="S313" s="25"/>
      <c r="T313" s="25"/>
      <c r="U313" s="25"/>
    </row>
    <row r="314" spans="1:21" x14ac:dyDescent="0.25">
      <c r="A314" s="155">
        <f t="shared" si="28"/>
        <v>24</v>
      </c>
      <c r="C314" s="79">
        <v>23.749999999999932</v>
      </c>
      <c r="D314" s="15">
        <f>SUMPRODUCT(Business_Portfolio!D314:AM314,Business_Portfolio!$D$8:$AM$8)</f>
        <v>0</v>
      </c>
      <c r="E314" s="25">
        <f t="shared" si="25"/>
        <v>0</v>
      </c>
      <c r="F314" s="25"/>
      <c r="G314" s="25"/>
      <c r="H314" s="25"/>
      <c r="I314" s="25"/>
      <c r="J314" s="15">
        <f>SUMPRODUCT(Business_Portfolio!$V314:$AM314,Business_Portfolio!$V$8:$AM$8)</f>
        <v>0</v>
      </c>
      <c r="K314" s="25">
        <f t="shared" si="26"/>
        <v>0</v>
      </c>
      <c r="L314" s="25"/>
      <c r="M314" s="25"/>
      <c r="N314" s="25"/>
      <c r="O314" s="25"/>
      <c r="P314" s="15">
        <f>SUMPRODUCT(Business_Portfolio!$D314:$U314,Business_Portfolio!$D$8:$U$8)</f>
        <v>0</v>
      </c>
      <c r="Q314" s="25">
        <f t="shared" si="27"/>
        <v>0</v>
      </c>
      <c r="R314" s="25"/>
      <c r="S314" s="25"/>
      <c r="T314" s="25"/>
      <c r="U314" s="25"/>
    </row>
    <row r="315" spans="1:21" x14ac:dyDescent="0.25">
      <c r="A315" s="155">
        <f t="shared" si="28"/>
        <v>24</v>
      </c>
      <c r="C315" s="79">
        <v>23.833333333333265</v>
      </c>
      <c r="D315" s="15">
        <f>SUMPRODUCT(Business_Portfolio!D315:AM315,Business_Portfolio!$D$8:$AM$8)</f>
        <v>0</v>
      </c>
      <c r="E315" s="25">
        <f t="shared" si="25"/>
        <v>0</v>
      </c>
      <c r="F315" s="25"/>
      <c r="G315" s="25"/>
      <c r="H315" s="25"/>
      <c r="I315" s="25"/>
      <c r="J315" s="15">
        <f>SUMPRODUCT(Business_Portfolio!$V315:$AM315,Business_Portfolio!$V$8:$AM$8)</f>
        <v>0</v>
      </c>
      <c r="K315" s="25">
        <f t="shared" si="26"/>
        <v>0</v>
      </c>
      <c r="L315" s="25"/>
      <c r="M315" s="25"/>
      <c r="N315" s="25"/>
      <c r="O315" s="25"/>
      <c r="P315" s="15">
        <f>SUMPRODUCT(Business_Portfolio!$D315:$U315,Business_Portfolio!$D$8:$U$8)</f>
        <v>0</v>
      </c>
      <c r="Q315" s="25">
        <f t="shared" si="27"/>
        <v>0</v>
      </c>
      <c r="R315" s="25"/>
      <c r="S315" s="25"/>
      <c r="T315" s="25"/>
      <c r="U315" s="25"/>
    </row>
    <row r="316" spans="1:21" x14ac:dyDescent="0.25">
      <c r="A316" s="155">
        <f t="shared" si="28"/>
        <v>24</v>
      </c>
      <c r="C316" s="79">
        <v>23.916666666666597</v>
      </c>
      <c r="D316" s="15">
        <f>SUMPRODUCT(Business_Portfolio!D316:AM316,Business_Portfolio!$D$8:$AM$8)</f>
        <v>0</v>
      </c>
      <c r="E316" s="25">
        <f t="shared" si="25"/>
        <v>0</v>
      </c>
      <c r="F316" s="25"/>
      <c r="G316" s="25"/>
      <c r="H316" s="25"/>
      <c r="I316" s="25"/>
      <c r="J316" s="15">
        <f>SUMPRODUCT(Business_Portfolio!$V316:$AM316,Business_Portfolio!$V$8:$AM$8)</f>
        <v>0</v>
      </c>
      <c r="K316" s="25">
        <f t="shared" si="26"/>
        <v>0</v>
      </c>
      <c r="L316" s="25"/>
      <c r="M316" s="25"/>
      <c r="N316" s="25"/>
      <c r="O316" s="25"/>
      <c r="P316" s="15">
        <f>SUMPRODUCT(Business_Portfolio!$D316:$U316,Business_Portfolio!$D$8:$U$8)</f>
        <v>0</v>
      </c>
      <c r="Q316" s="25">
        <f t="shared" si="27"/>
        <v>0</v>
      </c>
      <c r="R316" s="25"/>
      <c r="S316" s="25"/>
      <c r="T316" s="25"/>
      <c r="U316" s="25"/>
    </row>
    <row r="317" spans="1:21" x14ac:dyDescent="0.25">
      <c r="A317" s="155">
        <f t="shared" si="28"/>
        <v>24</v>
      </c>
      <c r="C317" s="79">
        <v>23.999999999999929</v>
      </c>
      <c r="D317" s="15">
        <f>SUMPRODUCT(Business_Portfolio!D317:AM317,Business_Portfolio!$D$8:$AM$8)</f>
        <v>0</v>
      </c>
      <c r="E317" s="25">
        <f t="shared" si="25"/>
        <v>0</v>
      </c>
      <c r="F317" s="25"/>
      <c r="G317" s="25"/>
      <c r="H317" s="25"/>
      <c r="I317" s="25"/>
      <c r="J317" s="15">
        <f>SUMPRODUCT(Business_Portfolio!$V317:$AM317,Business_Portfolio!$V$8:$AM$8)</f>
        <v>0</v>
      </c>
      <c r="K317" s="25">
        <f t="shared" si="26"/>
        <v>0</v>
      </c>
      <c r="L317" s="25"/>
      <c r="M317" s="25"/>
      <c r="N317" s="25"/>
      <c r="O317" s="25"/>
      <c r="P317" s="15">
        <f>SUMPRODUCT(Business_Portfolio!$D317:$U317,Business_Portfolio!$D$8:$U$8)</f>
        <v>0</v>
      </c>
      <c r="Q317" s="25">
        <f t="shared" si="27"/>
        <v>0</v>
      </c>
      <c r="R317" s="25"/>
      <c r="S317" s="25"/>
      <c r="T317" s="25"/>
      <c r="U317" s="25"/>
    </row>
    <row r="318" spans="1:21" x14ac:dyDescent="0.25">
      <c r="A318" s="155">
        <f t="shared" si="28"/>
        <v>25</v>
      </c>
      <c r="C318" s="79">
        <v>24.083333333333261</v>
      </c>
      <c r="D318" s="15">
        <f>SUMPRODUCT(Business_Portfolio!D318:AM318,Business_Portfolio!$D$8:$AM$8)</f>
        <v>0</v>
      </c>
      <c r="E318" s="25">
        <f t="shared" si="25"/>
        <v>0</v>
      </c>
      <c r="F318" s="25"/>
      <c r="G318" s="25"/>
      <c r="H318" s="25"/>
      <c r="I318" s="25"/>
      <c r="J318" s="15">
        <f>SUMPRODUCT(Business_Portfolio!$V318:$AM318,Business_Portfolio!$V$8:$AM$8)</f>
        <v>0</v>
      </c>
      <c r="K318" s="25">
        <f t="shared" si="26"/>
        <v>0</v>
      </c>
      <c r="L318" s="25"/>
      <c r="M318" s="25"/>
      <c r="N318" s="25"/>
      <c r="O318" s="25"/>
      <c r="P318" s="15">
        <f>SUMPRODUCT(Business_Portfolio!$D318:$U318,Business_Portfolio!$D$8:$U$8)</f>
        <v>0</v>
      </c>
      <c r="Q318" s="25">
        <f t="shared" si="27"/>
        <v>0</v>
      </c>
      <c r="R318" s="25"/>
      <c r="S318" s="25"/>
      <c r="T318" s="25"/>
      <c r="U318" s="25"/>
    </row>
    <row r="319" spans="1:21" x14ac:dyDescent="0.25">
      <c r="A319" s="155">
        <f t="shared" si="28"/>
        <v>25</v>
      </c>
      <c r="C319" s="79">
        <v>24.166666666666593</v>
      </c>
      <c r="D319" s="15">
        <f>SUMPRODUCT(Business_Portfolio!D319:AM319,Business_Portfolio!$D$8:$AM$8)</f>
        <v>0</v>
      </c>
      <c r="E319" s="25">
        <f t="shared" si="25"/>
        <v>0</v>
      </c>
      <c r="F319" s="25"/>
      <c r="G319" s="25"/>
      <c r="H319" s="25"/>
      <c r="I319" s="25"/>
      <c r="J319" s="15">
        <f>SUMPRODUCT(Business_Portfolio!$V319:$AM319,Business_Portfolio!$V$8:$AM$8)</f>
        <v>0</v>
      </c>
      <c r="K319" s="25">
        <f t="shared" si="26"/>
        <v>0</v>
      </c>
      <c r="L319" s="25"/>
      <c r="M319" s="25"/>
      <c r="N319" s="25"/>
      <c r="O319" s="25"/>
      <c r="P319" s="15">
        <f>SUMPRODUCT(Business_Portfolio!$D319:$U319,Business_Portfolio!$D$8:$U$8)</f>
        <v>0</v>
      </c>
      <c r="Q319" s="25">
        <f t="shared" si="27"/>
        <v>0</v>
      </c>
      <c r="R319" s="25"/>
      <c r="S319" s="25"/>
      <c r="T319" s="25"/>
      <c r="U319" s="25"/>
    </row>
    <row r="320" spans="1:21" x14ac:dyDescent="0.25">
      <c r="A320" s="155">
        <f t="shared" si="28"/>
        <v>25</v>
      </c>
      <c r="C320" s="79">
        <v>24.249999999999925</v>
      </c>
      <c r="D320" s="15">
        <f>SUMPRODUCT(Business_Portfolio!D320:AM320,Business_Portfolio!$D$8:$AM$8)</f>
        <v>0</v>
      </c>
      <c r="E320" s="25">
        <f t="shared" si="25"/>
        <v>0</v>
      </c>
      <c r="F320" s="25"/>
      <c r="G320" s="25"/>
      <c r="H320" s="25"/>
      <c r="I320" s="25"/>
      <c r="J320" s="15">
        <f>SUMPRODUCT(Business_Portfolio!$V320:$AM320,Business_Portfolio!$V$8:$AM$8)</f>
        <v>0</v>
      </c>
      <c r="K320" s="25">
        <f t="shared" si="26"/>
        <v>0</v>
      </c>
      <c r="L320" s="25"/>
      <c r="M320" s="25"/>
      <c r="N320" s="25"/>
      <c r="O320" s="25"/>
      <c r="P320" s="15">
        <f>SUMPRODUCT(Business_Portfolio!$D320:$U320,Business_Portfolio!$D$8:$U$8)</f>
        <v>0</v>
      </c>
      <c r="Q320" s="25">
        <f t="shared" si="27"/>
        <v>0</v>
      </c>
      <c r="R320" s="25"/>
      <c r="S320" s="25"/>
      <c r="T320" s="25"/>
      <c r="U320" s="25"/>
    </row>
    <row r="321" spans="1:21" x14ac:dyDescent="0.25">
      <c r="A321" s="155">
        <f t="shared" si="28"/>
        <v>25</v>
      </c>
      <c r="C321" s="79">
        <v>24.333333333333258</v>
      </c>
      <c r="D321" s="15">
        <f>SUMPRODUCT(Business_Portfolio!D321:AM321,Business_Portfolio!$D$8:$AM$8)</f>
        <v>0</v>
      </c>
      <c r="E321" s="25">
        <f t="shared" si="25"/>
        <v>0</v>
      </c>
      <c r="F321" s="25"/>
      <c r="G321" s="25"/>
      <c r="H321" s="25"/>
      <c r="I321" s="25"/>
      <c r="J321" s="15">
        <f>SUMPRODUCT(Business_Portfolio!$V321:$AM321,Business_Portfolio!$V$8:$AM$8)</f>
        <v>0</v>
      </c>
      <c r="K321" s="25">
        <f t="shared" si="26"/>
        <v>0</v>
      </c>
      <c r="L321" s="25"/>
      <c r="M321" s="25"/>
      <c r="N321" s="25"/>
      <c r="O321" s="25"/>
      <c r="P321" s="15">
        <f>SUMPRODUCT(Business_Portfolio!$D321:$U321,Business_Portfolio!$D$8:$U$8)</f>
        <v>0</v>
      </c>
      <c r="Q321" s="25">
        <f t="shared" si="27"/>
        <v>0</v>
      </c>
      <c r="R321" s="25"/>
      <c r="S321" s="25"/>
      <c r="T321" s="25"/>
      <c r="U321" s="25"/>
    </row>
    <row r="322" spans="1:21" x14ac:dyDescent="0.25">
      <c r="A322" s="155">
        <f t="shared" si="28"/>
        <v>25</v>
      </c>
      <c r="C322" s="79">
        <v>24.41666666666659</v>
      </c>
      <c r="D322" s="15">
        <f>SUMPRODUCT(Business_Portfolio!D322:AM322,Business_Portfolio!$D$8:$AM$8)</f>
        <v>0</v>
      </c>
      <c r="E322" s="25">
        <f t="shared" si="25"/>
        <v>0</v>
      </c>
      <c r="F322" s="25"/>
      <c r="G322" s="25"/>
      <c r="H322" s="25"/>
      <c r="I322" s="25"/>
      <c r="J322" s="15">
        <f>SUMPRODUCT(Business_Portfolio!$V322:$AM322,Business_Portfolio!$V$8:$AM$8)</f>
        <v>0</v>
      </c>
      <c r="K322" s="25">
        <f t="shared" si="26"/>
        <v>0</v>
      </c>
      <c r="L322" s="25"/>
      <c r="M322" s="25"/>
      <c r="N322" s="25"/>
      <c r="O322" s="25"/>
      <c r="P322" s="15">
        <f>SUMPRODUCT(Business_Portfolio!$D322:$U322,Business_Portfolio!$D$8:$U$8)</f>
        <v>0</v>
      </c>
      <c r="Q322" s="25">
        <f t="shared" si="27"/>
        <v>0</v>
      </c>
      <c r="R322" s="25"/>
      <c r="S322" s="25"/>
      <c r="T322" s="25"/>
      <c r="U322" s="25"/>
    </row>
    <row r="323" spans="1:21" x14ac:dyDescent="0.25">
      <c r="A323" s="155">
        <f t="shared" si="28"/>
        <v>25</v>
      </c>
      <c r="C323" s="79">
        <v>24.499999999999922</v>
      </c>
      <c r="D323" s="15">
        <f>SUMPRODUCT(Business_Portfolio!D323:AM323,Business_Portfolio!$D$8:$AM$8)</f>
        <v>0</v>
      </c>
      <c r="E323" s="25">
        <f t="shared" si="25"/>
        <v>0</v>
      </c>
      <c r="F323" s="25"/>
      <c r="G323" s="25"/>
      <c r="H323" s="25"/>
      <c r="I323" s="25"/>
      <c r="J323" s="15">
        <f>SUMPRODUCT(Business_Portfolio!$V323:$AM323,Business_Portfolio!$V$8:$AM$8)</f>
        <v>0</v>
      </c>
      <c r="K323" s="25">
        <f t="shared" si="26"/>
        <v>0</v>
      </c>
      <c r="L323" s="25"/>
      <c r="M323" s="25"/>
      <c r="N323" s="25"/>
      <c r="O323" s="25"/>
      <c r="P323" s="15">
        <f>SUMPRODUCT(Business_Portfolio!$D323:$U323,Business_Portfolio!$D$8:$U$8)</f>
        <v>0</v>
      </c>
      <c r="Q323" s="25">
        <f t="shared" si="27"/>
        <v>0</v>
      </c>
      <c r="R323" s="25"/>
      <c r="S323" s="25"/>
      <c r="T323" s="25"/>
      <c r="U323" s="25"/>
    </row>
    <row r="324" spans="1:21" x14ac:dyDescent="0.25">
      <c r="A324" s="155">
        <f t="shared" si="28"/>
        <v>25</v>
      </c>
      <c r="C324" s="79">
        <v>24.583333333333254</v>
      </c>
      <c r="D324" s="15">
        <f>SUMPRODUCT(Business_Portfolio!D324:AM324,Business_Portfolio!$D$8:$AM$8)</f>
        <v>0</v>
      </c>
      <c r="E324" s="25">
        <f t="shared" si="25"/>
        <v>0</v>
      </c>
      <c r="F324" s="25"/>
      <c r="G324" s="25"/>
      <c r="H324" s="25"/>
      <c r="I324" s="25"/>
      <c r="J324" s="15">
        <f>SUMPRODUCT(Business_Portfolio!$V324:$AM324,Business_Portfolio!$V$8:$AM$8)</f>
        <v>0</v>
      </c>
      <c r="K324" s="25">
        <f t="shared" si="26"/>
        <v>0</v>
      </c>
      <c r="L324" s="25"/>
      <c r="M324" s="25"/>
      <c r="N324" s="25"/>
      <c r="O324" s="25"/>
      <c r="P324" s="15">
        <f>SUMPRODUCT(Business_Portfolio!$D324:$U324,Business_Portfolio!$D$8:$U$8)</f>
        <v>0</v>
      </c>
      <c r="Q324" s="25">
        <f t="shared" si="27"/>
        <v>0</v>
      </c>
      <c r="R324" s="25"/>
      <c r="S324" s="25"/>
      <c r="T324" s="25"/>
      <c r="U324" s="25"/>
    </row>
    <row r="325" spans="1:21" x14ac:dyDescent="0.25">
      <c r="A325" s="155">
        <f t="shared" si="28"/>
        <v>25</v>
      </c>
      <c r="C325" s="79">
        <v>24.666666666666586</v>
      </c>
      <c r="D325" s="15">
        <f>SUMPRODUCT(Business_Portfolio!D325:AM325,Business_Portfolio!$D$8:$AM$8)</f>
        <v>0</v>
      </c>
      <c r="E325" s="25">
        <f t="shared" si="25"/>
        <v>0</v>
      </c>
      <c r="F325" s="25"/>
      <c r="G325" s="25"/>
      <c r="H325" s="25"/>
      <c r="I325" s="25"/>
      <c r="J325" s="15">
        <f>SUMPRODUCT(Business_Portfolio!$V325:$AM325,Business_Portfolio!$V$8:$AM$8)</f>
        <v>0</v>
      </c>
      <c r="K325" s="25">
        <f t="shared" si="26"/>
        <v>0</v>
      </c>
      <c r="L325" s="25"/>
      <c r="M325" s="25"/>
      <c r="N325" s="25"/>
      <c r="O325" s="25"/>
      <c r="P325" s="15">
        <f>SUMPRODUCT(Business_Portfolio!$D325:$U325,Business_Portfolio!$D$8:$U$8)</f>
        <v>0</v>
      </c>
      <c r="Q325" s="25">
        <f t="shared" si="27"/>
        <v>0</v>
      </c>
      <c r="R325" s="25"/>
      <c r="S325" s="25"/>
      <c r="T325" s="25"/>
      <c r="U325" s="25"/>
    </row>
    <row r="326" spans="1:21" x14ac:dyDescent="0.25">
      <c r="A326" s="155">
        <f t="shared" si="28"/>
        <v>25</v>
      </c>
      <c r="C326" s="79">
        <v>24.749999999999918</v>
      </c>
      <c r="D326" s="15">
        <f>SUMPRODUCT(Business_Portfolio!D326:AM326,Business_Portfolio!$D$8:$AM$8)</f>
        <v>0</v>
      </c>
      <c r="E326" s="25">
        <f t="shared" si="25"/>
        <v>0</v>
      </c>
      <c r="F326" s="25"/>
      <c r="G326" s="25"/>
      <c r="H326" s="25"/>
      <c r="I326" s="25"/>
      <c r="J326" s="15">
        <f>SUMPRODUCT(Business_Portfolio!$V326:$AM326,Business_Portfolio!$V$8:$AM$8)</f>
        <v>0</v>
      </c>
      <c r="K326" s="25">
        <f t="shared" si="26"/>
        <v>0</v>
      </c>
      <c r="L326" s="25"/>
      <c r="M326" s="25"/>
      <c r="N326" s="25"/>
      <c r="O326" s="25"/>
      <c r="P326" s="15">
        <f>SUMPRODUCT(Business_Portfolio!$D326:$U326,Business_Portfolio!$D$8:$U$8)</f>
        <v>0</v>
      </c>
      <c r="Q326" s="25">
        <f t="shared" si="27"/>
        <v>0</v>
      </c>
      <c r="R326" s="25"/>
      <c r="S326" s="25"/>
      <c r="T326" s="25"/>
      <c r="U326" s="25"/>
    </row>
    <row r="327" spans="1:21" x14ac:dyDescent="0.25">
      <c r="A327" s="155">
        <f t="shared" si="28"/>
        <v>25</v>
      </c>
      <c r="C327" s="79">
        <v>24.83333333333325</v>
      </c>
      <c r="D327" s="15">
        <f>SUMPRODUCT(Business_Portfolio!D327:AM327,Business_Portfolio!$D$8:$AM$8)</f>
        <v>0</v>
      </c>
      <c r="E327" s="25">
        <f t="shared" si="25"/>
        <v>0</v>
      </c>
      <c r="F327" s="25"/>
      <c r="G327" s="25"/>
      <c r="H327" s="25"/>
      <c r="I327" s="25"/>
      <c r="J327" s="15">
        <f>SUMPRODUCT(Business_Portfolio!$V327:$AM327,Business_Portfolio!$V$8:$AM$8)</f>
        <v>0</v>
      </c>
      <c r="K327" s="25">
        <f t="shared" si="26"/>
        <v>0</v>
      </c>
      <c r="L327" s="25"/>
      <c r="M327" s="25"/>
      <c r="N327" s="25"/>
      <c r="O327" s="25"/>
      <c r="P327" s="15">
        <f>SUMPRODUCT(Business_Portfolio!$D327:$U327,Business_Portfolio!$D$8:$U$8)</f>
        <v>0</v>
      </c>
      <c r="Q327" s="25">
        <f t="shared" si="27"/>
        <v>0</v>
      </c>
      <c r="R327" s="25"/>
      <c r="S327" s="25"/>
      <c r="T327" s="25"/>
      <c r="U327" s="25"/>
    </row>
    <row r="328" spans="1:21" x14ac:dyDescent="0.25">
      <c r="A328" s="155">
        <f t="shared" si="28"/>
        <v>25</v>
      </c>
      <c r="C328" s="79">
        <v>24.916666666666583</v>
      </c>
      <c r="D328" s="15">
        <f>SUMPRODUCT(Business_Portfolio!D328:AM328,Business_Portfolio!$D$8:$AM$8)</f>
        <v>0</v>
      </c>
      <c r="E328" s="25">
        <f t="shared" si="25"/>
        <v>0</v>
      </c>
      <c r="F328" s="25"/>
      <c r="G328" s="25"/>
      <c r="H328" s="25"/>
      <c r="I328" s="25"/>
      <c r="J328" s="15">
        <f>SUMPRODUCT(Business_Portfolio!$V328:$AM328,Business_Portfolio!$V$8:$AM$8)</f>
        <v>0</v>
      </c>
      <c r="K328" s="25">
        <f t="shared" si="26"/>
        <v>0</v>
      </c>
      <c r="L328" s="25"/>
      <c r="M328" s="25"/>
      <c r="N328" s="25"/>
      <c r="O328" s="25"/>
      <c r="P328" s="15">
        <f>SUMPRODUCT(Business_Portfolio!$D328:$U328,Business_Portfolio!$D$8:$U$8)</f>
        <v>0</v>
      </c>
      <c r="Q328" s="25">
        <f t="shared" si="27"/>
        <v>0</v>
      </c>
      <c r="R328" s="25"/>
      <c r="S328" s="25"/>
      <c r="T328" s="25"/>
      <c r="U328" s="25"/>
    </row>
    <row r="329" spans="1:21" x14ac:dyDescent="0.25">
      <c r="A329" s="155">
        <f t="shared" si="28"/>
        <v>25</v>
      </c>
      <c r="C329" s="79">
        <v>24.999999999999915</v>
      </c>
      <c r="D329" s="15">
        <f>SUMPRODUCT(Business_Portfolio!D329:AM329,Business_Portfolio!$D$8:$AM$8)</f>
        <v>0</v>
      </c>
      <c r="E329" s="25">
        <f t="shared" si="25"/>
        <v>0</v>
      </c>
      <c r="F329" s="25"/>
      <c r="G329" s="25"/>
      <c r="H329" s="25"/>
      <c r="I329" s="25"/>
      <c r="J329" s="15">
        <f>SUMPRODUCT(Business_Portfolio!$V329:$AM329,Business_Portfolio!$V$8:$AM$8)</f>
        <v>0</v>
      </c>
      <c r="K329" s="25">
        <f t="shared" si="26"/>
        <v>0</v>
      </c>
      <c r="L329" s="25"/>
      <c r="M329" s="25"/>
      <c r="N329" s="25"/>
      <c r="O329" s="25"/>
      <c r="P329" s="15">
        <f>SUMPRODUCT(Business_Portfolio!$D329:$U329,Business_Portfolio!$D$8:$U$8)</f>
        <v>0</v>
      </c>
      <c r="Q329" s="25">
        <f t="shared" si="27"/>
        <v>0</v>
      </c>
      <c r="R329" s="25"/>
      <c r="S329" s="25"/>
      <c r="T329" s="25"/>
      <c r="U329" s="25"/>
    </row>
    <row r="330" spans="1:21" x14ac:dyDescent="0.25">
      <c r="A330" s="155">
        <f t="shared" si="28"/>
        <v>26</v>
      </c>
      <c r="C330" s="79">
        <v>25.083333333333247</v>
      </c>
      <c r="D330" s="15">
        <f>SUMPRODUCT(Business_Portfolio!D330:AM330,Business_Portfolio!$D$8:$AM$8)</f>
        <v>0</v>
      </c>
      <c r="E330" s="25">
        <f t="shared" si="25"/>
        <v>0</v>
      </c>
      <c r="F330" s="25"/>
      <c r="G330" s="25"/>
      <c r="H330" s="25"/>
      <c r="I330" s="25"/>
      <c r="J330" s="15">
        <f>SUMPRODUCT(Business_Portfolio!$V330:$AM330,Business_Portfolio!$V$8:$AM$8)</f>
        <v>0</v>
      </c>
      <c r="K330" s="25">
        <f t="shared" si="26"/>
        <v>0</v>
      </c>
      <c r="L330" s="25"/>
      <c r="M330" s="25"/>
      <c r="N330" s="25"/>
      <c r="O330" s="25"/>
      <c r="P330" s="15">
        <f>SUMPRODUCT(Business_Portfolio!$D330:$U330,Business_Portfolio!$D$8:$U$8)</f>
        <v>0</v>
      </c>
      <c r="Q330" s="25">
        <f t="shared" si="27"/>
        <v>0</v>
      </c>
      <c r="R330" s="25"/>
      <c r="S330" s="25"/>
      <c r="T330" s="25"/>
      <c r="U330" s="25"/>
    </row>
    <row r="331" spans="1:21" x14ac:dyDescent="0.25">
      <c r="A331" s="155">
        <f t="shared" si="28"/>
        <v>26</v>
      </c>
      <c r="C331" s="79">
        <v>25.166666666666579</v>
      </c>
      <c r="D331" s="15">
        <f>SUMPRODUCT(Business_Portfolio!D331:AM331,Business_Portfolio!$D$8:$AM$8)</f>
        <v>0</v>
      </c>
      <c r="E331" s="25">
        <f t="shared" si="25"/>
        <v>0</v>
      </c>
      <c r="F331" s="25"/>
      <c r="G331" s="25"/>
      <c r="H331" s="25"/>
      <c r="I331" s="25"/>
      <c r="J331" s="15">
        <f>SUMPRODUCT(Business_Portfolio!$V331:$AM331,Business_Portfolio!$V$8:$AM$8)</f>
        <v>0</v>
      </c>
      <c r="K331" s="25">
        <f t="shared" si="26"/>
        <v>0</v>
      </c>
      <c r="L331" s="25"/>
      <c r="M331" s="25"/>
      <c r="N331" s="25"/>
      <c r="O331" s="25"/>
      <c r="P331" s="15">
        <f>SUMPRODUCT(Business_Portfolio!$D331:$U331,Business_Portfolio!$D$8:$U$8)</f>
        <v>0</v>
      </c>
      <c r="Q331" s="25">
        <f t="shared" si="27"/>
        <v>0</v>
      </c>
      <c r="R331" s="25"/>
      <c r="S331" s="25"/>
      <c r="T331" s="25"/>
      <c r="U331" s="25"/>
    </row>
    <row r="332" spans="1:21" x14ac:dyDescent="0.25">
      <c r="A332" s="155">
        <f t="shared" si="28"/>
        <v>26</v>
      </c>
      <c r="C332" s="79">
        <v>25.249999999999911</v>
      </c>
      <c r="D332" s="15">
        <f>SUMPRODUCT(Business_Portfolio!D332:AM332,Business_Portfolio!$D$8:$AM$8)</f>
        <v>0</v>
      </c>
      <c r="E332" s="25">
        <f t="shared" si="25"/>
        <v>0</v>
      </c>
      <c r="F332" s="25"/>
      <c r="G332" s="25"/>
      <c r="H332" s="25"/>
      <c r="I332" s="25"/>
      <c r="J332" s="15">
        <f>SUMPRODUCT(Business_Portfolio!$V332:$AM332,Business_Portfolio!$V$8:$AM$8)</f>
        <v>0</v>
      </c>
      <c r="K332" s="25">
        <f t="shared" si="26"/>
        <v>0</v>
      </c>
      <c r="L332" s="25"/>
      <c r="M332" s="25"/>
      <c r="N332" s="25"/>
      <c r="O332" s="25"/>
      <c r="P332" s="15">
        <f>SUMPRODUCT(Business_Portfolio!$D332:$U332,Business_Portfolio!$D$8:$U$8)</f>
        <v>0</v>
      </c>
      <c r="Q332" s="25">
        <f t="shared" si="27"/>
        <v>0</v>
      </c>
      <c r="R332" s="25"/>
      <c r="S332" s="25"/>
      <c r="T332" s="25"/>
      <c r="U332" s="25"/>
    </row>
    <row r="333" spans="1:21" x14ac:dyDescent="0.25">
      <c r="A333" s="155">
        <f t="shared" si="28"/>
        <v>26</v>
      </c>
      <c r="C333" s="79">
        <v>25.333333333333243</v>
      </c>
      <c r="D333" s="15">
        <f>SUMPRODUCT(Business_Portfolio!D333:AM333,Business_Portfolio!$D$8:$AM$8)</f>
        <v>0</v>
      </c>
      <c r="E333" s="25">
        <f t="shared" si="25"/>
        <v>0</v>
      </c>
      <c r="F333" s="25"/>
      <c r="G333" s="25"/>
      <c r="H333" s="25"/>
      <c r="I333" s="25"/>
      <c r="J333" s="15">
        <f>SUMPRODUCT(Business_Portfolio!$V333:$AM333,Business_Portfolio!$V$8:$AM$8)</f>
        <v>0</v>
      </c>
      <c r="K333" s="25">
        <f t="shared" si="26"/>
        <v>0</v>
      </c>
      <c r="L333" s="25"/>
      <c r="M333" s="25"/>
      <c r="N333" s="25"/>
      <c r="O333" s="25"/>
      <c r="P333" s="15">
        <f>SUMPRODUCT(Business_Portfolio!$D333:$U333,Business_Portfolio!$D$8:$U$8)</f>
        <v>0</v>
      </c>
      <c r="Q333" s="25">
        <f t="shared" si="27"/>
        <v>0</v>
      </c>
      <c r="R333" s="25"/>
      <c r="S333" s="25"/>
      <c r="T333" s="25"/>
      <c r="U333" s="25"/>
    </row>
    <row r="334" spans="1:21" x14ac:dyDescent="0.25">
      <c r="A334" s="155">
        <f t="shared" si="28"/>
        <v>26</v>
      </c>
      <c r="C334" s="79">
        <v>25.416666666666575</v>
      </c>
      <c r="D334" s="15">
        <f>SUMPRODUCT(Business_Portfolio!D334:AM334,Business_Portfolio!$D$8:$AM$8)</f>
        <v>0</v>
      </c>
      <c r="E334" s="25">
        <f t="shared" si="25"/>
        <v>0</v>
      </c>
      <c r="F334" s="25"/>
      <c r="G334" s="25"/>
      <c r="H334" s="25"/>
      <c r="I334" s="25"/>
      <c r="J334" s="15">
        <f>SUMPRODUCT(Business_Portfolio!$V334:$AM334,Business_Portfolio!$V$8:$AM$8)</f>
        <v>0</v>
      </c>
      <c r="K334" s="25">
        <f t="shared" si="26"/>
        <v>0</v>
      </c>
      <c r="L334" s="25"/>
      <c r="M334" s="25"/>
      <c r="N334" s="25"/>
      <c r="O334" s="25"/>
      <c r="P334" s="15">
        <f>SUMPRODUCT(Business_Portfolio!$D334:$U334,Business_Portfolio!$D$8:$U$8)</f>
        <v>0</v>
      </c>
      <c r="Q334" s="25">
        <f t="shared" si="27"/>
        <v>0</v>
      </c>
      <c r="R334" s="25"/>
      <c r="S334" s="25"/>
      <c r="T334" s="25"/>
      <c r="U334" s="25"/>
    </row>
    <row r="335" spans="1:21" x14ac:dyDescent="0.25">
      <c r="A335" s="155">
        <f t="shared" si="28"/>
        <v>26</v>
      </c>
      <c r="C335" s="79">
        <v>25.499999999999908</v>
      </c>
      <c r="D335" s="15">
        <f>SUMPRODUCT(Business_Portfolio!D335:AM335,Business_Portfolio!$D$8:$AM$8)</f>
        <v>0</v>
      </c>
      <c r="E335" s="25">
        <f t="shared" si="25"/>
        <v>0</v>
      </c>
      <c r="F335" s="25"/>
      <c r="G335" s="25"/>
      <c r="H335" s="25"/>
      <c r="I335" s="25"/>
      <c r="J335" s="15">
        <f>SUMPRODUCT(Business_Portfolio!$V335:$AM335,Business_Portfolio!$V$8:$AM$8)</f>
        <v>0</v>
      </c>
      <c r="K335" s="25">
        <f t="shared" si="26"/>
        <v>0</v>
      </c>
      <c r="L335" s="25"/>
      <c r="M335" s="25"/>
      <c r="N335" s="25"/>
      <c r="O335" s="25"/>
      <c r="P335" s="15">
        <f>SUMPRODUCT(Business_Portfolio!$D335:$U335,Business_Portfolio!$D$8:$U$8)</f>
        <v>0</v>
      </c>
      <c r="Q335" s="25">
        <f t="shared" si="27"/>
        <v>0</v>
      </c>
      <c r="R335" s="25"/>
      <c r="S335" s="25"/>
      <c r="T335" s="25"/>
      <c r="U335" s="25"/>
    </row>
    <row r="336" spans="1:21" x14ac:dyDescent="0.25">
      <c r="A336" s="155">
        <f t="shared" si="28"/>
        <v>26</v>
      </c>
      <c r="C336" s="79">
        <v>25.58333333333324</v>
      </c>
      <c r="D336" s="15">
        <f>SUMPRODUCT(Business_Portfolio!D336:AM336,Business_Portfolio!$D$8:$AM$8)</f>
        <v>0</v>
      </c>
      <c r="E336" s="25">
        <f t="shared" si="25"/>
        <v>0</v>
      </c>
      <c r="F336" s="25"/>
      <c r="G336" s="25"/>
      <c r="H336" s="25"/>
      <c r="I336" s="25"/>
      <c r="J336" s="15">
        <f>SUMPRODUCT(Business_Portfolio!$V336:$AM336,Business_Portfolio!$V$8:$AM$8)</f>
        <v>0</v>
      </c>
      <c r="K336" s="25">
        <f t="shared" si="26"/>
        <v>0</v>
      </c>
      <c r="L336" s="25"/>
      <c r="M336" s="25"/>
      <c r="N336" s="25"/>
      <c r="O336" s="25"/>
      <c r="P336" s="15">
        <f>SUMPRODUCT(Business_Portfolio!$D336:$U336,Business_Portfolio!$D$8:$U$8)</f>
        <v>0</v>
      </c>
      <c r="Q336" s="25">
        <f t="shared" si="27"/>
        <v>0</v>
      </c>
      <c r="R336" s="25"/>
      <c r="S336" s="25"/>
      <c r="T336" s="25"/>
      <c r="U336" s="25"/>
    </row>
    <row r="337" spans="1:21" x14ac:dyDescent="0.25">
      <c r="A337" s="155">
        <f t="shared" si="28"/>
        <v>26</v>
      </c>
      <c r="C337" s="79">
        <v>25.666666666666572</v>
      </c>
      <c r="D337" s="15">
        <f>SUMPRODUCT(Business_Portfolio!D337:AM337,Business_Portfolio!$D$8:$AM$8)</f>
        <v>0</v>
      </c>
      <c r="E337" s="25">
        <f t="shared" si="25"/>
        <v>0</v>
      </c>
      <c r="F337" s="25"/>
      <c r="G337" s="25"/>
      <c r="H337" s="25"/>
      <c r="I337" s="25"/>
      <c r="J337" s="15">
        <f>SUMPRODUCT(Business_Portfolio!$V337:$AM337,Business_Portfolio!$V$8:$AM$8)</f>
        <v>0</v>
      </c>
      <c r="K337" s="25">
        <f t="shared" si="26"/>
        <v>0</v>
      </c>
      <c r="L337" s="25"/>
      <c r="M337" s="25"/>
      <c r="N337" s="25"/>
      <c r="O337" s="25"/>
      <c r="P337" s="15">
        <f>SUMPRODUCT(Business_Portfolio!$D337:$U337,Business_Portfolio!$D$8:$U$8)</f>
        <v>0</v>
      </c>
      <c r="Q337" s="25">
        <f t="shared" si="27"/>
        <v>0</v>
      </c>
      <c r="R337" s="25"/>
      <c r="S337" s="25"/>
      <c r="T337" s="25"/>
      <c r="U337" s="25"/>
    </row>
    <row r="338" spans="1:21" x14ac:dyDescent="0.25">
      <c r="A338" s="155">
        <f t="shared" si="28"/>
        <v>26</v>
      </c>
      <c r="C338" s="79">
        <v>25.749999999999904</v>
      </c>
      <c r="D338" s="15">
        <f>SUMPRODUCT(Business_Portfolio!D338:AM338,Business_Portfolio!$D$8:$AM$8)</f>
        <v>0</v>
      </c>
      <c r="E338" s="25">
        <f t="shared" si="25"/>
        <v>0</v>
      </c>
      <c r="F338" s="25"/>
      <c r="G338" s="25"/>
      <c r="H338" s="25"/>
      <c r="I338" s="25"/>
      <c r="J338" s="15">
        <f>SUMPRODUCT(Business_Portfolio!$V338:$AM338,Business_Portfolio!$V$8:$AM$8)</f>
        <v>0</v>
      </c>
      <c r="K338" s="25">
        <f t="shared" si="26"/>
        <v>0</v>
      </c>
      <c r="L338" s="25"/>
      <c r="M338" s="25"/>
      <c r="N338" s="25"/>
      <c r="O338" s="25"/>
      <c r="P338" s="15">
        <f>SUMPRODUCT(Business_Portfolio!$D338:$U338,Business_Portfolio!$D$8:$U$8)</f>
        <v>0</v>
      </c>
      <c r="Q338" s="25">
        <f t="shared" si="27"/>
        <v>0</v>
      </c>
      <c r="R338" s="25"/>
      <c r="S338" s="25"/>
      <c r="T338" s="25"/>
      <c r="U338" s="25"/>
    </row>
    <row r="339" spans="1:21" x14ac:dyDescent="0.25">
      <c r="A339" s="155">
        <f t="shared" si="28"/>
        <v>26</v>
      </c>
      <c r="C339" s="79">
        <v>25.833333333333236</v>
      </c>
      <c r="D339" s="15">
        <f>SUMPRODUCT(Business_Portfolio!D339:AM339,Business_Portfolio!$D$8:$AM$8)</f>
        <v>0</v>
      </c>
      <c r="E339" s="25">
        <f t="shared" si="25"/>
        <v>0</v>
      </c>
      <c r="F339" s="25"/>
      <c r="G339" s="25"/>
      <c r="H339" s="25"/>
      <c r="I339" s="25"/>
      <c r="J339" s="15">
        <f>SUMPRODUCT(Business_Portfolio!$V339:$AM339,Business_Portfolio!$V$8:$AM$8)</f>
        <v>0</v>
      </c>
      <c r="K339" s="25">
        <f t="shared" si="26"/>
        <v>0</v>
      </c>
      <c r="L339" s="25"/>
      <c r="M339" s="25"/>
      <c r="N339" s="25"/>
      <c r="O339" s="25"/>
      <c r="P339" s="15">
        <f>SUMPRODUCT(Business_Portfolio!$D339:$U339,Business_Portfolio!$D$8:$U$8)</f>
        <v>0</v>
      </c>
      <c r="Q339" s="25">
        <f t="shared" si="27"/>
        <v>0</v>
      </c>
      <c r="R339" s="25"/>
      <c r="S339" s="25"/>
      <c r="T339" s="25"/>
      <c r="U339" s="25"/>
    </row>
    <row r="340" spans="1:21" x14ac:dyDescent="0.25">
      <c r="A340" s="155">
        <f t="shared" si="28"/>
        <v>26</v>
      </c>
      <c r="C340" s="79">
        <v>25.916666666666568</v>
      </c>
      <c r="D340" s="15">
        <f>SUMPRODUCT(Business_Portfolio!D340:AM340,Business_Portfolio!$D$8:$AM$8)</f>
        <v>0</v>
      </c>
      <c r="E340" s="25">
        <f t="shared" si="25"/>
        <v>0</v>
      </c>
      <c r="F340" s="25"/>
      <c r="G340" s="25"/>
      <c r="H340" s="25"/>
      <c r="I340" s="25"/>
      <c r="J340" s="15">
        <f>SUMPRODUCT(Business_Portfolio!$V340:$AM340,Business_Portfolio!$V$8:$AM$8)</f>
        <v>0</v>
      </c>
      <c r="K340" s="25">
        <f t="shared" si="26"/>
        <v>0</v>
      </c>
      <c r="L340" s="25"/>
      <c r="M340" s="25"/>
      <c r="N340" s="25"/>
      <c r="O340" s="25"/>
      <c r="P340" s="15">
        <f>SUMPRODUCT(Business_Portfolio!$D340:$U340,Business_Portfolio!$D$8:$U$8)</f>
        <v>0</v>
      </c>
      <c r="Q340" s="25">
        <f t="shared" si="27"/>
        <v>0</v>
      </c>
      <c r="R340" s="25"/>
      <c r="S340" s="25"/>
      <c r="T340" s="25"/>
      <c r="U340" s="25"/>
    </row>
    <row r="341" spans="1:21" x14ac:dyDescent="0.25">
      <c r="A341" s="155">
        <f t="shared" si="28"/>
        <v>26</v>
      </c>
      <c r="C341" s="79">
        <v>25.999999999999901</v>
      </c>
      <c r="D341" s="15">
        <f>SUMPRODUCT(Business_Portfolio!D341:AM341,Business_Portfolio!$D$8:$AM$8)</f>
        <v>0</v>
      </c>
      <c r="E341" s="25">
        <f t="shared" si="25"/>
        <v>0</v>
      </c>
      <c r="F341" s="25"/>
      <c r="G341" s="25"/>
      <c r="H341" s="25"/>
      <c r="I341" s="25"/>
      <c r="J341" s="15">
        <f>SUMPRODUCT(Business_Portfolio!$V341:$AM341,Business_Portfolio!$V$8:$AM$8)</f>
        <v>0</v>
      </c>
      <c r="K341" s="25">
        <f t="shared" si="26"/>
        <v>0</v>
      </c>
      <c r="L341" s="25"/>
      <c r="M341" s="25"/>
      <c r="N341" s="25"/>
      <c r="O341" s="25"/>
      <c r="P341" s="15">
        <f>SUMPRODUCT(Business_Portfolio!$D341:$U341,Business_Portfolio!$D$8:$U$8)</f>
        <v>0</v>
      </c>
      <c r="Q341" s="25">
        <f t="shared" si="27"/>
        <v>0</v>
      </c>
      <c r="R341" s="25"/>
      <c r="S341" s="25"/>
      <c r="T341" s="25"/>
      <c r="U341" s="25"/>
    </row>
    <row r="342" spans="1:21" x14ac:dyDescent="0.25">
      <c r="A342" s="155">
        <f t="shared" si="28"/>
        <v>27</v>
      </c>
      <c r="C342" s="79">
        <v>26.083333333333233</v>
      </c>
      <c r="D342" s="15">
        <f>SUMPRODUCT(Business_Portfolio!D342:AM342,Business_Portfolio!$D$8:$AM$8)</f>
        <v>0</v>
      </c>
      <c r="E342" s="25">
        <f t="shared" si="25"/>
        <v>0</v>
      </c>
      <c r="F342" s="25"/>
      <c r="G342" s="25"/>
      <c r="H342" s="25"/>
      <c r="I342" s="25"/>
      <c r="J342" s="15">
        <f>SUMPRODUCT(Business_Portfolio!$V342:$AM342,Business_Portfolio!$V$8:$AM$8)</f>
        <v>0</v>
      </c>
      <c r="K342" s="25">
        <f t="shared" si="26"/>
        <v>0</v>
      </c>
      <c r="L342" s="25"/>
      <c r="M342" s="25"/>
      <c r="N342" s="25"/>
      <c r="O342" s="25"/>
      <c r="P342" s="15">
        <f>SUMPRODUCT(Business_Portfolio!$D342:$U342,Business_Portfolio!$D$8:$U$8)</f>
        <v>0</v>
      </c>
      <c r="Q342" s="25">
        <f t="shared" si="27"/>
        <v>0</v>
      </c>
      <c r="R342" s="25"/>
      <c r="S342" s="25"/>
      <c r="T342" s="25"/>
      <c r="U342" s="25"/>
    </row>
    <row r="343" spans="1:21" x14ac:dyDescent="0.25">
      <c r="A343" s="155">
        <f t="shared" si="28"/>
        <v>27</v>
      </c>
      <c r="C343" s="79">
        <v>26.166666666666565</v>
      </c>
      <c r="D343" s="15">
        <f>SUMPRODUCT(Business_Portfolio!D343:AM343,Business_Portfolio!$D$8:$AM$8)</f>
        <v>0</v>
      </c>
      <c r="E343" s="25">
        <f t="shared" si="25"/>
        <v>0</v>
      </c>
      <c r="F343" s="25"/>
      <c r="G343" s="25"/>
      <c r="H343" s="25"/>
      <c r="I343" s="25"/>
      <c r="J343" s="15">
        <f>SUMPRODUCT(Business_Portfolio!$V343:$AM343,Business_Portfolio!$V$8:$AM$8)</f>
        <v>0</v>
      </c>
      <c r="K343" s="25">
        <f t="shared" si="26"/>
        <v>0</v>
      </c>
      <c r="L343" s="25"/>
      <c r="M343" s="25"/>
      <c r="N343" s="25"/>
      <c r="O343" s="25"/>
      <c r="P343" s="15">
        <f>SUMPRODUCT(Business_Portfolio!$D343:$U343,Business_Portfolio!$D$8:$U$8)</f>
        <v>0</v>
      </c>
      <c r="Q343" s="25">
        <f t="shared" si="27"/>
        <v>0</v>
      </c>
      <c r="R343" s="25"/>
      <c r="S343" s="25"/>
      <c r="T343" s="25"/>
      <c r="U343" s="25"/>
    </row>
    <row r="344" spans="1:21" x14ac:dyDescent="0.25">
      <c r="A344" s="155">
        <f t="shared" si="28"/>
        <v>27</v>
      </c>
      <c r="C344" s="79">
        <v>26.249999999999897</v>
      </c>
      <c r="D344" s="15">
        <f>SUMPRODUCT(Business_Portfolio!D344:AM344,Business_Portfolio!$D$8:$AM$8)</f>
        <v>0</v>
      </c>
      <c r="E344" s="25">
        <f t="shared" si="25"/>
        <v>0</v>
      </c>
      <c r="F344" s="25"/>
      <c r="G344" s="25"/>
      <c r="H344" s="25"/>
      <c r="I344" s="25"/>
      <c r="J344" s="15">
        <f>SUMPRODUCT(Business_Portfolio!$V344:$AM344,Business_Portfolio!$V$8:$AM$8)</f>
        <v>0</v>
      </c>
      <c r="K344" s="25">
        <f t="shared" si="26"/>
        <v>0</v>
      </c>
      <c r="L344" s="25"/>
      <c r="M344" s="25"/>
      <c r="N344" s="25"/>
      <c r="O344" s="25"/>
      <c r="P344" s="15">
        <f>SUMPRODUCT(Business_Portfolio!$D344:$U344,Business_Portfolio!$D$8:$U$8)</f>
        <v>0</v>
      </c>
      <c r="Q344" s="25">
        <f t="shared" si="27"/>
        <v>0</v>
      </c>
      <c r="R344" s="25"/>
      <c r="S344" s="25"/>
      <c r="T344" s="25"/>
      <c r="U344" s="25"/>
    </row>
    <row r="345" spans="1:21" x14ac:dyDescent="0.25">
      <c r="A345" s="155">
        <f t="shared" si="28"/>
        <v>27</v>
      </c>
      <c r="C345" s="79">
        <v>26.333333333333229</v>
      </c>
      <c r="D345" s="15">
        <f>SUMPRODUCT(Business_Portfolio!D345:AM345,Business_Portfolio!$D$8:$AM$8)</f>
        <v>0</v>
      </c>
      <c r="E345" s="25">
        <f t="shared" si="25"/>
        <v>0</v>
      </c>
      <c r="F345" s="25"/>
      <c r="G345" s="25"/>
      <c r="H345" s="25"/>
      <c r="I345" s="25"/>
      <c r="J345" s="15">
        <f>SUMPRODUCT(Business_Portfolio!$V345:$AM345,Business_Portfolio!$V$8:$AM$8)</f>
        <v>0</v>
      </c>
      <c r="K345" s="25">
        <f t="shared" si="26"/>
        <v>0</v>
      </c>
      <c r="L345" s="25"/>
      <c r="M345" s="25"/>
      <c r="N345" s="25"/>
      <c r="O345" s="25"/>
      <c r="P345" s="15">
        <f>SUMPRODUCT(Business_Portfolio!$D345:$U345,Business_Portfolio!$D$8:$U$8)</f>
        <v>0</v>
      </c>
      <c r="Q345" s="25">
        <f t="shared" si="27"/>
        <v>0</v>
      </c>
      <c r="R345" s="25"/>
      <c r="S345" s="25"/>
      <c r="T345" s="25"/>
      <c r="U345" s="25"/>
    </row>
    <row r="346" spans="1:21" x14ac:dyDescent="0.25">
      <c r="A346" s="155">
        <f t="shared" si="28"/>
        <v>27</v>
      </c>
      <c r="C346" s="79">
        <v>26.416666666666561</v>
      </c>
      <c r="D346" s="15">
        <f>SUMPRODUCT(Business_Portfolio!D346:AM346,Business_Portfolio!$D$8:$AM$8)</f>
        <v>0</v>
      </c>
      <c r="E346" s="25">
        <f t="shared" si="25"/>
        <v>0</v>
      </c>
      <c r="F346" s="25"/>
      <c r="G346" s="25"/>
      <c r="H346" s="25"/>
      <c r="I346" s="25"/>
      <c r="J346" s="15">
        <f>SUMPRODUCT(Business_Portfolio!$V346:$AM346,Business_Portfolio!$V$8:$AM$8)</f>
        <v>0</v>
      </c>
      <c r="K346" s="25">
        <f t="shared" si="26"/>
        <v>0</v>
      </c>
      <c r="L346" s="25"/>
      <c r="M346" s="25"/>
      <c r="N346" s="25"/>
      <c r="O346" s="25"/>
      <c r="P346" s="15">
        <f>SUMPRODUCT(Business_Portfolio!$D346:$U346,Business_Portfolio!$D$8:$U$8)</f>
        <v>0</v>
      </c>
      <c r="Q346" s="25">
        <f t="shared" si="27"/>
        <v>0</v>
      </c>
      <c r="R346" s="25"/>
      <c r="S346" s="25"/>
      <c r="T346" s="25"/>
      <c r="U346" s="25"/>
    </row>
    <row r="347" spans="1:21" x14ac:dyDescent="0.25">
      <c r="A347" s="155">
        <f t="shared" si="28"/>
        <v>27</v>
      </c>
      <c r="C347" s="79">
        <v>26.499999999999893</v>
      </c>
      <c r="D347" s="15">
        <f>SUMPRODUCT(Business_Portfolio!D347:AM347,Business_Portfolio!$D$8:$AM$8)</f>
        <v>0</v>
      </c>
      <c r="E347" s="25">
        <f t="shared" si="25"/>
        <v>0</v>
      </c>
      <c r="F347" s="25"/>
      <c r="G347" s="25"/>
      <c r="H347" s="25"/>
      <c r="I347" s="25"/>
      <c r="J347" s="15">
        <f>SUMPRODUCT(Business_Portfolio!$V347:$AM347,Business_Portfolio!$V$8:$AM$8)</f>
        <v>0</v>
      </c>
      <c r="K347" s="25">
        <f t="shared" si="26"/>
        <v>0</v>
      </c>
      <c r="L347" s="25"/>
      <c r="M347" s="25"/>
      <c r="N347" s="25"/>
      <c r="O347" s="25"/>
      <c r="P347" s="15">
        <f>SUMPRODUCT(Business_Portfolio!$D347:$U347,Business_Portfolio!$D$8:$U$8)</f>
        <v>0</v>
      </c>
      <c r="Q347" s="25">
        <f t="shared" si="27"/>
        <v>0</v>
      </c>
      <c r="R347" s="25"/>
      <c r="S347" s="25"/>
      <c r="T347" s="25"/>
      <c r="U347" s="25"/>
    </row>
    <row r="348" spans="1:21" x14ac:dyDescent="0.25">
      <c r="A348" s="155">
        <f t="shared" si="28"/>
        <v>27</v>
      </c>
      <c r="C348" s="79">
        <v>26.583333333333226</v>
      </c>
      <c r="D348" s="15">
        <f>SUMPRODUCT(Business_Portfolio!D348:AM348,Business_Portfolio!$D$8:$AM$8)</f>
        <v>0</v>
      </c>
      <c r="E348" s="25">
        <f t="shared" si="25"/>
        <v>0</v>
      </c>
      <c r="F348" s="25"/>
      <c r="G348" s="25"/>
      <c r="H348" s="25"/>
      <c r="I348" s="25"/>
      <c r="J348" s="15">
        <f>SUMPRODUCT(Business_Portfolio!$V348:$AM348,Business_Portfolio!$V$8:$AM$8)</f>
        <v>0</v>
      </c>
      <c r="K348" s="25">
        <f t="shared" si="26"/>
        <v>0</v>
      </c>
      <c r="L348" s="25"/>
      <c r="M348" s="25"/>
      <c r="N348" s="25"/>
      <c r="O348" s="25"/>
      <c r="P348" s="15">
        <f>SUMPRODUCT(Business_Portfolio!$D348:$U348,Business_Portfolio!$D$8:$U$8)</f>
        <v>0</v>
      </c>
      <c r="Q348" s="25">
        <f t="shared" si="27"/>
        <v>0</v>
      </c>
      <c r="R348" s="25"/>
      <c r="S348" s="25"/>
      <c r="T348" s="25"/>
      <c r="U348" s="25"/>
    </row>
    <row r="349" spans="1:21" x14ac:dyDescent="0.25">
      <c r="A349" s="155">
        <f t="shared" si="28"/>
        <v>27</v>
      </c>
      <c r="C349" s="79">
        <v>26.666666666666558</v>
      </c>
      <c r="D349" s="15">
        <f>SUMPRODUCT(Business_Portfolio!D349:AM349,Business_Portfolio!$D$8:$AM$8)</f>
        <v>0</v>
      </c>
      <c r="E349" s="25">
        <f t="shared" si="25"/>
        <v>0</v>
      </c>
      <c r="F349" s="25"/>
      <c r="G349" s="25"/>
      <c r="H349" s="25"/>
      <c r="I349" s="25"/>
      <c r="J349" s="15">
        <f>SUMPRODUCT(Business_Portfolio!$V349:$AM349,Business_Portfolio!$V$8:$AM$8)</f>
        <v>0</v>
      </c>
      <c r="K349" s="25">
        <f t="shared" si="26"/>
        <v>0</v>
      </c>
      <c r="L349" s="25"/>
      <c r="M349" s="25"/>
      <c r="N349" s="25"/>
      <c r="O349" s="25"/>
      <c r="P349" s="15">
        <f>SUMPRODUCT(Business_Portfolio!$D349:$U349,Business_Portfolio!$D$8:$U$8)</f>
        <v>0</v>
      </c>
      <c r="Q349" s="25">
        <f t="shared" si="27"/>
        <v>0</v>
      </c>
      <c r="R349" s="25"/>
      <c r="S349" s="25"/>
      <c r="T349" s="25"/>
      <c r="U349" s="25"/>
    </row>
    <row r="350" spans="1:21" x14ac:dyDescent="0.25">
      <c r="A350" s="155">
        <f t="shared" si="28"/>
        <v>27</v>
      </c>
      <c r="C350" s="79">
        <v>26.74999999999989</v>
      </c>
      <c r="D350" s="15">
        <f>SUMPRODUCT(Business_Portfolio!D350:AM350,Business_Portfolio!$D$8:$AM$8)</f>
        <v>0</v>
      </c>
      <c r="E350" s="25">
        <f t="shared" ref="E350:E413" si="29">D350/D$10</f>
        <v>0</v>
      </c>
      <c r="F350" s="25"/>
      <c r="G350" s="25"/>
      <c r="H350" s="25"/>
      <c r="I350" s="25"/>
      <c r="J350" s="15">
        <f>SUMPRODUCT(Business_Portfolio!$V350:$AM350,Business_Portfolio!$V$8:$AM$8)</f>
        <v>0</v>
      </c>
      <c r="K350" s="25">
        <f t="shared" ref="K350:K413" si="30">J350/J$10</f>
        <v>0</v>
      </c>
      <c r="L350" s="25"/>
      <c r="M350" s="25"/>
      <c r="N350" s="25"/>
      <c r="O350" s="25"/>
      <c r="P350" s="15">
        <f>SUMPRODUCT(Business_Portfolio!$D350:$U350,Business_Portfolio!$D$8:$U$8)</f>
        <v>0</v>
      </c>
      <c r="Q350" s="25">
        <f t="shared" ref="Q350:Q413" si="31">P350/P$10</f>
        <v>0</v>
      </c>
      <c r="R350" s="25"/>
      <c r="S350" s="25"/>
      <c r="T350" s="25"/>
      <c r="U350" s="25"/>
    </row>
    <row r="351" spans="1:21" x14ac:dyDescent="0.25">
      <c r="A351" s="155">
        <f t="shared" ref="A351:A414" si="32">ROUNDUP(C351-0.0001,0)</f>
        <v>27</v>
      </c>
      <c r="C351" s="79">
        <v>26.833333333333222</v>
      </c>
      <c r="D351" s="15">
        <f>SUMPRODUCT(Business_Portfolio!D351:AM351,Business_Portfolio!$D$8:$AM$8)</f>
        <v>0</v>
      </c>
      <c r="E351" s="25">
        <f t="shared" si="29"/>
        <v>0</v>
      </c>
      <c r="F351" s="25"/>
      <c r="G351" s="25"/>
      <c r="H351" s="25"/>
      <c r="I351" s="25"/>
      <c r="J351" s="15">
        <f>SUMPRODUCT(Business_Portfolio!$V351:$AM351,Business_Portfolio!$V$8:$AM$8)</f>
        <v>0</v>
      </c>
      <c r="K351" s="25">
        <f t="shared" si="30"/>
        <v>0</v>
      </c>
      <c r="L351" s="25"/>
      <c r="M351" s="25"/>
      <c r="N351" s="25"/>
      <c r="O351" s="25"/>
      <c r="P351" s="15">
        <f>SUMPRODUCT(Business_Portfolio!$D351:$U351,Business_Portfolio!$D$8:$U$8)</f>
        <v>0</v>
      </c>
      <c r="Q351" s="25">
        <f t="shared" si="31"/>
        <v>0</v>
      </c>
      <c r="R351" s="25"/>
      <c r="S351" s="25"/>
      <c r="T351" s="25"/>
      <c r="U351" s="25"/>
    </row>
    <row r="352" spans="1:21" x14ac:dyDescent="0.25">
      <c r="A352" s="155">
        <f t="shared" si="32"/>
        <v>27</v>
      </c>
      <c r="C352" s="79">
        <v>26.916666666666554</v>
      </c>
      <c r="D352" s="15">
        <f>SUMPRODUCT(Business_Portfolio!D352:AM352,Business_Portfolio!$D$8:$AM$8)</f>
        <v>0</v>
      </c>
      <c r="E352" s="25">
        <f t="shared" si="29"/>
        <v>0</v>
      </c>
      <c r="F352" s="25"/>
      <c r="G352" s="25"/>
      <c r="H352" s="25"/>
      <c r="I352" s="25"/>
      <c r="J352" s="15">
        <f>SUMPRODUCT(Business_Portfolio!$V352:$AM352,Business_Portfolio!$V$8:$AM$8)</f>
        <v>0</v>
      </c>
      <c r="K352" s="25">
        <f t="shared" si="30"/>
        <v>0</v>
      </c>
      <c r="L352" s="25"/>
      <c r="M352" s="25"/>
      <c r="N352" s="25"/>
      <c r="O352" s="25"/>
      <c r="P352" s="15">
        <f>SUMPRODUCT(Business_Portfolio!$D352:$U352,Business_Portfolio!$D$8:$U$8)</f>
        <v>0</v>
      </c>
      <c r="Q352" s="25">
        <f t="shared" si="31"/>
        <v>0</v>
      </c>
      <c r="R352" s="25"/>
      <c r="S352" s="25"/>
      <c r="T352" s="25"/>
      <c r="U352" s="25"/>
    </row>
    <row r="353" spans="1:21" x14ac:dyDescent="0.25">
      <c r="A353" s="155">
        <f t="shared" si="32"/>
        <v>27</v>
      </c>
      <c r="C353" s="79">
        <v>26.999999999999886</v>
      </c>
      <c r="D353" s="15">
        <f>SUMPRODUCT(Business_Portfolio!D353:AM353,Business_Portfolio!$D$8:$AM$8)</f>
        <v>0</v>
      </c>
      <c r="E353" s="25">
        <f t="shared" si="29"/>
        <v>0</v>
      </c>
      <c r="F353" s="25"/>
      <c r="G353" s="25"/>
      <c r="H353" s="25"/>
      <c r="I353" s="25"/>
      <c r="J353" s="15">
        <f>SUMPRODUCT(Business_Portfolio!$V353:$AM353,Business_Portfolio!$V$8:$AM$8)</f>
        <v>0</v>
      </c>
      <c r="K353" s="25">
        <f t="shared" si="30"/>
        <v>0</v>
      </c>
      <c r="L353" s="25"/>
      <c r="M353" s="25"/>
      <c r="N353" s="25"/>
      <c r="O353" s="25"/>
      <c r="P353" s="15">
        <f>SUMPRODUCT(Business_Portfolio!$D353:$U353,Business_Portfolio!$D$8:$U$8)</f>
        <v>0</v>
      </c>
      <c r="Q353" s="25">
        <f t="shared" si="31"/>
        <v>0</v>
      </c>
      <c r="R353" s="25"/>
      <c r="S353" s="25"/>
      <c r="T353" s="25"/>
      <c r="U353" s="25"/>
    </row>
    <row r="354" spans="1:21" x14ac:dyDescent="0.25">
      <c r="A354" s="155">
        <f t="shared" si="32"/>
        <v>28</v>
      </c>
      <c r="C354" s="79">
        <v>27.083333333333218</v>
      </c>
      <c r="D354" s="15">
        <f>SUMPRODUCT(Business_Portfolio!D354:AM354,Business_Portfolio!$D$8:$AM$8)</f>
        <v>0</v>
      </c>
      <c r="E354" s="25">
        <f t="shared" si="29"/>
        <v>0</v>
      </c>
      <c r="F354" s="25"/>
      <c r="G354" s="25"/>
      <c r="H354" s="25"/>
      <c r="I354" s="25"/>
      <c r="J354" s="15">
        <f>SUMPRODUCT(Business_Portfolio!$V354:$AM354,Business_Portfolio!$V$8:$AM$8)</f>
        <v>0</v>
      </c>
      <c r="K354" s="25">
        <f t="shared" si="30"/>
        <v>0</v>
      </c>
      <c r="L354" s="25"/>
      <c r="M354" s="25"/>
      <c r="N354" s="25"/>
      <c r="O354" s="25"/>
      <c r="P354" s="15">
        <f>SUMPRODUCT(Business_Portfolio!$D354:$U354,Business_Portfolio!$D$8:$U$8)</f>
        <v>0</v>
      </c>
      <c r="Q354" s="25">
        <f t="shared" si="31"/>
        <v>0</v>
      </c>
      <c r="R354" s="25"/>
      <c r="S354" s="25"/>
      <c r="T354" s="25"/>
      <c r="U354" s="25"/>
    </row>
    <row r="355" spans="1:21" x14ac:dyDescent="0.25">
      <c r="A355" s="155">
        <f t="shared" si="32"/>
        <v>28</v>
      </c>
      <c r="C355" s="79">
        <v>27.166666666666551</v>
      </c>
      <c r="D355" s="15">
        <f>SUMPRODUCT(Business_Portfolio!D355:AM355,Business_Portfolio!$D$8:$AM$8)</f>
        <v>0</v>
      </c>
      <c r="E355" s="25">
        <f t="shared" si="29"/>
        <v>0</v>
      </c>
      <c r="F355" s="25"/>
      <c r="G355" s="25"/>
      <c r="H355" s="25"/>
      <c r="I355" s="25"/>
      <c r="J355" s="15">
        <f>SUMPRODUCT(Business_Portfolio!$V355:$AM355,Business_Portfolio!$V$8:$AM$8)</f>
        <v>0</v>
      </c>
      <c r="K355" s="25">
        <f t="shared" si="30"/>
        <v>0</v>
      </c>
      <c r="L355" s="25"/>
      <c r="M355" s="25"/>
      <c r="N355" s="25"/>
      <c r="O355" s="25"/>
      <c r="P355" s="15">
        <f>SUMPRODUCT(Business_Portfolio!$D355:$U355,Business_Portfolio!$D$8:$U$8)</f>
        <v>0</v>
      </c>
      <c r="Q355" s="25">
        <f t="shared" si="31"/>
        <v>0</v>
      </c>
      <c r="R355" s="25"/>
      <c r="S355" s="25"/>
      <c r="T355" s="25"/>
      <c r="U355" s="25"/>
    </row>
    <row r="356" spans="1:21" x14ac:dyDescent="0.25">
      <c r="A356" s="155">
        <f t="shared" si="32"/>
        <v>28</v>
      </c>
      <c r="C356" s="79">
        <v>27.249999999999883</v>
      </c>
      <c r="D356" s="15">
        <f>SUMPRODUCT(Business_Portfolio!D356:AM356,Business_Portfolio!$D$8:$AM$8)</f>
        <v>0</v>
      </c>
      <c r="E356" s="25">
        <f t="shared" si="29"/>
        <v>0</v>
      </c>
      <c r="F356" s="25"/>
      <c r="G356" s="25"/>
      <c r="H356" s="25"/>
      <c r="I356" s="25"/>
      <c r="J356" s="15">
        <f>SUMPRODUCT(Business_Portfolio!$V356:$AM356,Business_Portfolio!$V$8:$AM$8)</f>
        <v>0</v>
      </c>
      <c r="K356" s="25">
        <f t="shared" si="30"/>
        <v>0</v>
      </c>
      <c r="L356" s="25"/>
      <c r="M356" s="25"/>
      <c r="N356" s="25"/>
      <c r="O356" s="25"/>
      <c r="P356" s="15">
        <f>SUMPRODUCT(Business_Portfolio!$D356:$U356,Business_Portfolio!$D$8:$U$8)</f>
        <v>0</v>
      </c>
      <c r="Q356" s="25">
        <f t="shared" si="31"/>
        <v>0</v>
      </c>
      <c r="R356" s="25"/>
      <c r="S356" s="25"/>
      <c r="T356" s="25"/>
      <c r="U356" s="25"/>
    </row>
    <row r="357" spans="1:21" x14ac:dyDescent="0.25">
      <c r="A357" s="155">
        <f t="shared" si="32"/>
        <v>28</v>
      </c>
      <c r="C357" s="79">
        <v>27.333333333333215</v>
      </c>
      <c r="D357" s="15">
        <f>SUMPRODUCT(Business_Portfolio!D357:AM357,Business_Portfolio!$D$8:$AM$8)</f>
        <v>0</v>
      </c>
      <c r="E357" s="25">
        <f t="shared" si="29"/>
        <v>0</v>
      </c>
      <c r="F357" s="25"/>
      <c r="G357" s="25"/>
      <c r="H357" s="25"/>
      <c r="I357" s="25"/>
      <c r="J357" s="15">
        <f>SUMPRODUCT(Business_Portfolio!$V357:$AM357,Business_Portfolio!$V$8:$AM$8)</f>
        <v>0</v>
      </c>
      <c r="K357" s="25">
        <f t="shared" si="30"/>
        <v>0</v>
      </c>
      <c r="L357" s="25"/>
      <c r="M357" s="25"/>
      <c r="N357" s="25"/>
      <c r="O357" s="25"/>
      <c r="P357" s="15">
        <f>SUMPRODUCT(Business_Portfolio!$D357:$U357,Business_Portfolio!$D$8:$U$8)</f>
        <v>0</v>
      </c>
      <c r="Q357" s="25">
        <f t="shared" si="31"/>
        <v>0</v>
      </c>
      <c r="R357" s="25"/>
      <c r="S357" s="25"/>
      <c r="T357" s="25"/>
      <c r="U357" s="25"/>
    </row>
    <row r="358" spans="1:21" x14ac:dyDescent="0.25">
      <c r="A358" s="155">
        <f t="shared" si="32"/>
        <v>28</v>
      </c>
      <c r="C358" s="79">
        <v>27.416666666666547</v>
      </c>
      <c r="D358" s="15">
        <f>SUMPRODUCT(Business_Portfolio!D358:AM358,Business_Portfolio!$D$8:$AM$8)</f>
        <v>0</v>
      </c>
      <c r="E358" s="25">
        <f t="shared" si="29"/>
        <v>0</v>
      </c>
      <c r="F358" s="25"/>
      <c r="G358" s="25"/>
      <c r="H358" s="25"/>
      <c r="I358" s="25"/>
      <c r="J358" s="15">
        <f>SUMPRODUCT(Business_Portfolio!$V358:$AM358,Business_Portfolio!$V$8:$AM$8)</f>
        <v>0</v>
      </c>
      <c r="K358" s="25">
        <f t="shared" si="30"/>
        <v>0</v>
      </c>
      <c r="L358" s="25"/>
      <c r="M358" s="25"/>
      <c r="N358" s="25"/>
      <c r="O358" s="25"/>
      <c r="P358" s="15">
        <f>SUMPRODUCT(Business_Portfolio!$D358:$U358,Business_Portfolio!$D$8:$U$8)</f>
        <v>0</v>
      </c>
      <c r="Q358" s="25">
        <f t="shared" si="31"/>
        <v>0</v>
      </c>
      <c r="R358" s="25"/>
      <c r="S358" s="25"/>
      <c r="T358" s="25"/>
      <c r="U358" s="25"/>
    </row>
    <row r="359" spans="1:21" x14ac:dyDescent="0.25">
      <c r="A359" s="155">
        <f t="shared" si="32"/>
        <v>28</v>
      </c>
      <c r="C359" s="79">
        <v>27.499999999999879</v>
      </c>
      <c r="D359" s="15">
        <f>SUMPRODUCT(Business_Portfolio!D359:AM359,Business_Portfolio!$D$8:$AM$8)</f>
        <v>0</v>
      </c>
      <c r="E359" s="25">
        <f t="shared" si="29"/>
        <v>0</v>
      </c>
      <c r="F359" s="25"/>
      <c r="G359" s="25"/>
      <c r="H359" s="25"/>
      <c r="I359" s="25"/>
      <c r="J359" s="15">
        <f>SUMPRODUCT(Business_Portfolio!$V359:$AM359,Business_Portfolio!$V$8:$AM$8)</f>
        <v>0</v>
      </c>
      <c r="K359" s="25">
        <f t="shared" si="30"/>
        <v>0</v>
      </c>
      <c r="L359" s="25"/>
      <c r="M359" s="25"/>
      <c r="N359" s="25"/>
      <c r="O359" s="25"/>
      <c r="P359" s="15">
        <f>SUMPRODUCT(Business_Portfolio!$D359:$U359,Business_Portfolio!$D$8:$U$8)</f>
        <v>0</v>
      </c>
      <c r="Q359" s="25">
        <f t="shared" si="31"/>
        <v>0</v>
      </c>
      <c r="R359" s="25"/>
      <c r="S359" s="25"/>
      <c r="T359" s="25"/>
      <c r="U359" s="25"/>
    </row>
    <row r="360" spans="1:21" x14ac:dyDescent="0.25">
      <c r="A360" s="155">
        <f t="shared" si="32"/>
        <v>28</v>
      </c>
      <c r="C360" s="79">
        <v>27.583333333333211</v>
      </c>
      <c r="D360" s="15">
        <f>SUMPRODUCT(Business_Portfolio!D360:AM360,Business_Portfolio!$D$8:$AM$8)</f>
        <v>0</v>
      </c>
      <c r="E360" s="25">
        <f t="shared" si="29"/>
        <v>0</v>
      </c>
      <c r="F360" s="25"/>
      <c r="G360" s="25"/>
      <c r="H360" s="25"/>
      <c r="I360" s="25"/>
      <c r="J360" s="15">
        <f>SUMPRODUCT(Business_Portfolio!$V360:$AM360,Business_Portfolio!$V$8:$AM$8)</f>
        <v>0</v>
      </c>
      <c r="K360" s="25">
        <f t="shared" si="30"/>
        <v>0</v>
      </c>
      <c r="L360" s="25"/>
      <c r="M360" s="25"/>
      <c r="N360" s="25"/>
      <c r="O360" s="25"/>
      <c r="P360" s="15">
        <f>SUMPRODUCT(Business_Portfolio!$D360:$U360,Business_Portfolio!$D$8:$U$8)</f>
        <v>0</v>
      </c>
      <c r="Q360" s="25">
        <f t="shared" si="31"/>
        <v>0</v>
      </c>
      <c r="R360" s="25"/>
      <c r="S360" s="25"/>
      <c r="T360" s="25"/>
      <c r="U360" s="25"/>
    </row>
    <row r="361" spans="1:21" x14ac:dyDescent="0.25">
      <c r="A361" s="155">
        <f t="shared" si="32"/>
        <v>28</v>
      </c>
      <c r="C361" s="79">
        <v>27.666666666666544</v>
      </c>
      <c r="D361" s="15">
        <f>SUMPRODUCT(Business_Portfolio!D361:AM361,Business_Portfolio!$D$8:$AM$8)</f>
        <v>0</v>
      </c>
      <c r="E361" s="25">
        <f t="shared" si="29"/>
        <v>0</v>
      </c>
      <c r="F361" s="25"/>
      <c r="G361" s="25"/>
      <c r="H361" s="25"/>
      <c r="I361" s="25"/>
      <c r="J361" s="15">
        <f>SUMPRODUCT(Business_Portfolio!$V361:$AM361,Business_Portfolio!$V$8:$AM$8)</f>
        <v>0</v>
      </c>
      <c r="K361" s="25">
        <f t="shared" si="30"/>
        <v>0</v>
      </c>
      <c r="L361" s="25"/>
      <c r="M361" s="25"/>
      <c r="N361" s="25"/>
      <c r="O361" s="25"/>
      <c r="P361" s="15">
        <f>SUMPRODUCT(Business_Portfolio!$D361:$U361,Business_Portfolio!$D$8:$U$8)</f>
        <v>0</v>
      </c>
      <c r="Q361" s="25">
        <f t="shared" si="31"/>
        <v>0</v>
      </c>
      <c r="R361" s="25"/>
      <c r="S361" s="25"/>
      <c r="T361" s="25"/>
      <c r="U361" s="25"/>
    </row>
    <row r="362" spans="1:21" x14ac:dyDescent="0.25">
      <c r="A362" s="155">
        <f t="shared" si="32"/>
        <v>28</v>
      </c>
      <c r="C362" s="79">
        <v>27.749999999999876</v>
      </c>
      <c r="D362" s="15">
        <f>SUMPRODUCT(Business_Portfolio!D362:AM362,Business_Portfolio!$D$8:$AM$8)</f>
        <v>0</v>
      </c>
      <c r="E362" s="25">
        <f t="shared" si="29"/>
        <v>0</v>
      </c>
      <c r="F362" s="25"/>
      <c r="G362" s="25"/>
      <c r="H362" s="25"/>
      <c r="I362" s="25"/>
      <c r="J362" s="15">
        <f>SUMPRODUCT(Business_Portfolio!$V362:$AM362,Business_Portfolio!$V$8:$AM$8)</f>
        <v>0</v>
      </c>
      <c r="K362" s="25">
        <f t="shared" si="30"/>
        <v>0</v>
      </c>
      <c r="L362" s="25"/>
      <c r="M362" s="25"/>
      <c r="N362" s="25"/>
      <c r="O362" s="25"/>
      <c r="P362" s="15">
        <f>SUMPRODUCT(Business_Portfolio!$D362:$U362,Business_Portfolio!$D$8:$U$8)</f>
        <v>0</v>
      </c>
      <c r="Q362" s="25">
        <f t="shared" si="31"/>
        <v>0</v>
      </c>
      <c r="R362" s="25"/>
      <c r="S362" s="25"/>
      <c r="T362" s="25"/>
      <c r="U362" s="25"/>
    </row>
    <row r="363" spans="1:21" x14ac:dyDescent="0.25">
      <c r="A363" s="155">
        <f t="shared" si="32"/>
        <v>28</v>
      </c>
      <c r="C363" s="79">
        <v>27.833333333333208</v>
      </c>
      <c r="D363" s="15">
        <f>SUMPRODUCT(Business_Portfolio!D363:AM363,Business_Portfolio!$D$8:$AM$8)</f>
        <v>0</v>
      </c>
      <c r="E363" s="25">
        <f t="shared" si="29"/>
        <v>0</v>
      </c>
      <c r="F363" s="25"/>
      <c r="G363" s="25"/>
      <c r="H363" s="25"/>
      <c r="I363" s="25"/>
      <c r="J363" s="15">
        <f>SUMPRODUCT(Business_Portfolio!$V363:$AM363,Business_Portfolio!$V$8:$AM$8)</f>
        <v>0</v>
      </c>
      <c r="K363" s="25">
        <f t="shared" si="30"/>
        <v>0</v>
      </c>
      <c r="L363" s="25"/>
      <c r="M363" s="25"/>
      <c r="N363" s="25"/>
      <c r="O363" s="25"/>
      <c r="P363" s="15">
        <f>SUMPRODUCT(Business_Portfolio!$D363:$U363,Business_Portfolio!$D$8:$U$8)</f>
        <v>0</v>
      </c>
      <c r="Q363" s="25">
        <f t="shared" si="31"/>
        <v>0</v>
      </c>
      <c r="R363" s="25"/>
      <c r="S363" s="25"/>
      <c r="T363" s="25"/>
      <c r="U363" s="25"/>
    </row>
    <row r="364" spans="1:21" x14ac:dyDescent="0.25">
      <c r="A364" s="155">
        <f t="shared" si="32"/>
        <v>28</v>
      </c>
      <c r="C364" s="79">
        <v>27.91666666666654</v>
      </c>
      <c r="D364" s="15">
        <f>SUMPRODUCT(Business_Portfolio!D364:AM364,Business_Portfolio!$D$8:$AM$8)</f>
        <v>0</v>
      </c>
      <c r="E364" s="25">
        <f t="shared" si="29"/>
        <v>0</v>
      </c>
      <c r="F364" s="25"/>
      <c r="G364" s="25"/>
      <c r="H364" s="25"/>
      <c r="I364" s="25"/>
      <c r="J364" s="15">
        <f>SUMPRODUCT(Business_Portfolio!$V364:$AM364,Business_Portfolio!$V$8:$AM$8)</f>
        <v>0</v>
      </c>
      <c r="K364" s="25">
        <f t="shared" si="30"/>
        <v>0</v>
      </c>
      <c r="L364" s="25"/>
      <c r="M364" s="25"/>
      <c r="N364" s="25"/>
      <c r="O364" s="25"/>
      <c r="P364" s="15">
        <f>SUMPRODUCT(Business_Portfolio!$D364:$U364,Business_Portfolio!$D$8:$U$8)</f>
        <v>0</v>
      </c>
      <c r="Q364" s="25">
        <f t="shared" si="31"/>
        <v>0</v>
      </c>
      <c r="R364" s="25"/>
      <c r="S364" s="25"/>
      <c r="T364" s="25"/>
      <c r="U364" s="25"/>
    </row>
    <row r="365" spans="1:21" x14ac:dyDescent="0.25">
      <c r="A365" s="155">
        <f t="shared" si="32"/>
        <v>28</v>
      </c>
      <c r="C365" s="79">
        <v>27.999999999999872</v>
      </c>
      <c r="D365" s="15">
        <f>SUMPRODUCT(Business_Portfolio!D365:AM365,Business_Portfolio!$D$8:$AM$8)</f>
        <v>0</v>
      </c>
      <c r="E365" s="25">
        <f t="shared" si="29"/>
        <v>0</v>
      </c>
      <c r="F365" s="25"/>
      <c r="G365" s="25"/>
      <c r="H365" s="25"/>
      <c r="I365" s="25"/>
      <c r="J365" s="15">
        <f>SUMPRODUCT(Business_Portfolio!$V365:$AM365,Business_Portfolio!$V$8:$AM$8)</f>
        <v>0</v>
      </c>
      <c r="K365" s="25">
        <f t="shared" si="30"/>
        <v>0</v>
      </c>
      <c r="L365" s="25"/>
      <c r="M365" s="25"/>
      <c r="N365" s="25"/>
      <c r="O365" s="25"/>
      <c r="P365" s="15">
        <f>SUMPRODUCT(Business_Portfolio!$D365:$U365,Business_Portfolio!$D$8:$U$8)</f>
        <v>0</v>
      </c>
      <c r="Q365" s="25">
        <f t="shared" si="31"/>
        <v>0</v>
      </c>
      <c r="R365" s="25"/>
      <c r="S365" s="25"/>
      <c r="T365" s="25"/>
      <c r="U365" s="25"/>
    </row>
    <row r="366" spans="1:21" x14ac:dyDescent="0.25">
      <c r="A366" s="155">
        <f t="shared" si="32"/>
        <v>29</v>
      </c>
      <c r="C366" s="79">
        <v>28.083333333333204</v>
      </c>
      <c r="D366" s="15">
        <f>SUMPRODUCT(Business_Portfolio!D366:AM366,Business_Portfolio!$D$8:$AM$8)</f>
        <v>0</v>
      </c>
      <c r="E366" s="25">
        <f t="shared" si="29"/>
        <v>0</v>
      </c>
      <c r="F366" s="25"/>
      <c r="G366" s="25"/>
      <c r="H366" s="25"/>
      <c r="I366" s="25"/>
      <c r="J366" s="15">
        <f>SUMPRODUCT(Business_Portfolio!$V366:$AM366,Business_Portfolio!$V$8:$AM$8)</f>
        <v>0</v>
      </c>
      <c r="K366" s="25">
        <f t="shared" si="30"/>
        <v>0</v>
      </c>
      <c r="L366" s="25"/>
      <c r="M366" s="25"/>
      <c r="N366" s="25"/>
      <c r="O366" s="25"/>
      <c r="P366" s="15">
        <f>SUMPRODUCT(Business_Portfolio!$D366:$U366,Business_Portfolio!$D$8:$U$8)</f>
        <v>0</v>
      </c>
      <c r="Q366" s="25">
        <f t="shared" si="31"/>
        <v>0</v>
      </c>
      <c r="R366" s="25"/>
      <c r="S366" s="25"/>
      <c r="T366" s="25"/>
      <c r="U366" s="25"/>
    </row>
    <row r="367" spans="1:21" x14ac:dyDescent="0.25">
      <c r="A367" s="155">
        <f t="shared" si="32"/>
        <v>29</v>
      </c>
      <c r="C367" s="79">
        <v>28.166666666666536</v>
      </c>
      <c r="D367" s="15">
        <f>SUMPRODUCT(Business_Portfolio!D367:AM367,Business_Portfolio!$D$8:$AM$8)</f>
        <v>0</v>
      </c>
      <c r="E367" s="25">
        <f t="shared" si="29"/>
        <v>0</v>
      </c>
      <c r="F367" s="25"/>
      <c r="G367" s="25"/>
      <c r="H367" s="25"/>
      <c r="I367" s="25"/>
      <c r="J367" s="15">
        <f>SUMPRODUCT(Business_Portfolio!$V367:$AM367,Business_Portfolio!$V$8:$AM$8)</f>
        <v>0</v>
      </c>
      <c r="K367" s="25">
        <f t="shared" si="30"/>
        <v>0</v>
      </c>
      <c r="L367" s="25"/>
      <c r="M367" s="25"/>
      <c r="N367" s="25"/>
      <c r="O367" s="25"/>
      <c r="P367" s="15">
        <f>SUMPRODUCT(Business_Portfolio!$D367:$U367,Business_Portfolio!$D$8:$U$8)</f>
        <v>0</v>
      </c>
      <c r="Q367" s="25">
        <f t="shared" si="31"/>
        <v>0</v>
      </c>
      <c r="R367" s="25"/>
      <c r="S367" s="25"/>
      <c r="T367" s="25"/>
      <c r="U367" s="25"/>
    </row>
    <row r="368" spans="1:21" x14ac:dyDescent="0.25">
      <c r="A368" s="155">
        <f t="shared" si="32"/>
        <v>29</v>
      </c>
      <c r="C368" s="79">
        <v>28.249999999999869</v>
      </c>
      <c r="D368" s="15">
        <f>SUMPRODUCT(Business_Portfolio!D368:AM368,Business_Portfolio!$D$8:$AM$8)</f>
        <v>0</v>
      </c>
      <c r="E368" s="25">
        <f t="shared" si="29"/>
        <v>0</v>
      </c>
      <c r="F368" s="25"/>
      <c r="G368" s="25"/>
      <c r="H368" s="25"/>
      <c r="I368" s="25"/>
      <c r="J368" s="15">
        <f>SUMPRODUCT(Business_Portfolio!$V368:$AM368,Business_Portfolio!$V$8:$AM$8)</f>
        <v>0</v>
      </c>
      <c r="K368" s="25">
        <f t="shared" si="30"/>
        <v>0</v>
      </c>
      <c r="L368" s="25"/>
      <c r="M368" s="25"/>
      <c r="N368" s="25"/>
      <c r="O368" s="25"/>
      <c r="P368" s="15">
        <f>SUMPRODUCT(Business_Portfolio!$D368:$U368,Business_Portfolio!$D$8:$U$8)</f>
        <v>0</v>
      </c>
      <c r="Q368" s="25">
        <f t="shared" si="31"/>
        <v>0</v>
      </c>
      <c r="R368" s="25"/>
      <c r="S368" s="25"/>
      <c r="T368" s="25"/>
      <c r="U368" s="25"/>
    </row>
    <row r="369" spans="1:21" x14ac:dyDescent="0.25">
      <c r="A369" s="155">
        <f t="shared" si="32"/>
        <v>29</v>
      </c>
      <c r="C369" s="79">
        <v>28.333333333333201</v>
      </c>
      <c r="D369" s="15">
        <f>SUMPRODUCT(Business_Portfolio!D369:AM369,Business_Portfolio!$D$8:$AM$8)</f>
        <v>0</v>
      </c>
      <c r="E369" s="25">
        <f t="shared" si="29"/>
        <v>0</v>
      </c>
      <c r="F369" s="25"/>
      <c r="G369" s="25"/>
      <c r="H369" s="25"/>
      <c r="I369" s="25"/>
      <c r="J369" s="15">
        <f>SUMPRODUCT(Business_Portfolio!$V369:$AM369,Business_Portfolio!$V$8:$AM$8)</f>
        <v>0</v>
      </c>
      <c r="K369" s="25">
        <f t="shared" si="30"/>
        <v>0</v>
      </c>
      <c r="L369" s="25"/>
      <c r="M369" s="25"/>
      <c r="N369" s="25"/>
      <c r="O369" s="25"/>
      <c r="P369" s="15">
        <f>SUMPRODUCT(Business_Portfolio!$D369:$U369,Business_Portfolio!$D$8:$U$8)</f>
        <v>0</v>
      </c>
      <c r="Q369" s="25">
        <f t="shared" si="31"/>
        <v>0</v>
      </c>
      <c r="R369" s="25"/>
      <c r="S369" s="25"/>
      <c r="T369" s="25"/>
      <c r="U369" s="25"/>
    </row>
    <row r="370" spans="1:21" x14ac:dyDescent="0.25">
      <c r="A370" s="155">
        <f t="shared" si="32"/>
        <v>29</v>
      </c>
      <c r="C370" s="79">
        <v>28.416666666666533</v>
      </c>
      <c r="D370" s="15">
        <f>SUMPRODUCT(Business_Portfolio!D370:AM370,Business_Portfolio!$D$8:$AM$8)</f>
        <v>0</v>
      </c>
      <c r="E370" s="25">
        <f t="shared" si="29"/>
        <v>0</v>
      </c>
      <c r="F370" s="25"/>
      <c r="G370" s="25"/>
      <c r="H370" s="25"/>
      <c r="I370" s="25"/>
      <c r="J370" s="15">
        <f>SUMPRODUCT(Business_Portfolio!$V370:$AM370,Business_Portfolio!$V$8:$AM$8)</f>
        <v>0</v>
      </c>
      <c r="K370" s="25">
        <f t="shared" si="30"/>
        <v>0</v>
      </c>
      <c r="L370" s="25"/>
      <c r="M370" s="25"/>
      <c r="N370" s="25"/>
      <c r="O370" s="25"/>
      <c r="P370" s="15">
        <f>SUMPRODUCT(Business_Portfolio!$D370:$U370,Business_Portfolio!$D$8:$U$8)</f>
        <v>0</v>
      </c>
      <c r="Q370" s="25">
        <f t="shared" si="31"/>
        <v>0</v>
      </c>
      <c r="R370" s="25"/>
      <c r="S370" s="25"/>
      <c r="T370" s="25"/>
      <c r="U370" s="25"/>
    </row>
    <row r="371" spans="1:21" x14ac:dyDescent="0.25">
      <c r="A371" s="155">
        <f t="shared" si="32"/>
        <v>29</v>
      </c>
      <c r="C371" s="79">
        <v>28.499999999999865</v>
      </c>
      <c r="D371" s="15">
        <f>SUMPRODUCT(Business_Portfolio!D371:AM371,Business_Portfolio!$D$8:$AM$8)</f>
        <v>0</v>
      </c>
      <c r="E371" s="25">
        <f t="shared" si="29"/>
        <v>0</v>
      </c>
      <c r="F371" s="25"/>
      <c r="G371" s="25"/>
      <c r="H371" s="25"/>
      <c r="I371" s="25"/>
      <c r="J371" s="15">
        <f>SUMPRODUCT(Business_Portfolio!$V371:$AM371,Business_Portfolio!$V$8:$AM$8)</f>
        <v>0</v>
      </c>
      <c r="K371" s="25">
        <f t="shared" si="30"/>
        <v>0</v>
      </c>
      <c r="L371" s="25"/>
      <c r="M371" s="25"/>
      <c r="N371" s="25"/>
      <c r="O371" s="25"/>
      <c r="P371" s="15">
        <f>SUMPRODUCT(Business_Portfolio!$D371:$U371,Business_Portfolio!$D$8:$U$8)</f>
        <v>0</v>
      </c>
      <c r="Q371" s="25">
        <f t="shared" si="31"/>
        <v>0</v>
      </c>
      <c r="R371" s="25"/>
      <c r="S371" s="25"/>
      <c r="T371" s="25"/>
      <c r="U371" s="25"/>
    </row>
    <row r="372" spans="1:21" x14ac:dyDescent="0.25">
      <c r="A372" s="155">
        <f t="shared" si="32"/>
        <v>29</v>
      </c>
      <c r="C372" s="79">
        <v>28.583333333333197</v>
      </c>
      <c r="D372" s="15">
        <f>SUMPRODUCT(Business_Portfolio!D372:AM372,Business_Portfolio!$D$8:$AM$8)</f>
        <v>0</v>
      </c>
      <c r="E372" s="25">
        <f t="shared" si="29"/>
        <v>0</v>
      </c>
      <c r="F372" s="25"/>
      <c r="G372" s="25"/>
      <c r="H372" s="25"/>
      <c r="I372" s="25"/>
      <c r="J372" s="15">
        <f>SUMPRODUCT(Business_Portfolio!$V372:$AM372,Business_Portfolio!$V$8:$AM$8)</f>
        <v>0</v>
      </c>
      <c r="K372" s="25">
        <f t="shared" si="30"/>
        <v>0</v>
      </c>
      <c r="L372" s="25"/>
      <c r="M372" s="25"/>
      <c r="N372" s="25"/>
      <c r="O372" s="25"/>
      <c r="P372" s="15">
        <f>SUMPRODUCT(Business_Portfolio!$D372:$U372,Business_Portfolio!$D$8:$U$8)</f>
        <v>0</v>
      </c>
      <c r="Q372" s="25">
        <f t="shared" si="31"/>
        <v>0</v>
      </c>
      <c r="R372" s="25"/>
      <c r="S372" s="25"/>
      <c r="T372" s="25"/>
      <c r="U372" s="25"/>
    </row>
    <row r="373" spans="1:21" x14ac:dyDescent="0.25">
      <c r="A373" s="155">
        <f t="shared" si="32"/>
        <v>29</v>
      </c>
      <c r="C373" s="79">
        <v>28.666666666666529</v>
      </c>
      <c r="D373" s="15">
        <f>SUMPRODUCT(Business_Portfolio!D373:AM373,Business_Portfolio!$D$8:$AM$8)</f>
        <v>0</v>
      </c>
      <c r="E373" s="25">
        <f t="shared" si="29"/>
        <v>0</v>
      </c>
      <c r="F373" s="25"/>
      <c r="G373" s="25"/>
      <c r="H373" s="25"/>
      <c r="I373" s="25"/>
      <c r="J373" s="15">
        <f>SUMPRODUCT(Business_Portfolio!$V373:$AM373,Business_Portfolio!$V$8:$AM$8)</f>
        <v>0</v>
      </c>
      <c r="K373" s="25">
        <f t="shared" si="30"/>
        <v>0</v>
      </c>
      <c r="L373" s="25"/>
      <c r="M373" s="25"/>
      <c r="N373" s="25"/>
      <c r="O373" s="25"/>
      <c r="P373" s="15">
        <f>SUMPRODUCT(Business_Portfolio!$D373:$U373,Business_Portfolio!$D$8:$U$8)</f>
        <v>0</v>
      </c>
      <c r="Q373" s="25">
        <f t="shared" si="31"/>
        <v>0</v>
      </c>
      <c r="R373" s="25"/>
      <c r="S373" s="25"/>
      <c r="T373" s="25"/>
      <c r="U373" s="25"/>
    </row>
    <row r="374" spans="1:21" x14ac:dyDescent="0.25">
      <c r="A374" s="155">
        <f t="shared" si="32"/>
        <v>29</v>
      </c>
      <c r="C374" s="79">
        <v>28.749999999999861</v>
      </c>
      <c r="D374" s="15">
        <f>SUMPRODUCT(Business_Portfolio!D374:AM374,Business_Portfolio!$D$8:$AM$8)</f>
        <v>0</v>
      </c>
      <c r="E374" s="25">
        <f t="shared" si="29"/>
        <v>0</v>
      </c>
      <c r="F374" s="25"/>
      <c r="G374" s="25"/>
      <c r="H374" s="25"/>
      <c r="I374" s="25"/>
      <c r="J374" s="15">
        <f>SUMPRODUCT(Business_Portfolio!$V374:$AM374,Business_Portfolio!$V$8:$AM$8)</f>
        <v>0</v>
      </c>
      <c r="K374" s="25">
        <f t="shared" si="30"/>
        <v>0</v>
      </c>
      <c r="L374" s="25"/>
      <c r="M374" s="25"/>
      <c r="N374" s="25"/>
      <c r="O374" s="25"/>
      <c r="P374" s="15">
        <f>SUMPRODUCT(Business_Portfolio!$D374:$U374,Business_Portfolio!$D$8:$U$8)</f>
        <v>0</v>
      </c>
      <c r="Q374" s="25">
        <f t="shared" si="31"/>
        <v>0</v>
      </c>
      <c r="R374" s="25"/>
      <c r="S374" s="25"/>
      <c r="T374" s="25"/>
      <c r="U374" s="25"/>
    </row>
    <row r="375" spans="1:21" x14ac:dyDescent="0.25">
      <c r="A375" s="155">
        <f t="shared" si="32"/>
        <v>29</v>
      </c>
      <c r="C375" s="79">
        <v>28.833333333333194</v>
      </c>
      <c r="D375" s="15">
        <f>SUMPRODUCT(Business_Portfolio!D375:AM375,Business_Portfolio!$D$8:$AM$8)</f>
        <v>0</v>
      </c>
      <c r="E375" s="25">
        <f t="shared" si="29"/>
        <v>0</v>
      </c>
      <c r="F375" s="25"/>
      <c r="G375" s="25"/>
      <c r="H375" s="25"/>
      <c r="I375" s="25"/>
      <c r="J375" s="15">
        <f>SUMPRODUCT(Business_Portfolio!$V375:$AM375,Business_Portfolio!$V$8:$AM$8)</f>
        <v>0</v>
      </c>
      <c r="K375" s="25">
        <f t="shared" si="30"/>
        <v>0</v>
      </c>
      <c r="L375" s="25"/>
      <c r="M375" s="25"/>
      <c r="N375" s="25"/>
      <c r="O375" s="25"/>
      <c r="P375" s="15">
        <f>SUMPRODUCT(Business_Portfolio!$D375:$U375,Business_Portfolio!$D$8:$U$8)</f>
        <v>0</v>
      </c>
      <c r="Q375" s="25">
        <f t="shared" si="31"/>
        <v>0</v>
      </c>
      <c r="R375" s="25"/>
      <c r="S375" s="25"/>
      <c r="T375" s="25"/>
      <c r="U375" s="25"/>
    </row>
    <row r="376" spans="1:21" x14ac:dyDescent="0.25">
      <c r="A376" s="155">
        <f t="shared" si="32"/>
        <v>29</v>
      </c>
      <c r="C376" s="79">
        <v>28.916666666666526</v>
      </c>
      <c r="D376" s="15">
        <f>SUMPRODUCT(Business_Portfolio!D376:AM376,Business_Portfolio!$D$8:$AM$8)</f>
        <v>0</v>
      </c>
      <c r="E376" s="25">
        <f t="shared" si="29"/>
        <v>0</v>
      </c>
      <c r="F376" s="25"/>
      <c r="G376" s="25"/>
      <c r="H376" s="25"/>
      <c r="I376" s="25"/>
      <c r="J376" s="15">
        <f>SUMPRODUCT(Business_Portfolio!$V376:$AM376,Business_Portfolio!$V$8:$AM$8)</f>
        <v>0</v>
      </c>
      <c r="K376" s="25">
        <f t="shared" si="30"/>
        <v>0</v>
      </c>
      <c r="L376" s="25"/>
      <c r="M376" s="25"/>
      <c r="N376" s="25"/>
      <c r="O376" s="25"/>
      <c r="P376" s="15">
        <f>SUMPRODUCT(Business_Portfolio!$D376:$U376,Business_Portfolio!$D$8:$U$8)</f>
        <v>0</v>
      </c>
      <c r="Q376" s="25">
        <f t="shared" si="31"/>
        <v>0</v>
      </c>
      <c r="R376" s="25"/>
      <c r="S376" s="25"/>
      <c r="T376" s="25"/>
      <c r="U376" s="25"/>
    </row>
    <row r="377" spans="1:21" x14ac:dyDescent="0.25">
      <c r="A377" s="155">
        <f t="shared" si="32"/>
        <v>29</v>
      </c>
      <c r="C377" s="79">
        <v>28.999999999999858</v>
      </c>
      <c r="D377" s="15">
        <f>SUMPRODUCT(Business_Portfolio!D377:AM377,Business_Portfolio!$D$8:$AM$8)</f>
        <v>0</v>
      </c>
      <c r="E377" s="25">
        <f t="shared" si="29"/>
        <v>0</v>
      </c>
      <c r="F377" s="25"/>
      <c r="G377" s="25"/>
      <c r="H377" s="25"/>
      <c r="I377" s="25"/>
      <c r="J377" s="15">
        <f>SUMPRODUCT(Business_Portfolio!$V377:$AM377,Business_Portfolio!$V$8:$AM$8)</f>
        <v>0</v>
      </c>
      <c r="K377" s="25">
        <f t="shared" si="30"/>
        <v>0</v>
      </c>
      <c r="L377" s="25"/>
      <c r="M377" s="25"/>
      <c r="N377" s="25"/>
      <c r="O377" s="25"/>
      <c r="P377" s="15">
        <f>SUMPRODUCT(Business_Portfolio!$D377:$U377,Business_Portfolio!$D$8:$U$8)</f>
        <v>0</v>
      </c>
      <c r="Q377" s="25">
        <f t="shared" si="31"/>
        <v>0</v>
      </c>
      <c r="R377" s="25"/>
      <c r="S377" s="25"/>
      <c r="T377" s="25"/>
      <c r="U377" s="25"/>
    </row>
    <row r="378" spans="1:21" x14ac:dyDescent="0.25">
      <c r="A378" s="155">
        <f t="shared" si="32"/>
        <v>30</v>
      </c>
      <c r="C378" s="79">
        <v>29.08333333333319</v>
      </c>
      <c r="D378" s="15">
        <f>SUMPRODUCT(Business_Portfolio!D378:AM378,Business_Portfolio!$D$8:$AM$8)</f>
        <v>0</v>
      </c>
      <c r="E378" s="25">
        <f t="shared" si="29"/>
        <v>0</v>
      </c>
      <c r="F378" s="25"/>
      <c r="G378" s="25"/>
      <c r="H378" s="25"/>
      <c r="I378" s="25"/>
      <c r="J378" s="15">
        <f>SUMPRODUCT(Business_Portfolio!$V378:$AM378,Business_Portfolio!$V$8:$AM$8)</f>
        <v>0</v>
      </c>
      <c r="K378" s="25">
        <f t="shared" si="30"/>
        <v>0</v>
      </c>
      <c r="L378" s="25"/>
      <c r="M378" s="25"/>
      <c r="N378" s="25"/>
      <c r="O378" s="25"/>
      <c r="P378" s="15">
        <f>SUMPRODUCT(Business_Portfolio!$D378:$U378,Business_Portfolio!$D$8:$U$8)</f>
        <v>0</v>
      </c>
      <c r="Q378" s="25">
        <f t="shared" si="31"/>
        <v>0</v>
      </c>
      <c r="R378" s="25"/>
      <c r="S378" s="25"/>
      <c r="T378" s="25"/>
      <c r="U378" s="25"/>
    </row>
    <row r="379" spans="1:21" x14ac:dyDescent="0.25">
      <c r="A379" s="155">
        <f t="shared" si="32"/>
        <v>30</v>
      </c>
      <c r="C379" s="79">
        <v>29.166666666666522</v>
      </c>
      <c r="D379" s="15">
        <f>SUMPRODUCT(Business_Portfolio!D379:AM379,Business_Portfolio!$D$8:$AM$8)</f>
        <v>0</v>
      </c>
      <c r="E379" s="25">
        <f t="shared" si="29"/>
        <v>0</v>
      </c>
      <c r="F379" s="25"/>
      <c r="G379" s="25"/>
      <c r="H379" s="25"/>
      <c r="I379" s="25"/>
      <c r="J379" s="15">
        <f>SUMPRODUCT(Business_Portfolio!$V379:$AM379,Business_Portfolio!$V$8:$AM$8)</f>
        <v>0</v>
      </c>
      <c r="K379" s="25">
        <f t="shared" si="30"/>
        <v>0</v>
      </c>
      <c r="L379" s="25"/>
      <c r="M379" s="25"/>
      <c r="N379" s="25"/>
      <c r="O379" s="25"/>
      <c r="P379" s="15">
        <f>SUMPRODUCT(Business_Portfolio!$D379:$U379,Business_Portfolio!$D$8:$U$8)</f>
        <v>0</v>
      </c>
      <c r="Q379" s="25">
        <f t="shared" si="31"/>
        <v>0</v>
      </c>
      <c r="R379" s="25"/>
      <c r="S379" s="25"/>
      <c r="T379" s="25"/>
      <c r="U379" s="25"/>
    </row>
    <row r="380" spans="1:21" x14ac:dyDescent="0.25">
      <c r="A380" s="155">
        <f t="shared" si="32"/>
        <v>30</v>
      </c>
      <c r="C380" s="79">
        <v>29.249999999999854</v>
      </c>
      <c r="D380" s="15">
        <f>SUMPRODUCT(Business_Portfolio!D380:AM380,Business_Portfolio!$D$8:$AM$8)</f>
        <v>0</v>
      </c>
      <c r="E380" s="25">
        <f t="shared" si="29"/>
        <v>0</v>
      </c>
      <c r="F380" s="25"/>
      <c r="G380" s="25"/>
      <c r="H380" s="25"/>
      <c r="I380" s="25"/>
      <c r="J380" s="15">
        <f>SUMPRODUCT(Business_Portfolio!$V380:$AM380,Business_Portfolio!$V$8:$AM$8)</f>
        <v>0</v>
      </c>
      <c r="K380" s="25">
        <f t="shared" si="30"/>
        <v>0</v>
      </c>
      <c r="L380" s="25"/>
      <c r="M380" s="25"/>
      <c r="N380" s="25"/>
      <c r="O380" s="25"/>
      <c r="P380" s="15">
        <f>SUMPRODUCT(Business_Portfolio!$D380:$U380,Business_Portfolio!$D$8:$U$8)</f>
        <v>0</v>
      </c>
      <c r="Q380" s="25">
        <f t="shared" si="31"/>
        <v>0</v>
      </c>
      <c r="R380" s="25"/>
      <c r="S380" s="25"/>
      <c r="T380" s="25"/>
      <c r="U380" s="25"/>
    </row>
    <row r="381" spans="1:21" x14ac:dyDescent="0.25">
      <c r="A381" s="155">
        <f t="shared" si="32"/>
        <v>30</v>
      </c>
      <c r="C381" s="79">
        <v>29.333333333333186</v>
      </c>
      <c r="D381" s="15">
        <f>SUMPRODUCT(Business_Portfolio!D381:AM381,Business_Portfolio!$D$8:$AM$8)</f>
        <v>0</v>
      </c>
      <c r="E381" s="25">
        <f t="shared" si="29"/>
        <v>0</v>
      </c>
      <c r="F381" s="25"/>
      <c r="G381" s="25"/>
      <c r="H381" s="25"/>
      <c r="I381" s="25"/>
      <c r="J381" s="15">
        <f>SUMPRODUCT(Business_Portfolio!$V381:$AM381,Business_Portfolio!$V$8:$AM$8)</f>
        <v>0</v>
      </c>
      <c r="K381" s="25">
        <f t="shared" si="30"/>
        <v>0</v>
      </c>
      <c r="L381" s="25"/>
      <c r="M381" s="25"/>
      <c r="N381" s="25"/>
      <c r="O381" s="25"/>
      <c r="P381" s="15">
        <f>SUMPRODUCT(Business_Portfolio!$D381:$U381,Business_Portfolio!$D$8:$U$8)</f>
        <v>0</v>
      </c>
      <c r="Q381" s="25">
        <f t="shared" si="31"/>
        <v>0</v>
      </c>
      <c r="R381" s="25"/>
      <c r="S381" s="25"/>
      <c r="T381" s="25"/>
      <c r="U381" s="25"/>
    </row>
    <row r="382" spans="1:21" x14ac:dyDescent="0.25">
      <c r="A382" s="155">
        <f t="shared" si="32"/>
        <v>30</v>
      </c>
      <c r="C382" s="79">
        <v>29.416666666666519</v>
      </c>
      <c r="D382" s="15">
        <f>SUMPRODUCT(Business_Portfolio!D382:AM382,Business_Portfolio!$D$8:$AM$8)</f>
        <v>0</v>
      </c>
      <c r="E382" s="25">
        <f t="shared" si="29"/>
        <v>0</v>
      </c>
      <c r="F382" s="25"/>
      <c r="G382" s="25"/>
      <c r="H382" s="25"/>
      <c r="I382" s="25"/>
      <c r="J382" s="15">
        <f>SUMPRODUCT(Business_Portfolio!$V382:$AM382,Business_Portfolio!$V$8:$AM$8)</f>
        <v>0</v>
      </c>
      <c r="K382" s="25">
        <f t="shared" si="30"/>
        <v>0</v>
      </c>
      <c r="L382" s="25"/>
      <c r="M382" s="25"/>
      <c r="N382" s="25"/>
      <c r="O382" s="25"/>
      <c r="P382" s="15">
        <f>SUMPRODUCT(Business_Portfolio!$D382:$U382,Business_Portfolio!$D$8:$U$8)</f>
        <v>0</v>
      </c>
      <c r="Q382" s="25">
        <f t="shared" si="31"/>
        <v>0</v>
      </c>
      <c r="R382" s="25"/>
      <c r="S382" s="25"/>
      <c r="T382" s="25"/>
      <c r="U382" s="25"/>
    </row>
    <row r="383" spans="1:21" x14ac:dyDescent="0.25">
      <c r="A383" s="155">
        <f t="shared" si="32"/>
        <v>30</v>
      </c>
      <c r="C383" s="79">
        <v>29.499999999999851</v>
      </c>
      <c r="D383" s="15">
        <f>SUMPRODUCT(Business_Portfolio!D383:AM383,Business_Portfolio!$D$8:$AM$8)</f>
        <v>0</v>
      </c>
      <c r="E383" s="25">
        <f t="shared" si="29"/>
        <v>0</v>
      </c>
      <c r="F383" s="25"/>
      <c r="G383" s="25"/>
      <c r="H383" s="25"/>
      <c r="I383" s="25"/>
      <c r="J383" s="15">
        <f>SUMPRODUCT(Business_Portfolio!$V383:$AM383,Business_Portfolio!$V$8:$AM$8)</f>
        <v>0</v>
      </c>
      <c r="K383" s="25">
        <f t="shared" si="30"/>
        <v>0</v>
      </c>
      <c r="L383" s="25"/>
      <c r="M383" s="25"/>
      <c r="N383" s="25"/>
      <c r="O383" s="25"/>
      <c r="P383" s="15">
        <f>SUMPRODUCT(Business_Portfolio!$D383:$U383,Business_Portfolio!$D$8:$U$8)</f>
        <v>0</v>
      </c>
      <c r="Q383" s="25">
        <f t="shared" si="31"/>
        <v>0</v>
      </c>
      <c r="R383" s="25"/>
      <c r="S383" s="25"/>
      <c r="T383" s="25"/>
      <c r="U383" s="25"/>
    </row>
    <row r="384" spans="1:21" x14ac:dyDescent="0.25">
      <c r="A384" s="155">
        <f t="shared" si="32"/>
        <v>30</v>
      </c>
      <c r="C384" s="79">
        <v>29.583333333333183</v>
      </c>
      <c r="D384" s="15">
        <f>SUMPRODUCT(Business_Portfolio!D384:AM384,Business_Portfolio!$D$8:$AM$8)</f>
        <v>0</v>
      </c>
      <c r="E384" s="25">
        <f t="shared" si="29"/>
        <v>0</v>
      </c>
      <c r="F384" s="25"/>
      <c r="G384" s="25"/>
      <c r="H384" s="25"/>
      <c r="I384" s="25"/>
      <c r="J384" s="15">
        <f>SUMPRODUCT(Business_Portfolio!$V384:$AM384,Business_Portfolio!$V$8:$AM$8)</f>
        <v>0</v>
      </c>
      <c r="K384" s="25">
        <f t="shared" si="30"/>
        <v>0</v>
      </c>
      <c r="L384" s="25"/>
      <c r="M384" s="25"/>
      <c r="N384" s="25"/>
      <c r="O384" s="25"/>
      <c r="P384" s="15">
        <f>SUMPRODUCT(Business_Portfolio!$D384:$U384,Business_Portfolio!$D$8:$U$8)</f>
        <v>0</v>
      </c>
      <c r="Q384" s="25">
        <f t="shared" si="31"/>
        <v>0</v>
      </c>
      <c r="R384" s="25"/>
      <c r="S384" s="25"/>
      <c r="T384" s="25"/>
      <c r="U384" s="25"/>
    </row>
    <row r="385" spans="1:21" x14ac:dyDescent="0.25">
      <c r="A385" s="155">
        <f t="shared" si="32"/>
        <v>30</v>
      </c>
      <c r="C385" s="79">
        <v>29.666666666666515</v>
      </c>
      <c r="D385" s="15">
        <f>SUMPRODUCT(Business_Portfolio!D385:AM385,Business_Portfolio!$D$8:$AM$8)</f>
        <v>0</v>
      </c>
      <c r="E385" s="25">
        <f t="shared" si="29"/>
        <v>0</v>
      </c>
      <c r="F385" s="25"/>
      <c r="G385" s="25"/>
      <c r="H385" s="25"/>
      <c r="I385" s="25"/>
      <c r="J385" s="15">
        <f>SUMPRODUCT(Business_Portfolio!$V385:$AM385,Business_Portfolio!$V$8:$AM$8)</f>
        <v>0</v>
      </c>
      <c r="K385" s="25">
        <f t="shared" si="30"/>
        <v>0</v>
      </c>
      <c r="L385" s="25"/>
      <c r="M385" s="25"/>
      <c r="N385" s="25"/>
      <c r="O385" s="25"/>
      <c r="P385" s="15">
        <f>SUMPRODUCT(Business_Portfolio!$D385:$U385,Business_Portfolio!$D$8:$U$8)</f>
        <v>0</v>
      </c>
      <c r="Q385" s="25">
        <f t="shared" si="31"/>
        <v>0</v>
      </c>
      <c r="R385" s="25"/>
      <c r="S385" s="25"/>
      <c r="T385" s="25"/>
      <c r="U385" s="25"/>
    </row>
    <row r="386" spans="1:21" x14ac:dyDescent="0.25">
      <c r="A386" s="155">
        <f t="shared" si="32"/>
        <v>30</v>
      </c>
      <c r="C386" s="79">
        <v>29.749999999999847</v>
      </c>
      <c r="D386" s="15">
        <f>SUMPRODUCT(Business_Portfolio!D386:AM386,Business_Portfolio!$D$8:$AM$8)</f>
        <v>0</v>
      </c>
      <c r="E386" s="25">
        <f t="shared" si="29"/>
        <v>0</v>
      </c>
      <c r="F386" s="25"/>
      <c r="G386" s="25"/>
      <c r="H386" s="25"/>
      <c r="I386" s="25"/>
      <c r="J386" s="15">
        <f>SUMPRODUCT(Business_Portfolio!$V386:$AM386,Business_Portfolio!$V$8:$AM$8)</f>
        <v>0</v>
      </c>
      <c r="K386" s="25">
        <f t="shared" si="30"/>
        <v>0</v>
      </c>
      <c r="L386" s="25"/>
      <c r="M386" s="25"/>
      <c r="N386" s="25"/>
      <c r="O386" s="25"/>
      <c r="P386" s="15">
        <f>SUMPRODUCT(Business_Portfolio!$D386:$U386,Business_Portfolio!$D$8:$U$8)</f>
        <v>0</v>
      </c>
      <c r="Q386" s="25">
        <f t="shared" si="31"/>
        <v>0</v>
      </c>
      <c r="R386" s="25"/>
      <c r="S386" s="25"/>
      <c r="T386" s="25"/>
      <c r="U386" s="25"/>
    </row>
    <row r="387" spans="1:21" x14ac:dyDescent="0.25">
      <c r="A387" s="155">
        <f t="shared" si="32"/>
        <v>30</v>
      </c>
      <c r="C387" s="79">
        <v>29.833333333333179</v>
      </c>
      <c r="D387" s="15">
        <f>SUMPRODUCT(Business_Portfolio!D387:AM387,Business_Portfolio!$D$8:$AM$8)</f>
        <v>0</v>
      </c>
      <c r="E387" s="25">
        <f t="shared" si="29"/>
        <v>0</v>
      </c>
      <c r="F387" s="25"/>
      <c r="G387" s="25"/>
      <c r="H387" s="25"/>
      <c r="I387" s="25"/>
      <c r="J387" s="15">
        <f>SUMPRODUCT(Business_Portfolio!$V387:$AM387,Business_Portfolio!$V$8:$AM$8)</f>
        <v>0</v>
      </c>
      <c r="K387" s="25">
        <f t="shared" si="30"/>
        <v>0</v>
      </c>
      <c r="L387" s="25"/>
      <c r="M387" s="25"/>
      <c r="N387" s="25"/>
      <c r="O387" s="25"/>
      <c r="P387" s="15">
        <f>SUMPRODUCT(Business_Portfolio!$D387:$U387,Business_Portfolio!$D$8:$U$8)</f>
        <v>0</v>
      </c>
      <c r="Q387" s="25">
        <f t="shared" si="31"/>
        <v>0</v>
      </c>
      <c r="R387" s="25"/>
      <c r="S387" s="25"/>
      <c r="T387" s="25"/>
      <c r="U387" s="25"/>
    </row>
    <row r="388" spans="1:21" x14ac:dyDescent="0.25">
      <c r="A388" s="155">
        <f t="shared" si="32"/>
        <v>30</v>
      </c>
      <c r="C388" s="79">
        <v>29.916666666666512</v>
      </c>
      <c r="D388" s="15">
        <f>SUMPRODUCT(Business_Portfolio!D388:AM388,Business_Portfolio!$D$8:$AM$8)</f>
        <v>0</v>
      </c>
      <c r="E388" s="25">
        <f t="shared" si="29"/>
        <v>0</v>
      </c>
      <c r="F388" s="25"/>
      <c r="G388" s="25"/>
      <c r="H388" s="25"/>
      <c r="I388" s="25"/>
      <c r="J388" s="15">
        <f>SUMPRODUCT(Business_Portfolio!$V388:$AM388,Business_Portfolio!$V$8:$AM$8)</f>
        <v>0</v>
      </c>
      <c r="K388" s="25">
        <f t="shared" si="30"/>
        <v>0</v>
      </c>
      <c r="L388" s="25"/>
      <c r="M388" s="25"/>
      <c r="N388" s="25"/>
      <c r="O388" s="25"/>
      <c r="P388" s="15">
        <f>SUMPRODUCT(Business_Portfolio!$D388:$U388,Business_Portfolio!$D$8:$U$8)</f>
        <v>0</v>
      </c>
      <c r="Q388" s="25">
        <f t="shared" si="31"/>
        <v>0</v>
      </c>
      <c r="R388" s="25"/>
      <c r="S388" s="25"/>
      <c r="T388" s="25"/>
      <c r="U388" s="25"/>
    </row>
    <row r="389" spans="1:21" x14ac:dyDescent="0.25">
      <c r="A389" s="155">
        <f t="shared" si="32"/>
        <v>30</v>
      </c>
      <c r="C389" s="79">
        <v>29.999999999999844</v>
      </c>
      <c r="D389" s="15">
        <f>SUMPRODUCT(Business_Portfolio!D389:AM389,Business_Portfolio!$D$8:$AM$8)</f>
        <v>0</v>
      </c>
      <c r="E389" s="25">
        <f t="shared" si="29"/>
        <v>0</v>
      </c>
      <c r="F389" s="25"/>
      <c r="G389" s="25"/>
      <c r="H389" s="25"/>
      <c r="I389" s="25"/>
      <c r="J389" s="15">
        <f>SUMPRODUCT(Business_Portfolio!$V389:$AM389,Business_Portfolio!$V$8:$AM$8)</f>
        <v>0</v>
      </c>
      <c r="K389" s="25">
        <f t="shared" si="30"/>
        <v>0</v>
      </c>
      <c r="L389" s="25"/>
      <c r="M389" s="25"/>
      <c r="N389" s="25"/>
      <c r="O389" s="25"/>
      <c r="P389" s="15">
        <f>SUMPRODUCT(Business_Portfolio!$D389:$U389,Business_Portfolio!$D$8:$U$8)</f>
        <v>0</v>
      </c>
      <c r="Q389" s="25">
        <f t="shared" si="31"/>
        <v>0</v>
      </c>
      <c r="R389" s="25"/>
      <c r="S389" s="25"/>
      <c r="T389" s="25"/>
      <c r="U389" s="25"/>
    </row>
    <row r="390" spans="1:21" x14ac:dyDescent="0.25">
      <c r="A390" s="155">
        <f t="shared" si="32"/>
        <v>31</v>
      </c>
      <c r="C390" s="79">
        <v>30.083333333333176</v>
      </c>
      <c r="D390" s="15">
        <f>SUMPRODUCT(Business_Portfolio!D390:AM390,Business_Portfolio!$D$8:$AM$8)</f>
        <v>0</v>
      </c>
      <c r="E390" s="25">
        <f t="shared" si="29"/>
        <v>0</v>
      </c>
      <c r="F390" s="25"/>
      <c r="G390" s="25"/>
      <c r="H390" s="25"/>
      <c r="I390" s="25"/>
      <c r="J390" s="15">
        <f>SUMPRODUCT(Business_Portfolio!$V390:$AM390,Business_Portfolio!$V$8:$AM$8)</f>
        <v>0</v>
      </c>
      <c r="K390" s="25">
        <f t="shared" si="30"/>
        <v>0</v>
      </c>
      <c r="L390" s="25"/>
      <c r="M390" s="25"/>
      <c r="N390" s="25"/>
      <c r="O390" s="25"/>
      <c r="P390" s="15">
        <f>SUMPRODUCT(Business_Portfolio!$D390:$U390,Business_Portfolio!$D$8:$U$8)</f>
        <v>0</v>
      </c>
      <c r="Q390" s="25">
        <f t="shared" si="31"/>
        <v>0</v>
      </c>
      <c r="R390" s="25"/>
      <c r="S390" s="25"/>
      <c r="T390" s="25"/>
      <c r="U390" s="25"/>
    </row>
    <row r="391" spans="1:21" x14ac:dyDescent="0.25">
      <c r="A391" s="155">
        <f t="shared" si="32"/>
        <v>31</v>
      </c>
      <c r="C391" s="79">
        <v>30.166666666666508</v>
      </c>
      <c r="D391" s="15">
        <f>SUMPRODUCT(Business_Portfolio!D391:AM391,Business_Portfolio!$D$8:$AM$8)</f>
        <v>0</v>
      </c>
      <c r="E391" s="25">
        <f t="shared" si="29"/>
        <v>0</v>
      </c>
      <c r="F391" s="25"/>
      <c r="G391" s="25"/>
      <c r="H391" s="25"/>
      <c r="I391" s="25"/>
      <c r="J391" s="15">
        <f>SUMPRODUCT(Business_Portfolio!$V391:$AM391,Business_Portfolio!$V$8:$AM$8)</f>
        <v>0</v>
      </c>
      <c r="K391" s="25">
        <f t="shared" si="30"/>
        <v>0</v>
      </c>
      <c r="L391" s="25"/>
      <c r="M391" s="25"/>
      <c r="N391" s="25"/>
      <c r="O391" s="25"/>
      <c r="P391" s="15">
        <f>SUMPRODUCT(Business_Portfolio!$D391:$U391,Business_Portfolio!$D$8:$U$8)</f>
        <v>0</v>
      </c>
      <c r="Q391" s="25">
        <f t="shared" si="31"/>
        <v>0</v>
      </c>
      <c r="R391" s="25"/>
      <c r="S391" s="25"/>
      <c r="T391" s="25"/>
      <c r="U391" s="25"/>
    </row>
    <row r="392" spans="1:21" x14ac:dyDescent="0.25">
      <c r="A392" s="155">
        <f t="shared" si="32"/>
        <v>31</v>
      </c>
      <c r="C392" s="79">
        <v>30.24999999999984</v>
      </c>
      <c r="D392" s="15">
        <f>SUMPRODUCT(Business_Portfolio!D392:AM392,Business_Portfolio!$D$8:$AM$8)</f>
        <v>0</v>
      </c>
      <c r="E392" s="25">
        <f t="shared" si="29"/>
        <v>0</v>
      </c>
      <c r="F392" s="25"/>
      <c r="G392" s="25"/>
      <c r="H392" s="25"/>
      <c r="I392" s="25"/>
      <c r="J392" s="15">
        <f>SUMPRODUCT(Business_Portfolio!$V392:$AM392,Business_Portfolio!$V$8:$AM$8)</f>
        <v>0</v>
      </c>
      <c r="K392" s="25">
        <f t="shared" si="30"/>
        <v>0</v>
      </c>
      <c r="L392" s="25"/>
      <c r="M392" s="25"/>
      <c r="N392" s="25"/>
      <c r="O392" s="25"/>
      <c r="P392" s="15">
        <f>SUMPRODUCT(Business_Portfolio!$D392:$U392,Business_Portfolio!$D$8:$U$8)</f>
        <v>0</v>
      </c>
      <c r="Q392" s="25">
        <f t="shared" si="31"/>
        <v>0</v>
      </c>
      <c r="R392" s="25"/>
      <c r="S392" s="25"/>
      <c r="T392" s="25"/>
      <c r="U392" s="25"/>
    </row>
    <row r="393" spans="1:21" x14ac:dyDescent="0.25">
      <c r="A393" s="155">
        <f t="shared" si="32"/>
        <v>31</v>
      </c>
      <c r="C393" s="79">
        <v>30.333333333333172</v>
      </c>
      <c r="D393" s="15">
        <f>SUMPRODUCT(Business_Portfolio!D393:AM393,Business_Portfolio!$D$8:$AM$8)</f>
        <v>0</v>
      </c>
      <c r="E393" s="25">
        <f t="shared" si="29"/>
        <v>0</v>
      </c>
      <c r="F393" s="25"/>
      <c r="G393" s="25"/>
      <c r="H393" s="25"/>
      <c r="I393" s="25"/>
      <c r="J393" s="15">
        <f>SUMPRODUCT(Business_Portfolio!$V393:$AM393,Business_Portfolio!$V$8:$AM$8)</f>
        <v>0</v>
      </c>
      <c r="K393" s="25">
        <f t="shared" si="30"/>
        <v>0</v>
      </c>
      <c r="L393" s="25"/>
      <c r="M393" s="25"/>
      <c r="N393" s="25"/>
      <c r="O393" s="25"/>
      <c r="P393" s="15">
        <f>SUMPRODUCT(Business_Portfolio!$D393:$U393,Business_Portfolio!$D$8:$U$8)</f>
        <v>0</v>
      </c>
      <c r="Q393" s="25">
        <f t="shared" si="31"/>
        <v>0</v>
      </c>
      <c r="R393" s="25"/>
      <c r="S393" s="25"/>
      <c r="T393" s="25"/>
      <c r="U393" s="25"/>
    </row>
    <row r="394" spans="1:21" x14ac:dyDescent="0.25">
      <c r="A394" s="155">
        <f t="shared" si="32"/>
        <v>31</v>
      </c>
      <c r="C394" s="79">
        <v>30.416666666666504</v>
      </c>
      <c r="D394" s="15">
        <f>SUMPRODUCT(Business_Portfolio!D394:AM394,Business_Portfolio!$D$8:$AM$8)</f>
        <v>0</v>
      </c>
      <c r="E394" s="25">
        <f t="shared" si="29"/>
        <v>0</v>
      </c>
      <c r="F394" s="25"/>
      <c r="G394" s="25"/>
      <c r="H394" s="25"/>
      <c r="I394" s="25"/>
      <c r="J394" s="15">
        <f>SUMPRODUCT(Business_Portfolio!$V394:$AM394,Business_Portfolio!$V$8:$AM$8)</f>
        <v>0</v>
      </c>
      <c r="K394" s="25">
        <f t="shared" si="30"/>
        <v>0</v>
      </c>
      <c r="L394" s="25"/>
      <c r="M394" s="25"/>
      <c r="N394" s="25"/>
      <c r="O394" s="25"/>
      <c r="P394" s="15">
        <f>SUMPRODUCT(Business_Portfolio!$D394:$U394,Business_Portfolio!$D$8:$U$8)</f>
        <v>0</v>
      </c>
      <c r="Q394" s="25">
        <f t="shared" si="31"/>
        <v>0</v>
      </c>
      <c r="R394" s="25"/>
      <c r="S394" s="25"/>
      <c r="T394" s="25"/>
      <c r="U394" s="25"/>
    </row>
    <row r="395" spans="1:21" x14ac:dyDescent="0.25">
      <c r="A395" s="155">
        <f t="shared" si="32"/>
        <v>31</v>
      </c>
      <c r="C395" s="79">
        <v>30.499999999999837</v>
      </c>
      <c r="D395" s="15">
        <f>SUMPRODUCT(Business_Portfolio!D395:AM395,Business_Portfolio!$D$8:$AM$8)</f>
        <v>0</v>
      </c>
      <c r="E395" s="25">
        <f t="shared" si="29"/>
        <v>0</v>
      </c>
      <c r="F395" s="25"/>
      <c r="G395" s="25"/>
      <c r="H395" s="25"/>
      <c r="I395" s="25"/>
      <c r="J395" s="15">
        <f>SUMPRODUCT(Business_Portfolio!$V395:$AM395,Business_Portfolio!$V$8:$AM$8)</f>
        <v>0</v>
      </c>
      <c r="K395" s="25">
        <f t="shared" si="30"/>
        <v>0</v>
      </c>
      <c r="L395" s="25"/>
      <c r="M395" s="25"/>
      <c r="N395" s="25"/>
      <c r="O395" s="25"/>
      <c r="P395" s="15">
        <f>SUMPRODUCT(Business_Portfolio!$D395:$U395,Business_Portfolio!$D$8:$U$8)</f>
        <v>0</v>
      </c>
      <c r="Q395" s="25">
        <f t="shared" si="31"/>
        <v>0</v>
      </c>
      <c r="R395" s="25"/>
      <c r="S395" s="25"/>
      <c r="T395" s="25"/>
      <c r="U395" s="25"/>
    </row>
    <row r="396" spans="1:21" x14ac:dyDescent="0.25">
      <c r="A396" s="155">
        <f t="shared" si="32"/>
        <v>31</v>
      </c>
      <c r="C396" s="79">
        <v>30.583333333333169</v>
      </c>
      <c r="D396" s="15">
        <f>SUMPRODUCT(Business_Portfolio!D396:AM396,Business_Portfolio!$D$8:$AM$8)</f>
        <v>0</v>
      </c>
      <c r="E396" s="25">
        <f t="shared" si="29"/>
        <v>0</v>
      </c>
      <c r="F396" s="25"/>
      <c r="G396" s="25"/>
      <c r="H396" s="25"/>
      <c r="I396" s="25"/>
      <c r="J396" s="15">
        <f>SUMPRODUCT(Business_Portfolio!$V396:$AM396,Business_Portfolio!$V$8:$AM$8)</f>
        <v>0</v>
      </c>
      <c r="K396" s="25">
        <f t="shared" si="30"/>
        <v>0</v>
      </c>
      <c r="L396" s="25"/>
      <c r="M396" s="25"/>
      <c r="N396" s="25"/>
      <c r="O396" s="25"/>
      <c r="P396" s="15">
        <f>SUMPRODUCT(Business_Portfolio!$D396:$U396,Business_Portfolio!$D$8:$U$8)</f>
        <v>0</v>
      </c>
      <c r="Q396" s="25">
        <f t="shared" si="31"/>
        <v>0</v>
      </c>
      <c r="R396" s="25"/>
      <c r="S396" s="25"/>
      <c r="T396" s="25"/>
      <c r="U396" s="25"/>
    </row>
    <row r="397" spans="1:21" x14ac:dyDescent="0.25">
      <c r="A397" s="155">
        <f t="shared" si="32"/>
        <v>31</v>
      </c>
      <c r="C397" s="79">
        <v>30.666666666666501</v>
      </c>
      <c r="D397" s="15">
        <f>SUMPRODUCT(Business_Portfolio!D397:AM397,Business_Portfolio!$D$8:$AM$8)</f>
        <v>0</v>
      </c>
      <c r="E397" s="25">
        <f t="shared" si="29"/>
        <v>0</v>
      </c>
      <c r="F397" s="25"/>
      <c r="G397" s="25"/>
      <c r="H397" s="25"/>
      <c r="I397" s="25"/>
      <c r="J397" s="15">
        <f>SUMPRODUCT(Business_Portfolio!$V397:$AM397,Business_Portfolio!$V$8:$AM$8)</f>
        <v>0</v>
      </c>
      <c r="K397" s="25">
        <f t="shared" si="30"/>
        <v>0</v>
      </c>
      <c r="L397" s="25"/>
      <c r="M397" s="25"/>
      <c r="N397" s="25"/>
      <c r="O397" s="25"/>
      <c r="P397" s="15">
        <f>SUMPRODUCT(Business_Portfolio!$D397:$U397,Business_Portfolio!$D$8:$U$8)</f>
        <v>0</v>
      </c>
      <c r="Q397" s="25">
        <f t="shared" si="31"/>
        <v>0</v>
      </c>
      <c r="R397" s="25"/>
      <c r="S397" s="25"/>
      <c r="T397" s="25"/>
      <c r="U397" s="25"/>
    </row>
    <row r="398" spans="1:21" x14ac:dyDescent="0.25">
      <c r="A398" s="155">
        <f t="shared" si="32"/>
        <v>31</v>
      </c>
      <c r="C398" s="79">
        <v>30.749999999999833</v>
      </c>
      <c r="D398" s="15">
        <f>SUMPRODUCT(Business_Portfolio!D398:AM398,Business_Portfolio!$D$8:$AM$8)</f>
        <v>0</v>
      </c>
      <c r="E398" s="25">
        <f t="shared" si="29"/>
        <v>0</v>
      </c>
      <c r="F398" s="25"/>
      <c r="G398" s="25"/>
      <c r="H398" s="25"/>
      <c r="I398" s="25"/>
      <c r="J398" s="15">
        <f>SUMPRODUCT(Business_Portfolio!$V398:$AM398,Business_Portfolio!$V$8:$AM$8)</f>
        <v>0</v>
      </c>
      <c r="K398" s="25">
        <f t="shared" si="30"/>
        <v>0</v>
      </c>
      <c r="L398" s="25"/>
      <c r="M398" s="25"/>
      <c r="N398" s="25"/>
      <c r="O398" s="25"/>
      <c r="P398" s="15">
        <f>SUMPRODUCT(Business_Portfolio!$D398:$U398,Business_Portfolio!$D$8:$U$8)</f>
        <v>0</v>
      </c>
      <c r="Q398" s="25">
        <f t="shared" si="31"/>
        <v>0</v>
      </c>
      <c r="R398" s="25"/>
      <c r="S398" s="25"/>
      <c r="T398" s="25"/>
      <c r="U398" s="25"/>
    </row>
    <row r="399" spans="1:21" x14ac:dyDescent="0.25">
      <c r="A399" s="155">
        <f t="shared" si="32"/>
        <v>31</v>
      </c>
      <c r="C399" s="79">
        <v>30.833333333333165</v>
      </c>
      <c r="D399" s="15">
        <f>SUMPRODUCT(Business_Portfolio!D399:AM399,Business_Portfolio!$D$8:$AM$8)</f>
        <v>0</v>
      </c>
      <c r="E399" s="25">
        <f t="shared" si="29"/>
        <v>0</v>
      </c>
      <c r="F399" s="25"/>
      <c r="G399" s="25"/>
      <c r="H399" s="25"/>
      <c r="I399" s="25"/>
      <c r="J399" s="15">
        <f>SUMPRODUCT(Business_Portfolio!$V399:$AM399,Business_Portfolio!$V$8:$AM$8)</f>
        <v>0</v>
      </c>
      <c r="K399" s="25">
        <f t="shared" si="30"/>
        <v>0</v>
      </c>
      <c r="L399" s="25"/>
      <c r="M399" s="25"/>
      <c r="N399" s="25"/>
      <c r="O399" s="25"/>
      <c r="P399" s="15">
        <f>SUMPRODUCT(Business_Portfolio!$D399:$U399,Business_Portfolio!$D$8:$U$8)</f>
        <v>0</v>
      </c>
      <c r="Q399" s="25">
        <f t="shared" si="31"/>
        <v>0</v>
      </c>
      <c r="R399" s="25"/>
      <c r="S399" s="25"/>
      <c r="T399" s="25"/>
      <c r="U399" s="25"/>
    </row>
    <row r="400" spans="1:21" x14ac:dyDescent="0.25">
      <c r="A400" s="155">
        <f t="shared" si="32"/>
        <v>31</v>
      </c>
      <c r="C400" s="79">
        <v>30.916666666666497</v>
      </c>
      <c r="D400" s="15">
        <f>SUMPRODUCT(Business_Portfolio!D400:AM400,Business_Portfolio!$D$8:$AM$8)</f>
        <v>0</v>
      </c>
      <c r="E400" s="25">
        <f t="shared" si="29"/>
        <v>0</v>
      </c>
      <c r="F400" s="25"/>
      <c r="G400" s="25"/>
      <c r="H400" s="25"/>
      <c r="I400" s="25"/>
      <c r="J400" s="15">
        <f>SUMPRODUCT(Business_Portfolio!$V400:$AM400,Business_Portfolio!$V$8:$AM$8)</f>
        <v>0</v>
      </c>
      <c r="K400" s="25">
        <f t="shared" si="30"/>
        <v>0</v>
      </c>
      <c r="L400" s="25"/>
      <c r="M400" s="25"/>
      <c r="N400" s="25"/>
      <c r="O400" s="25"/>
      <c r="P400" s="15">
        <f>SUMPRODUCT(Business_Portfolio!$D400:$U400,Business_Portfolio!$D$8:$U$8)</f>
        <v>0</v>
      </c>
      <c r="Q400" s="25">
        <f t="shared" si="31"/>
        <v>0</v>
      </c>
      <c r="R400" s="25"/>
      <c r="S400" s="25"/>
      <c r="T400" s="25"/>
      <c r="U400" s="25"/>
    </row>
    <row r="401" spans="1:21" x14ac:dyDescent="0.25">
      <c r="A401" s="155">
        <f t="shared" si="32"/>
        <v>31</v>
      </c>
      <c r="C401" s="79">
        <v>30.999999999999829</v>
      </c>
      <c r="D401" s="15">
        <f>SUMPRODUCT(Business_Portfolio!D401:AM401,Business_Portfolio!$D$8:$AM$8)</f>
        <v>0</v>
      </c>
      <c r="E401" s="25">
        <f t="shared" si="29"/>
        <v>0</v>
      </c>
      <c r="F401" s="25"/>
      <c r="G401" s="25"/>
      <c r="H401" s="25"/>
      <c r="I401" s="25"/>
      <c r="J401" s="15">
        <f>SUMPRODUCT(Business_Portfolio!$V401:$AM401,Business_Portfolio!$V$8:$AM$8)</f>
        <v>0</v>
      </c>
      <c r="K401" s="25">
        <f t="shared" si="30"/>
        <v>0</v>
      </c>
      <c r="L401" s="25"/>
      <c r="M401" s="25"/>
      <c r="N401" s="25"/>
      <c r="O401" s="25"/>
      <c r="P401" s="15">
        <f>SUMPRODUCT(Business_Portfolio!$D401:$U401,Business_Portfolio!$D$8:$U$8)</f>
        <v>0</v>
      </c>
      <c r="Q401" s="25">
        <f t="shared" si="31"/>
        <v>0</v>
      </c>
      <c r="R401" s="25"/>
      <c r="S401" s="25"/>
      <c r="T401" s="25"/>
      <c r="U401" s="25"/>
    </row>
    <row r="402" spans="1:21" x14ac:dyDescent="0.25">
      <c r="A402" s="155">
        <f t="shared" si="32"/>
        <v>32</v>
      </c>
      <c r="C402" s="79">
        <v>31.083333333333162</v>
      </c>
      <c r="D402" s="15">
        <f>SUMPRODUCT(Business_Portfolio!D402:AM402,Business_Portfolio!$D$8:$AM$8)</f>
        <v>0</v>
      </c>
      <c r="E402" s="25">
        <f t="shared" si="29"/>
        <v>0</v>
      </c>
      <c r="F402" s="25"/>
      <c r="G402" s="25"/>
      <c r="H402" s="25"/>
      <c r="I402" s="25"/>
      <c r="J402" s="15">
        <f>SUMPRODUCT(Business_Portfolio!$V402:$AM402,Business_Portfolio!$V$8:$AM$8)</f>
        <v>0</v>
      </c>
      <c r="K402" s="25">
        <f t="shared" si="30"/>
        <v>0</v>
      </c>
      <c r="L402" s="25"/>
      <c r="M402" s="25"/>
      <c r="N402" s="25"/>
      <c r="O402" s="25"/>
      <c r="P402" s="15">
        <f>SUMPRODUCT(Business_Portfolio!$D402:$U402,Business_Portfolio!$D$8:$U$8)</f>
        <v>0</v>
      </c>
      <c r="Q402" s="25">
        <f t="shared" si="31"/>
        <v>0</v>
      </c>
      <c r="R402" s="25"/>
      <c r="S402" s="25"/>
      <c r="T402" s="25"/>
      <c r="U402" s="25"/>
    </row>
    <row r="403" spans="1:21" x14ac:dyDescent="0.25">
      <c r="A403" s="155">
        <f t="shared" si="32"/>
        <v>32</v>
      </c>
      <c r="C403" s="79">
        <v>31.166666666666494</v>
      </c>
      <c r="D403" s="15">
        <f>SUMPRODUCT(Business_Portfolio!D403:AM403,Business_Portfolio!$D$8:$AM$8)</f>
        <v>0</v>
      </c>
      <c r="E403" s="25">
        <f t="shared" si="29"/>
        <v>0</v>
      </c>
      <c r="F403" s="25"/>
      <c r="G403" s="25"/>
      <c r="H403" s="25"/>
      <c r="I403" s="25"/>
      <c r="J403" s="15">
        <f>SUMPRODUCT(Business_Portfolio!$V403:$AM403,Business_Portfolio!$V$8:$AM$8)</f>
        <v>0</v>
      </c>
      <c r="K403" s="25">
        <f t="shared" si="30"/>
        <v>0</v>
      </c>
      <c r="L403" s="25"/>
      <c r="M403" s="25"/>
      <c r="N403" s="25"/>
      <c r="O403" s="25"/>
      <c r="P403" s="15">
        <f>SUMPRODUCT(Business_Portfolio!$D403:$U403,Business_Portfolio!$D$8:$U$8)</f>
        <v>0</v>
      </c>
      <c r="Q403" s="25">
        <f t="shared" si="31"/>
        <v>0</v>
      </c>
      <c r="R403" s="25"/>
      <c r="S403" s="25"/>
      <c r="T403" s="25"/>
      <c r="U403" s="25"/>
    </row>
    <row r="404" spans="1:21" x14ac:dyDescent="0.25">
      <c r="A404" s="155">
        <f t="shared" si="32"/>
        <v>32</v>
      </c>
      <c r="C404" s="79">
        <v>31.249999999999826</v>
      </c>
      <c r="D404" s="15">
        <f>SUMPRODUCT(Business_Portfolio!D404:AM404,Business_Portfolio!$D$8:$AM$8)</f>
        <v>0</v>
      </c>
      <c r="E404" s="25">
        <f t="shared" si="29"/>
        <v>0</v>
      </c>
      <c r="F404" s="25"/>
      <c r="G404" s="25"/>
      <c r="H404" s="25"/>
      <c r="I404" s="25"/>
      <c r="J404" s="15">
        <f>SUMPRODUCT(Business_Portfolio!$V404:$AM404,Business_Portfolio!$V$8:$AM$8)</f>
        <v>0</v>
      </c>
      <c r="K404" s="25">
        <f t="shared" si="30"/>
        <v>0</v>
      </c>
      <c r="L404" s="25"/>
      <c r="M404" s="25"/>
      <c r="N404" s="25"/>
      <c r="O404" s="25"/>
      <c r="P404" s="15">
        <f>SUMPRODUCT(Business_Portfolio!$D404:$U404,Business_Portfolio!$D$8:$U$8)</f>
        <v>0</v>
      </c>
      <c r="Q404" s="25">
        <f t="shared" si="31"/>
        <v>0</v>
      </c>
      <c r="R404" s="25"/>
      <c r="S404" s="25"/>
      <c r="T404" s="25"/>
      <c r="U404" s="25"/>
    </row>
    <row r="405" spans="1:21" x14ac:dyDescent="0.25">
      <c r="A405" s="155">
        <f t="shared" si="32"/>
        <v>32</v>
      </c>
      <c r="C405" s="79">
        <v>31.333333333333158</v>
      </c>
      <c r="D405" s="15">
        <f>SUMPRODUCT(Business_Portfolio!D405:AM405,Business_Portfolio!$D$8:$AM$8)</f>
        <v>0</v>
      </c>
      <c r="E405" s="25">
        <f t="shared" si="29"/>
        <v>0</v>
      </c>
      <c r="F405" s="25"/>
      <c r="G405" s="25"/>
      <c r="H405" s="25"/>
      <c r="I405" s="25"/>
      <c r="J405" s="15">
        <f>SUMPRODUCT(Business_Portfolio!$V405:$AM405,Business_Portfolio!$V$8:$AM$8)</f>
        <v>0</v>
      </c>
      <c r="K405" s="25">
        <f t="shared" si="30"/>
        <v>0</v>
      </c>
      <c r="L405" s="25"/>
      <c r="M405" s="25"/>
      <c r="N405" s="25"/>
      <c r="O405" s="25"/>
      <c r="P405" s="15">
        <f>SUMPRODUCT(Business_Portfolio!$D405:$U405,Business_Portfolio!$D$8:$U$8)</f>
        <v>0</v>
      </c>
      <c r="Q405" s="25">
        <f t="shared" si="31"/>
        <v>0</v>
      </c>
      <c r="R405" s="25"/>
      <c r="S405" s="25"/>
      <c r="T405" s="25"/>
      <c r="U405" s="25"/>
    </row>
    <row r="406" spans="1:21" x14ac:dyDescent="0.25">
      <c r="A406" s="155">
        <f t="shared" si="32"/>
        <v>32</v>
      </c>
      <c r="C406" s="79">
        <v>31.41666666666649</v>
      </c>
      <c r="D406" s="15">
        <f>SUMPRODUCT(Business_Portfolio!D406:AM406,Business_Portfolio!$D$8:$AM$8)</f>
        <v>0</v>
      </c>
      <c r="E406" s="25">
        <f t="shared" si="29"/>
        <v>0</v>
      </c>
      <c r="F406" s="25"/>
      <c r="G406" s="25"/>
      <c r="H406" s="25"/>
      <c r="I406" s="25"/>
      <c r="J406" s="15">
        <f>SUMPRODUCT(Business_Portfolio!$V406:$AM406,Business_Portfolio!$V$8:$AM$8)</f>
        <v>0</v>
      </c>
      <c r="K406" s="25">
        <f t="shared" si="30"/>
        <v>0</v>
      </c>
      <c r="L406" s="25"/>
      <c r="M406" s="25"/>
      <c r="N406" s="25"/>
      <c r="O406" s="25"/>
      <c r="P406" s="15">
        <f>SUMPRODUCT(Business_Portfolio!$D406:$U406,Business_Portfolio!$D$8:$U$8)</f>
        <v>0</v>
      </c>
      <c r="Q406" s="25">
        <f t="shared" si="31"/>
        <v>0</v>
      </c>
      <c r="R406" s="25"/>
      <c r="S406" s="25"/>
      <c r="T406" s="25"/>
      <c r="U406" s="25"/>
    </row>
    <row r="407" spans="1:21" x14ac:dyDescent="0.25">
      <c r="A407" s="155">
        <f t="shared" si="32"/>
        <v>32</v>
      </c>
      <c r="C407" s="79">
        <v>31.499999999999822</v>
      </c>
      <c r="D407" s="15">
        <f>SUMPRODUCT(Business_Portfolio!D407:AM407,Business_Portfolio!$D$8:$AM$8)</f>
        <v>0</v>
      </c>
      <c r="E407" s="25">
        <f t="shared" si="29"/>
        <v>0</v>
      </c>
      <c r="F407" s="25"/>
      <c r="G407" s="25"/>
      <c r="H407" s="25"/>
      <c r="I407" s="25"/>
      <c r="J407" s="15">
        <f>SUMPRODUCT(Business_Portfolio!$V407:$AM407,Business_Portfolio!$V$8:$AM$8)</f>
        <v>0</v>
      </c>
      <c r="K407" s="25">
        <f t="shared" si="30"/>
        <v>0</v>
      </c>
      <c r="L407" s="25"/>
      <c r="M407" s="25"/>
      <c r="N407" s="25"/>
      <c r="O407" s="25"/>
      <c r="P407" s="15">
        <f>SUMPRODUCT(Business_Portfolio!$D407:$U407,Business_Portfolio!$D$8:$U$8)</f>
        <v>0</v>
      </c>
      <c r="Q407" s="25">
        <f t="shared" si="31"/>
        <v>0</v>
      </c>
      <c r="R407" s="25"/>
      <c r="S407" s="25"/>
      <c r="T407" s="25"/>
      <c r="U407" s="25"/>
    </row>
    <row r="408" spans="1:21" x14ac:dyDescent="0.25">
      <c r="A408" s="155">
        <f t="shared" si="32"/>
        <v>32</v>
      </c>
      <c r="C408" s="79">
        <v>31.583333333333155</v>
      </c>
      <c r="D408" s="15">
        <f>SUMPRODUCT(Business_Portfolio!D408:AM408,Business_Portfolio!$D$8:$AM$8)</f>
        <v>0</v>
      </c>
      <c r="E408" s="25">
        <f t="shared" si="29"/>
        <v>0</v>
      </c>
      <c r="F408" s="25"/>
      <c r="G408" s="25"/>
      <c r="H408" s="25"/>
      <c r="I408" s="25"/>
      <c r="J408" s="15">
        <f>SUMPRODUCT(Business_Portfolio!$V408:$AM408,Business_Portfolio!$V$8:$AM$8)</f>
        <v>0</v>
      </c>
      <c r="K408" s="25">
        <f t="shared" si="30"/>
        <v>0</v>
      </c>
      <c r="L408" s="25"/>
      <c r="M408" s="25"/>
      <c r="N408" s="25"/>
      <c r="O408" s="25"/>
      <c r="P408" s="15">
        <f>SUMPRODUCT(Business_Portfolio!$D408:$U408,Business_Portfolio!$D$8:$U$8)</f>
        <v>0</v>
      </c>
      <c r="Q408" s="25">
        <f t="shared" si="31"/>
        <v>0</v>
      </c>
      <c r="R408" s="25"/>
      <c r="S408" s="25"/>
      <c r="T408" s="25"/>
      <c r="U408" s="25"/>
    </row>
    <row r="409" spans="1:21" x14ac:dyDescent="0.25">
      <c r="A409" s="155">
        <f t="shared" si="32"/>
        <v>32</v>
      </c>
      <c r="C409" s="79">
        <v>31.666666666666487</v>
      </c>
      <c r="D409" s="15">
        <f>SUMPRODUCT(Business_Portfolio!D409:AM409,Business_Portfolio!$D$8:$AM$8)</f>
        <v>0</v>
      </c>
      <c r="E409" s="25">
        <f t="shared" si="29"/>
        <v>0</v>
      </c>
      <c r="F409" s="25"/>
      <c r="G409" s="25"/>
      <c r="H409" s="25"/>
      <c r="I409" s="25"/>
      <c r="J409" s="15">
        <f>SUMPRODUCT(Business_Portfolio!$V409:$AM409,Business_Portfolio!$V$8:$AM$8)</f>
        <v>0</v>
      </c>
      <c r="K409" s="25">
        <f t="shared" si="30"/>
        <v>0</v>
      </c>
      <c r="L409" s="25"/>
      <c r="M409" s="25"/>
      <c r="N409" s="25"/>
      <c r="O409" s="25"/>
      <c r="P409" s="15">
        <f>SUMPRODUCT(Business_Portfolio!$D409:$U409,Business_Portfolio!$D$8:$U$8)</f>
        <v>0</v>
      </c>
      <c r="Q409" s="25">
        <f t="shared" si="31"/>
        <v>0</v>
      </c>
      <c r="R409" s="25"/>
      <c r="S409" s="25"/>
      <c r="T409" s="25"/>
      <c r="U409" s="25"/>
    </row>
    <row r="410" spans="1:21" x14ac:dyDescent="0.25">
      <c r="A410" s="155">
        <f t="shared" si="32"/>
        <v>32</v>
      </c>
      <c r="C410" s="79">
        <v>31.749999999999819</v>
      </c>
      <c r="D410" s="15">
        <f>SUMPRODUCT(Business_Portfolio!D410:AM410,Business_Portfolio!$D$8:$AM$8)</f>
        <v>0</v>
      </c>
      <c r="E410" s="25">
        <f t="shared" si="29"/>
        <v>0</v>
      </c>
      <c r="F410" s="25"/>
      <c r="G410" s="25"/>
      <c r="H410" s="25"/>
      <c r="I410" s="25"/>
      <c r="J410" s="15">
        <f>SUMPRODUCT(Business_Portfolio!$V410:$AM410,Business_Portfolio!$V$8:$AM$8)</f>
        <v>0</v>
      </c>
      <c r="K410" s="25">
        <f t="shared" si="30"/>
        <v>0</v>
      </c>
      <c r="L410" s="25"/>
      <c r="M410" s="25"/>
      <c r="N410" s="25"/>
      <c r="O410" s="25"/>
      <c r="P410" s="15">
        <f>SUMPRODUCT(Business_Portfolio!$D410:$U410,Business_Portfolio!$D$8:$U$8)</f>
        <v>0</v>
      </c>
      <c r="Q410" s="25">
        <f t="shared" si="31"/>
        <v>0</v>
      </c>
      <c r="R410" s="25"/>
      <c r="S410" s="25"/>
      <c r="T410" s="25"/>
      <c r="U410" s="25"/>
    </row>
    <row r="411" spans="1:21" x14ac:dyDescent="0.25">
      <c r="A411" s="155">
        <f t="shared" si="32"/>
        <v>32</v>
      </c>
      <c r="C411" s="79">
        <v>31.833333333333151</v>
      </c>
      <c r="D411" s="15">
        <f>SUMPRODUCT(Business_Portfolio!D411:AM411,Business_Portfolio!$D$8:$AM$8)</f>
        <v>0</v>
      </c>
      <c r="E411" s="25">
        <f t="shared" si="29"/>
        <v>0</v>
      </c>
      <c r="F411" s="25"/>
      <c r="G411" s="25"/>
      <c r="H411" s="25"/>
      <c r="I411" s="25"/>
      <c r="J411" s="15">
        <f>SUMPRODUCT(Business_Portfolio!$V411:$AM411,Business_Portfolio!$V$8:$AM$8)</f>
        <v>0</v>
      </c>
      <c r="K411" s="25">
        <f t="shared" si="30"/>
        <v>0</v>
      </c>
      <c r="L411" s="25"/>
      <c r="M411" s="25"/>
      <c r="N411" s="25"/>
      <c r="O411" s="25"/>
      <c r="P411" s="15">
        <f>SUMPRODUCT(Business_Portfolio!$D411:$U411,Business_Portfolio!$D$8:$U$8)</f>
        <v>0</v>
      </c>
      <c r="Q411" s="25">
        <f t="shared" si="31"/>
        <v>0</v>
      </c>
      <c r="R411" s="25"/>
      <c r="S411" s="25"/>
      <c r="T411" s="25"/>
      <c r="U411" s="25"/>
    </row>
    <row r="412" spans="1:21" x14ac:dyDescent="0.25">
      <c r="A412" s="155">
        <f t="shared" si="32"/>
        <v>32</v>
      </c>
      <c r="C412" s="79">
        <v>31.916666666666483</v>
      </c>
      <c r="D412" s="15">
        <f>SUMPRODUCT(Business_Portfolio!D412:AM412,Business_Portfolio!$D$8:$AM$8)</f>
        <v>0</v>
      </c>
      <c r="E412" s="25">
        <f t="shared" si="29"/>
        <v>0</v>
      </c>
      <c r="F412" s="25"/>
      <c r="G412" s="25"/>
      <c r="H412" s="25"/>
      <c r="I412" s="25"/>
      <c r="J412" s="15">
        <f>SUMPRODUCT(Business_Portfolio!$V412:$AM412,Business_Portfolio!$V$8:$AM$8)</f>
        <v>0</v>
      </c>
      <c r="K412" s="25">
        <f t="shared" si="30"/>
        <v>0</v>
      </c>
      <c r="L412" s="25"/>
      <c r="M412" s="25"/>
      <c r="N412" s="25"/>
      <c r="O412" s="25"/>
      <c r="P412" s="15">
        <f>SUMPRODUCT(Business_Portfolio!$D412:$U412,Business_Portfolio!$D$8:$U$8)</f>
        <v>0</v>
      </c>
      <c r="Q412" s="25">
        <f t="shared" si="31"/>
        <v>0</v>
      </c>
      <c r="R412" s="25"/>
      <c r="S412" s="25"/>
      <c r="T412" s="25"/>
      <c r="U412" s="25"/>
    </row>
    <row r="413" spans="1:21" x14ac:dyDescent="0.25">
      <c r="A413" s="155">
        <f t="shared" si="32"/>
        <v>32</v>
      </c>
      <c r="C413" s="79">
        <v>31.999999999999815</v>
      </c>
      <c r="D413" s="15">
        <f>SUMPRODUCT(Business_Portfolio!D413:AM413,Business_Portfolio!$D$8:$AM$8)</f>
        <v>0</v>
      </c>
      <c r="E413" s="25">
        <f t="shared" si="29"/>
        <v>0</v>
      </c>
      <c r="F413" s="25"/>
      <c r="G413" s="25"/>
      <c r="H413" s="25"/>
      <c r="I413" s="25"/>
      <c r="J413" s="15">
        <f>SUMPRODUCT(Business_Portfolio!$V413:$AM413,Business_Portfolio!$V$8:$AM$8)</f>
        <v>0</v>
      </c>
      <c r="K413" s="25">
        <f t="shared" si="30"/>
        <v>0</v>
      </c>
      <c r="L413" s="25"/>
      <c r="M413" s="25"/>
      <c r="N413" s="25"/>
      <c r="O413" s="25"/>
      <c r="P413" s="15">
        <f>SUMPRODUCT(Business_Portfolio!$D413:$U413,Business_Portfolio!$D$8:$U$8)</f>
        <v>0</v>
      </c>
      <c r="Q413" s="25">
        <f t="shared" si="31"/>
        <v>0</v>
      </c>
      <c r="R413" s="25"/>
      <c r="S413" s="25"/>
      <c r="T413" s="25"/>
      <c r="U413" s="25"/>
    </row>
    <row r="414" spans="1:21" x14ac:dyDescent="0.25">
      <c r="A414" s="155">
        <f t="shared" si="32"/>
        <v>33</v>
      </c>
      <c r="C414" s="79">
        <v>32.083333333333151</v>
      </c>
      <c r="D414" s="15">
        <f>SUMPRODUCT(Business_Portfolio!D414:AM414,Business_Portfolio!$D$8:$AM$8)</f>
        <v>0</v>
      </c>
      <c r="E414" s="25">
        <f t="shared" ref="E414:E477" si="33">D414/D$10</f>
        <v>0</v>
      </c>
      <c r="F414" s="25"/>
      <c r="G414" s="25"/>
      <c r="H414" s="25"/>
      <c r="I414" s="25"/>
      <c r="J414" s="15">
        <f>SUMPRODUCT(Business_Portfolio!$V414:$AM414,Business_Portfolio!$V$8:$AM$8)</f>
        <v>0</v>
      </c>
      <c r="K414" s="25">
        <f t="shared" ref="K414:K477" si="34">J414/J$10</f>
        <v>0</v>
      </c>
      <c r="L414" s="25"/>
      <c r="M414" s="25"/>
      <c r="N414" s="25"/>
      <c r="O414" s="25"/>
      <c r="P414" s="15">
        <f>SUMPRODUCT(Business_Portfolio!$D414:$U414,Business_Portfolio!$D$8:$U$8)</f>
        <v>0</v>
      </c>
      <c r="Q414" s="25">
        <f t="shared" ref="Q414:Q477" si="35">P414/P$10</f>
        <v>0</v>
      </c>
      <c r="R414" s="25"/>
      <c r="S414" s="25"/>
      <c r="T414" s="25"/>
      <c r="U414" s="25"/>
    </row>
    <row r="415" spans="1:21" x14ac:dyDescent="0.25">
      <c r="A415" s="155">
        <f t="shared" ref="A415:A478" si="36">ROUNDUP(C415-0.0001,0)</f>
        <v>33</v>
      </c>
      <c r="C415" s="79">
        <v>32.166666666666487</v>
      </c>
      <c r="D415" s="15">
        <f>SUMPRODUCT(Business_Portfolio!D415:AM415,Business_Portfolio!$D$8:$AM$8)</f>
        <v>0</v>
      </c>
      <c r="E415" s="25">
        <f t="shared" si="33"/>
        <v>0</v>
      </c>
      <c r="F415" s="25"/>
      <c r="G415" s="25"/>
      <c r="H415" s="25"/>
      <c r="I415" s="25"/>
      <c r="J415" s="15">
        <f>SUMPRODUCT(Business_Portfolio!$V415:$AM415,Business_Portfolio!$V$8:$AM$8)</f>
        <v>0</v>
      </c>
      <c r="K415" s="25">
        <f t="shared" si="34"/>
        <v>0</v>
      </c>
      <c r="L415" s="25"/>
      <c r="M415" s="25"/>
      <c r="N415" s="25"/>
      <c r="O415" s="25"/>
      <c r="P415" s="15">
        <f>SUMPRODUCT(Business_Portfolio!$D415:$U415,Business_Portfolio!$D$8:$U$8)</f>
        <v>0</v>
      </c>
      <c r="Q415" s="25">
        <f t="shared" si="35"/>
        <v>0</v>
      </c>
      <c r="R415" s="25"/>
      <c r="S415" s="25"/>
      <c r="T415" s="25"/>
      <c r="U415" s="25"/>
    </row>
    <row r="416" spans="1:21" x14ac:dyDescent="0.25">
      <c r="A416" s="155">
        <f t="shared" si="36"/>
        <v>33</v>
      </c>
      <c r="C416" s="79">
        <v>32.249999999999822</v>
      </c>
      <c r="D416" s="15">
        <f>SUMPRODUCT(Business_Portfolio!D416:AM416,Business_Portfolio!$D$8:$AM$8)</f>
        <v>0</v>
      </c>
      <c r="E416" s="25">
        <f t="shared" si="33"/>
        <v>0</v>
      </c>
      <c r="F416" s="25"/>
      <c r="G416" s="25"/>
      <c r="H416" s="25"/>
      <c r="I416" s="25"/>
      <c r="J416" s="15">
        <f>SUMPRODUCT(Business_Portfolio!$V416:$AM416,Business_Portfolio!$V$8:$AM$8)</f>
        <v>0</v>
      </c>
      <c r="K416" s="25">
        <f t="shared" si="34"/>
        <v>0</v>
      </c>
      <c r="L416" s="25"/>
      <c r="M416" s="25"/>
      <c r="N416" s="25"/>
      <c r="O416" s="25"/>
      <c r="P416" s="15">
        <f>SUMPRODUCT(Business_Portfolio!$D416:$U416,Business_Portfolio!$D$8:$U$8)</f>
        <v>0</v>
      </c>
      <c r="Q416" s="25">
        <f t="shared" si="35"/>
        <v>0</v>
      </c>
      <c r="R416" s="25"/>
      <c r="S416" s="25"/>
      <c r="T416" s="25"/>
      <c r="U416" s="25"/>
    </row>
    <row r="417" spans="1:21" x14ac:dyDescent="0.25">
      <c r="A417" s="155">
        <f t="shared" si="36"/>
        <v>33</v>
      </c>
      <c r="C417" s="79">
        <v>32.333333333333158</v>
      </c>
      <c r="D417" s="15">
        <f>SUMPRODUCT(Business_Portfolio!D417:AM417,Business_Portfolio!$D$8:$AM$8)</f>
        <v>0</v>
      </c>
      <c r="E417" s="25">
        <f t="shared" si="33"/>
        <v>0</v>
      </c>
      <c r="F417" s="25"/>
      <c r="G417" s="25"/>
      <c r="H417" s="25"/>
      <c r="I417" s="25"/>
      <c r="J417" s="15">
        <f>SUMPRODUCT(Business_Portfolio!$V417:$AM417,Business_Portfolio!$V$8:$AM$8)</f>
        <v>0</v>
      </c>
      <c r="K417" s="25">
        <f t="shared" si="34"/>
        <v>0</v>
      </c>
      <c r="L417" s="25"/>
      <c r="M417" s="25"/>
      <c r="N417" s="25"/>
      <c r="O417" s="25"/>
      <c r="P417" s="15">
        <f>SUMPRODUCT(Business_Portfolio!$D417:$U417,Business_Portfolio!$D$8:$U$8)</f>
        <v>0</v>
      </c>
      <c r="Q417" s="25">
        <f t="shared" si="35"/>
        <v>0</v>
      </c>
      <c r="R417" s="25"/>
      <c r="S417" s="25"/>
      <c r="T417" s="25"/>
      <c r="U417" s="25"/>
    </row>
    <row r="418" spans="1:21" x14ac:dyDescent="0.25">
      <c r="A418" s="155">
        <f t="shared" si="36"/>
        <v>33</v>
      </c>
      <c r="C418" s="79">
        <v>32.416666666666494</v>
      </c>
      <c r="D418" s="15">
        <f>SUMPRODUCT(Business_Portfolio!D418:AM418,Business_Portfolio!$D$8:$AM$8)</f>
        <v>0</v>
      </c>
      <c r="E418" s="25">
        <f t="shared" si="33"/>
        <v>0</v>
      </c>
      <c r="F418" s="25"/>
      <c r="G418" s="25"/>
      <c r="H418" s="25"/>
      <c r="I418" s="25"/>
      <c r="J418" s="15">
        <f>SUMPRODUCT(Business_Portfolio!$V418:$AM418,Business_Portfolio!$V$8:$AM$8)</f>
        <v>0</v>
      </c>
      <c r="K418" s="25">
        <f t="shared" si="34"/>
        <v>0</v>
      </c>
      <c r="L418" s="25"/>
      <c r="M418" s="25"/>
      <c r="N418" s="25"/>
      <c r="O418" s="25"/>
      <c r="P418" s="15">
        <f>SUMPRODUCT(Business_Portfolio!$D418:$U418,Business_Portfolio!$D$8:$U$8)</f>
        <v>0</v>
      </c>
      <c r="Q418" s="25">
        <f t="shared" si="35"/>
        <v>0</v>
      </c>
      <c r="R418" s="25"/>
      <c r="S418" s="25"/>
      <c r="T418" s="25"/>
      <c r="U418" s="25"/>
    </row>
    <row r="419" spans="1:21" x14ac:dyDescent="0.25">
      <c r="A419" s="155">
        <f t="shared" si="36"/>
        <v>33</v>
      </c>
      <c r="C419" s="79">
        <v>32.499999999999829</v>
      </c>
      <c r="D419" s="15">
        <f>SUMPRODUCT(Business_Portfolio!D419:AM419,Business_Portfolio!$D$8:$AM$8)</f>
        <v>0</v>
      </c>
      <c r="E419" s="25">
        <f t="shared" si="33"/>
        <v>0</v>
      </c>
      <c r="F419" s="25"/>
      <c r="G419" s="25"/>
      <c r="H419" s="25"/>
      <c r="I419" s="25"/>
      <c r="J419" s="15">
        <f>SUMPRODUCT(Business_Portfolio!$V419:$AM419,Business_Portfolio!$V$8:$AM$8)</f>
        <v>0</v>
      </c>
      <c r="K419" s="25">
        <f t="shared" si="34"/>
        <v>0</v>
      </c>
      <c r="L419" s="25"/>
      <c r="M419" s="25"/>
      <c r="N419" s="25"/>
      <c r="O419" s="25"/>
      <c r="P419" s="15">
        <f>SUMPRODUCT(Business_Portfolio!$D419:$U419,Business_Portfolio!$D$8:$U$8)</f>
        <v>0</v>
      </c>
      <c r="Q419" s="25">
        <f t="shared" si="35"/>
        <v>0</v>
      </c>
      <c r="R419" s="25"/>
      <c r="S419" s="25"/>
      <c r="T419" s="25"/>
      <c r="U419" s="25"/>
    </row>
    <row r="420" spans="1:21" x14ac:dyDescent="0.25">
      <c r="A420" s="155">
        <f t="shared" si="36"/>
        <v>33</v>
      </c>
      <c r="C420" s="79">
        <v>32.583333333333165</v>
      </c>
      <c r="D420" s="15">
        <f>SUMPRODUCT(Business_Portfolio!D420:AM420,Business_Portfolio!$D$8:$AM$8)</f>
        <v>0</v>
      </c>
      <c r="E420" s="25">
        <f t="shared" si="33"/>
        <v>0</v>
      </c>
      <c r="F420" s="25"/>
      <c r="G420" s="25"/>
      <c r="H420" s="25"/>
      <c r="I420" s="25"/>
      <c r="J420" s="15">
        <f>SUMPRODUCT(Business_Portfolio!$V420:$AM420,Business_Portfolio!$V$8:$AM$8)</f>
        <v>0</v>
      </c>
      <c r="K420" s="25">
        <f t="shared" si="34"/>
        <v>0</v>
      </c>
      <c r="L420" s="25"/>
      <c r="M420" s="25"/>
      <c r="N420" s="25"/>
      <c r="O420" s="25"/>
      <c r="P420" s="15">
        <f>SUMPRODUCT(Business_Portfolio!$D420:$U420,Business_Portfolio!$D$8:$U$8)</f>
        <v>0</v>
      </c>
      <c r="Q420" s="25">
        <f t="shared" si="35"/>
        <v>0</v>
      </c>
      <c r="R420" s="25"/>
      <c r="S420" s="25"/>
      <c r="T420" s="25"/>
      <c r="U420" s="25"/>
    </row>
    <row r="421" spans="1:21" x14ac:dyDescent="0.25">
      <c r="A421" s="155">
        <f t="shared" si="36"/>
        <v>33</v>
      </c>
      <c r="C421" s="79">
        <v>32.666666666666501</v>
      </c>
      <c r="D421" s="15">
        <f>SUMPRODUCT(Business_Portfolio!D421:AM421,Business_Portfolio!$D$8:$AM$8)</f>
        <v>0</v>
      </c>
      <c r="E421" s="25">
        <f t="shared" si="33"/>
        <v>0</v>
      </c>
      <c r="F421" s="25"/>
      <c r="G421" s="25"/>
      <c r="H421" s="25"/>
      <c r="I421" s="25"/>
      <c r="J421" s="15">
        <f>SUMPRODUCT(Business_Portfolio!$V421:$AM421,Business_Portfolio!$V$8:$AM$8)</f>
        <v>0</v>
      </c>
      <c r="K421" s="25">
        <f t="shared" si="34"/>
        <v>0</v>
      </c>
      <c r="L421" s="25"/>
      <c r="M421" s="25"/>
      <c r="N421" s="25"/>
      <c r="O421" s="25"/>
      <c r="P421" s="15">
        <f>SUMPRODUCT(Business_Portfolio!$D421:$U421,Business_Portfolio!$D$8:$U$8)</f>
        <v>0</v>
      </c>
      <c r="Q421" s="25">
        <f t="shared" si="35"/>
        <v>0</v>
      </c>
      <c r="R421" s="25"/>
      <c r="S421" s="25"/>
      <c r="T421" s="25"/>
      <c r="U421" s="25"/>
    </row>
    <row r="422" spans="1:21" x14ac:dyDescent="0.25">
      <c r="A422" s="155">
        <f t="shared" si="36"/>
        <v>33</v>
      </c>
      <c r="C422" s="79">
        <v>32.749999999999837</v>
      </c>
      <c r="D422" s="15">
        <f>SUMPRODUCT(Business_Portfolio!D422:AM422,Business_Portfolio!$D$8:$AM$8)</f>
        <v>0</v>
      </c>
      <c r="E422" s="25">
        <f t="shared" si="33"/>
        <v>0</v>
      </c>
      <c r="F422" s="25"/>
      <c r="G422" s="25"/>
      <c r="H422" s="25"/>
      <c r="I422" s="25"/>
      <c r="J422" s="15">
        <f>SUMPRODUCT(Business_Portfolio!$V422:$AM422,Business_Portfolio!$V$8:$AM$8)</f>
        <v>0</v>
      </c>
      <c r="K422" s="25">
        <f t="shared" si="34"/>
        <v>0</v>
      </c>
      <c r="L422" s="25"/>
      <c r="M422" s="25"/>
      <c r="N422" s="25"/>
      <c r="O422" s="25"/>
      <c r="P422" s="15">
        <f>SUMPRODUCT(Business_Portfolio!$D422:$U422,Business_Portfolio!$D$8:$U$8)</f>
        <v>0</v>
      </c>
      <c r="Q422" s="25">
        <f t="shared" si="35"/>
        <v>0</v>
      </c>
      <c r="R422" s="25"/>
      <c r="S422" s="25"/>
      <c r="T422" s="25"/>
      <c r="U422" s="25"/>
    </row>
    <row r="423" spans="1:21" x14ac:dyDescent="0.25">
      <c r="A423" s="155">
        <f t="shared" si="36"/>
        <v>33</v>
      </c>
      <c r="C423" s="79">
        <v>32.833333333333172</v>
      </c>
      <c r="D423" s="15">
        <f>SUMPRODUCT(Business_Portfolio!D423:AM423,Business_Portfolio!$D$8:$AM$8)</f>
        <v>0</v>
      </c>
      <c r="E423" s="25">
        <f t="shared" si="33"/>
        <v>0</v>
      </c>
      <c r="F423" s="25"/>
      <c r="G423" s="25"/>
      <c r="H423" s="25"/>
      <c r="I423" s="25"/>
      <c r="J423" s="15">
        <f>SUMPRODUCT(Business_Portfolio!$V423:$AM423,Business_Portfolio!$V$8:$AM$8)</f>
        <v>0</v>
      </c>
      <c r="K423" s="25">
        <f t="shared" si="34"/>
        <v>0</v>
      </c>
      <c r="L423" s="25"/>
      <c r="M423" s="25"/>
      <c r="N423" s="25"/>
      <c r="O423" s="25"/>
      <c r="P423" s="15">
        <f>SUMPRODUCT(Business_Portfolio!$D423:$U423,Business_Portfolio!$D$8:$U$8)</f>
        <v>0</v>
      </c>
      <c r="Q423" s="25">
        <f t="shared" si="35"/>
        <v>0</v>
      </c>
      <c r="R423" s="25"/>
      <c r="S423" s="25"/>
      <c r="T423" s="25"/>
      <c r="U423" s="25"/>
    </row>
    <row r="424" spans="1:21" x14ac:dyDescent="0.25">
      <c r="A424" s="155">
        <f t="shared" si="36"/>
        <v>33</v>
      </c>
      <c r="C424" s="79">
        <v>32.916666666666508</v>
      </c>
      <c r="D424" s="15">
        <f>SUMPRODUCT(Business_Portfolio!D424:AM424,Business_Portfolio!$D$8:$AM$8)</f>
        <v>0</v>
      </c>
      <c r="E424" s="25">
        <f t="shared" si="33"/>
        <v>0</v>
      </c>
      <c r="F424" s="25"/>
      <c r="G424" s="25"/>
      <c r="H424" s="25"/>
      <c r="I424" s="25"/>
      <c r="J424" s="15">
        <f>SUMPRODUCT(Business_Portfolio!$V424:$AM424,Business_Portfolio!$V$8:$AM$8)</f>
        <v>0</v>
      </c>
      <c r="K424" s="25">
        <f t="shared" si="34"/>
        <v>0</v>
      </c>
      <c r="L424" s="25"/>
      <c r="M424" s="25"/>
      <c r="N424" s="25"/>
      <c r="O424" s="25"/>
      <c r="P424" s="15">
        <f>SUMPRODUCT(Business_Portfolio!$D424:$U424,Business_Portfolio!$D$8:$U$8)</f>
        <v>0</v>
      </c>
      <c r="Q424" s="25">
        <f t="shared" si="35"/>
        <v>0</v>
      </c>
      <c r="R424" s="25"/>
      <c r="S424" s="25"/>
      <c r="T424" s="25"/>
      <c r="U424" s="25"/>
    </row>
    <row r="425" spans="1:21" x14ac:dyDescent="0.25">
      <c r="A425" s="155">
        <f t="shared" si="36"/>
        <v>33</v>
      </c>
      <c r="C425" s="79">
        <v>32.999999999999844</v>
      </c>
      <c r="D425" s="15">
        <f>SUMPRODUCT(Business_Portfolio!D425:AM425,Business_Portfolio!$D$8:$AM$8)</f>
        <v>0</v>
      </c>
      <c r="E425" s="25">
        <f t="shared" si="33"/>
        <v>0</v>
      </c>
      <c r="F425" s="25"/>
      <c r="G425" s="25"/>
      <c r="H425" s="25"/>
      <c r="I425" s="25"/>
      <c r="J425" s="15">
        <f>SUMPRODUCT(Business_Portfolio!$V425:$AM425,Business_Portfolio!$V$8:$AM$8)</f>
        <v>0</v>
      </c>
      <c r="K425" s="25">
        <f t="shared" si="34"/>
        <v>0</v>
      </c>
      <c r="L425" s="25"/>
      <c r="M425" s="25"/>
      <c r="N425" s="25"/>
      <c r="O425" s="25"/>
      <c r="P425" s="15">
        <f>SUMPRODUCT(Business_Portfolio!$D425:$U425,Business_Portfolio!$D$8:$U$8)</f>
        <v>0</v>
      </c>
      <c r="Q425" s="25">
        <f t="shared" si="35"/>
        <v>0</v>
      </c>
      <c r="R425" s="25"/>
      <c r="S425" s="25"/>
      <c r="T425" s="25"/>
      <c r="U425" s="25"/>
    </row>
    <row r="426" spans="1:21" x14ac:dyDescent="0.25">
      <c r="A426" s="155">
        <f t="shared" si="36"/>
        <v>34</v>
      </c>
      <c r="C426" s="79">
        <v>33.083333333333179</v>
      </c>
      <c r="D426" s="15">
        <f>SUMPRODUCT(Business_Portfolio!D426:AM426,Business_Portfolio!$D$8:$AM$8)</f>
        <v>0</v>
      </c>
      <c r="E426" s="25">
        <f t="shared" si="33"/>
        <v>0</v>
      </c>
      <c r="F426" s="25"/>
      <c r="G426" s="25"/>
      <c r="H426" s="25"/>
      <c r="I426" s="25"/>
      <c r="J426" s="15">
        <f>SUMPRODUCT(Business_Portfolio!$V426:$AM426,Business_Portfolio!$V$8:$AM$8)</f>
        <v>0</v>
      </c>
      <c r="K426" s="25">
        <f t="shared" si="34"/>
        <v>0</v>
      </c>
      <c r="L426" s="25"/>
      <c r="M426" s="25"/>
      <c r="N426" s="25"/>
      <c r="O426" s="25"/>
      <c r="P426" s="15">
        <f>SUMPRODUCT(Business_Portfolio!$D426:$U426,Business_Portfolio!$D$8:$U$8)</f>
        <v>0</v>
      </c>
      <c r="Q426" s="25">
        <f t="shared" si="35"/>
        <v>0</v>
      </c>
      <c r="R426" s="25"/>
      <c r="S426" s="25"/>
      <c r="T426" s="25"/>
      <c r="U426" s="25"/>
    </row>
    <row r="427" spans="1:21" x14ac:dyDescent="0.25">
      <c r="A427" s="155">
        <f t="shared" si="36"/>
        <v>34</v>
      </c>
      <c r="C427" s="79">
        <v>33.166666666666515</v>
      </c>
      <c r="D427" s="15">
        <f>SUMPRODUCT(Business_Portfolio!D427:AM427,Business_Portfolio!$D$8:$AM$8)</f>
        <v>0</v>
      </c>
      <c r="E427" s="25">
        <f t="shared" si="33"/>
        <v>0</v>
      </c>
      <c r="F427" s="25"/>
      <c r="G427" s="25"/>
      <c r="H427" s="25"/>
      <c r="I427" s="25"/>
      <c r="J427" s="15">
        <f>SUMPRODUCT(Business_Portfolio!$V427:$AM427,Business_Portfolio!$V$8:$AM$8)</f>
        <v>0</v>
      </c>
      <c r="K427" s="25">
        <f t="shared" si="34"/>
        <v>0</v>
      </c>
      <c r="L427" s="25"/>
      <c r="M427" s="25"/>
      <c r="N427" s="25"/>
      <c r="O427" s="25"/>
      <c r="P427" s="15">
        <f>SUMPRODUCT(Business_Portfolio!$D427:$U427,Business_Portfolio!$D$8:$U$8)</f>
        <v>0</v>
      </c>
      <c r="Q427" s="25">
        <f t="shared" si="35"/>
        <v>0</v>
      </c>
      <c r="R427" s="25"/>
      <c r="S427" s="25"/>
      <c r="T427" s="25"/>
      <c r="U427" s="25"/>
    </row>
    <row r="428" spans="1:21" x14ac:dyDescent="0.25">
      <c r="A428" s="155">
        <f t="shared" si="36"/>
        <v>34</v>
      </c>
      <c r="C428" s="79">
        <v>33.249999999999851</v>
      </c>
      <c r="D428" s="15">
        <f>SUMPRODUCT(Business_Portfolio!D428:AM428,Business_Portfolio!$D$8:$AM$8)</f>
        <v>0</v>
      </c>
      <c r="E428" s="25">
        <f t="shared" si="33"/>
        <v>0</v>
      </c>
      <c r="F428" s="25"/>
      <c r="G428" s="25"/>
      <c r="H428" s="25"/>
      <c r="I428" s="25"/>
      <c r="J428" s="15">
        <f>SUMPRODUCT(Business_Portfolio!$V428:$AM428,Business_Portfolio!$V$8:$AM$8)</f>
        <v>0</v>
      </c>
      <c r="K428" s="25">
        <f t="shared" si="34"/>
        <v>0</v>
      </c>
      <c r="L428" s="25"/>
      <c r="M428" s="25"/>
      <c r="N428" s="25"/>
      <c r="O428" s="25"/>
      <c r="P428" s="15">
        <f>SUMPRODUCT(Business_Portfolio!$D428:$U428,Business_Portfolio!$D$8:$U$8)</f>
        <v>0</v>
      </c>
      <c r="Q428" s="25">
        <f t="shared" si="35"/>
        <v>0</v>
      </c>
      <c r="R428" s="25"/>
      <c r="S428" s="25"/>
      <c r="T428" s="25"/>
      <c r="U428" s="25"/>
    </row>
    <row r="429" spans="1:21" x14ac:dyDescent="0.25">
      <c r="A429" s="155">
        <f t="shared" si="36"/>
        <v>34</v>
      </c>
      <c r="C429" s="79">
        <v>33.333333333333186</v>
      </c>
      <c r="D429" s="15">
        <f>SUMPRODUCT(Business_Portfolio!D429:AM429,Business_Portfolio!$D$8:$AM$8)</f>
        <v>0</v>
      </c>
      <c r="E429" s="25">
        <f t="shared" si="33"/>
        <v>0</v>
      </c>
      <c r="F429" s="25"/>
      <c r="G429" s="25"/>
      <c r="H429" s="25"/>
      <c r="I429" s="25"/>
      <c r="J429" s="15">
        <f>SUMPRODUCT(Business_Portfolio!$V429:$AM429,Business_Portfolio!$V$8:$AM$8)</f>
        <v>0</v>
      </c>
      <c r="K429" s="25">
        <f t="shared" si="34"/>
        <v>0</v>
      </c>
      <c r="L429" s="25"/>
      <c r="M429" s="25"/>
      <c r="N429" s="25"/>
      <c r="O429" s="25"/>
      <c r="P429" s="15">
        <f>SUMPRODUCT(Business_Portfolio!$D429:$U429,Business_Portfolio!$D$8:$U$8)</f>
        <v>0</v>
      </c>
      <c r="Q429" s="25">
        <f t="shared" si="35"/>
        <v>0</v>
      </c>
      <c r="R429" s="25"/>
      <c r="S429" s="25"/>
      <c r="T429" s="25"/>
      <c r="U429" s="25"/>
    </row>
    <row r="430" spans="1:21" x14ac:dyDescent="0.25">
      <c r="A430" s="155">
        <f t="shared" si="36"/>
        <v>34</v>
      </c>
      <c r="C430" s="79">
        <v>33.416666666666522</v>
      </c>
      <c r="D430" s="15">
        <f>SUMPRODUCT(Business_Portfolio!D430:AM430,Business_Portfolio!$D$8:$AM$8)</f>
        <v>0</v>
      </c>
      <c r="E430" s="25">
        <f t="shared" si="33"/>
        <v>0</v>
      </c>
      <c r="F430" s="25"/>
      <c r="G430" s="25"/>
      <c r="H430" s="25"/>
      <c r="I430" s="25"/>
      <c r="J430" s="15">
        <f>SUMPRODUCT(Business_Portfolio!$V430:$AM430,Business_Portfolio!$V$8:$AM$8)</f>
        <v>0</v>
      </c>
      <c r="K430" s="25">
        <f t="shared" si="34"/>
        <v>0</v>
      </c>
      <c r="L430" s="25"/>
      <c r="M430" s="25"/>
      <c r="N430" s="25"/>
      <c r="O430" s="25"/>
      <c r="P430" s="15">
        <f>SUMPRODUCT(Business_Portfolio!$D430:$U430,Business_Portfolio!$D$8:$U$8)</f>
        <v>0</v>
      </c>
      <c r="Q430" s="25">
        <f t="shared" si="35"/>
        <v>0</v>
      </c>
      <c r="R430" s="25"/>
      <c r="S430" s="25"/>
      <c r="T430" s="25"/>
      <c r="U430" s="25"/>
    </row>
    <row r="431" spans="1:21" x14ac:dyDescent="0.25">
      <c r="A431" s="155">
        <f t="shared" si="36"/>
        <v>34</v>
      </c>
      <c r="C431" s="79">
        <v>33.499999999999858</v>
      </c>
      <c r="D431" s="15">
        <f>SUMPRODUCT(Business_Portfolio!D431:AM431,Business_Portfolio!$D$8:$AM$8)</f>
        <v>0</v>
      </c>
      <c r="E431" s="25">
        <f t="shared" si="33"/>
        <v>0</v>
      </c>
      <c r="F431" s="25"/>
      <c r="G431" s="25"/>
      <c r="H431" s="25"/>
      <c r="I431" s="25"/>
      <c r="J431" s="15">
        <f>SUMPRODUCT(Business_Portfolio!$V431:$AM431,Business_Portfolio!$V$8:$AM$8)</f>
        <v>0</v>
      </c>
      <c r="K431" s="25">
        <f t="shared" si="34"/>
        <v>0</v>
      </c>
      <c r="L431" s="25"/>
      <c r="M431" s="25"/>
      <c r="N431" s="25"/>
      <c r="O431" s="25"/>
      <c r="P431" s="15">
        <f>SUMPRODUCT(Business_Portfolio!$D431:$U431,Business_Portfolio!$D$8:$U$8)</f>
        <v>0</v>
      </c>
      <c r="Q431" s="25">
        <f t="shared" si="35"/>
        <v>0</v>
      </c>
      <c r="R431" s="25"/>
      <c r="S431" s="25"/>
      <c r="T431" s="25"/>
      <c r="U431" s="25"/>
    </row>
    <row r="432" spans="1:21" x14ac:dyDescent="0.25">
      <c r="A432" s="155">
        <f t="shared" si="36"/>
        <v>34</v>
      </c>
      <c r="C432" s="79">
        <v>33.583333333333194</v>
      </c>
      <c r="D432" s="15">
        <f>SUMPRODUCT(Business_Portfolio!D432:AM432,Business_Portfolio!$D$8:$AM$8)</f>
        <v>0</v>
      </c>
      <c r="E432" s="25">
        <f t="shared" si="33"/>
        <v>0</v>
      </c>
      <c r="F432" s="25"/>
      <c r="G432" s="25"/>
      <c r="H432" s="25"/>
      <c r="I432" s="25"/>
      <c r="J432" s="15">
        <f>SUMPRODUCT(Business_Portfolio!$V432:$AM432,Business_Portfolio!$V$8:$AM$8)</f>
        <v>0</v>
      </c>
      <c r="K432" s="25">
        <f t="shared" si="34"/>
        <v>0</v>
      </c>
      <c r="L432" s="25"/>
      <c r="M432" s="25"/>
      <c r="N432" s="25"/>
      <c r="O432" s="25"/>
      <c r="P432" s="15">
        <f>SUMPRODUCT(Business_Portfolio!$D432:$U432,Business_Portfolio!$D$8:$U$8)</f>
        <v>0</v>
      </c>
      <c r="Q432" s="25">
        <f t="shared" si="35"/>
        <v>0</v>
      </c>
      <c r="R432" s="25"/>
      <c r="S432" s="25"/>
      <c r="T432" s="25"/>
      <c r="U432" s="25"/>
    </row>
    <row r="433" spans="1:21" x14ac:dyDescent="0.25">
      <c r="A433" s="155">
        <f t="shared" si="36"/>
        <v>34</v>
      </c>
      <c r="C433" s="79">
        <v>33.666666666666529</v>
      </c>
      <c r="D433" s="15">
        <f>SUMPRODUCT(Business_Portfolio!D433:AM433,Business_Portfolio!$D$8:$AM$8)</f>
        <v>0</v>
      </c>
      <c r="E433" s="25">
        <f t="shared" si="33"/>
        <v>0</v>
      </c>
      <c r="F433" s="25"/>
      <c r="G433" s="25"/>
      <c r="H433" s="25"/>
      <c r="I433" s="25"/>
      <c r="J433" s="15">
        <f>SUMPRODUCT(Business_Portfolio!$V433:$AM433,Business_Portfolio!$V$8:$AM$8)</f>
        <v>0</v>
      </c>
      <c r="K433" s="25">
        <f t="shared" si="34"/>
        <v>0</v>
      </c>
      <c r="L433" s="25"/>
      <c r="M433" s="25"/>
      <c r="N433" s="25"/>
      <c r="O433" s="25"/>
      <c r="P433" s="15">
        <f>SUMPRODUCT(Business_Portfolio!$D433:$U433,Business_Portfolio!$D$8:$U$8)</f>
        <v>0</v>
      </c>
      <c r="Q433" s="25">
        <f t="shared" si="35"/>
        <v>0</v>
      </c>
      <c r="R433" s="25"/>
      <c r="S433" s="25"/>
      <c r="T433" s="25"/>
      <c r="U433" s="25"/>
    </row>
    <row r="434" spans="1:21" x14ac:dyDescent="0.25">
      <c r="A434" s="155">
        <f t="shared" si="36"/>
        <v>34</v>
      </c>
      <c r="C434" s="79">
        <v>33.749999999999865</v>
      </c>
      <c r="D434" s="15">
        <f>SUMPRODUCT(Business_Portfolio!D434:AM434,Business_Portfolio!$D$8:$AM$8)</f>
        <v>0</v>
      </c>
      <c r="E434" s="25">
        <f t="shared" si="33"/>
        <v>0</v>
      </c>
      <c r="F434" s="25"/>
      <c r="G434" s="25"/>
      <c r="H434" s="25"/>
      <c r="I434" s="25"/>
      <c r="J434" s="15">
        <f>SUMPRODUCT(Business_Portfolio!$V434:$AM434,Business_Portfolio!$V$8:$AM$8)</f>
        <v>0</v>
      </c>
      <c r="K434" s="25">
        <f t="shared" si="34"/>
        <v>0</v>
      </c>
      <c r="L434" s="25"/>
      <c r="M434" s="25"/>
      <c r="N434" s="25"/>
      <c r="O434" s="25"/>
      <c r="P434" s="15">
        <f>SUMPRODUCT(Business_Portfolio!$D434:$U434,Business_Portfolio!$D$8:$U$8)</f>
        <v>0</v>
      </c>
      <c r="Q434" s="25">
        <f t="shared" si="35"/>
        <v>0</v>
      </c>
      <c r="R434" s="25"/>
      <c r="S434" s="25"/>
      <c r="T434" s="25"/>
      <c r="U434" s="25"/>
    </row>
    <row r="435" spans="1:21" x14ac:dyDescent="0.25">
      <c r="A435" s="155">
        <f t="shared" si="36"/>
        <v>34</v>
      </c>
      <c r="C435" s="79">
        <v>33.833333333333201</v>
      </c>
      <c r="D435" s="15">
        <f>SUMPRODUCT(Business_Portfolio!D435:AM435,Business_Portfolio!$D$8:$AM$8)</f>
        <v>0</v>
      </c>
      <c r="E435" s="25">
        <f t="shared" si="33"/>
        <v>0</v>
      </c>
      <c r="F435" s="25"/>
      <c r="G435" s="25"/>
      <c r="H435" s="25"/>
      <c r="I435" s="25"/>
      <c r="J435" s="15">
        <f>SUMPRODUCT(Business_Portfolio!$V435:$AM435,Business_Portfolio!$V$8:$AM$8)</f>
        <v>0</v>
      </c>
      <c r="K435" s="25">
        <f t="shared" si="34"/>
        <v>0</v>
      </c>
      <c r="L435" s="25"/>
      <c r="M435" s="25"/>
      <c r="N435" s="25"/>
      <c r="O435" s="25"/>
      <c r="P435" s="15">
        <f>SUMPRODUCT(Business_Portfolio!$D435:$U435,Business_Portfolio!$D$8:$U$8)</f>
        <v>0</v>
      </c>
      <c r="Q435" s="25">
        <f t="shared" si="35"/>
        <v>0</v>
      </c>
      <c r="R435" s="25"/>
      <c r="S435" s="25"/>
      <c r="T435" s="25"/>
      <c r="U435" s="25"/>
    </row>
    <row r="436" spans="1:21" x14ac:dyDescent="0.25">
      <c r="A436" s="155">
        <f t="shared" si="36"/>
        <v>34</v>
      </c>
      <c r="C436" s="79">
        <v>33.916666666666536</v>
      </c>
      <c r="D436" s="15">
        <f>SUMPRODUCT(Business_Portfolio!D436:AM436,Business_Portfolio!$D$8:$AM$8)</f>
        <v>0</v>
      </c>
      <c r="E436" s="25">
        <f t="shared" si="33"/>
        <v>0</v>
      </c>
      <c r="F436" s="25"/>
      <c r="G436" s="25"/>
      <c r="H436" s="25"/>
      <c r="I436" s="25"/>
      <c r="J436" s="15">
        <f>SUMPRODUCT(Business_Portfolio!$V436:$AM436,Business_Portfolio!$V$8:$AM$8)</f>
        <v>0</v>
      </c>
      <c r="K436" s="25">
        <f t="shared" si="34"/>
        <v>0</v>
      </c>
      <c r="L436" s="25"/>
      <c r="M436" s="25"/>
      <c r="N436" s="25"/>
      <c r="O436" s="25"/>
      <c r="P436" s="15">
        <f>SUMPRODUCT(Business_Portfolio!$D436:$U436,Business_Portfolio!$D$8:$U$8)</f>
        <v>0</v>
      </c>
      <c r="Q436" s="25">
        <f t="shared" si="35"/>
        <v>0</v>
      </c>
      <c r="R436" s="25"/>
      <c r="S436" s="25"/>
      <c r="T436" s="25"/>
      <c r="U436" s="25"/>
    </row>
    <row r="437" spans="1:21" x14ac:dyDescent="0.25">
      <c r="A437" s="155">
        <f t="shared" si="36"/>
        <v>34</v>
      </c>
      <c r="C437" s="79">
        <v>33.999999999999872</v>
      </c>
      <c r="D437" s="15">
        <f>SUMPRODUCT(Business_Portfolio!D437:AM437,Business_Portfolio!$D$8:$AM$8)</f>
        <v>0</v>
      </c>
      <c r="E437" s="25">
        <f t="shared" si="33"/>
        <v>0</v>
      </c>
      <c r="F437" s="25"/>
      <c r="G437" s="25"/>
      <c r="H437" s="25"/>
      <c r="I437" s="25"/>
      <c r="J437" s="15">
        <f>SUMPRODUCT(Business_Portfolio!$V437:$AM437,Business_Portfolio!$V$8:$AM$8)</f>
        <v>0</v>
      </c>
      <c r="K437" s="25">
        <f t="shared" si="34"/>
        <v>0</v>
      </c>
      <c r="L437" s="25"/>
      <c r="M437" s="25"/>
      <c r="N437" s="25"/>
      <c r="O437" s="25"/>
      <c r="P437" s="15">
        <f>SUMPRODUCT(Business_Portfolio!$D437:$U437,Business_Portfolio!$D$8:$U$8)</f>
        <v>0</v>
      </c>
      <c r="Q437" s="25">
        <f t="shared" si="35"/>
        <v>0</v>
      </c>
      <c r="R437" s="25"/>
      <c r="S437" s="25"/>
      <c r="T437" s="25"/>
      <c r="U437" s="25"/>
    </row>
    <row r="438" spans="1:21" x14ac:dyDescent="0.25">
      <c r="A438" s="155">
        <f t="shared" si="36"/>
        <v>35</v>
      </c>
      <c r="C438" s="79">
        <v>34.083333333333208</v>
      </c>
      <c r="D438" s="15">
        <f>SUMPRODUCT(Business_Portfolio!D438:AM438,Business_Portfolio!$D$8:$AM$8)</f>
        <v>0</v>
      </c>
      <c r="E438" s="25">
        <f t="shared" si="33"/>
        <v>0</v>
      </c>
      <c r="F438" s="25"/>
      <c r="G438" s="25"/>
      <c r="H438" s="25"/>
      <c r="I438" s="25"/>
      <c r="J438" s="15">
        <f>SUMPRODUCT(Business_Portfolio!$V438:$AM438,Business_Portfolio!$V$8:$AM$8)</f>
        <v>0</v>
      </c>
      <c r="K438" s="25">
        <f t="shared" si="34"/>
        <v>0</v>
      </c>
      <c r="L438" s="25"/>
      <c r="M438" s="25"/>
      <c r="N438" s="25"/>
      <c r="O438" s="25"/>
      <c r="P438" s="15">
        <f>SUMPRODUCT(Business_Portfolio!$D438:$U438,Business_Portfolio!$D$8:$U$8)</f>
        <v>0</v>
      </c>
      <c r="Q438" s="25">
        <f t="shared" si="35"/>
        <v>0</v>
      </c>
      <c r="R438" s="25"/>
      <c r="S438" s="25"/>
      <c r="T438" s="25"/>
      <c r="U438" s="25"/>
    </row>
    <row r="439" spans="1:21" x14ac:dyDescent="0.25">
      <c r="A439" s="155">
        <f t="shared" si="36"/>
        <v>35</v>
      </c>
      <c r="C439" s="79">
        <v>34.166666666666544</v>
      </c>
      <c r="D439" s="15">
        <f>SUMPRODUCT(Business_Portfolio!D439:AM439,Business_Portfolio!$D$8:$AM$8)</f>
        <v>0</v>
      </c>
      <c r="E439" s="25">
        <f t="shared" si="33"/>
        <v>0</v>
      </c>
      <c r="F439" s="25"/>
      <c r="G439" s="25"/>
      <c r="H439" s="25"/>
      <c r="I439" s="25"/>
      <c r="J439" s="15">
        <f>SUMPRODUCT(Business_Portfolio!$V439:$AM439,Business_Portfolio!$V$8:$AM$8)</f>
        <v>0</v>
      </c>
      <c r="K439" s="25">
        <f t="shared" si="34"/>
        <v>0</v>
      </c>
      <c r="L439" s="25"/>
      <c r="M439" s="25"/>
      <c r="N439" s="25"/>
      <c r="O439" s="25"/>
      <c r="P439" s="15">
        <f>SUMPRODUCT(Business_Portfolio!$D439:$U439,Business_Portfolio!$D$8:$U$8)</f>
        <v>0</v>
      </c>
      <c r="Q439" s="25">
        <f t="shared" si="35"/>
        <v>0</v>
      </c>
      <c r="R439" s="25"/>
      <c r="S439" s="25"/>
      <c r="T439" s="25"/>
      <c r="U439" s="25"/>
    </row>
    <row r="440" spans="1:21" x14ac:dyDescent="0.25">
      <c r="A440" s="155">
        <f t="shared" si="36"/>
        <v>35</v>
      </c>
      <c r="C440" s="79">
        <v>34.249999999999879</v>
      </c>
      <c r="D440" s="15">
        <f>SUMPRODUCT(Business_Portfolio!D440:AM440,Business_Portfolio!$D$8:$AM$8)</f>
        <v>0</v>
      </c>
      <c r="E440" s="25">
        <f t="shared" si="33"/>
        <v>0</v>
      </c>
      <c r="F440" s="25"/>
      <c r="G440" s="25"/>
      <c r="H440" s="25"/>
      <c r="I440" s="25"/>
      <c r="J440" s="15">
        <f>SUMPRODUCT(Business_Portfolio!$V440:$AM440,Business_Portfolio!$V$8:$AM$8)</f>
        <v>0</v>
      </c>
      <c r="K440" s="25">
        <f t="shared" si="34"/>
        <v>0</v>
      </c>
      <c r="L440" s="25"/>
      <c r="M440" s="25"/>
      <c r="N440" s="25"/>
      <c r="O440" s="25"/>
      <c r="P440" s="15">
        <f>SUMPRODUCT(Business_Portfolio!$D440:$U440,Business_Portfolio!$D$8:$U$8)</f>
        <v>0</v>
      </c>
      <c r="Q440" s="25">
        <f t="shared" si="35"/>
        <v>0</v>
      </c>
      <c r="R440" s="25"/>
      <c r="S440" s="25"/>
      <c r="T440" s="25"/>
      <c r="U440" s="25"/>
    </row>
    <row r="441" spans="1:21" x14ac:dyDescent="0.25">
      <c r="A441" s="155">
        <f t="shared" si="36"/>
        <v>35</v>
      </c>
      <c r="C441" s="79">
        <v>34.333333333333215</v>
      </c>
      <c r="D441" s="15">
        <f>SUMPRODUCT(Business_Portfolio!D441:AM441,Business_Portfolio!$D$8:$AM$8)</f>
        <v>0</v>
      </c>
      <c r="E441" s="25">
        <f t="shared" si="33"/>
        <v>0</v>
      </c>
      <c r="F441" s="25"/>
      <c r="G441" s="25"/>
      <c r="H441" s="25"/>
      <c r="I441" s="25"/>
      <c r="J441" s="15">
        <f>SUMPRODUCT(Business_Portfolio!$V441:$AM441,Business_Portfolio!$V$8:$AM$8)</f>
        <v>0</v>
      </c>
      <c r="K441" s="25">
        <f t="shared" si="34"/>
        <v>0</v>
      </c>
      <c r="L441" s="25"/>
      <c r="M441" s="25"/>
      <c r="N441" s="25"/>
      <c r="O441" s="25"/>
      <c r="P441" s="15">
        <f>SUMPRODUCT(Business_Portfolio!$D441:$U441,Business_Portfolio!$D$8:$U$8)</f>
        <v>0</v>
      </c>
      <c r="Q441" s="25">
        <f t="shared" si="35"/>
        <v>0</v>
      </c>
      <c r="R441" s="25"/>
      <c r="S441" s="25"/>
      <c r="T441" s="25"/>
      <c r="U441" s="25"/>
    </row>
    <row r="442" spans="1:21" x14ac:dyDescent="0.25">
      <c r="A442" s="155">
        <f t="shared" si="36"/>
        <v>35</v>
      </c>
      <c r="C442" s="79">
        <v>34.416666666666551</v>
      </c>
      <c r="D442" s="15">
        <f>SUMPRODUCT(Business_Portfolio!D442:AM442,Business_Portfolio!$D$8:$AM$8)</f>
        <v>0</v>
      </c>
      <c r="E442" s="25">
        <f t="shared" si="33"/>
        <v>0</v>
      </c>
      <c r="F442" s="25"/>
      <c r="G442" s="25"/>
      <c r="H442" s="25"/>
      <c r="I442" s="25"/>
      <c r="J442" s="15">
        <f>SUMPRODUCT(Business_Portfolio!$V442:$AM442,Business_Portfolio!$V$8:$AM$8)</f>
        <v>0</v>
      </c>
      <c r="K442" s="25">
        <f t="shared" si="34"/>
        <v>0</v>
      </c>
      <c r="L442" s="25"/>
      <c r="M442" s="25"/>
      <c r="N442" s="25"/>
      <c r="O442" s="25"/>
      <c r="P442" s="15">
        <f>SUMPRODUCT(Business_Portfolio!$D442:$U442,Business_Portfolio!$D$8:$U$8)</f>
        <v>0</v>
      </c>
      <c r="Q442" s="25">
        <f t="shared" si="35"/>
        <v>0</v>
      </c>
      <c r="R442" s="25"/>
      <c r="S442" s="25"/>
      <c r="T442" s="25"/>
      <c r="U442" s="25"/>
    </row>
    <row r="443" spans="1:21" x14ac:dyDescent="0.25">
      <c r="A443" s="155">
        <f t="shared" si="36"/>
        <v>35</v>
      </c>
      <c r="C443" s="79">
        <v>34.499999999999886</v>
      </c>
      <c r="D443" s="15">
        <f>SUMPRODUCT(Business_Portfolio!D443:AM443,Business_Portfolio!$D$8:$AM$8)</f>
        <v>0</v>
      </c>
      <c r="E443" s="25">
        <f t="shared" si="33"/>
        <v>0</v>
      </c>
      <c r="F443" s="25"/>
      <c r="G443" s="25"/>
      <c r="H443" s="25"/>
      <c r="I443" s="25"/>
      <c r="J443" s="15">
        <f>SUMPRODUCT(Business_Portfolio!$V443:$AM443,Business_Portfolio!$V$8:$AM$8)</f>
        <v>0</v>
      </c>
      <c r="K443" s="25">
        <f t="shared" si="34"/>
        <v>0</v>
      </c>
      <c r="L443" s="25"/>
      <c r="M443" s="25"/>
      <c r="N443" s="25"/>
      <c r="O443" s="25"/>
      <c r="P443" s="15">
        <f>SUMPRODUCT(Business_Portfolio!$D443:$U443,Business_Portfolio!$D$8:$U$8)</f>
        <v>0</v>
      </c>
      <c r="Q443" s="25">
        <f t="shared" si="35"/>
        <v>0</v>
      </c>
      <c r="R443" s="25"/>
      <c r="S443" s="25"/>
      <c r="T443" s="25"/>
      <c r="U443" s="25"/>
    </row>
    <row r="444" spans="1:21" x14ac:dyDescent="0.25">
      <c r="A444" s="155">
        <f t="shared" si="36"/>
        <v>35</v>
      </c>
      <c r="C444" s="79">
        <v>34.583333333333222</v>
      </c>
      <c r="D444" s="15">
        <f>SUMPRODUCT(Business_Portfolio!D444:AM444,Business_Portfolio!$D$8:$AM$8)</f>
        <v>0</v>
      </c>
      <c r="E444" s="25">
        <f t="shared" si="33"/>
        <v>0</v>
      </c>
      <c r="F444" s="25"/>
      <c r="G444" s="25"/>
      <c r="H444" s="25"/>
      <c r="I444" s="25"/>
      <c r="J444" s="15">
        <f>SUMPRODUCT(Business_Portfolio!$V444:$AM444,Business_Portfolio!$V$8:$AM$8)</f>
        <v>0</v>
      </c>
      <c r="K444" s="25">
        <f t="shared" si="34"/>
        <v>0</v>
      </c>
      <c r="L444" s="25"/>
      <c r="M444" s="25"/>
      <c r="N444" s="25"/>
      <c r="O444" s="25"/>
      <c r="P444" s="15">
        <f>SUMPRODUCT(Business_Portfolio!$D444:$U444,Business_Portfolio!$D$8:$U$8)</f>
        <v>0</v>
      </c>
      <c r="Q444" s="25">
        <f t="shared" si="35"/>
        <v>0</v>
      </c>
      <c r="R444" s="25"/>
      <c r="S444" s="25"/>
      <c r="T444" s="25"/>
      <c r="U444" s="25"/>
    </row>
    <row r="445" spans="1:21" x14ac:dyDescent="0.25">
      <c r="A445" s="155">
        <f t="shared" si="36"/>
        <v>35</v>
      </c>
      <c r="C445" s="79">
        <v>34.666666666666558</v>
      </c>
      <c r="D445" s="15">
        <f>SUMPRODUCT(Business_Portfolio!D445:AM445,Business_Portfolio!$D$8:$AM$8)</f>
        <v>0</v>
      </c>
      <c r="E445" s="25">
        <f t="shared" si="33"/>
        <v>0</v>
      </c>
      <c r="F445" s="25"/>
      <c r="G445" s="25"/>
      <c r="H445" s="25"/>
      <c r="I445" s="25"/>
      <c r="J445" s="15">
        <f>SUMPRODUCT(Business_Portfolio!$V445:$AM445,Business_Portfolio!$V$8:$AM$8)</f>
        <v>0</v>
      </c>
      <c r="K445" s="25">
        <f t="shared" si="34"/>
        <v>0</v>
      </c>
      <c r="L445" s="25"/>
      <c r="M445" s="25"/>
      <c r="N445" s="25"/>
      <c r="O445" s="25"/>
      <c r="P445" s="15">
        <f>SUMPRODUCT(Business_Portfolio!$D445:$U445,Business_Portfolio!$D$8:$U$8)</f>
        <v>0</v>
      </c>
      <c r="Q445" s="25">
        <f t="shared" si="35"/>
        <v>0</v>
      </c>
      <c r="R445" s="25"/>
      <c r="S445" s="25"/>
      <c r="T445" s="25"/>
      <c r="U445" s="25"/>
    </row>
    <row r="446" spans="1:21" x14ac:dyDescent="0.25">
      <c r="A446" s="155">
        <f t="shared" si="36"/>
        <v>35</v>
      </c>
      <c r="C446" s="79">
        <v>34.749999999999893</v>
      </c>
      <c r="D446" s="15">
        <f>SUMPRODUCT(Business_Portfolio!D446:AM446,Business_Portfolio!$D$8:$AM$8)</f>
        <v>0</v>
      </c>
      <c r="E446" s="25">
        <f t="shared" si="33"/>
        <v>0</v>
      </c>
      <c r="F446" s="25"/>
      <c r="G446" s="25"/>
      <c r="H446" s="25"/>
      <c r="I446" s="25"/>
      <c r="J446" s="15">
        <f>SUMPRODUCT(Business_Portfolio!$V446:$AM446,Business_Portfolio!$V$8:$AM$8)</f>
        <v>0</v>
      </c>
      <c r="K446" s="25">
        <f t="shared" si="34"/>
        <v>0</v>
      </c>
      <c r="L446" s="25"/>
      <c r="M446" s="25"/>
      <c r="N446" s="25"/>
      <c r="O446" s="25"/>
      <c r="P446" s="15">
        <f>SUMPRODUCT(Business_Portfolio!$D446:$U446,Business_Portfolio!$D$8:$U$8)</f>
        <v>0</v>
      </c>
      <c r="Q446" s="25">
        <f t="shared" si="35"/>
        <v>0</v>
      </c>
      <c r="R446" s="25"/>
      <c r="S446" s="25"/>
      <c r="T446" s="25"/>
      <c r="U446" s="25"/>
    </row>
    <row r="447" spans="1:21" x14ac:dyDescent="0.25">
      <c r="A447" s="155">
        <f t="shared" si="36"/>
        <v>35</v>
      </c>
      <c r="C447" s="79">
        <v>34.833333333333229</v>
      </c>
      <c r="D447" s="15">
        <f>SUMPRODUCT(Business_Portfolio!D447:AM447,Business_Portfolio!$D$8:$AM$8)</f>
        <v>0</v>
      </c>
      <c r="E447" s="25">
        <f t="shared" si="33"/>
        <v>0</v>
      </c>
      <c r="F447" s="25"/>
      <c r="G447" s="25"/>
      <c r="H447" s="25"/>
      <c r="I447" s="25"/>
      <c r="J447" s="15">
        <f>SUMPRODUCT(Business_Portfolio!$V447:$AM447,Business_Portfolio!$V$8:$AM$8)</f>
        <v>0</v>
      </c>
      <c r="K447" s="25">
        <f t="shared" si="34"/>
        <v>0</v>
      </c>
      <c r="L447" s="25"/>
      <c r="M447" s="25"/>
      <c r="N447" s="25"/>
      <c r="O447" s="25"/>
      <c r="P447" s="15">
        <f>SUMPRODUCT(Business_Portfolio!$D447:$U447,Business_Portfolio!$D$8:$U$8)</f>
        <v>0</v>
      </c>
      <c r="Q447" s="25">
        <f t="shared" si="35"/>
        <v>0</v>
      </c>
      <c r="R447" s="25"/>
      <c r="S447" s="25"/>
      <c r="T447" s="25"/>
      <c r="U447" s="25"/>
    </row>
    <row r="448" spans="1:21" x14ac:dyDescent="0.25">
      <c r="A448" s="155">
        <f t="shared" si="36"/>
        <v>35</v>
      </c>
      <c r="C448" s="79">
        <v>34.916666666666565</v>
      </c>
      <c r="D448" s="15">
        <f>SUMPRODUCT(Business_Portfolio!D448:AM448,Business_Portfolio!$D$8:$AM$8)</f>
        <v>0</v>
      </c>
      <c r="E448" s="25">
        <f t="shared" si="33"/>
        <v>0</v>
      </c>
      <c r="F448" s="25"/>
      <c r="G448" s="25"/>
      <c r="H448" s="25"/>
      <c r="I448" s="25"/>
      <c r="J448" s="15">
        <f>SUMPRODUCT(Business_Portfolio!$V448:$AM448,Business_Portfolio!$V$8:$AM$8)</f>
        <v>0</v>
      </c>
      <c r="K448" s="25">
        <f t="shared" si="34"/>
        <v>0</v>
      </c>
      <c r="L448" s="25"/>
      <c r="M448" s="25"/>
      <c r="N448" s="25"/>
      <c r="O448" s="25"/>
      <c r="P448" s="15">
        <f>SUMPRODUCT(Business_Portfolio!$D448:$U448,Business_Portfolio!$D$8:$U$8)</f>
        <v>0</v>
      </c>
      <c r="Q448" s="25">
        <f t="shared" si="35"/>
        <v>0</v>
      </c>
      <c r="R448" s="25"/>
      <c r="S448" s="25"/>
      <c r="T448" s="25"/>
      <c r="U448" s="25"/>
    </row>
    <row r="449" spans="1:21" x14ac:dyDescent="0.25">
      <c r="A449" s="155">
        <f t="shared" si="36"/>
        <v>35</v>
      </c>
      <c r="C449" s="79">
        <v>34.999999999999901</v>
      </c>
      <c r="D449" s="15">
        <f>SUMPRODUCT(Business_Portfolio!D449:AM449,Business_Portfolio!$D$8:$AM$8)</f>
        <v>0</v>
      </c>
      <c r="E449" s="25">
        <f t="shared" si="33"/>
        <v>0</v>
      </c>
      <c r="F449" s="25"/>
      <c r="G449" s="25"/>
      <c r="H449" s="25"/>
      <c r="I449" s="25"/>
      <c r="J449" s="15">
        <f>SUMPRODUCT(Business_Portfolio!$V449:$AM449,Business_Portfolio!$V$8:$AM$8)</f>
        <v>0</v>
      </c>
      <c r="K449" s="25">
        <f t="shared" si="34"/>
        <v>0</v>
      </c>
      <c r="L449" s="25"/>
      <c r="M449" s="25"/>
      <c r="N449" s="25"/>
      <c r="O449" s="25"/>
      <c r="P449" s="15">
        <f>SUMPRODUCT(Business_Portfolio!$D449:$U449,Business_Portfolio!$D$8:$U$8)</f>
        <v>0</v>
      </c>
      <c r="Q449" s="25">
        <f t="shared" si="35"/>
        <v>0</v>
      </c>
      <c r="R449" s="25"/>
      <c r="S449" s="25"/>
      <c r="T449" s="25"/>
      <c r="U449" s="25"/>
    </row>
    <row r="450" spans="1:21" x14ac:dyDescent="0.25">
      <c r="A450" s="155">
        <f t="shared" si="36"/>
        <v>36</v>
      </c>
      <c r="C450" s="79">
        <v>35.083333333333236</v>
      </c>
      <c r="D450" s="15">
        <f>SUMPRODUCT(Business_Portfolio!D450:AM450,Business_Portfolio!$D$8:$AM$8)</f>
        <v>0</v>
      </c>
      <c r="E450" s="25">
        <f t="shared" si="33"/>
        <v>0</v>
      </c>
      <c r="F450" s="25"/>
      <c r="G450" s="25"/>
      <c r="H450" s="25"/>
      <c r="I450" s="25"/>
      <c r="J450" s="15">
        <f>SUMPRODUCT(Business_Portfolio!$V450:$AM450,Business_Portfolio!$V$8:$AM$8)</f>
        <v>0</v>
      </c>
      <c r="K450" s="25">
        <f t="shared" si="34"/>
        <v>0</v>
      </c>
      <c r="L450" s="25"/>
      <c r="M450" s="25"/>
      <c r="N450" s="25"/>
      <c r="O450" s="25"/>
      <c r="P450" s="15">
        <f>SUMPRODUCT(Business_Portfolio!$D450:$U450,Business_Portfolio!$D$8:$U$8)</f>
        <v>0</v>
      </c>
      <c r="Q450" s="25">
        <f t="shared" si="35"/>
        <v>0</v>
      </c>
      <c r="R450" s="25"/>
      <c r="S450" s="25"/>
      <c r="T450" s="25"/>
      <c r="U450" s="25"/>
    </row>
    <row r="451" spans="1:21" x14ac:dyDescent="0.25">
      <c r="A451" s="155">
        <f t="shared" si="36"/>
        <v>36</v>
      </c>
      <c r="C451" s="79">
        <v>35.166666666666572</v>
      </c>
      <c r="D451" s="15">
        <f>SUMPRODUCT(Business_Portfolio!D451:AM451,Business_Portfolio!$D$8:$AM$8)</f>
        <v>0</v>
      </c>
      <c r="E451" s="25">
        <f t="shared" si="33"/>
        <v>0</v>
      </c>
      <c r="F451" s="25"/>
      <c r="G451" s="25"/>
      <c r="H451" s="25"/>
      <c r="I451" s="25"/>
      <c r="J451" s="15">
        <f>SUMPRODUCT(Business_Portfolio!$V451:$AM451,Business_Portfolio!$V$8:$AM$8)</f>
        <v>0</v>
      </c>
      <c r="K451" s="25">
        <f t="shared" si="34"/>
        <v>0</v>
      </c>
      <c r="L451" s="25"/>
      <c r="M451" s="25"/>
      <c r="N451" s="25"/>
      <c r="O451" s="25"/>
      <c r="P451" s="15">
        <f>SUMPRODUCT(Business_Portfolio!$D451:$U451,Business_Portfolio!$D$8:$U$8)</f>
        <v>0</v>
      </c>
      <c r="Q451" s="25">
        <f t="shared" si="35"/>
        <v>0</v>
      </c>
      <c r="R451" s="25"/>
      <c r="S451" s="25"/>
      <c r="T451" s="25"/>
      <c r="U451" s="25"/>
    </row>
    <row r="452" spans="1:21" x14ac:dyDescent="0.25">
      <c r="A452" s="155">
        <f t="shared" si="36"/>
        <v>36</v>
      </c>
      <c r="C452" s="79">
        <v>35.249999999999908</v>
      </c>
      <c r="D452" s="15">
        <f>SUMPRODUCT(Business_Portfolio!D452:AM452,Business_Portfolio!$D$8:$AM$8)</f>
        <v>0</v>
      </c>
      <c r="E452" s="25">
        <f t="shared" si="33"/>
        <v>0</v>
      </c>
      <c r="F452" s="25"/>
      <c r="G452" s="25"/>
      <c r="H452" s="25"/>
      <c r="I452" s="25"/>
      <c r="J452" s="15">
        <f>SUMPRODUCT(Business_Portfolio!$V452:$AM452,Business_Portfolio!$V$8:$AM$8)</f>
        <v>0</v>
      </c>
      <c r="K452" s="25">
        <f t="shared" si="34"/>
        <v>0</v>
      </c>
      <c r="L452" s="25"/>
      <c r="M452" s="25"/>
      <c r="N452" s="25"/>
      <c r="O452" s="25"/>
      <c r="P452" s="15">
        <f>SUMPRODUCT(Business_Portfolio!$D452:$U452,Business_Portfolio!$D$8:$U$8)</f>
        <v>0</v>
      </c>
      <c r="Q452" s="25">
        <f t="shared" si="35"/>
        <v>0</v>
      </c>
      <c r="R452" s="25"/>
      <c r="S452" s="25"/>
      <c r="T452" s="25"/>
      <c r="U452" s="25"/>
    </row>
    <row r="453" spans="1:21" x14ac:dyDescent="0.25">
      <c r="A453" s="155">
        <f t="shared" si="36"/>
        <v>36</v>
      </c>
      <c r="C453" s="79">
        <v>35.333333333333243</v>
      </c>
      <c r="D453" s="15">
        <f>SUMPRODUCT(Business_Portfolio!D453:AM453,Business_Portfolio!$D$8:$AM$8)</f>
        <v>0</v>
      </c>
      <c r="E453" s="25">
        <f t="shared" si="33"/>
        <v>0</v>
      </c>
      <c r="F453" s="25"/>
      <c r="G453" s="25"/>
      <c r="H453" s="25"/>
      <c r="I453" s="25"/>
      <c r="J453" s="15">
        <f>SUMPRODUCT(Business_Portfolio!$V453:$AM453,Business_Portfolio!$V$8:$AM$8)</f>
        <v>0</v>
      </c>
      <c r="K453" s="25">
        <f t="shared" si="34"/>
        <v>0</v>
      </c>
      <c r="L453" s="25"/>
      <c r="M453" s="25"/>
      <c r="N453" s="25"/>
      <c r="O453" s="25"/>
      <c r="P453" s="15">
        <f>SUMPRODUCT(Business_Portfolio!$D453:$U453,Business_Portfolio!$D$8:$U$8)</f>
        <v>0</v>
      </c>
      <c r="Q453" s="25">
        <f t="shared" si="35"/>
        <v>0</v>
      </c>
      <c r="R453" s="25"/>
      <c r="S453" s="25"/>
      <c r="T453" s="25"/>
      <c r="U453" s="25"/>
    </row>
    <row r="454" spans="1:21" x14ac:dyDescent="0.25">
      <c r="A454" s="155">
        <f t="shared" si="36"/>
        <v>36</v>
      </c>
      <c r="C454" s="79">
        <v>35.416666666666579</v>
      </c>
      <c r="D454" s="15">
        <f>SUMPRODUCT(Business_Portfolio!D454:AM454,Business_Portfolio!$D$8:$AM$8)</f>
        <v>0</v>
      </c>
      <c r="E454" s="25">
        <f t="shared" si="33"/>
        <v>0</v>
      </c>
      <c r="F454" s="25"/>
      <c r="G454" s="25"/>
      <c r="H454" s="25"/>
      <c r="I454" s="25"/>
      <c r="J454" s="15">
        <f>SUMPRODUCT(Business_Portfolio!$V454:$AM454,Business_Portfolio!$V$8:$AM$8)</f>
        <v>0</v>
      </c>
      <c r="K454" s="25">
        <f t="shared" si="34"/>
        <v>0</v>
      </c>
      <c r="L454" s="25"/>
      <c r="M454" s="25"/>
      <c r="N454" s="25"/>
      <c r="O454" s="25"/>
      <c r="P454" s="15">
        <f>SUMPRODUCT(Business_Portfolio!$D454:$U454,Business_Portfolio!$D$8:$U$8)</f>
        <v>0</v>
      </c>
      <c r="Q454" s="25">
        <f t="shared" si="35"/>
        <v>0</v>
      </c>
      <c r="R454" s="25"/>
      <c r="S454" s="25"/>
      <c r="T454" s="25"/>
      <c r="U454" s="25"/>
    </row>
    <row r="455" spans="1:21" x14ac:dyDescent="0.25">
      <c r="A455" s="155">
        <f t="shared" si="36"/>
        <v>36</v>
      </c>
      <c r="C455" s="79">
        <v>35.499999999999915</v>
      </c>
      <c r="D455" s="15">
        <f>SUMPRODUCT(Business_Portfolio!D455:AM455,Business_Portfolio!$D$8:$AM$8)</f>
        <v>0</v>
      </c>
      <c r="E455" s="25">
        <f t="shared" si="33"/>
        <v>0</v>
      </c>
      <c r="F455" s="25"/>
      <c r="G455" s="25"/>
      <c r="H455" s="25"/>
      <c r="I455" s="25"/>
      <c r="J455" s="15">
        <f>SUMPRODUCT(Business_Portfolio!$V455:$AM455,Business_Portfolio!$V$8:$AM$8)</f>
        <v>0</v>
      </c>
      <c r="K455" s="25">
        <f t="shared" si="34"/>
        <v>0</v>
      </c>
      <c r="L455" s="25"/>
      <c r="M455" s="25"/>
      <c r="N455" s="25"/>
      <c r="O455" s="25"/>
      <c r="P455" s="15">
        <f>SUMPRODUCT(Business_Portfolio!$D455:$U455,Business_Portfolio!$D$8:$U$8)</f>
        <v>0</v>
      </c>
      <c r="Q455" s="25">
        <f t="shared" si="35"/>
        <v>0</v>
      </c>
      <c r="R455" s="25"/>
      <c r="S455" s="25"/>
      <c r="T455" s="25"/>
      <c r="U455" s="25"/>
    </row>
    <row r="456" spans="1:21" x14ac:dyDescent="0.25">
      <c r="A456" s="155">
        <f t="shared" si="36"/>
        <v>36</v>
      </c>
      <c r="C456" s="79">
        <v>35.58333333333325</v>
      </c>
      <c r="D456" s="15">
        <f>SUMPRODUCT(Business_Portfolio!D456:AM456,Business_Portfolio!$D$8:$AM$8)</f>
        <v>0</v>
      </c>
      <c r="E456" s="25">
        <f t="shared" si="33"/>
        <v>0</v>
      </c>
      <c r="F456" s="25"/>
      <c r="G456" s="25"/>
      <c r="H456" s="25"/>
      <c r="I456" s="25"/>
      <c r="J456" s="15">
        <f>SUMPRODUCT(Business_Portfolio!$V456:$AM456,Business_Portfolio!$V$8:$AM$8)</f>
        <v>0</v>
      </c>
      <c r="K456" s="25">
        <f t="shared" si="34"/>
        <v>0</v>
      </c>
      <c r="L456" s="25"/>
      <c r="M456" s="25"/>
      <c r="N456" s="25"/>
      <c r="O456" s="25"/>
      <c r="P456" s="15">
        <f>SUMPRODUCT(Business_Portfolio!$D456:$U456,Business_Portfolio!$D$8:$U$8)</f>
        <v>0</v>
      </c>
      <c r="Q456" s="25">
        <f t="shared" si="35"/>
        <v>0</v>
      </c>
      <c r="R456" s="25"/>
      <c r="S456" s="25"/>
      <c r="T456" s="25"/>
      <c r="U456" s="25"/>
    </row>
    <row r="457" spans="1:21" x14ac:dyDescent="0.25">
      <c r="A457" s="155">
        <f t="shared" si="36"/>
        <v>36</v>
      </c>
      <c r="C457" s="79">
        <v>35.666666666666586</v>
      </c>
      <c r="D457" s="15">
        <f>SUMPRODUCT(Business_Portfolio!D457:AM457,Business_Portfolio!$D$8:$AM$8)</f>
        <v>0</v>
      </c>
      <c r="E457" s="25">
        <f t="shared" si="33"/>
        <v>0</v>
      </c>
      <c r="F457" s="25"/>
      <c r="G457" s="25"/>
      <c r="H457" s="25"/>
      <c r="I457" s="25"/>
      <c r="J457" s="15">
        <f>SUMPRODUCT(Business_Portfolio!$V457:$AM457,Business_Portfolio!$V$8:$AM$8)</f>
        <v>0</v>
      </c>
      <c r="K457" s="25">
        <f t="shared" si="34"/>
        <v>0</v>
      </c>
      <c r="L457" s="25"/>
      <c r="M457" s="25"/>
      <c r="N457" s="25"/>
      <c r="O457" s="25"/>
      <c r="P457" s="15">
        <f>SUMPRODUCT(Business_Portfolio!$D457:$U457,Business_Portfolio!$D$8:$U$8)</f>
        <v>0</v>
      </c>
      <c r="Q457" s="25">
        <f t="shared" si="35"/>
        <v>0</v>
      </c>
      <c r="R457" s="25"/>
      <c r="S457" s="25"/>
      <c r="T457" s="25"/>
      <c r="U457" s="25"/>
    </row>
    <row r="458" spans="1:21" x14ac:dyDescent="0.25">
      <c r="A458" s="155">
        <f t="shared" si="36"/>
        <v>36</v>
      </c>
      <c r="C458" s="79">
        <v>35.749999999999922</v>
      </c>
      <c r="D458" s="15">
        <f>SUMPRODUCT(Business_Portfolio!D458:AM458,Business_Portfolio!$D$8:$AM$8)</f>
        <v>0</v>
      </c>
      <c r="E458" s="25">
        <f t="shared" si="33"/>
        <v>0</v>
      </c>
      <c r="F458" s="25"/>
      <c r="G458" s="25"/>
      <c r="H458" s="25"/>
      <c r="I458" s="25"/>
      <c r="J458" s="15">
        <f>SUMPRODUCT(Business_Portfolio!$V458:$AM458,Business_Portfolio!$V$8:$AM$8)</f>
        <v>0</v>
      </c>
      <c r="K458" s="25">
        <f t="shared" si="34"/>
        <v>0</v>
      </c>
      <c r="L458" s="25"/>
      <c r="M458" s="25"/>
      <c r="N458" s="25"/>
      <c r="O458" s="25"/>
      <c r="P458" s="15">
        <f>SUMPRODUCT(Business_Portfolio!$D458:$U458,Business_Portfolio!$D$8:$U$8)</f>
        <v>0</v>
      </c>
      <c r="Q458" s="25">
        <f t="shared" si="35"/>
        <v>0</v>
      </c>
      <c r="R458" s="25"/>
      <c r="S458" s="25"/>
      <c r="T458" s="25"/>
      <c r="U458" s="25"/>
    </row>
    <row r="459" spans="1:21" x14ac:dyDescent="0.25">
      <c r="A459" s="155">
        <f t="shared" si="36"/>
        <v>36</v>
      </c>
      <c r="C459" s="79">
        <v>35.833333333333258</v>
      </c>
      <c r="D459" s="15">
        <f>SUMPRODUCT(Business_Portfolio!D459:AM459,Business_Portfolio!$D$8:$AM$8)</f>
        <v>0</v>
      </c>
      <c r="E459" s="25">
        <f t="shared" si="33"/>
        <v>0</v>
      </c>
      <c r="F459" s="25"/>
      <c r="G459" s="25"/>
      <c r="H459" s="25"/>
      <c r="I459" s="25"/>
      <c r="J459" s="15">
        <f>SUMPRODUCT(Business_Portfolio!$V459:$AM459,Business_Portfolio!$V$8:$AM$8)</f>
        <v>0</v>
      </c>
      <c r="K459" s="25">
        <f t="shared" si="34"/>
        <v>0</v>
      </c>
      <c r="L459" s="25"/>
      <c r="M459" s="25"/>
      <c r="N459" s="25"/>
      <c r="O459" s="25"/>
      <c r="P459" s="15">
        <f>SUMPRODUCT(Business_Portfolio!$D459:$U459,Business_Portfolio!$D$8:$U$8)</f>
        <v>0</v>
      </c>
      <c r="Q459" s="25">
        <f t="shared" si="35"/>
        <v>0</v>
      </c>
      <c r="R459" s="25"/>
      <c r="S459" s="25"/>
      <c r="T459" s="25"/>
      <c r="U459" s="25"/>
    </row>
    <row r="460" spans="1:21" x14ac:dyDescent="0.25">
      <c r="A460" s="155">
        <f t="shared" si="36"/>
        <v>36</v>
      </c>
      <c r="C460" s="79">
        <v>35.916666666666593</v>
      </c>
      <c r="D460" s="15">
        <f>SUMPRODUCT(Business_Portfolio!D460:AM460,Business_Portfolio!$D$8:$AM$8)</f>
        <v>0</v>
      </c>
      <c r="E460" s="25">
        <f t="shared" si="33"/>
        <v>0</v>
      </c>
      <c r="F460" s="25"/>
      <c r="G460" s="25"/>
      <c r="H460" s="25"/>
      <c r="I460" s="25"/>
      <c r="J460" s="15">
        <f>SUMPRODUCT(Business_Portfolio!$V460:$AM460,Business_Portfolio!$V$8:$AM$8)</f>
        <v>0</v>
      </c>
      <c r="K460" s="25">
        <f t="shared" si="34"/>
        <v>0</v>
      </c>
      <c r="L460" s="25"/>
      <c r="M460" s="25"/>
      <c r="N460" s="25"/>
      <c r="O460" s="25"/>
      <c r="P460" s="15">
        <f>SUMPRODUCT(Business_Portfolio!$D460:$U460,Business_Portfolio!$D$8:$U$8)</f>
        <v>0</v>
      </c>
      <c r="Q460" s="25">
        <f t="shared" si="35"/>
        <v>0</v>
      </c>
      <c r="R460" s="25"/>
      <c r="S460" s="25"/>
      <c r="T460" s="25"/>
      <c r="U460" s="25"/>
    </row>
    <row r="461" spans="1:21" x14ac:dyDescent="0.25">
      <c r="A461" s="155">
        <f t="shared" si="36"/>
        <v>36</v>
      </c>
      <c r="C461" s="79">
        <v>35.999999999999929</v>
      </c>
      <c r="D461" s="15">
        <f>SUMPRODUCT(Business_Portfolio!D461:AM461,Business_Portfolio!$D$8:$AM$8)</f>
        <v>0</v>
      </c>
      <c r="E461" s="25">
        <f t="shared" si="33"/>
        <v>0</v>
      </c>
      <c r="F461" s="25"/>
      <c r="G461" s="25"/>
      <c r="H461" s="25"/>
      <c r="I461" s="25"/>
      <c r="J461" s="15">
        <f>SUMPRODUCT(Business_Portfolio!$V461:$AM461,Business_Portfolio!$V$8:$AM$8)</f>
        <v>0</v>
      </c>
      <c r="K461" s="25">
        <f t="shared" si="34"/>
        <v>0</v>
      </c>
      <c r="L461" s="25"/>
      <c r="M461" s="25"/>
      <c r="N461" s="25"/>
      <c r="O461" s="25"/>
      <c r="P461" s="15">
        <f>SUMPRODUCT(Business_Portfolio!$D461:$U461,Business_Portfolio!$D$8:$U$8)</f>
        <v>0</v>
      </c>
      <c r="Q461" s="25">
        <f t="shared" si="35"/>
        <v>0</v>
      </c>
      <c r="R461" s="25"/>
      <c r="S461" s="25"/>
      <c r="T461" s="25"/>
      <c r="U461" s="25"/>
    </row>
    <row r="462" spans="1:21" x14ac:dyDescent="0.25">
      <c r="A462" s="155">
        <f t="shared" si="36"/>
        <v>37</v>
      </c>
      <c r="C462" s="79">
        <v>36.083333333333265</v>
      </c>
      <c r="D462" s="15">
        <f>SUMPRODUCT(Business_Portfolio!D462:AM462,Business_Portfolio!$D$8:$AM$8)</f>
        <v>0</v>
      </c>
      <c r="E462" s="25">
        <f t="shared" si="33"/>
        <v>0</v>
      </c>
      <c r="F462" s="25"/>
      <c r="G462" s="25"/>
      <c r="H462" s="25"/>
      <c r="I462" s="25"/>
      <c r="J462" s="15">
        <f>SUMPRODUCT(Business_Portfolio!$V462:$AM462,Business_Portfolio!$V$8:$AM$8)</f>
        <v>0</v>
      </c>
      <c r="K462" s="25">
        <f t="shared" si="34"/>
        <v>0</v>
      </c>
      <c r="L462" s="25"/>
      <c r="M462" s="25"/>
      <c r="N462" s="25"/>
      <c r="O462" s="25"/>
      <c r="P462" s="15">
        <f>SUMPRODUCT(Business_Portfolio!$D462:$U462,Business_Portfolio!$D$8:$U$8)</f>
        <v>0</v>
      </c>
      <c r="Q462" s="25">
        <f t="shared" si="35"/>
        <v>0</v>
      </c>
      <c r="R462" s="25"/>
      <c r="S462" s="25"/>
      <c r="T462" s="25"/>
      <c r="U462" s="25"/>
    </row>
    <row r="463" spans="1:21" x14ac:dyDescent="0.25">
      <c r="A463" s="155">
        <f t="shared" si="36"/>
        <v>37</v>
      </c>
      <c r="C463" s="79">
        <v>36.1666666666666</v>
      </c>
      <c r="D463" s="15">
        <f>SUMPRODUCT(Business_Portfolio!D463:AM463,Business_Portfolio!$D$8:$AM$8)</f>
        <v>0</v>
      </c>
      <c r="E463" s="25">
        <f t="shared" si="33"/>
        <v>0</v>
      </c>
      <c r="F463" s="25"/>
      <c r="G463" s="25"/>
      <c r="H463" s="25"/>
      <c r="I463" s="25"/>
      <c r="J463" s="15">
        <f>SUMPRODUCT(Business_Portfolio!$V463:$AM463,Business_Portfolio!$V$8:$AM$8)</f>
        <v>0</v>
      </c>
      <c r="K463" s="25">
        <f t="shared" si="34"/>
        <v>0</v>
      </c>
      <c r="L463" s="25"/>
      <c r="M463" s="25"/>
      <c r="N463" s="25"/>
      <c r="O463" s="25"/>
      <c r="P463" s="15">
        <f>SUMPRODUCT(Business_Portfolio!$D463:$U463,Business_Portfolio!$D$8:$U$8)</f>
        <v>0</v>
      </c>
      <c r="Q463" s="25">
        <f t="shared" si="35"/>
        <v>0</v>
      </c>
      <c r="R463" s="25"/>
      <c r="S463" s="25"/>
      <c r="T463" s="25"/>
      <c r="U463" s="25"/>
    </row>
    <row r="464" spans="1:21" x14ac:dyDescent="0.25">
      <c r="A464" s="155">
        <f t="shared" si="36"/>
        <v>37</v>
      </c>
      <c r="C464" s="79">
        <v>36.249999999999936</v>
      </c>
      <c r="D464" s="15">
        <f>SUMPRODUCT(Business_Portfolio!D464:AM464,Business_Portfolio!$D$8:$AM$8)</f>
        <v>0</v>
      </c>
      <c r="E464" s="25">
        <f t="shared" si="33"/>
        <v>0</v>
      </c>
      <c r="F464" s="25"/>
      <c r="G464" s="25"/>
      <c r="H464" s="25"/>
      <c r="I464" s="25"/>
      <c r="J464" s="15">
        <f>SUMPRODUCT(Business_Portfolio!$V464:$AM464,Business_Portfolio!$V$8:$AM$8)</f>
        <v>0</v>
      </c>
      <c r="K464" s="25">
        <f t="shared" si="34"/>
        <v>0</v>
      </c>
      <c r="L464" s="25"/>
      <c r="M464" s="25"/>
      <c r="N464" s="25"/>
      <c r="O464" s="25"/>
      <c r="P464" s="15">
        <f>SUMPRODUCT(Business_Portfolio!$D464:$U464,Business_Portfolio!$D$8:$U$8)</f>
        <v>0</v>
      </c>
      <c r="Q464" s="25">
        <f t="shared" si="35"/>
        <v>0</v>
      </c>
      <c r="R464" s="25"/>
      <c r="S464" s="25"/>
      <c r="T464" s="25"/>
      <c r="U464" s="25"/>
    </row>
    <row r="465" spans="1:21" x14ac:dyDescent="0.25">
      <c r="A465" s="155">
        <f t="shared" si="36"/>
        <v>37</v>
      </c>
      <c r="C465" s="79">
        <v>36.333333333333272</v>
      </c>
      <c r="D465" s="15">
        <f>SUMPRODUCT(Business_Portfolio!D465:AM465,Business_Portfolio!$D$8:$AM$8)</f>
        <v>0</v>
      </c>
      <c r="E465" s="25">
        <f t="shared" si="33"/>
        <v>0</v>
      </c>
      <c r="F465" s="25"/>
      <c r="G465" s="25"/>
      <c r="H465" s="25"/>
      <c r="I465" s="25"/>
      <c r="J465" s="15">
        <f>SUMPRODUCT(Business_Portfolio!$V465:$AM465,Business_Portfolio!$V$8:$AM$8)</f>
        <v>0</v>
      </c>
      <c r="K465" s="25">
        <f t="shared" si="34"/>
        <v>0</v>
      </c>
      <c r="L465" s="25"/>
      <c r="M465" s="25"/>
      <c r="N465" s="25"/>
      <c r="O465" s="25"/>
      <c r="P465" s="15">
        <f>SUMPRODUCT(Business_Portfolio!$D465:$U465,Business_Portfolio!$D$8:$U$8)</f>
        <v>0</v>
      </c>
      <c r="Q465" s="25">
        <f t="shared" si="35"/>
        <v>0</v>
      </c>
      <c r="R465" s="25"/>
      <c r="S465" s="25"/>
      <c r="T465" s="25"/>
      <c r="U465" s="25"/>
    </row>
    <row r="466" spans="1:21" x14ac:dyDescent="0.25">
      <c r="A466" s="155">
        <f t="shared" si="36"/>
        <v>37</v>
      </c>
      <c r="C466" s="79">
        <v>36.416666666666607</v>
      </c>
      <c r="D466" s="15">
        <f>SUMPRODUCT(Business_Portfolio!D466:AM466,Business_Portfolio!$D$8:$AM$8)</f>
        <v>0</v>
      </c>
      <c r="E466" s="25">
        <f t="shared" si="33"/>
        <v>0</v>
      </c>
      <c r="F466" s="25"/>
      <c r="G466" s="25"/>
      <c r="H466" s="25"/>
      <c r="I466" s="25"/>
      <c r="J466" s="15">
        <f>SUMPRODUCT(Business_Portfolio!$V466:$AM466,Business_Portfolio!$V$8:$AM$8)</f>
        <v>0</v>
      </c>
      <c r="K466" s="25">
        <f t="shared" si="34"/>
        <v>0</v>
      </c>
      <c r="L466" s="25"/>
      <c r="M466" s="25"/>
      <c r="N466" s="25"/>
      <c r="O466" s="25"/>
      <c r="P466" s="15">
        <f>SUMPRODUCT(Business_Portfolio!$D466:$U466,Business_Portfolio!$D$8:$U$8)</f>
        <v>0</v>
      </c>
      <c r="Q466" s="25">
        <f t="shared" si="35"/>
        <v>0</v>
      </c>
      <c r="R466" s="25"/>
      <c r="S466" s="25"/>
      <c r="T466" s="25"/>
      <c r="U466" s="25"/>
    </row>
    <row r="467" spans="1:21" x14ac:dyDescent="0.25">
      <c r="A467" s="155">
        <f t="shared" si="36"/>
        <v>37</v>
      </c>
      <c r="C467" s="79">
        <v>36.499999999999943</v>
      </c>
      <c r="D467" s="15">
        <f>SUMPRODUCT(Business_Portfolio!D467:AM467,Business_Portfolio!$D$8:$AM$8)</f>
        <v>0</v>
      </c>
      <c r="E467" s="25">
        <f t="shared" si="33"/>
        <v>0</v>
      </c>
      <c r="F467" s="25"/>
      <c r="G467" s="25"/>
      <c r="H467" s="25"/>
      <c r="I467" s="25"/>
      <c r="J467" s="15">
        <f>SUMPRODUCT(Business_Portfolio!$V467:$AM467,Business_Portfolio!$V$8:$AM$8)</f>
        <v>0</v>
      </c>
      <c r="K467" s="25">
        <f t="shared" si="34"/>
        <v>0</v>
      </c>
      <c r="L467" s="25"/>
      <c r="M467" s="25"/>
      <c r="N467" s="25"/>
      <c r="O467" s="25"/>
      <c r="P467" s="15">
        <f>SUMPRODUCT(Business_Portfolio!$D467:$U467,Business_Portfolio!$D$8:$U$8)</f>
        <v>0</v>
      </c>
      <c r="Q467" s="25">
        <f t="shared" si="35"/>
        <v>0</v>
      </c>
      <c r="R467" s="25"/>
      <c r="S467" s="25"/>
      <c r="T467" s="25"/>
      <c r="U467" s="25"/>
    </row>
    <row r="468" spans="1:21" x14ac:dyDescent="0.25">
      <c r="A468" s="155">
        <f t="shared" si="36"/>
        <v>37</v>
      </c>
      <c r="C468" s="79">
        <v>36.583333333333279</v>
      </c>
      <c r="D468" s="15">
        <f>SUMPRODUCT(Business_Portfolio!D468:AM468,Business_Portfolio!$D$8:$AM$8)</f>
        <v>0</v>
      </c>
      <c r="E468" s="25">
        <f t="shared" si="33"/>
        <v>0</v>
      </c>
      <c r="F468" s="25"/>
      <c r="G468" s="25"/>
      <c r="H468" s="25"/>
      <c r="I468" s="25"/>
      <c r="J468" s="15">
        <f>SUMPRODUCT(Business_Portfolio!$V468:$AM468,Business_Portfolio!$V$8:$AM$8)</f>
        <v>0</v>
      </c>
      <c r="K468" s="25">
        <f t="shared" si="34"/>
        <v>0</v>
      </c>
      <c r="L468" s="25"/>
      <c r="M468" s="25"/>
      <c r="N468" s="25"/>
      <c r="O468" s="25"/>
      <c r="P468" s="15">
        <f>SUMPRODUCT(Business_Portfolio!$D468:$U468,Business_Portfolio!$D$8:$U$8)</f>
        <v>0</v>
      </c>
      <c r="Q468" s="25">
        <f t="shared" si="35"/>
        <v>0</v>
      </c>
      <c r="R468" s="25"/>
      <c r="S468" s="25"/>
      <c r="T468" s="25"/>
      <c r="U468" s="25"/>
    </row>
    <row r="469" spans="1:21" x14ac:dyDescent="0.25">
      <c r="A469" s="155">
        <f t="shared" si="36"/>
        <v>37</v>
      </c>
      <c r="C469" s="79">
        <v>36.666666666666615</v>
      </c>
      <c r="D469" s="15">
        <f>SUMPRODUCT(Business_Portfolio!D469:AM469,Business_Portfolio!$D$8:$AM$8)</f>
        <v>0</v>
      </c>
      <c r="E469" s="25">
        <f t="shared" si="33"/>
        <v>0</v>
      </c>
      <c r="F469" s="25"/>
      <c r="G469" s="25"/>
      <c r="H469" s="25"/>
      <c r="I469" s="25"/>
      <c r="J469" s="15">
        <f>SUMPRODUCT(Business_Portfolio!$V469:$AM469,Business_Portfolio!$V$8:$AM$8)</f>
        <v>0</v>
      </c>
      <c r="K469" s="25">
        <f t="shared" si="34"/>
        <v>0</v>
      </c>
      <c r="L469" s="25"/>
      <c r="M469" s="25"/>
      <c r="N469" s="25"/>
      <c r="O469" s="25"/>
      <c r="P469" s="15">
        <f>SUMPRODUCT(Business_Portfolio!$D469:$U469,Business_Portfolio!$D$8:$U$8)</f>
        <v>0</v>
      </c>
      <c r="Q469" s="25">
        <f t="shared" si="35"/>
        <v>0</v>
      </c>
      <c r="R469" s="25"/>
      <c r="S469" s="25"/>
      <c r="T469" s="25"/>
      <c r="U469" s="25"/>
    </row>
    <row r="470" spans="1:21" x14ac:dyDescent="0.25">
      <c r="A470" s="155">
        <f t="shared" si="36"/>
        <v>37</v>
      </c>
      <c r="C470" s="79">
        <v>36.74999999999995</v>
      </c>
      <c r="D470" s="15">
        <f>SUMPRODUCT(Business_Portfolio!D470:AM470,Business_Portfolio!$D$8:$AM$8)</f>
        <v>0</v>
      </c>
      <c r="E470" s="25">
        <f t="shared" si="33"/>
        <v>0</v>
      </c>
      <c r="F470" s="25"/>
      <c r="G470" s="25"/>
      <c r="H470" s="25"/>
      <c r="I470" s="25"/>
      <c r="J470" s="15">
        <f>SUMPRODUCT(Business_Portfolio!$V470:$AM470,Business_Portfolio!$V$8:$AM$8)</f>
        <v>0</v>
      </c>
      <c r="K470" s="25">
        <f t="shared" si="34"/>
        <v>0</v>
      </c>
      <c r="L470" s="25"/>
      <c r="M470" s="25"/>
      <c r="N470" s="25"/>
      <c r="O470" s="25"/>
      <c r="P470" s="15">
        <f>SUMPRODUCT(Business_Portfolio!$D470:$U470,Business_Portfolio!$D$8:$U$8)</f>
        <v>0</v>
      </c>
      <c r="Q470" s="25">
        <f t="shared" si="35"/>
        <v>0</v>
      </c>
      <c r="R470" s="25"/>
      <c r="S470" s="25"/>
      <c r="T470" s="25"/>
      <c r="U470" s="25"/>
    </row>
    <row r="471" spans="1:21" x14ac:dyDescent="0.25">
      <c r="A471" s="155">
        <f t="shared" si="36"/>
        <v>37</v>
      </c>
      <c r="C471" s="79">
        <v>36.833333333333286</v>
      </c>
      <c r="D471" s="15">
        <f>SUMPRODUCT(Business_Portfolio!D471:AM471,Business_Portfolio!$D$8:$AM$8)</f>
        <v>0</v>
      </c>
      <c r="E471" s="25">
        <f t="shared" si="33"/>
        <v>0</v>
      </c>
      <c r="F471" s="25"/>
      <c r="G471" s="25"/>
      <c r="H471" s="25"/>
      <c r="I471" s="25"/>
      <c r="J471" s="15">
        <f>SUMPRODUCT(Business_Portfolio!$V471:$AM471,Business_Portfolio!$V$8:$AM$8)</f>
        <v>0</v>
      </c>
      <c r="K471" s="25">
        <f t="shared" si="34"/>
        <v>0</v>
      </c>
      <c r="L471" s="25"/>
      <c r="M471" s="25"/>
      <c r="N471" s="25"/>
      <c r="O471" s="25"/>
      <c r="P471" s="15">
        <f>SUMPRODUCT(Business_Portfolio!$D471:$U471,Business_Portfolio!$D$8:$U$8)</f>
        <v>0</v>
      </c>
      <c r="Q471" s="25">
        <f t="shared" si="35"/>
        <v>0</v>
      </c>
      <c r="R471" s="25"/>
      <c r="S471" s="25"/>
      <c r="T471" s="25"/>
      <c r="U471" s="25"/>
    </row>
    <row r="472" spans="1:21" x14ac:dyDescent="0.25">
      <c r="A472" s="155">
        <f t="shared" si="36"/>
        <v>37</v>
      </c>
      <c r="C472" s="79">
        <v>36.916666666666622</v>
      </c>
      <c r="D472" s="15">
        <f>SUMPRODUCT(Business_Portfolio!D472:AM472,Business_Portfolio!$D$8:$AM$8)</f>
        <v>0</v>
      </c>
      <c r="E472" s="25">
        <f t="shared" si="33"/>
        <v>0</v>
      </c>
      <c r="F472" s="25"/>
      <c r="G472" s="25"/>
      <c r="H472" s="25"/>
      <c r="I472" s="25"/>
      <c r="J472" s="15">
        <f>SUMPRODUCT(Business_Portfolio!$V472:$AM472,Business_Portfolio!$V$8:$AM$8)</f>
        <v>0</v>
      </c>
      <c r="K472" s="25">
        <f t="shared" si="34"/>
        <v>0</v>
      </c>
      <c r="L472" s="25"/>
      <c r="M472" s="25"/>
      <c r="N472" s="25"/>
      <c r="O472" s="25"/>
      <c r="P472" s="15">
        <f>SUMPRODUCT(Business_Portfolio!$D472:$U472,Business_Portfolio!$D$8:$U$8)</f>
        <v>0</v>
      </c>
      <c r="Q472" s="25">
        <f t="shared" si="35"/>
        <v>0</v>
      </c>
      <c r="R472" s="25"/>
      <c r="S472" s="25"/>
      <c r="T472" s="25"/>
      <c r="U472" s="25"/>
    </row>
    <row r="473" spans="1:21" x14ac:dyDescent="0.25">
      <c r="A473" s="155">
        <f t="shared" si="36"/>
        <v>37</v>
      </c>
      <c r="C473" s="79">
        <v>36.999999999999957</v>
      </c>
      <c r="D473" s="15">
        <f>SUMPRODUCT(Business_Portfolio!D473:AM473,Business_Portfolio!$D$8:$AM$8)</f>
        <v>0</v>
      </c>
      <c r="E473" s="25">
        <f t="shared" si="33"/>
        <v>0</v>
      </c>
      <c r="F473" s="25"/>
      <c r="G473" s="25"/>
      <c r="H473" s="25"/>
      <c r="I473" s="25"/>
      <c r="J473" s="15">
        <f>SUMPRODUCT(Business_Portfolio!$V473:$AM473,Business_Portfolio!$V$8:$AM$8)</f>
        <v>0</v>
      </c>
      <c r="K473" s="25">
        <f t="shared" si="34"/>
        <v>0</v>
      </c>
      <c r="L473" s="25"/>
      <c r="M473" s="25"/>
      <c r="N473" s="25"/>
      <c r="O473" s="25"/>
      <c r="P473" s="15">
        <f>SUMPRODUCT(Business_Portfolio!$D473:$U473,Business_Portfolio!$D$8:$U$8)</f>
        <v>0</v>
      </c>
      <c r="Q473" s="25">
        <f t="shared" si="35"/>
        <v>0</v>
      </c>
      <c r="R473" s="25"/>
      <c r="S473" s="25"/>
      <c r="T473" s="25"/>
      <c r="U473" s="25"/>
    </row>
    <row r="474" spans="1:21" x14ac:dyDescent="0.25">
      <c r="A474" s="155">
        <f t="shared" si="36"/>
        <v>38</v>
      </c>
      <c r="C474" s="79">
        <v>37.083333333333293</v>
      </c>
      <c r="D474" s="15">
        <f>SUMPRODUCT(Business_Portfolio!D474:AM474,Business_Portfolio!$D$8:$AM$8)</f>
        <v>0</v>
      </c>
      <c r="E474" s="25">
        <f t="shared" si="33"/>
        <v>0</v>
      </c>
      <c r="F474" s="25"/>
      <c r="G474" s="25"/>
      <c r="H474" s="25"/>
      <c r="I474" s="25"/>
      <c r="J474" s="15">
        <f>SUMPRODUCT(Business_Portfolio!$V474:$AM474,Business_Portfolio!$V$8:$AM$8)</f>
        <v>0</v>
      </c>
      <c r="K474" s="25">
        <f t="shared" si="34"/>
        <v>0</v>
      </c>
      <c r="L474" s="25"/>
      <c r="M474" s="25"/>
      <c r="N474" s="25"/>
      <c r="O474" s="25"/>
      <c r="P474" s="15">
        <f>SUMPRODUCT(Business_Portfolio!$D474:$U474,Business_Portfolio!$D$8:$U$8)</f>
        <v>0</v>
      </c>
      <c r="Q474" s="25">
        <f t="shared" si="35"/>
        <v>0</v>
      </c>
      <c r="R474" s="25"/>
      <c r="S474" s="25"/>
      <c r="T474" s="25"/>
      <c r="U474" s="25"/>
    </row>
    <row r="475" spans="1:21" x14ac:dyDescent="0.25">
      <c r="A475" s="155">
        <f t="shared" si="36"/>
        <v>38</v>
      </c>
      <c r="C475" s="79">
        <v>37.166666666666629</v>
      </c>
      <c r="D475" s="15">
        <f>SUMPRODUCT(Business_Portfolio!D475:AM475,Business_Portfolio!$D$8:$AM$8)</f>
        <v>0</v>
      </c>
      <c r="E475" s="25">
        <f t="shared" si="33"/>
        <v>0</v>
      </c>
      <c r="F475" s="25"/>
      <c r="G475" s="25"/>
      <c r="H475" s="25"/>
      <c r="I475" s="25"/>
      <c r="J475" s="15">
        <f>SUMPRODUCT(Business_Portfolio!$V475:$AM475,Business_Portfolio!$V$8:$AM$8)</f>
        <v>0</v>
      </c>
      <c r="K475" s="25">
        <f t="shared" si="34"/>
        <v>0</v>
      </c>
      <c r="L475" s="25"/>
      <c r="M475" s="25"/>
      <c r="N475" s="25"/>
      <c r="O475" s="25"/>
      <c r="P475" s="15">
        <f>SUMPRODUCT(Business_Portfolio!$D475:$U475,Business_Portfolio!$D$8:$U$8)</f>
        <v>0</v>
      </c>
      <c r="Q475" s="25">
        <f t="shared" si="35"/>
        <v>0</v>
      </c>
      <c r="R475" s="25"/>
      <c r="S475" s="25"/>
      <c r="T475" s="25"/>
      <c r="U475" s="25"/>
    </row>
    <row r="476" spans="1:21" x14ac:dyDescent="0.25">
      <c r="A476" s="155">
        <f t="shared" si="36"/>
        <v>38</v>
      </c>
      <c r="C476" s="79">
        <v>37.249999999999964</v>
      </c>
      <c r="D476" s="15">
        <f>SUMPRODUCT(Business_Portfolio!D476:AM476,Business_Portfolio!$D$8:$AM$8)</f>
        <v>0</v>
      </c>
      <c r="E476" s="25">
        <f t="shared" si="33"/>
        <v>0</v>
      </c>
      <c r="F476" s="25"/>
      <c r="G476" s="25"/>
      <c r="H476" s="25"/>
      <c r="I476" s="25"/>
      <c r="J476" s="15">
        <f>SUMPRODUCT(Business_Portfolio!$V476:$AM476,Business_Portfolio!$V$8:$AM$8)</f>
        <v>0</v>
      </c>
      <c r="K476" s="25">
        <f t="shared" si="34"/>
        <v>0</v>
      </c>
      <c r="L476" s="25"/>
      <c r="M476" s="25"/>
      <c r="N476" s="25"/>
      <c r="O476" s="25"/>
      <c r="P476" s="15">
        <f>SUMPRODUCT(Business_Portfolio!$D476:$U476,Business_Portfolio!$D$8:$U$8)</f>
        <v>0</v>
      </c>
      <c r="Q476" s="25">
        <f t="shared" si="35"/>
        <v>0</v>
      </c>
      <c r="R476" s="25"/>
      <c r="S476" s="25"/>
      <c r="T476" s="25"/>
      <c r="U476" s="25"/>
    </row>
    <row r="477" spans="1:21" x14ac:dyDescent="0.25">
      <c r="A477" s="155">
        <f t="shared" si="36"/>
        <v>38</v>
      </c>
      <c r="C477" s="79">
        <v>37.3333333333333</v>
      </c>
      <c r="D477" s="15">
        <f>SUMPRODUCT(Business_Portfolio!D477:AM477,Business_Portfolio!$D$8:$AM$8)</f>
        <v>0</v>
      </c>
      <c r="E477" s="25">
        <f t="shared" si="33"/>
        <v>0</v>
      </c>
      <c r="F477" s="25"/>
      <c r="G477" s="25"/>
      <c r="H477" s="25"/>
      <c r="I477" s="25"/>
      <c r="J477" s="15">
        <f>SUMPRODUCT(Business_Portfolio!$V477:$AM477,Business_Portfolio!$V$8:$AM$8)</f>
        <v>0</v>
      </c>
      <c r="K477" s="25">
        <f t="shared" si="34"/>
        <v>0</v>
      </c>
      <c r="L477" s="25"/>
      <c r="M477" s="25"/>
      <c r="N477" s="25"/>
      <c r="O477" s="25"/>
      <c r="P477" s="15">
        <f>SUMPRODUCT(Business_Portfolio!$D477:$U477,Business_Portfolio!$D$8:$U$8)</f>
        <v>0</v>
      </c>
      <c r="Q477" s="25">
        <f t="shared" si="35"/>
        <v>0</v>
      </c>
      <c r="R477" s="25"/>
      <c r="S477" s="25"/>
      <c r="T477" s="25"/>
      <c r="U477" s="25"/>
    </row>
    <row r="478" spans="1:21" x14ac:dyDescent="0.25">
      <c r="A478" s="155">
        <f t="shared" si="36"/>
        <v>38</v>
      </c>
      <c r="C478" s="79">
        <v>37.416666666666636</v>
      </c>
      <c r="D478" s="15">
        <f>SUMPRODUCT(Business_Portfolio!D478:AM478,Business_Portfolio!$D$8:$AM$8)</f>
        <v>0</v>
      </c>
      <c r="E478" s="25">
        <f t="shared" ref="E478:E541" si="37">D478/D$10</f>
        <v>0</v>
      </c>
      <c r="F478" s="25"/>
      <c r="G478" s="25"/>
      <c r="H478" s="25"/>
      <c r="I478" s="25"/>
      <c r="J478" s="15">
        <f>SUMPRODUCT(Business_Portfolio!$V478:$AM478,Business_Portfolio!$V$8:$AM$8)</f>
        <v>0</v>
      </c>
      <c r="K478" s="25">
        <f t="shared" ref="K478:K541" si="38">J478/J$10</f>
        <v>0</v>
      </c>
      <c r="L478" s="25"/>
      <c r="M478" s="25"/>
      <c r="N478" s="25"/>
      <c r="O478" s="25"/>
      <c r="P478" s="15">
        <f>SUMPRODUCT(Business_Portfolio!$D478:$U478,Business_Portfolio!$D$8:$U$8)</f>
        <v>0</v>
      </c>
      <c r="Q478" s="25">
        <f t="shared" ref="Q478:Q541" si="39">P478/P$10</f>
        <v>0</v>
      </c>
      <c r="R478" s="25"/>
      <c r="S478" s="25"/>
      <c r="T478" s="25"/>
      <c r="U478" s="25"/>
    </row>
    <row r="479" spans="1:21" x14ac:dyDescent="0.25">
      <c r="A479" s="155">
        <f t="shared" ref="A479:A542" si="40">ROUNDUP(C479-0.0001,0)</f>
        <v>38</v>
      </c>
      <c r="C479" s="79">
        <v>37.499999999999972</v>
      </c>
      <c r="D479" s="15">
        <f>SUMPRODUCT(Business_Portfolio!D479:AM479,Business_Portfolio!$D$8:$AM$8)</f>
        <v>0</v>
      </c>
      <c r="E479" s="25">
        <f t="shared" si="37"/>
        <v>0</v>
      </c>
      <c r="F479" s="25"/>
      <c r="G479" s="25"/>
      <c r="H479" s="25"/>
      <c r="I479" s="25"/>
      <c r="J479" s="15">
        <f>SUMPRODUCT(Business_Portfolio!$V479:$AM479,Business_Portfolio!$V$8:$AM$8)</f>
        <v>0</v>
      </c>
      <c r="K479" s="25">
        <f t="shared" si="38"/>
        <v>0</v>
      </c>
      <c r="L479" s="25"/>
      <c r="M479" s="25"/>
      <c r="N479" s="25"/>
      <c r="O479" s="25"/>
      <c r="P479" s="15">
        <f>SUMPRODUCT(Business_Portfolio!$D479:$U479,Business_Portfolio!$D$8:$U$8)</f>
        <v>0</v>
      </c>
      <c r="Q479" s="25">
        <f t="shared" si="39"/>
        <v>0</v>
      </c>
      <c r="R479" s="25"/>
      <c r="S479" s="25"/>
      <c r="T479" s="25"/>
      <c r="U479" s="25"/>
    </row>
    <row r="480" spans="1:21" x14ac:dyDescent="0.25">
      <c r="A480" s="155">
        <f t="shared" si="40"/>
        <v>38</v>
      </c>
      <c r="C480" s="79">
        <v>37.583333333333307</v>
      </c>
      <c r="D480" s="15">
        <f>SUMPRODUCT(Business_Portfolio!D480:AM480,Business_Portfolio!$D$8:$AM$8)</f>
        <v>0</v>
      </c>
      <c r="E480" s="25">
        <f t="shared" si="37"/>
        <v>0</v>
      </c>
      <c r="F480" s="25"/>
      <c r="G480" s="25"/>
      <c r="H480" s="25"/>
      <c r="I480" s="25"/>
      <c r="J480" s="15">
        <f>SUMPRODUCT(Business_Portfolio!$V480:$AM480,Business_Portfolio!$V$8:$AM$8)</f>
        <v>0</v>
      </c>
      <c r="K480" s="25">
        <f t="shared" si="38"/>
        <v>0</v>
      </c>
      <c r="L480" s="25"/>
      <c r="M480" s="25"/>
      <c r="N480" s="25"/>
      <c r="O480" s="25"/>
      <c r="P480" s="15">
        <f>SUMPRODUCT(Business_Portfolio!$D480:$U480,Business_Portfolio!$D$8:$U$8)</f>
        <v>0</v>
      </c>
      <c r="Q480" s="25">
        <f t="shared" si="39"/>
        <v>0</v>
      </c>
      <c r="R480" s="25"/>
      <c r="S480" s="25"/>
      <c r="T480" s="25"/>
      <c r="U480" s="25"/>
    </row>
    <row r="481" spans="1:21" x14ac:dyDescent="0.25">
      <c r="A481" s="155">
        <f t="shared" si="40"/>
        <v>38</v>
      </c>
      <c r="C481" s="79">
        <v>37.666666666666643</v>
      </c>
      <c r="D481" s="15">
        <f>SUMPRODUCT(Business_Portfolio!D481:AM481,Business_Portfolio!$D$8:$AM$8)</f>
        <v>0</v>
      </c>
      <c r="E481" s="25">
        <f t="shared" si="37"/>
        <v>0</v>
      </c>
      <c r="F481" s="25"/>
      <c r="G481" s="25"/>
      <c r="H481" s="25"/>
      <c r="I481" s="25"/>
      <c r="J481" s="15">
        <f>SUMPRODUCT(Business_Portfolio!$V481:$AM481,Business_Portfolio!$V$8:$AM$8)</f>
        <v>0</v>
      </c>
      <c r="K481" s="25">
        <f t="shared" si="38"/>
        <v>0</v>
      </c>
      <c r="L481" s="25"/>
      <c r="M481" s="25"/>
      <c r="N481" s="25"/>
      <c r="O481" s="25"/>
      <c r="P481" s="15">
        <f>SUMPRODUCT(Business_Portfolio!$D481:$U481,Business_Portfolio!$D$8:$U$8)</f>
        <v>0</v>
      </c>
      <c r="Q481" s="25">
        <f t="shared" si="39"/>
        <v>0</v>
      </c>
      <c r="R481" s="25"/>
      <c r="S481" s="25"/>
      <c r="T481" s="25"/>
      <c r="U481" s="25"/>
    </row>
    <row r="482" spans="1:21" x14ac:dyDescent="0.25">
      <c r="A482" s="155">
        <f t="shared" si="40"/>
        <v>38</v>
      </c>
      <c r="C482" s="79">
        <v>37.749999999999979</v>
      </c>
      <c r="D482" s="15">
        <f>SUMPRODUCT(Business_Portfolio!D482:AM482,Business_Portfolio!$D$8:$AM$8)</f>
        <v>0</v>
      </c>
      <c r="E482" s="25">
        <f t="shared" si="37"/>
        <v>0</v>
      </c>
      <c r="F482" s="25"/>
      <c r="G482" s="25"/>
      <c r="H482" s="25"/>
      <c r="I482" s="25"/>
      <c r="J482" s="15">
        <f>SUMPRODUCT(Business_Portfolio!$V482:$AM482,Business_Portfolio!$V$8:$AM$8)</f>
        <v>0</v>
      </c>
      <c r="K482" s="25">
        <f t="shared" si="38"/>
        <v>0</v>
      </c>
      <c r="L482" s="25"/>
      <c r="M482" s="25"/>
      <c r="N482" s="25"/>
      <c r="O482" s="25"/>
      <c r="P482" s="15">
        <f>SUMPRODUCT(Business_Portfolio!$D482:$U482,Business_Portfolio!$D$8:$U$8)</f>
        <v>0</v>
      </c>
      <c r="Q482" s="25">
        <f t="shared" si="39"/>
        <v>0</v>
      </c>
      <c r="R482" s="25"/>
      <c r="S482" s="25"/>
      <c r="T482" s="25"/>
      <c r="U482" s="25"/>
    </row>
    <row r="483" spans="1:21" x14ac:dyDescent="0.25">
      <c r="A483" s="155">
        <f t="shared" si="40"/>
        <v>38</v>
      </c>
      <c r="C483" s="79">
        <v>37.833333333333314</v>
      </c>
      <c r="D483" s="15">
        <f>SUMPRODUCT(Business_Portfolio!D483:AM483,Business_Portfolio!$D$8:$AM$8)</f>
        <v>0</v>
      </c>
      <c r="E483" s="25">
        <f t="shared" si="37"/>
        <v>0</v>
      </c>
      <c r="F483" s="25"/>
      <c r="G483" s="25"/>
      <c r="H483" s="25"/>
      <c r="I483" s="25"/>
      <c r="J483" s="15">
        <f>SUMPRODUCT(Business_Portfolio!$V483:$AM483,Business_Portfolio!$V$8:$AM$8)</f>
        <v>0</v>
      </c>
      <c r="K483" s="25">
        <f t="shared" si="38"/>
        <v>0</v>
      </c>
      <c r="L483" s="25"/>
      <c r="M483" s="25"/>
      <c r="N483" s="25"/>
      <c r="O483" s="25"/>
      <c r="P483" s="15">
        <f>SUMPRODUCT(Business_Portfolio!$D483:$U483,Business_Portfolio!$D$8:$U$8)</f>
        <v>0</v>
      </c>
      <c r="Q483" s="25">
        <f t="shared" si="39"/>
        <v>0</v>
      </c>
      <c r="R483" s="25"/>
      <c r="S483" s="25"/>
      <c r="T483" s="25"/>
      <c r="U483" s="25"/>
    </row>
    <row r="484" spans="1:21" x14ac:dyDescent="0.25">
      <c r="A484" s="155">
        <f t="shared" si="40"/>
        <v>38</v>
      </c>
      <c r="C484" s="79">
        <v>37.91666666666665</v>
      </c>
      <c r="D484" s="15">
        <f>SUMPRODUCT(Business_Portfolio!D484:AM484,Business_Portfolio!$D$8:$AM$8)</f>
        <v>0</v>
      </c>
      <c r="E484" s="25">
        <f t="shared" si="37"/>
        <v>0</v>
      </c>
      <c r="F484" s="25"/>
      <c r="G484" s="25"/>
      <c r="H484" s="25"/>
      <c r="I484" s="25"/>
      <c r="J484" s="15">
        <f>SUMPRODUCT(Business_Portfolio!$V484:$AM484,Business_Portfolio!$V$8:$AM$8)</f>
        <v>0</v>
      </c>
      <c r="K484" s="25">
        <f t="shared" si="38"/>
        <v>0</v>
      </c>
      <c r="L484" s="25"/>
      <c r="M484" s="25"/>
      <c r="N484" s="25"/>
      <c r="O484" s="25"/>
      <c r="P484" s="15">
        <f>SUMPRODUCT(Business_Portfolio!$D484:$U484,Business_Portfolio!$D$8:$U$8)</f>
        <v>0</v>
      </c>
      <c r="Q484" s="25">
        <f t="shared" si="39"/>
        <v>0</v>
      </c>
      <c r="R484" s="25"/>
      <c r="S484" s="25"/>
      <c r="T484" s="25"/>
      <c r="U484" s="25"/>
    </row>
    <row r="485" spans="1:21" x14ac:dyDescent="0.25">
      <c r="A485" s="155">
        <f t="shared" si="40"/>
        <v>38</v>
      </c>
      <c r="C485" s="79">
        <v>37.999999999999986</v>
      </c>
      <c r="D485" s="15">
        <f>SUMPRODUCT(Business_Portfolio!D485:AM485,Business_Portfolio!$D$8:$AM$8)</f>
        <v>0</v>
      </c>
      <c r="E485" s="25">
        <f t="shared" si="37"/>
        <v>0</v>
      </c>
      <c r="F485" s="25"/>
      <c r="G485" s="25"/>
      <c r="H485" s="25"/>
      <c r="I485" s="25"/>
      <c r="J485" s="15">
        <f>SUMPRODUCT(Business_Portfolio!$V485:$AM485,Business_Portfolio!$V$8:$AM$8)</f>
        <v>0</v>
      </c>
      <c r="K485" s="25">
        <f t="shared" si="38"/>
        <v>0</v>
      </c>
      <c r="L485" s="25"/>
      <c r="M485" s="25"/>
      <c r="N485" s="25"/>
      <c r="O485" s="25"/>
      <c r="P485" s="15">
        <f>SUMPRODUCT(Business_Portfolio!$D485:$U485,Business_Portfolio!$D$8:$U$8)</f>
        <v>0</v>
      </c>
      <c r="Q485" s="25">
        <f t="shared" si="39"/>
        <v>0</v>
      </c>
      <c r="R485" s="25"/>
      <c r="S485" s="25"/>
      <c r="T485" s="25"/>
      <c r="U485" s="25"/>
    </row>
    <row r="486" spans="1:21" x14ac:dyDescent="0.25">
      <c r="A486" s="155">
        <f t="shared" si="40"/>
        <v>39</v>
      </c>
      <c r="C486" s="79">
        <v>38.083333333333321</v>
      </c>
      <c r="D486" s="15">
        <f>SUMPRODUCT(Business_Portfolio!D486:AM486,Business_Portfolio!$D$8:$AM$8)</f>
        <v>0</v>
      </c>
      <c r="E486" s="25">
        <f t="shared" si="37"/>
        <v>0</v>
      </c>
      <c r="F486" s="25"/>
      <c r="G486" s="25"/>
      <c r="H486" s="25"/>
      <c r="I486" s="25"/>
      <c r="J486" s="15">
        <f>SUMPRODUCT(Business_Portfolio!$V486:$AM486,Business_Portfolio!$V$8:$AM$8)</f>
        <v>0</v>
      </c>
      <c r="K486" s="25">
        <f t="shared" si="38"/>
        <v>0</v>
      </c>
      <c r="L486" s="25"/>
      <c r="M486" s="25"/>
      <c r="N486" s="25"/>
      <c r="O486" s="25"/>
      <c r="P486" s="15">
        <f>SUMPRODUCT(Business_Portfolio!$D486:$U486,Business_Portfolio!$D$8:$U$8)</f>
        <v>0</v>
      </c>
      <c r="Q486" s="25">
        <f t="shared" si="39"/>
        <v>0</v>
      </c>
      <c r="R486" s="25"/>
      <c r="S486" s="25"/>
      <c r="T486" s="25"/>
      <c r="U486" s="25"/>
    </row>
    <row r="487" spans="1:21" x14ac:dyDescent="0.25">
      <c r="A487" s="155">
        <f t="shared" si="40"/>
        <v>39</v>
      </c>
      <c r="C487" s="79">
        <v>38.166666666666657</v>
      </c>
      <c r="D487" s="15">
        <f>SUMPRODUCT(Business_Portfolio!D487:AM487,Business_Portfolio!$D$8:$AM$8)</f>
        <v>0</v>
      </c>
      <c r="E487" s="25">
        <f t="shared" si="37"/>
        <v>0</v>
      </c>
      <c r="F487" s="25"/>
      <c r="G487" s="25"/>
      <c r="H487" s="25"/>
      <c r="I487" s="25"/>
      <c r="J487" s="15">
        <f>SUMPRODUCT(Business_Portfolio!$V487:$AM487,Business_Portfolio!$V$8:$AM$8)</f>
        <v>0</v>
      </c>
      <c r="K487" s="25">
        <f t="shared" si="38"/>
        <v>0</v>
      </c>
      <c r="L487" s="25"/>
      <c r="M487" s="25"/>
      <c r="N487" s="25"/>
      <c r="O487" s="25"/>
      <c r="P487" s="15">
        <f>SUMPRODUCT(Business_Portfolio!$D487:$U487,Business_Portfolio!$D$8:$U$8)</f>
        <v>0</v>
      </c>
      <c r="Q487" s="25">
        <f t="shared" si="39"/>
        <v>0</v>
      </c>
      <c r="R487" s="25"/>
      <c r="S487" s="25"/>
      <c r="T487" s="25"/>
      <c r="U487" s="25"/>
    </row>
    <row r="488" spans="1:21" x14ac:dyDescent="0.25">
      <c r="A488" s="155">
        <f t="shared" si="40"/>
        <v>39</v>
      </c>
      <c r="C488" s="79">
        <v>38.249999999999993</v>
      </c>
      <c r="D488" s="15">
        <f>SUMPRODUCT(Business_Portfolio!D488:AM488,Business_Portfolio!$D$8:$AM$8)</f>
        <v>0</v>
      </c>
      <c r="E488" s="25">
        <f t="shared" si="37"/>
        <v>0</v>
      </c>
      <c r="F488" s="25"/>
      <c r="G488" s="25"/>
      <c r="H488" s="25"/>
      <c r="I488" s="25"/>
      <c r="J488" s="15">
        <f>SUMPRODUCT(Business_Portfolio!$V488:$AM488,Business_Portfolio!$V$8:$AM$8)</f>
        <v>0</v>
      </c>
      <c r="K488" s="25">
        <f t="shared" si="38"/>
        <v>0</v>
      </c>
      <c r="L488" s="25"/>
      <c r="M488" s="25"/>
      <c r="N488" s="25"/>
      <c r="O488" s="25"/>
      <c r="P488" s="15">
        <f>SUMPRODUCT(Business_Portfolio!$D488:$U488,Business_Portfolio!$D$8:$U$8)</f>
        <v>0</v>
      </c>
      <c r="Q488" s="25">
        <f t="shared" si="39"/>
        <v>0</v>
      </c>
      <c r="R488" s="25"/>
      <c r="S488" s="25"/>
      <c r="T488" s="25"/>
      <c r="U488" s="25"/>
    </row>
    <row r="489" spans="1:21" x14ac:dyDescent="0.25">
      <c r="A489" s="155">
        <f t="shared" si="40"/>
        <v>39</v>
      </c>
      <c r="C489" s="79">
        <v>38.333333333333329</v>
      </c>
      <c r="D489" s="15">
        <f>SUMPRODUCT(Business_Portfolio!D489:AM489,Business_Portfolio!$D$8:$AM$8)</f>
        <v>0</v>
      </c>
      <c r="E489" s="25">
        <f t="shared" si="37"/>
        <v>0</v>
      </c>
      <c r="F489" s="25"/>
      <c r="G489" s="25"/>
      <c r="H489" s="25"/>
      <c r="I489" s="25"/>
      <c r="J489" s="15">
        <f>SUMPRODUCT(Business_Portfolio!$V489:$AM489,Business_Portfolio!$V$8:$AM$8)</f>
        <v>0</v>
      </c>
      <c r="K489" s="25">
        <f t="shared" si="38"/>
        <v>0</v>
      </c>
      <c r="L489" s="25"/>
      <c r="M489" s="25"/>
      <c r="N489" s="25"/>
      <c r="O489" s="25"/>
      <c r="P489" s="15">
        <f>SUMPRODUCT(Business_Portfolio!$D489:$U489,Business_Portfolio!$D$8:$U$8)</f>
        <v>0</v>
      </c>
      <c r="Q489" s="25">
        <f t="shared" si="39"/>
        <v>0</v>
      </c>
      <c r="R489" s="25"/>
      <c r="S489" s="25"/>
      <c r="T489" s="25"/>
      <c r="U489" s="25"/>
    </row>
    <row r="490" spans="1:21" x14ac:dyDescent="0.25">
      <c r="A490" s="155">
        <f t="shared" si="40"/>
        <v>39</v>
      </c>
      <c r="C490" s="79">
        <v>38.416666666666664</v>
      </c>
      <c r="D490" s="15">
        <f>SUMPRODUCT(Business_Portfolio!D490:AM490,Business_Portfolio!$D$8:$AM$8)</f>
        <v>0</v>
      </c>
      <c r="E490" s="25">
        <f t="shared" si="37"/>
        <v>0</v>
      </c>
      <c r="F490" s="25"/>
      <c r="G490" s="25"/>
      <c r="H490" s="25"/>
      <c r="I490" s="25"/>
      <c r="J490" s="15">
        <f>SUMPRODUCT(Business_Portfolio!$V490:$AM490,Business_Portfolio!$V$8:$AM$8)</f>
        <v>0</v>
      </c>
      <c r="K490" s="25">
        <f t="shared" si="38"/>
        <v>0</v>
      </c>
      <c r="L490" s="25"/>
      <c r="M490" s="25"/>
      <c r="N490" s="25"/>
      <c r="O490" s="25"/>
      <c r="P490" s="15">
        <f>SUMPRODUCT(Business_Portfolio!$D490:$U490,Business_Portfolio!$D$8:$U$8)</f>
        <v>0</v>
      </c>
      <c r="Q490" s="25">
        <f t="shared" si="39"/>
        <v>0</v>
      </c>
      <c r="R490" s="25"/>
      <c r="S490" s="25"/>
      <c r="T490" s="25"/>
      <c r="U490" s="25"/>
    </row>
    <row r="491" spans="1:21" x14ac:dyDescent="0.25">
      <c r="A491" s="155">
        <f t="shared" si="40"/>
        <v>39</v>
      </c>
      <c r="C491" s="79">
        <v>38.5</v>
      </c>
      <c r="D491" s="15">
        <f>SUMPRODUCT(Business_Portfolio!D491:AM491,Business_Portfolio!$D$8:$AM$8)</f>
        <v>0</v>
      </c>
      <c r="E491" s="25">
        <f t="shared" si="37"/>
        <v>0</v>
      </c>
      <c r="F491" s="25"/>
      <c r="G491" s="25"/>
      <c r="H491" s="25"/>
      <c r="I491" s="25"/>
      <c r="J491" s="15">
        <f>SUMPRODUCT(Business_Portfolio!$V491:$AM491,Business_Portfolio!$V$8:$AM$8)</f>
        <v>0</v>
      </c>
      <c r="K491" s="25">
        <f t="shared" si="38"/>
        <v>0</v>
      </c>
      <c r="L491" s="25"/>
      <c r="M491" s="25"/>
      <c r="N491" s="25"/>
      <c r="O491" s="25"/>
      <c r="P491" s="15">
        <f>SUMPRODUCT(Business_Portfolio!$D491:$U491,Business_Portfolio!$D$8:$U$8)</f>
        <v>0</v>
      </c>
      <c r="Q491" s="25">
        <f t="shared" si="39"/>
        <v>0</v>
      </c>
      <c r="R491" s="25"/>
      <c r="S491" s="25"/>
      <c r="T491" s="25"/>
      <c r="U491" s="25"/>
    </row>
    <row r="492" spans="1:21" x14ac:dyDescent="0.25">
      <c r="A492" s="155">
        <f t="shared" si="40"/>
        <v>39</v>
      </c>
      <c r="C492" s="79">
        <v>38.583333333333336</v>
      </c>
      <c r="D492" s="15">
        <f>SUMPRODUCT(Business_Portfolio!D492:AM492,Business_Portfolio!$D$8:$AM$8)</f>
        <v>0</v>
      </c>
      <c r="E492" s="25">
        <f t="shared" si="37"/>
        <v>0</v>
      </c>
      <c r="F492" s="25"/>
      <c r="G492" s="25"/>
      <c r="H492" s="25"/>
      <c r="I492" s="25"/>
      <c r="J492" s="15">
        <f>SUMPRODUCT(Business_Portfolio!$V492:$AM492,Business_Portfolio!$V$8:$AM$8)</f>
        <v>0</v>
      </c>
      <c r="K492" s="25">
        <f t="shared" si="38"/>
        <v>0</v>
      </c>
      <c r="L492" s="25"/>
      <c r="M492" s="25"/>
      <c r="N492" s="25"/>
      <c r="O492" s="25"/>
      <c r="P492" s="15">
        <f>SUMPRODUCT(Business_Portfolio!$D492:$U492,Business_Portfolio!$D$8:$U$8)</f>
        <v>0</v>
      </c>
      <c r="Q492" s="25">
        <f t="shared" si="39"/>
        <v>0</v>
      </c>
      <c r="R492" s="25"/>
      <c r="S492" s="25"/>
      <c r="T492" s="25"/>
      <c r="U492" s="25"/>
    </row>
    <row r="493" spans="1:21" x14ac:dyDescent="0.25">
      <c r="A493" s="155">
        <f t="shared" si="40"/>
        <v>39</v>
      </c>
      <c r="C493" s="79">
        <v>38.666666666666671</v>
      </c>
      <c r="D493" s="15">
        <f>SUMPRODUCT(Business_Portfolio!D493:AM493,Business_Portfolio!$D$8:$AM$8)</f>
        <v>0</v>
      </c>
      <c r="E493" s="25">
        <f t="shared" si="37"/>
        <v>0</v>
      </c>
      <c r="F493" s="25"/>
      <c r="G493" s="25"/>
      <c r="H493" s="25"/>
      <c r="I493" s="25"/>
      <c r="J493" s="15">
        <f>SUMPRODUCT(Business_Portfolio!$V493:$AM493,Business_Portfolio!$V$8:$AM$8)</f>
        <v>0</v>
      </c>
      <c r="K493" s="25">
        <f t="shared" si="38"/>
        <v>0</v>
      </c>
      <c r="L493" s="25"/>
      <c r="M493" s="25"/>
      <c r="N493" s="25"/>
      <c r="O493" s="25"/>
      <c r="P493" s="15">
        <f>SUMPRODUCT(Business_Portfolio!$D493:$U493,Business_Portfolio!$D$8:$U$8)</f>
        <v>0</v>
      </c>
      <c r="Q493" s="25">
        <f t="shared" si="39"/>
        <v>0</v>
      </c>
      <c r="R493" s="25"/>
      <c r="S493" s="25"/>
      <c r="T493" s="25"/>
      <c r="U493" s="25"/>
    </row>
    <row r="494" spans="1:21" x14ac:dyDescent="0.25">
      <c r="A494" s="155">
        <f t="shared" si="40"/>
        <v>39</v>
      </c>
      <c r="C494" s="79">
        <v>38.750000000000007</v>
      </c>
      <c r="D494" s="15">
        <f>SUMPRODUCT(Business_Portfolio!D494:AM494,Business_Portfolio!$D$8:$AM$8)</f>
        <v>0</v>
      </c>
      <c r="E494" s="25">
        <f t="shared" si="37"/>
        <v>0</v>
      </c>
      <c r="F494" s="25"/>
      <c r="G494" s="25"/>
      <c r="H494" s="25"/>
      <c r="I494" s="25"/>
      <c r="J494" s="15">
        <f>SUMPRODUCT(Business_Portfolio!$V494:$AM494,Business_Portfolio!$V$8:$AM$8)</f>
        <v>0</v>
      </c>
      <c r="K494" s="25">
        <f t="shared" si="38"/>
        <v>0</v>
      </c>
      <c r="L494" s="25"/>
      <c r="M494" s="25"/>
      <c r="N494" s="25"/>
      <c r="O494" s="25"/>
      <c r="P494" s="15">
        <f>SUMPRODUCT(Business_Portfolio!$D494:$U494,Business_Portfolio!$D$8:$U$8)</f>
        <v>0</v>
      </c>
      <c r="Q494" s="25">
        <f t="shared" si="39"/>
        <v>0</v>
      </c>
      <c r="R494" s="25"/>
      <c r="S494" s="25"/>
      <c r="T494" s="25"/>
      <c r="U494" s="25"/>
    </row>
    <row r="495" spans="1:21" x14ac:dyDescent="0.25">
      <c r="A495" s="155">
        <f t="shared" si="40"/>
        <v>39</v>
      </c>
      <c r="C495" s="79">
        <v>38.833333333333343</v>
      </c>
      <c r="D495" s="15">
        <f>SUMPRODUCT(Business_Portfolio!D495:AM495,Business_Portfolio!$D$8:$AM$8)</f>
        <v>0</v>
      </c>
      <c r="E495" s="25">
        <f t="shared" si="37"/>
        <v>0</v>
      </c>
      <c r="F495" s="25"/>
      <c r="G495" s="25"/>
      <c r="H495" s="25"/>
      <c r="I495" s="25"/>
      <c r="J495" s="15">
        <f>SUMPRODUCT(Business_Portfolio!$V495:$AM495,Business_Portfolio!$V$8:$AM$8)</f>
        <v>0</v>
      </c>
      <c r="K495" s="25">
        <f t="shared" si="38"/>
        <v>0</v>
      </c>
      <c r="L495" s="25"/>
      <c r="M495" s="25"/>
      <c r="N495" s="25"/>
      <c r="O495" s="25"/>
      <c r="P495" s="15">
        <f>SUMPRODUCT(Business_Portfolio!$D495:$U495,Business_Portfolio!$D$8:$U$8)</f>
        <v>0</v>
      </c>
      <c r="Q495" s="25">
        <f t="shared" si="39"/>
        <v>0</v>
      </c>
      <c r="R495" s="25"/>
      <c r="S495" s="25"/>
      <c r="T495" s="25"/>
      <c r="U495" s="25"/>
    </row>
    <row r="496" spans="1:21" x14ac:dyDescent="0.25">
      <c r="A496" s="155">
        <f t="shared" si="40"/>
        <v>39</v>
      </c>
      <c r="C496" s="79">
        <v>38.916666666666679</v>
      </c>
      <c r="D496" s="15">
        <f>SUMPRODUCT(Business_Portfolio!D496:AM496,Business_Portfolio!$D$8:$AM$8)</f>
        <v>0</v>
      </c>
      <c r="E496" s="25">
        <f t="shared" si="37"/>
        <v>0</v>
      </c>
      <c r="F496" s="25"/>
      <c r="G496" s="25"/>
      <c r="H496" s="25"/>
      <c r="I496" s="25"/>
      <c r="J496" s="15">
        <f>SUMPRODUCT(Business_Portfolio!$V496:$AM496,Business_Portfolio!$V$8:$AM$8)</f>
        <v>0</v>
      </c>
      <c r="K496" s="25">
        <f t="shared" si="38"/>
        <v>0</v>
      </c>
      <c r="L496" s="25"/>
      <c r="M496" s="25"/>
      <c r="N496" s="25"/>
      <c r="O496" s="25"/>
      <c r="P496" s="15">
        <f>SUMPRODUCT(Business_Portfolio!$D496:$U496,Business_Portfolio!$D$8:$U$8)</f>
        <v>0</v>
      </c>
      <c r="Q496" s="25">
        <f t="shared" si="39"/>
        <v>0</v>
      </c>
      <c r="R496" s="25"/>
      <c r="S496" s="25"/>
      <c r="T496" s="25"/>
      <c r="U496" s="25"/>
    </row>
    <row r="497" spans="1:21" x14ac:dyDescent="0.25">
      <c r="A497" s="155">
        <f t="shared" si="40"/>
        <v>39</v>
      </c>
      <c r="C497" s="79">
        <v>39.000000000000014</v>
      </c>
      <c r="D497" s="15">
        <f>SUMPRODUCT(Business_Portfolio!D497:AM497,Business_Portfolio!$D$8:$AM$8)</f>
        <v>0</v>
      </c>
      <c r="E497" s="25">
        <f t="shared" si="37"/>
        <v>0</v>
      </c>
      <c r="F497" s="25"/>
      <c r="G497" s="25"/>
      <c r="H497" s="25"/>
      <c r="I497" s="25"/>
      <c r="J497" s="15">
        <f>SUMPRODUCT(Business_Portfolio!$V497:$AM497,Business_Portfolio!$V$8:$AM$8)</f>
        <v>0</v>
      </c>
      <c r="K497" s="25">
        <f t="shared" si="38"/>
        <v>0</v>
      </c>
      <c r="L497" s="25"/>
      <c r="M497" s="25"/>
      <c r="N497" s="25"/>
      <c r="O497" s="25"/>
      <c r="P497" s="15">
        <f>SUMPRODUCT(Business_Portfolio!$D497:$U497,Business_Portfolio!$D$8:$U$8)</f>
        <v>0</v>
      </c>
      <c r="Q497" s="25">
        <f t="shared" si="39"/>
        <v>0</v>
      </c>
      <c r="R497" s="25"/>
      <c r="S497" s="25"/>
      <c r="T497" s="25"/>
      <c r="U497" s="25"/>
    </row>
    <row r="498" spans="1:21" x14ac:dyDescent="0.25">
      <c r="A498" s="155">
        <f t="shared" si="40"/>
        <v>40</v>
      </c>
      <c r="C498" s="79">
        <v>39.08333333333335</v>
      </c>
      <c r="D498" s="15">
        <f>SUMPRODUCT(Business_Portfolio!D498:AM498,Business_Portfolio!$D$8:$AM$8)</f>
        <v>0</v>
      </c>
      <c r="E498" s="25">
        <f t="shared" si="37"/>
        <v>0</v>
      </c>
      <c r="F498" s="25"/>
      <c r="G498" s="25"/>
      <c r="H498" s="25"/>
      <c r="I498" s="25"/>
      <c r="J498" s="15">
        <f>SUMPRODUCT(Business_Portfolio!$V498:$AM498,Business_Portfolio!$V$8:$AM$8)</f>
        <v>0</v>
      </c>
      <c r="K498" s="25">
        <f t="shared" si="38"/>
        <v>0</v>
      </c>
      <c r="L498" s="25"/>
      <c r="M498" s="25"/>
      <c r="N498" s="25"/>
      <c r="O498" s="25"/>
      <c r="P498" s="15">
        <f>SUMPRODUCT(Business_Portfolio!$D498:$U498,Business_Portfolio!$D$8:$U$8)</f>
        <v>0</v>
      </c>
      <c r="Q498" s="25">
        <f t="shared" si="39"/>
        <v>0</v>
      </c>
      <c r="R498" s="25"/>
      <c r="S498" s="25"/>
      <c r="T498" s="25"/>
      <c r="U498" s="25"/>
    </row>
    <row r="499" spans="1:21" x14ac:dyDescent="0.25">
      <c r="A499" s="155">
        <f t="shared" si="40"/>
        <v>40</v>
      </c>
      <c r="C499" s="79">
        <v>39.166666666666686</v>
      </c>
      <c r="D499" s="15">
        <f>SUMPRODUCT(Business_Portfolio!D499:AM499,Business_Portfolio!$D$8:$AM$8)</f>
        <v>0</v>
      </c>
      <c r="E499" s="25">
        <f t="shared" si="37"/>
        <v>0</v>
      </c>
      <c r="F499" s="25"/>
      <c r="G499" s="25"/>
      <c r="H499" s="25"/>
      <c r="I499" s="25"/>
      <c r="J499" s="15">
        <f>SUMPRODUCT(Business_Portfolio!$V499:$AM499,Business_Portfolio!$V$8:$AM$8)</f>
        <v>0</v>
      </c>
      <c r="K499" s="25">
        <f t="shared" si="38"/>
        <v>0</v>
      </c>
      <c r="L499" s="25"/>
      <c r="M499" s="25"/>
      <c r="N499" s="25"/>
      <c r="O499" s="25"/>
      <c r="P499" s="15">
        <f>SUMPRODUCT(Business_Portfolio!$D499:$U499,Business_Portfolio!$D$8:$U$8)</f>
        <v>0</v>
      </c>
      <c r="Q499" s="25">
        <f t="shared" si="39"/>
        <v>0</v>
      </c>
      <c r="R499" s="25"/>
      <c r="S499" s="25"/>
      <c r="T499" s="25"/>
      <c r="U499" s="25"/>
    </row>
    <row r="500" spans="1:21" x14ac:dyDescent="0.25">
      <c r="A500" s="155">
        <f t="shared" si="40"/>
        <v>40</v>
      </c>
      <c r="C500" s="79">
        <v>39.250000000000021</v>
      </c>
      <c r="D500" s="15">
        <f>SUMPRODUCT(Business_Portfolio!D500:AM500,Business_Portfolio!$D$8:$AM$8)</f>
        <v>0</v>
      </c>
      <c r="E500" s="25">
        <f t="shared" si="37"/>
        <v>0</v>
      </c>
      <c r="F500" s="25"/>
      <c r="G500" s="25"/>
      <c r="H500" s="25"/>
      <c r="I500" s="25"/>
      <c r="J500" s="15">
        <f>SUMPRODUCT(Business_Portfolio!$V500:$AM500,Business_Portfolio!$V$8:$AM$8)</f>
        <v>0</v>
      </c>
      <c r="K500" s="25">
        <f t="shared" si="38"/>
        <v>0</v>
      </c>
      <c r="L500" s="25"/>
      <c r="M500" s="25"/>
      <c r="N500" s="25"/>
      <c r="O500" s="25"/>
      <c r="P500" s="15">
        <f>SUMPRODUCT(Business_Portfolio!$D500:$U500,Business_Portfolio!$D$8:$U$8)</f>
        <v>0</v>
      </c>
      <c r="Q500" s="25">
        <f t="shared" si="39"/>
        <v>0</v>
      </c>
      <c r="R500" s="25"/>
      <c r="S500" s="25"/>
      <c r="T500" s="25"/>
      <c r="U500" s="25"/>
    </row>
    <row r="501" spans="1:21" x14ac:dyDescent="0.25">
      <c r="A501" s="155">
        <f t="shared" si="40"/>
        <v>40</v>
      </c>
      <c r="C501" s="79">
        <v>39.333333333333357</v>
      </c>
      <c r="D501" s="15">
        <f>SUMPRODUCT(Business_Portfolio!D501:AM501,Business_Portfolio!$D$8:$AM$8)</f>
        <v>0</v>
      </c>
      <c r="E501" s="25">
        <f t="shared" si="37"/>
        <v>0</v>
      </c>
      <c r="F501" s="25"/>
      <c r="G501" s="25"/>
      <c r="H501" s="25"/>
      <c r="I501" s="25"/>
      <c r="J501" s="15">
        <f>SUMPRODUCT(Business_Portfolio!$V501:$AM501,Business_Portfolio!$V$8:$AM$8)</f>
        <v>0</v>
      </c>
      <c r="K501" s="25">
        <f t="shared" si="38"/>
        <v>0</v>
      </c>
      <c r="L501" s="25"/>
      <c r="M501" s="25"/>
      <c r="N501" s="25"/>
      <c r="O501" s="25"/>
      <c r="P501" s="15">
        <f>SUMPRODUCT(Business_Portfolio!$D501:$U501,Business_Portfolio!$D$8:$U$8)</f>
        <v>0</v>
      </c>
      <c r="Q501" s="25">
        <f t="shared" si="39"/>
        <v>0</v>
      </c>
      <c r="R501" s="25"/>
      <c r="S501" s="25"/>
      <c r="T501" s="25"/>
      <c r="U501" s="25"/>
    </row>
    <row r="502" spans="1:21" x14ac:dyDescent="0.25">
      <c r="A502" s="155">
        <f t="shared" si="40"/>
        <v>40</v>
      </c>
      <c r="C502" s="79">
        <v>39.416666666666693</v>
      </c>
      <c r="D502" s="15">
        <f>SUMPRODUCT(Business_Portfolio!D502:AM502,Business_Portfolio!$D$8:$AM$8)</f>
        <v>0</v>
      </c>
      <c r="E502" s="25">
        <f t="shared" si="37"/>
        <v>0</v>
      </c>
      <c r="F502" s="25"/>
      <c r="G502" s="25"/>
      <c r="H502" s="25"/>
      <c r="I502" s="25"/>
      <c r="J502" s="15">
        <f>SUMPRODUCT(Business_Portfolio!$V502:$AM502,Business_Portfolio!$V$8:$AM$8)</f>
        <v>0</v>
      </c>
      <c r="K502" s="25">
        <f t="shared" si="38"/>
        <v>0</v>
      </c>
      <c r="L502" s="25"/>
      <c r="M502" s="25"/>
      <c r="N502" s="25"/>
      <c r="O502" s="25"/>
      <c r="P502" s="15">
        <f>SUMPRODUCT(Business_Portfolio!$D502:$U502,Business_Portfolio!$D$8:$U$8)</f>
        <v>0</v>
      </c>
      <c r="Q502" s="25">
        <f t="shared" si="39"/>
        <v>0</v>
      </c>
      <c r="R502" s="25"/>
      <c r="S502" s="25"/>
      <c r="T502" s="25"/>
      <c r="U502" s="25"/>
    </row>
    <row r="503" spans="1:21" x14ac:dyDescent="0.25">
      <c r="A503" s="155">
        <f t="shared" si="40"/>
        <v>40</v>
      </c>
      <c r="C503" s="79">
        <v>39.500000000000028</v>
      </c>
      <c r="D503" s="15">
        <f>SUMPRODUCT(Business_Portfolio!D503:AM503,Business_Portfolio!$D$8:$AM$8)</f>
        <v>0</v>
      </c>
      <c r="E503" s="25">
        <f t="shared" si="37"/>
        <v>0</v>
      </c>
      <c r="F503" s="25"/>
      <c r="G503" s="25"/>
      <c r="H503" s="25"/>
      <c r="I503" s="25"/>
      <c r="J503" s="15">
        <f>SUMPRODUCT(Business_Portfolio!$V503:$AM503,Business_Portfolio!$V$8:$AM$8)</f>
        <v>0</v>
      </c>
      <c r="K503" s="25">
        <f t="shared" si="38"/>
        <v>0</v>
      </c>
      <c r="L503" s="25"/>
      <c r="M503" s="25"/>
      <c r="N503" s="25"/>
      <c r="O503" s="25"/>
      <c r="P503" s="15">
        <f>SUMPRODUCT(Business_Portfolio!$D503:$U503,Business_Portfolio!$D$8:$U$8)</f>
        <v>0</v>
      </c>
      <c r="Q503" s="25">
        <f t="shared" si="39"/>
        <v>0</v>
      </c>
      <c r="R503" s="25"/>
      <c r="S503" s="25"/>
      <c r="T503" s="25"/>
      <c r="U503" s="25"/>
    </row>
    <row r="504" spans="1:21" x14ac:dyDescent="0.25">
      <c r="A504" s="155">
        <f t="shared" si="40"/>
        <v>40</v>
      </c>
      <c r="C504" s="79">
        <v>39.583333333333364</v>
      </c>
      <c r="D504" s="15">
        <f>SUMPRODUCT(Business_Portfolio!D504:AM504,Business_Portfolio!$D$8:$AM$8)</f>
        <v>0</v>
      </c>
      <c r="E504" s="25">
        <f t="shared" si="37"/>
        <v>0</v>
      </c>
      <c r="F504" s="25"/>
      <c r="G504" s="25"/>
      <c r="H504" s="25"/>
      <c r="I504" s="25"/>
      <c r="J504" s="15">
        <f>SUMPRODUCT(Business_Portfolio!$V504:$AM504,Business_Portfolio!$V$8:$AM$8)</f>
        <v>0</v>
      </c>
      <c r="K504" s="25">
        <f t="shared" si="38"/>
        <v>0</v>
      </c>
      <c r="L504" s="25"/>
      <c r="M504" s="25"/>
      <c r="N504" s="25"/>
      <c r="O504" s="25"/>
      <c r="P504" s="15">
        <f>SUMPRODUCT(Business_Portfolio!$D504:$U504,Business_Portfolio!$D$8:$U$8)</f>
        <v>0</v>
      </c>
      <c r="Q504" s="25">
        <f t="shared" si="39"/>
        <v>0</v>
      </c>
      <c r="R504" s="25"/>
      <c r="S504" s="25"/>
      <c r="T504" s="25"/>
      <c r="U504" s="25"/>
    </row>
    <row r="505" spans="1:21" x14ac:dyDescent="0.25">
      <c r="A505" s="155">
        <f t="shared" si="40"/>
        <v>40</v>
      </c>
      <c r="C505" s="79">
        <v>39.6666666666667</v>
      </c>
      <c r="D505" s="15">
        <f>SUMPRODUCT(Business_Portfolio!D505:AM505,Business_Portfolio!$D$8:$AM$8)</f>
        <v>0</v>
      </c>
      <c r="E505" s="25">
        <f t="shared" si="37"/>
        <v>0</v>
      </c>
      <c r="F505" s="25"/>
      <c r="G505" s="25"/>
      <c r="H505" s="25"/>
      <c r="I505" s="25"/>
      <c r="J505" s="15">
        <f>SUMPRODUCT(Business_Portfolio!$V505:$AM505,Business_Portfolio!$V$8:$AM$8)</f>
        <v>0</v>
      </c>
      <c r="K505" s="25">
        <f t="shared" si="38"/>
        <v>0</v>
      </c>
      <c r="L505" s="25"/>
      <c r="M505" s="25"/>
      <c r="N505" s="25"/>
      <c r="O505" s="25"/>
      <c r="P505" s="15">
        <f>SUMPRODUCT(Business_Portfolio!$D505:$U505,Business_Portfolio!$D$8:$U$8)</f>
        <v>0</v>
      </c>
      <c r="Q505" s="25">
        <f t="shared" si="39"/>
        <v>0</v>
      </c>
      <c r="R505" s="25"/>
      <c r="S505" s="25"/>
      <c r="T505" s="25"/>
      <c r="U505" s="25"/>
    </row>
    <row r="506" spans="1:21" x14ac:dyDescent="0.25">
      <c r="A506" s="155">
        <f t="shared" si="40"/>
        <v>40</v>
      </c>
      <c r="C506" s="79">
        <v>39.750000000000036</v>
      </c>
      <c r="D506" s="15">
        <f>SUMPRODUCT(Business_Portfolio!D506:AM506,Business_Portfolio!$D$8:$AM$8)</f>
        <v>0</v>
      </c>
      <c r="E506" s="25">
        <f t="shared" si="37"/>
        <v>0</v>
      </c>
      <c r="F506" s="25"/>
      <c r="G506" s="25"/>
      <c r="H506" s="25"/>
      <c r="I506" s="25"/>
      <c r="J506" s="15">
        <f>SUMPRODUCT(Business_Portfolio!$V506:$AM506,Business_Portfolio!$V$8:$AM$8)</f>
        <v>0</v>
      </c>
      <c r="K506" s="25">
        <f t="shared" si="38"/>
        <v>0</v>
      </c>
      <c r="L506" s="25"/>
      <c r="M506" s="25"/>
      <c r="N506" s="25"/>
      <c r="O506" s="25"/>
      <c r="P506" s="15">
        <f>SUMPRODUCT(Business_Portfolio!$D506:$U506,Business_Portfolio!$D$8:$U$8)</f>
        <v>0</v>
      </c>
      <c r="Q506" s="25">
        <f t="shared" si="39"/>
        <v>0</v>
      </c>
      <c r="R506" s="25"/>
      <c r="S506" s="25"/>
      <c r="T506" s="25"/>
      <c r="U506" s="25"/>
    </row>
    <row r="507" spans="1:21" x14ac:dyDescent="0.25">
      <c r="A507" s="155">
        <f t="shared" si="40"/>
        <v>40</v>
      </c>
      <c r="C507" s="79">
        <v>39.833333333333371</v>
      </c>
      <c r="D507" s="15">
        <f>SUMPRODUCT(Business_Portfolio!D507:AM507,Business_Portfolio!$D$8:$AM$8)</f>
        <v>0</v>
      </c>
      <c r="E507" s="25">
        <f t="shared" si="37"/>
        <v>0</v>
      </c>
      <c r="F507" s="25"/>
      <c r="G507" s="25"/>
      <c r="H507" s="25"/>
      <c r="I507" s="25"/>
      <c r="J507" s="15">
        <f>SUMPRODUCT(Business_Portfolio!$V507:$AM507,Business_Portfolio!$V$8:$AM$8)</f>
        <v>0</v>
      </c>
      <c r="K507" s="25">
        <f t="shared" si="38"/>
        <v>0</v>
      </c>
      <c r="L507" s="25"/>
      <c r="M507" s="25"/>
      <c r="N507" s="25"/>
      <c r="O507" s="25"/>
      <c r="P507" s="15">
        <f>SUMPRODUCT(Business_Portfolio!$D507:$U507,Business_Portfolio!$D$8:$U$8)</f>
        <v>0</v>
      </c>
      <c r="Q507" s="25">
        <f t="shared" si="39"/>
        <v>0</v>
      </c>
      <c r="R507" s="25"/>
      <c r="S507" s="25"/>
      <c r="T507" s="25"/>
      <c r="U507" s="25"/>
    </row>
    <row r="508" spans="1:21" x14ac:dyDescent="0.25">
      <c r="A508" s="155">
        <f t="shared" si="40"/>
        <v>40</v>
      </c>
      <c r="C508" s="79">
        <v>39.916666666666707</v>
      </c>
      <c r="D508" s="15">
        <f>SUMPRODUCT(Business_Portfolio!D508:AM508,Business_Portfolio!$D$8:$AM$8)</f>
        <v>0</v>
      </c>
      <c r="E508" s="25">
        <f t="shared" si="37"/>
        <v>0</v>
      </c>
      <c r="F508" s="25"/>
      <c r="G508" s="25"/>
      <c r="H508" s="25"/>
      <c r="I508" s="25"/>
      <c r="J508" s="15">
        <f>SUMPRODUCT(Business_Portfolio!$V508:$AM508,Business_Portfolio!$V$8:$AM$8)</f>
        <v>0</v>
      </c>
      <c r="K508" s="25">
        <f t="shared" si="38"/>
        <v>0</v>
      </c>
      <c r="L508" s="25"/>
      <c r="M508" s="25"/>
      <c r="N508" s="25"/>
      <c r="O508" s="25"/>
      <c r="P508" s="15">
        <f>SUMPRODUCT(Business_Portfolio!$D508:$U508,Business_Portfolio!$D$8:$U$8)</f>
        <v>0</v>
      </c>
      <c r="Q508" s="25">
        <f t="shared" si="39"/>
        <v>0</v>
      </c>
      <c r="R508" s="25"/>
      <c r="S508" s="25"/>
      <c r="T508" s="25"/>
      <c r="U508" s="25"/>
    </row>
    <row r="509" spans="1:21" x14ac:dyDescent="0.25">
      <c r="A509" s="155">
        <f t="shared" si="40"/>
        <v>40</v>
      </c>
      <c r="C509" s="79">
        <v>40.000000000000043</v>
      </c>
      <c r="D509" s="15">
        <f>SUMPRODUCT(Business_Portfolio!D509:AM509,Business_Portfolio!$D$8:$AM$8)</f>
        <v>0</v>
      </c>
      <c r="E509" s="25">
        <f t="shared" si="37"/>
        <v>0</v>
      </c>
      <c r="F509" s="25"/>
      <c r="G509" s="25"/>
      <c r="H509" s="25"/>
      <c r="I509" s="25"/>
      <c r="J509" s="15">
        <f>SUMPRODUCT(Business_Portfolio!$V509:$AM509,Business_Portfolio!$V$8:$AM$8)</f>
        <v>0</v>
      </c>
      <c r="K509" s="25">
        <f t="shared" si="38"/>
        <v>0</v>
      </c>
      <c r="L509" s="25"/>
      <c r="M509" s="25"/>
      <c r="N509" s="25"/>
      <c r="O509" s="25"/>
      <c r="P509" s="15">
        <f>SUMPRODUCT(Business_Portfolio!$D509:$U509,Business_Portfolio!$D$8:$U$8)</f>
        <v>0</v>
      </c>
      <c r="Q509" s="25">
        <f t="shared" si="39"/>
        <v>0</v>
      </c>
      <c r="R509" s="25"/>
      <c r="S509" s="25"/>
      <c r="T509" s="25"/>
      <c r="U509" s="25"/>
    </row>
    <row r="510" spans="1:21" x14ac:dyDescent="0.25">
      <c r="A510" s="155">
        <f t="shared" si="40"/>
        <v>41</v>
      </c>
      <c r="C510" s="79">
        <v>40.083333333333378</v>
      </c>
      <c r="D510" s="15">
        <f>SUMPRODUCT(Business_Portfolio!D510:AM510,Business_Portfolio!$D$8:$AM$8)</f>
        <v>0</v>
      </c>
      <c r="E510" s="25">
        <f t="shared" si="37"/>
        <v>0</v>
      </c>
      <c r="F510" s="25"/>
      <c r="G510" s="25"/>
      <c r="H510" s="25"/>
      <c r="I510" s="25"/>
      <c r="J510" s="15">
        <f>SUMPRODUCT(Business_Portfolio!$V510:$AM510,Business_Portfolio!$V$8:$AM$8)</f>
        <v>0</v>
      </c>
      <c r="K510" s="25">
        <f t="shared" si="38"/>
        <v>0</v>
      </c>
      <c r="L510" s="25"/>
      <c r="M510" s="25"/>
      <c r="N510" s="25"/>
      <c r="O510" s="25"/>
      <c r="P510" s="15">
        <f>SUMPRODUCT(Business_Portfolio!$D510:$U510,Business_Portfolio!$D$8:$U$8)</f>
        <v>0</v>
      </c>
      <c r="Q510" s="25">
        <f t="shared" si="39"/>
        <v>0</v>
      </c>
      <c r="R510" s="25"/>
      <c r="S510" s="25"/>
      <c r="T510" s="25"/>
      <c r="U510" s="25"/>
    </row>
    <row r="511" spans="1:21" x14ac:dyDescent="0.25">
      <c r="A511" s="155">
        <f t="shared" si="40"/>
        <v>41</v>
      </c>
      <c r="C511" s="79">
        <v>40.166666666666714</v>
      </c>
      <c r="D511" s="15">
        <f>SUMPRODUCT(Business_Portfolio!D511:AM511,Business_Portfolio!$D$8:$AM$8)</f>
        <v>0</v>
      </c>
      <c r="E511" s="25">
        <f t="shared" si="37"/>
        <v>0</v>
      </c>
      <c r="F511" s="25"/>
      <c r="G511" s="25"/>
      <c r="H511" s="25"/>
      <c r="I511" s="25"/>
      <c r="J511" s="15">
        <f>SUMPRODUCT(Business_Portfolio!$V511:$AM511,Business_Portfolio!$V$8:$AM$8)</f>
        <v>0</v>
      </c>
      <c r="K511" s="25">
        <f t="shared" si="38"/>
        <v>0</v>
      </c>
      <c r="L511" s="25"/>
      <c r="M511" s="25"/>
      <c r="N511" s="25"/>
      <c r="O511" s="25"/>
      <c r="P511" s="15">
        <f>SUMPRODUCT(Business_Portfolio!$D511:$U511,Business_Portfolio!$D$8:$U$8)</f>
        <v>0</v>
      </c>
      <c r="Q511" s="25">
        <f t="shared" si="39"/>
        <v>0</v>
      </c>
      <c r="R511" s="25"/>
      <c r="S511" s="25"/>
      <c r="T511" s="25"/>
      <c r="U511" s="25"/>
    </row>
    <row r="512" spans="1:21" x14ac:dyDescent="0.25">
      <c r="A512" s="155">
        <f t="shared" si="40"/>
        <v>41</v>
      </c>
      <c r="C512" s="79">
        <v>40.25000000000005</v>
      </c>
      <c r="D512" s="15">
        <f>SUMPRODUCT(Business_Portfolio!D512:AM512,Business_Portfolio!$D$8:$AM$8)</f>
        <v>0</v>
      </c>
      <c r="E512" s="25">
        <f t="shared" si="37"/>
        <v>0</v>
      </c>
      <c r="F512" s="25"/>
      <c r="G512" s="25"/>
      <c r="H512" s="25"/>
      <c r="I512" s="25"/>
      <c r="J512" s="15">
        <f>SUMPRODUCT(Business_Portfolio!$V512:$AM512,Business_Portfolio!$V$8:$AM$8)</f>
        <v>0</v>
      </c>
      <c r="K512" s="25">
        <f t="shared" si="38"/>
        <v>0</v>
      </c>
      <c r="L512" s="25"/>
      <c r="M512" s="25"/>
      <c r="N512" s="25"/>
      <c r="O512" s="25"/>
      <c r="P512" s="15">
        <f>SUMPRODUCT(Business_Portfolio!$D512:$U512,Business_Portfolio!$D$8:$U$8)</f>
        <v>0</v>
      </c>
      <c r="Q512" s="25">
        <f t="shared" si="39"/>
        <v>0</v>
      </c>
      <c r="R512" s="25"/>
      <c r="S512" s="25"/>
      <c r="T512" s="25"/>
      <c r="U512" s="25"/>
    </row>
    <row r="513" spans="1:21" x14ac:dyDescent="0.25">
      <c r="A513" s="155">
        <f t="shared" si="40"/>
        <v>41</v>
      </c>
      <c r="C513" s="79">
        <v>40.333333333333385</v>
      </c>
      <c r="D513" s="15">
        <f>SUMPRODUCT(Business_Portfolio!D513:AM513,Business_Portfolio!$D$8:$AM$8)</f>
        <v>0</v>
      </c>
      <c r="E513" s="25">
        <f t="shared" si="37"/>
        <v>0</v>
      </c>
      <c r="F513" s="25"/>
      <c r="G513" s="25"/>
      <c r="H513" s="25"/>
      <c r="I513" s="25"/>
      <c r="J513" s="15">
        <f>SUMPRODUCT(Business_Portfolio!$V513:$AM513,Business_Portfolio!$V$8:$AM$8)</f>
        <v>0</v>
      </c>
      <c r="K513" s="25">
        <f t="shared" si="38"/>
        <v>0</v>
      </c>
      <c r="L513" s="25"/>
      <c r="M513" s="25"/>
      <c r="N513" s="25"/>
      <c r="O513" s="25"/>
      <c r="P513" s="15">
        <f>SUMPRODUCT(Business_Portfolio!$D513:$U513,Business_Portfolio!$D$8:$U$8)</f>
        <v>0</v>
      </c>
      <c r="Q513" s="25">
        <f t="shared" si="39"/>
        <v>0</v>
      </c>
      <c r="R513" s="25"/>
      <c r="S513" s="25"/>
      <c r="T513" s="25"/>
      <c r="U513" s="25"/>
    </row>
    <row r="514" spans="1:21" x14ac:dyDescent="0.25">
      <c r="A514" s="155">
        <f t="shared" si="40"/>
        <v>41</v>
      </c>
      <c r="C514" s="79">
        <v>40.416666666666721</v>
      </c>
      <c r="D514" s="15">
        <f>SUMPRODUCT(Business_Portfolio!D514:AM514,Business_Portfolio!$D$8:$AM$8)</f>
        <v>0</v>
      </c>
      <c r="E514" s="25">
        <f t="shared" si="37"/>
        <v>0</v>
      </c>
      <c r="F514" s="25"/>
      <c r="G514" s="25"/>
      <c r="H514" s="25"/>
      <c r="I514" s="25"/>
      <c r="J514" s="15">
        <f>SUMPRODUCT(Business_Portfolio!$V514:$AM514,Business_Portfolio!$V$8:$AM$8)</f>
        <v>0</v>
      </c>
      <c r="K514" s="25">
        <f t="shared" si="38"/>
        <v>0</v>
      </c>
      <c r="L514" s="25"/>
      <c r="M514" s="25"/>
      <c r="N514" s="25"/>
      <c r="O514" s="25"/>
      <c r="P514" s="15">
        <f>SUMPRODUCT(Business_Portfolio!$D514:$U514,Business_Portfolio!$D$8:$U$8)</f>
        <v>0</v>
      </c>
      <c r="Q514" s="25">
        <f t="shared" si="39"/>
        <v>0</v>
      </c>
      <c r="R514" s="25"/>
      <c r="S514" s="25"/>
      <c r="T514" s="25"/>
      <c r="U514" s="25"/>
    </row>
    <row r="515" spans="1:21" x14ac:dyDescent="0.25">
      <c r="A515" s="155">
        <f t="shared" si="40"/>
        <v>41</v>
      </c>
      <c r="C515" s="79">
        <v>40.500000000000057</v>
      </c>
      <c r="D515" s="15">
        <f>SUMPRODUCT(Business_Portfolio!D515:AM515,Business_Portfolio!$D$8:$AM$8)</f>
        <v>0</v>
      </c>
      <c r="E515" s="25">
        <f t="shared" si="37"/>
        <v>0</v>
      </c>
      <c r="F515" s="25"/>
      <c r="G515" s="25"/>
      <c r="H515" s="25"/>
      <c r="I515" s="25"/>
      <c r="J515" s="15">
        <f>SUMPRODUCT(Business_Portfolio!$V515:$AM515,Business_Portfolio!$V$8:$AM$8)</f>
        <v>0</v>
      </c>
      <c r="K515" s="25">
        <f t="shared" si="38"/>
        <v>0</v>
      </c>
      <c r="L515" s="25"/>
      <c r="M515" s="25"/>
      <c r="N515" s="25"/>
      <c r="O515" s="25"/>
      <c r="P515" s="15">
        <f>SUMPRODUCT(Business_Portfolio!$D515:$U515,Business_Portfolio!$D$8:$U$8)</f>
        <v>0</v>
      </c>
      <c r="Q515" s="25">
        <f t="shared" si="39"/>
        <v>0</v>
      </c>
      <c r="R515" s="25"/>
      <c r="S515" s="25"/>
      <c r="T515" s="25"/>
      <c r="U515" s="25"/>
    </row>
    <row r="516" spans="1:21" x14ac:dyDescent="0.25">
      <c r="A516" s="155">
        <f t="shared" si="40"/>
        <v>41</v>
      </c>
      <c r="C516" s="79">
        <v>40.583333333333393</v>
      </c>
      <c r="D516" s="15">
        <f>SUMPRODUCT(Business_Portfolio!D516:AM516,Business_Portfolio!$D$8:$AM$8)</f>
        <v>0</v>
      </c>
      <c r="E516" s="25">
        <f t="shared" si="37"/>
        <v>0</v>
      </c>
      <c r="F516" s="25"/>
      <c r="G516" s="25"/>
      <c r="H516" s="25"/>
      <c r="I516" s="25"/>
      <c r="J516" s="15">
        <f>SUMPRODUCT(Business_Portfolio!$V516:$AM516,Business_Portfolio!$V$8:$AM$8)</f>
        <v>0</v>
      </c>
      <c r="K516" s="25">
        <f t="shared" si="38"/>
        <v>0</v>
      </c>
      <c r="L516" s="25"/>
      <c r="M516" s="25"/>
      <c r="N516" s="25"/>
      <c r="O516" s="25"/>
      <c r="P516" s="15">
        <f>SUMPRODUCT(Business_Portfolio!$D516:$U516,Business_Portfolio!$D$8:$U$8)</f>
        <v>0</v>
      </c>
      <c r="Q516" s="25">
        <f t="shared" si="39"/>
        <v>0</v>
      </c>
      <c r="R516" s="25"/>
      <c r="S516" s="25"/>
      <c r="T516" s="25"/>
      <c r="U516" s="25"/>
    </row>
    <row r="517" spans="1:21" x14ac:dyDescent="0.25">
      <c r="A517" s="155">
        <f t="shared" si="40"/>
        <v>41</v>
      </c>
      <c r="C517" s="79">
        <v>40.666666666666728</v>
      </c>
      <c r="D517" s="15">
        <f>SUMPRODUCT(Business_Portfolio!D517:AM517,Business_Portfolio!$D$8:$AM$8)</f>
        <v>0</v>
      </c>
      <c r="E517" s="25">
        <f t="shared" si="37"/>
        <v>0</v>
      </c>
      <c r="F517" s="25"/>
      <c r="G517" s="25"/>
      <c r="H517" s="25"/>
      <c r="I517" s="25"/>
      <c r="J517" s="15">
        <f>SUMPRODUCT(Business_Portfolio!$V517:$AM517,Business_Portfolio!$V$8:$AM$8)</f>
        <v>0</v>
      </c>
      <c r="K517" s="25">
        <f t="shared" si="38"/>
        <v>0</v>
      </c>
      <c r="L517" s="25"/>
      <c r="M517" s="25"/>
      <c r="N517" s="25"/>
      <c r="O517" s="25"/>
      <c r="P517" s="15">
        <f>SUMPRODUCT(Business_Portfolio!$D517:$U517,Business_Portfolio!$D$8:$U$8)</f>
        <v>0</v>
      </c>
      <c r="Q517" s="25">
        <f t="shared" si="39"/>
        <v>0</v>
      </c>
      <c r="R517" s="25"/>
      <c r="S517" s="25"/>
      <c r="T517" s="25"/>
      <c r="U517" s="25"/>
    </row>
    <row r="518" spans="1:21" x14ac:dyDescent="0.25">
      <c r="A518" s="155">
        <f t="shared" si="40"/>
        <v>41</v>
      </c>
      <c r="C518" s="79">
        <v>40.750000000000064</v>
      </c>
      <c r="D518" s="15">
        <f>SUMPRODUCT(Business_Portfolio!D518:AM518,Business_Portfolio!$D$8:$AM$8)</f>
        <v>0</v>
      </c>
      <c r="E518" s="25">
        <f t="shared" si="37"/>
        <v>0</v>
      </c>
      <c r="F518" s="25"/>
      <c r="G518" s="25"/>
      <c r="H518" s="25"/>
      <c r="I518" s="25"/>
      <c r="J518" s="15">
        <f>SUMPRODUCT(Business_Portfolio!$V518:$AM518,Business_Portfolio!$V$8:$AM$8)</f>
        <v>0</v>
      </c>
      <c r="K518" s="25">
        <f t="shared" si="38"/>
        <v>0</v>
      </c>
      <c r="L518" s="25"/>
      <c r="M518" s="25"/>
      <c r="N518" s="25"/>
      <c r="O518" s="25"/>
      <c r="P518" s="15">
        <f>SUMPRODUCT(Business_Portfolio!$D518:$U518,Business_Portfolio!$D$8:$U$8)</f>
        <v>0</v>
      </c>
      <c r="Q518" s="25">
        <f t="shared" si="39"/>
        <v>0</v>
      </c>
      <c r="R518" s="25"/>
      <c r="S518" s="25"/>
      <c r="T518" s="25"/>
      <c r="U518" s="25"/>
    </row>
    <row r="519" spans="1:21" x14ac:dyDescent="0.25">
      <c r="A519" s="155">
        <f t="shared" si="40"/>
        <v>41</v>
      </c>
      <c r="C519" s="79">
        <v>40.8333333333334</v>
      </c>
      <c r="D519" s="15">
        <f>SUMPRODUCT(Business_Portfolio!D519:AM519,Business_Portfolio!$D$8:$AM$8)</f>
        <v>0</v>
      </c>
      <c r="E519" s="25">
        <f t="shared" si="37"/>
        <v>0</v>
      </c>
      <c r="F519" s="25"/>
      <c r="G519" s="25"/>
      <c r="H519" s="25"/>
      <c r="I519" s="25"/>
      <c r="J519" s="15">
        <f>SUMPRODUCT(Business_Portfolio!$V519:$AM519,Business_Portfolio!$V$8:$AM$8)</f>
        <v>0</v>
      </c>
      <c r="K519" s="25">
        <f t="shared" si="38"/>
        <v>0</v>
      </c>
      <c r="L519" s="25"/>
      <c r="M519" s="25"/>
      <c r="N519" s="25"/>
      <c r="O519" s="25"/>
      <c r="P519" s="15">
        <f>SUMPRODUCT(Business_Portfolio!$D519:$U519,Business_Portfolio!$D$8:$U$8)</f>
        <v>0</v>
      </c>
      <c r="Q519" s="25">
        <f t="shared" si="39"/>
        <v>0</v>
      </c>
      <c r="R519" s="25"/>
      <c r="S519" s="25"/>
      <c r="T519" s="25"/>
      <c r="U519" s="25"/>
    </row>
    <row r="520" spans="1:21" x14ac:dyDescent="0.25">
      <c r="A520" s="155">
        <f t="shared" si="40"/>
        <v>41</v>
      </c>
      <c r="C520" s="79">
        <v>40.916666666666735</v>
      </c>
      <c r="D520" s="15">
        <f>SUMPRODUCT(Business_Portfolio!D520:AM520,Business_Portfolio!$D$8:$AM$8)</f>
        <v>0</v>
      </c>
      <c r="E520" s="25">
        <f t="shared" si="37"/>
        <v>0</v>
      </c>
      <c r="F520" s="25"/>
      <c r="G520" s="25"/>
      <c r="H520" s="25"/>
      <c r="I520" s="25"/>
      <c r="J520" s="15">
        <f>SUMPRODUCT(Business_Portfolio!$V520:$AM520,Business_Portfolio!$V$8:$AM$8)</f>
        <v>0</v>
      </c>
      <c r="K520" s="25">
        <f t="shared" si="38"/>
        <v>0</v>
      </c>
      <c r="L520" s="25"/>
      <c r="M520" s="25"/>
      <c r="N520" s="25"/>
      <c r="O520" s="25"/>
      <c r="P520" s="15">
        <f>SUMPRODUCT(Business_Portfolio!$D520:$U520,Business_Portfolio!$D$8:$U$8)</f>
        <v>0</v>
      </c>
      <c r="Q520" s="25">
        <f t="shared" si="39"/>
        <v>0</v>
      </c>
      <c r="R520" s="25"/>
      <c r="S520" s="25"/>
      <c r="T520" s="25"/>
      <c r="U520" s="25"/>
    </row>
    <row r="521" spans="1:21" x14ac:dyDescent="0.25">
      <c r="A521" s="155">
        <f t="shared" si="40"/>
        <v>41</v>
      </c>
      <c r="C521" s="79">
        <v>41.000000000000071</v>
      </c>
      <c r="D521" s="15">
        <f>SUMPRODUCT(Business_Portfolio!D521:AM521,Business_Portfolio!$D$8:$AM$8)</f>
        <v>0</v>
      </c>
      <c r="E521" s="25">
        <f t="shared" si="37"/>
        <v>0</v>
      </c>
      <c r="F521" s="25"/>
      <c r="G521" s="25"/>
      <c r="H521" s="25"/>
      <c r="I521" s="25"/>
      <c r="J521" s="15">
        <f>SUMPRODUCT(Business_Portfolio!$V521:$AM521,Business_Portfolio!$V$8:$AM$8)</f>
        <v>0</v>
      </c>
      <c r="K521" s="25">
        <f t="shared" si="38"/>
        <v>0</v>
      </c>
      <c r="L521" s="25"/>
      <c r="M521" s="25"/>
      <c r="N521" s="25"/>
      <c r="O521" s="25"/>
      <c r="P521" s="15">
        <f>SUMPRODUCT(Business_Portfolio!$D521:$U521,Business_Portfolio!$D$8:$U$8)</f>
        <v>0</v>
      </c>
      <c r="Q521" s="25">
        <f t="shared" si="39"/>
        <v>0</v>
      </c>
      <c r="R521" s="25"/>
      <c r="S521" s="25"/>
      <c r="T521" s="25"/>
      <c r="U521" s="25"/>
    </row>
    <row r="522" spans="1:21" x14ac:dyDescent="0.25">
      <c r="A522" s="155">
        <f t="shared" si="40"/>
        <v>42</v>
      </c>
      <c r="C522" s="79">
        <v>41.083333333333407</v>
      </c>
      <c r="D522" s="15">
        <f>SUMPRODUCT(Business_Portfolio!D522:AM522,Business_Portfolio!$D$8:$AM$8)</f>
        <v>0</v>
      </c>
      <c r="E522" s="25">
        <f t="shared" si="37"/>
        <v>0</v>
      </c>
      <c r="F522" s="25"/>
      <c r="G522" s="25"/>
      <c r="H522" s="25"/>
      <c r="I522" s="25"/>
      <c r="J522" s="15">
        <f>SUMPRODUCT(Business_Portfolio!$V522:$AM522,Business_Portfolio!$V$8:$AM$8)</f>
        <v>0</v>
      </c>
      <c r="K522" s="25">
        <f t="shared" si="38"/>
        <v>0</v>
      </c>
      <c r="L522" s="25"/>
      <c r="M522" s="25"/>
      <c r="N522" s="25"/>
      <c r="O522" s="25"/>
      <c r="P522" s="15">
        <f>SUMPRODUCT(Business_Portfolio!$D522:$U522,Business_Portfolio!$D$8:$U$8)</f>
        <v>0</v>
      </c>
      <c r="Q522" s="25">
        <f t="shared" si="39"/>
        <v>0</v>
      </c>
      <c r="R522" s="25"/>
      <c r="S522" s="25"/>
      <c r="T522" s="25"/>
      <c r="U522" s="25"/>
    </row>
    <row r="523" spans="1:21" x14ac:dyDescent="0.25">
      <c r="A523" s="155">
        <f t="shared" si="40"/>
        <v>42</v>
      </c>
      <c r="C523" s="79">
        <v>41.166666666666742</v>
      </c>
      <c r="D523" s="15">
        <f>SUMPRODUCT(Business_Portfolio!D523:AM523,Business_Portfolio!$D$8:$AM$8)</f>
        <v>0</v>
      </c>
      <c r="E523" s="25">
        <f t="shared" si="37"/>
        <v>0</v>
      </c>
      <c r="F523" s="25"/>
      <c r="G523" s="25"/>
      <c r="H523" s="25"/>
      <c r="I523" s="25"/>
      <c r="J523" s="15">
        <f>SUMPRODUCT(Business_Portfolio!$V523:$AM523,Business_Portfolio!$V$8:$AM$8)</f>
        <v>0</v>
      </c>
      <c r="K523" s="25">
        <f t="shared" si="38"/>
        <v>0</v>
      </c>
      <c r="L523" s="25"/>
      <c r="M523" s="25"/>
      <c r="N523" s="25"/>
      <c r="O523" s="25"/>
      <c r="P523" s="15">
        <f>SUMPRODUCT(Business_Portfolio!$D523:$U523,Business_Portfolio!$D$8:$U$8)</f>
        <v>0</v>
      </c>
      <c r="Q523" s="25">
        <f t="shared" si="39"/>
        <v>0</v>
      </c>
      <c r="R523" s="25"/>
      <c r="S523" s="25"/>
      <c r="T523" s="25"/>
      <c r="U523" s="25"/>
    </row>
    <row r="524" spans="1:21" x14ac:dyDescent="0.25">
      <c r="A524" s="155">
        <f t="shared" si="40"/>
        <v>42</v>
      </c>
      <c r="C524" s="79">
        <v>41.250000000000078</v>
      </c>
      <c r="D524" s="15">
        <f>SUMPRODUCT(Business_Portfolio!D524:AM524,Business_Portfolio!$D$8:$AM$8)</f>
        <v>0</v>
      </c>
      <c r="E524" s="25">
        <f t="shared" si="37"/>
        <v>0</v>
      </c>
      <c r="F524" s="25"/>
      <c r="G524" s="25"/>
      <c r="H524" s="25"/>
      <c r="I524" s="25"/>
      <c r="J524" s="15">
        <f>SUMPRODUCT(Business_Portfolio!$V524:$AM524,Business_Portfolio!$V$8:$AM$8)</f>
        <v>0</v>
      </c>
      <c r="K524" s="25">
        <f t="shared" si="38"/>
        <v>0</v>
      </c>
      <c r="L524" s="25"/>
      <c r="M524" s="25"/>
      <c r="N524" s="25"/>
      <c r="O524" s="25"/>
      <c r="P524" s="15">
        <f>SUMPRODUCT(Business_Portfolio!$D524:$U524,Business_Portfolio!$D$8:$U$8)</f>
        <v>0</v>
      </c>
      <c r="Q524" s="25">
        <f t="shared" si="39"/>
        <v>0</v>
      </c>
      <c r="R524" s="25"/>
      <c r="S524" s="25"/>
      <c r="T524" s="25"/>
      <c r="U524" s="25"/>
    </row>
    <row r="525" spans="1:21" x14ac:dyDescent="0.25">
      <c r="A525" s="155">
        <f t="shared" si="40"/>
        <v>42</v>
      </c>
      <c r="C525" s="79">
        <v>41.333333333333414</v>
      </c>
      <c r="D525" s="15">
        <f>SUMPRODUCT(Business_Portfolio!D525:AM525,Business_Portfolio!$D$8:$AM$8)</f>
        <v>0</v>
      </c>
      <c r="E525" s="25">
        <f t="shared" si="37"/>
        <v>0</v>
      </c>
      <c r="F525" s="25"/>
      <c r="G525" s="25"/>
      <c r="H525" s="25"/>
      <c r="I525" s="25"/>
      <c r="J525" s="15">
        <f>SUMPRODUCT(Business_Portfolio!$V525:$AM525,Business_Portfolio!$V$8:$AM$8)</f>
        <v>0</v>
      </c>
      <c r="K525" s="25">
        <f t="shared" si="38"/>
        <v>0</v>
      </c>
      <c r="L525" s="25"/>
      <c r="M525" s="25"/>
      <c r="N525" s="25"/>
      <c r="O525" s="25"/>
      <c r="P525" s="15">
        <f>SUMPRODUCT(Business_Portfolio!$D525:$U525,Business_Portfolio!$D$8:$U$8)</f>
        <v>0</v>
      </c>
      <c r="Q525" s="25">
        <f t="shared" si="39"/>
        <v>0</v>
      </c>
      <c r="R525" s="25"/>
      <c r="S525" s="25"/>
      <c r="T525" s="25"/>
      <c r="U525" s="25"/>
    </row>
    <row r="526" spans="1:21" x14ac:dyDescent="0.25">
      <c r="A526" s="155">
        <f t="shared" si="40"/>
        <v>42</v>
      </c>
      <c r="C526" s="79">
        <v>41.41666666666675</v>
      </c>
      <c r="D526" s="15">
        <f>SUMPRODUCT(Business_Portfolio!D526:AM526,Business_Portfolio!$D$8:$AM$8)</f>
        <v>0</v>
      </c>
      <c r="E526" s="25">
        <f t="shared" si="37"/>
        <v>0</v>
      </c>
      <c r="F526" s="25"/>
      <c r="G526" s="25"/>
      <c r="H526" s="25"/>
      <c r="I526" s="25"/>
      <c r="J526" s="15">
        <f>SUMPRODUCT(Business_Portfolio!$V526:$AM526,Business_Portfolio!$V$8:$AM$8)</f>
        <v>0</v>
      </c>
      <c r="K526" s="25">
        <f t="shared" si="38"/>
        <v>0</v>
      </c>
      <c r="L526" s="25"/>
      <c r="M526" s="25"/>
      <c r="N526" s="25"/>
      <c r="O526" s="25"/>
      <c r="P526" s="15">
        <f>SUMPRODUCT(Business_Portfolio!$D526:$U526,Business_Portfolio!$D$8:$U$8)</f>
        <v>0</v>
      </c>
      <c r="Q526" s="25">
        <f t="shared" si="39"/>
        <v>0</v>
      </c>
      <c r="R526" s="25"/>
      <c r="S526" s="25"/>
      <c r="T526" s="25"/>
      <c r="U526" s="25"/>
    </row>
    <row r="527" spans="1:21" x14ac:dyDescent="0.25">
      <c r="A527" s="155">
        <f t="shared" si="40"/>
        <v>42</v>
      </c>
      <c r="C527" s="79">
        <v>41.500000000000085</v>
      </c>
      <c r="D527" s="15">
        <f>SUMPRODUCT(Business_Portfolio!D527:AM527,Business_Portfolio!$D$8:$AM$8)</f>
        <v>0</v>
      </c>
      <c r="E527" s="25">
        <f t="shared" si="37"/>
        <v>0</v>
      </c>
      <c r="F527" s="25"/>
      <c r="G527" s="25"/>
      <c r="H527" s="25"/>
      <c r="I527" s="25"/>
      <c r="J527" s="15">
        <f>SUMPRODUCT(Business_Portfolio!$V527:$AM527,Business_Portfolio!$V$8:$AM$8)</f>
        <v>0</v>
      </c>
      <c r="K527" s="25">
        <f t="shared" si="38"/>
        <v>0</v>
      </c>
      <c r="L527" s="25"/>
      <c r="M527" s="25"/>
      <c r="N527" s="25"/>
      <c r="O527" s="25"/>
      <c r="P527" s="15">
        <f>SUMPRODUCT(Business_Portfolio!$D527:$U527,Business_Portfolio!$D$8:$U$8)</f>
        <v>0</v>
      </c>
      <c r="Q527" s="25">
        <f t="shared" si="39"/>
        <v>0</v>
      </c>
      <c r="R527" s="25"/>
      <c r="S527" s="25"/>
      <c r="T527" s="25"/>
      <c r="U527" s="25"/>
    </row>
    <row r="528" spans="1:21" x14ac:dyDescent="0.25">
      <c r="A528" s="155">
        <f t="shared" si="40"/>
        <v>42</v>
      </c>
      <c r="C528" s="79">
        <v>41.583333333333421</v>
      </c>
      <c r="D528" s="15">
        <f>SUMPRODUCT(Business_Portfolio!D528:AM528,Business_Portfolio!$D$8:$AM$8)</f>
        <v>0</v>
      </c>
      <c r="E528" s="25">
        <f t="shared" si="37"/>
        <v>0</v>
      </c>
      <c r="F528" s="25"/>
      <c r="G528" s="25"/>
      <c r="H528" s="25"/>
      <c r="I528" s="25"/>
      <c r="J528" s="15">
        <f>SUMPRODUCT(Business_Portfolio!$V528:$AM528,Business_Portfolio!$V$8:$AM$8)</f>
        <v>0</v>
      </c>
      <c r="K528" s="25">
        <f t="shared" si="38"/>
        <v>0</v>
      </c>
      <c r="L528" s="25"/>
      <c r="M528" s="25"/>
      <c r="N528" s="25"/>
      <c r="O528" s="25"/>
      <c r="P528" s="15">
        <f>SUMPRODUCT(Business_Portfolio!$D528:$U528,Business_Portfolio!$D$8:$U$8)</f>
        <v>0</v>
      </c>
      <c r="Q528" s="25">
        <f t="shared" si="39"/>
        <v>0</v>
      </c>
      <c r="R528" s="25"/>
      <c r="S528" s="25"/>
      <c r="T528" s="25"/>
      <c r="U528" s="25"/>
    </row>
    <row r="529" spans="1:21" x14ac:dyDescent="0.25">
      <c r="A529" s="155">
        <f t="shared" si="40"/>
        <v>42</v>
      </c>
      <c r="C529" s="79">
        <v>41.666666666666757</v>
      </c>
      <c r="D529" s="15">
        <f>SUMPRODUCT(Business_Portfolio!D529:AM529,Business_Portfolio!$D$8:$AM$8)</f>
        <v>0</v>
      </c>
      <c r="E529" s="25">
        <f t="shared" si="37"/>
        <v>0</v>
      </c>
      <c r="F529" s="25"/>
      <c r="G529" s="25"/>
      <c r="H529" s="25"/>
      <c r="I529" s="25"/>
      <c r="J529" s="15">
        <f>SUMPRODUCT(Business_Portfolio!$V529:$AM529,Business_Portfolio!$V$8:$AM$8)</f>
        <v>0</v>
      </c>
      <c r="K529" s="25">
        <f t="shared" si="38"/>
        <v>0</v>
      </c>
      <c r="L529" s="25"/>
      <c r="M529" s="25"/>
      <c r="N529" s="25"/>
      <c r="O529" s="25"/>
      <c r="P529" s="15">
        <f>SUMPRODUCT(Business_Portfolio!$D529:$U529,Business_Portfolio!$D$8:$U$8)</f>
        <v>0</v>
      </c>
      <c r="Q529" s="25">
        <f t="shared" si="39"/>
        <v>0</v>
      </c>
      <c r="R529" s="25"/>
      <c r="S529" s="25"/>
      <c r="T529" s="25"/>
      <c r="U529" s="25"/>
    </row>
    <row r="530" spans="1:21" x14ac:dyDescent="0.25">
      <c r="A530" s="155">
        <f t="shared" si="40"/>
        <v>42</v>
      </c>
      <c r="C530" s="79">
        <v>41.750000000000092</v>
      </c>
      <c r="D530" s="15">
        <f>SUMPRODUCT(Business_Portfolio!D530:AM530,Business_Portfolio!$D$8:$AM$8)</f>
        <v>0</v>
      </c>
      <c r="E530" s="25">
        <f t="shared" si="37"/>
        <v>0</v>
      </c>
      <c r="F530" s="25"/>
      <c r="G530" s="25"/>
      <c r="H530" s="25"/>
      <c r="I530" s="25"/>
      <c r="J530" s="15">
        <f>SUMPRODUCT(Business_Portfolio!$V530:$AM530,Business_Portfolio!$V$8:$AM$8)</f>
        <v>0</v>
      </c>
      <c r="K530" s="25">
        <f t="shared" si="38"/>
        <v>0</v>
      </c>
      <c r="L530" s="25"/>
      <c r="M530" s="25"/>
      <c r="N530" s="25"/>
      <c r="O530" s="25"/>
      <c r="P530" s="15">
        <f>SUMPRODUCT(Business_Portfolio!$D530:$U530,Business_Portfolio!$D$8:$U$8)</f>
        <v>0</v>
      </c>
      <c r="Q530" s="25">
        <f t="shared" si="39"/>
        <v>0</v>
      </c>
      <c r="R530" s="25"/>
      <c r="S530" s="25"/>
      <c r="T530" s="25"/>
      <c r="U530" s="25"/>
    </row>
    <row r="531" spans="1:21" x14ac:dyDescent="0.25">
      <c r="A531" s="155">
        <f t="shared" si="40"/>
        <v>42</v>
      </c>
      <c r="C531" s="79">
        <v>41.833333333333428</v>
      </c>
      <c r="D531" s="15">
        <f>SUMPRODUCT(Business_Portfolio!D531:AM531,Business_Portfolio!$D$8:$AM$8)</f>
        <v>0</v>
      </c>
      <c r="E531" s="25">
        <f t="shared" si="37"/>
        <v>0</v>
      </c>
      <c r="F531" s="25"/>
      <c r="G531" s="25"/>
      <c r="H531" s="25"/>
      <c r="I531" s="25"/>
      <c r="J531" s="15">
        <f>SUMPRODUCT(Business_Portfolio!$V531:$AM531,Business_Portfolio!$V$8:$AM$8)</f>
        <v>0</v>
      </c>
      <c r="K531" s="25">
        <f t="shared" si="38"/>
        <v>0</v>
      </c>
      <c r="L531" s="25"/>
      <c r="M531" s="25"/>
      <c r="N531" s="25"/>
      <c r="O531" s="25"/>
      <c r="P531" s="15">
        <f>SUMPRODUCT(Business_Portfolio!$D531:$U531,Business_Portfolio!$D$8:$U$8)</f>
        <v>0</v>
      </c>
      <c r="Q531" s="25">
        <f t="shared" si="39"/>
        <v>0</v>
      </c>
      <c r="R531" s="25"/>
      <c r="S531" s="25"/>
      <c r="T531" s="25"/>
      <c r="U531" s="25"/>
    </row>
    <row r="532" spans="1:21" x14ac:dyDescent="0.25">
      <c r="A532" s="155">
        <f t="shared" si="40"/>
        <v>42</v>
      </c>
      <c r="C532" s="79">
        <v>41.916666666666764</v>
      </c>
      <c r="D532" s="15">
        <f>SUMPRODUCT(Business_Portfolio!D532:AM532,Business_Portfolio!$D$8:$AM$8)</f>
        <v>0</v>
      </c>
      <c r="E532" s="25">
        <f t="shared" si="37"/>
        <v>0</v>
      </c>
      <c r="F532" s="25"/>
      <c r="G532" s="25"/>
      <c r="H532" s="25"/>
      <c r="I532" s="25"/>
      <c r="J532" s="15">
        <f>SUMPRODUCT(Business_Portfolio!$V532:$AM532,Business_Portfolio!$V$8:$AM$8)</f>
        <v>0</v>
      </c>
      <c r="K532" s="25">
        <f t="shared" si="38"/>
        <v>0</v>
      </c>
      <c r="L532" s="25"/>
      <c r="M532" s="25"/>
      <c r="N532" s="25"/>
      <c r="O532" s="25"/>
      <c r="P532" s="15">
        <f>SUMPRODUCT(Business_Portfolio!$D532:$U532,Business_Portfolio!$D$8:$U$8)</f>
        <v>0</v>
      </c>
      <c r="Q532" s="25">
        <f t="shared" si="39"/>
        <v>0</v>
      </c>
      <c r="R532" s="25"/>
      <c r="S532" s="25"/>
      <c r="T532" s="25"/>
      <c r="U532" s="25"/>
    </row>
    <row r="533" spans="1:21" x14ac:dyDescent="0.25">
      <c r="A533" s="155">
        <f t="shared" si="40"/>
        <v>42</v>
      </c>
      <c r="C533" s="79">
        <v>42.000000000000099</v>
      </c>
      <c r="D533" s="15">
        <f>SUMPRODUCT(Business_Portfolio!D533:AM533,Business_Portfolio!$D$8:$AM$8)</f>
        <v>0</v>
      </c>
      <c r="E533" s="25">
        <f t="shared" si="37"/>
        <v>0</v>
      </c>
      <c r="F533" s="25"/>
      <c r="G533" s="25"/>
      <c r="H533" s="25"/>
      <c r="I533" s="25"/>
      <c r="J533" s="15">
        <f>SUMPRODUCT(Business_Portfolio!$V533:$AM533,Business_Portfolio!$V$8:$AM$8)</f>
        <v>0</v>
      </c>
      <c r="K533" s="25">
        <f t="shared" si="38"/>
        <v>0</v>
      </c>
      <c r="L533" s="25"/>
      <c r="M533" s="25"/>
      <c r="N533" s="25"/>
      <c r="O533" s="25"/>
      <c r="P533" s="15">
        <f>SUMPRODUCT(Business_Portfolio!$D533:$U533,Business_Portfolio!$D$8:$U$8)</f>
        <v>0</v>
      </c>
      <c r="Q533" s="25">
        <f t="shared" si="39"/>
        <v>0</v>
      </c>
      <c r="R533" s="25"/>
      <c r="S533" s="25"/>
      <c r="T533" s="25"/>
      <c r="U533" s="25"/>
    </row>
    <row r="534" spans="1:21" x14ac:dyDescent="0.25">
      <c r="A534" s="155">
        <f t="shared" si="40"/>
        <v>43</v>
      </c>
      <c r="C534" s="79">
        <v>42.083333333333435</v>
      </c>
      <c r="D534" s="15">
        <f>SUMPRODUCT(Business_Portfolio!D534:AM534,Business_Portfolio!$D$8:$AM$8)</f>
        <v>0</v>
      </c>
      <c r="E534" s="25">
        <f t="shared" si="37"/>
        <v>0</v>
      </c>
      <c r="F534" s="25"/>
      <c r="G534" s="25"/>
      <c r="H534" s="25"/>
      <c r="I534" s="25"/>
      <c r="J534" s="15">
        <f>SUMPRODUCT(Business_Portfolio!$V534:$AM534,Business_Portfolio!$V$8:$AM$8)</f>
        <v>0</v>
      </c>
      <c r="K534" s="25">
        <f t="shared" si="38"/>
        <v>0</v>
      </c>
      <c r="L534" s="25"/>
      <c r="M534" s="25"/>
      <c r="N534" s="25"/>
      <c r="O534" s="25"/>
      <c r="P534" s="15">
        <f>SUMPRODUCT(Business_Portfolio!$D534:$U534,Business_Portfolio!$D$8:$U$8)</f>
        <v>0</v>
      </c>
      <c r="Q534" s="25">
        <f t="shared" si="39"/>
        <v>0</v>
      </c>
      <c r="R534" s="25"/>
      <c r="S534" s="25"/>
      <c r="T534" s="25"/>
      <c r="U534" s="25"/>
    </row>
    <row r="535" spans="1:21" x14ac:dyDescent="0.25">
      <c r="A535" s="155">
        <f t="shared" si="40"/>
        <v>43</v>
      </c>
      <c r="C535" s="79">
        <v>42.166666666666771</v>
      </c>
      <c r="D535" s="15">
        <f>SUMPRODUCT(Business_Portfolio!D535:AM535,Business_Portfolio!$D$8:$AM$8)</f>
        <v>0</v>
      </c>
      <c r="E535" s="25">
        <f t="shared" si="37"/>
        <v>0</v>
      </c>
      <c r="F535" s="25"/>
      <c r="G535" s="25"/>
      <c r="H535" s="25"/>
      <c r="I535" s="25"/>
      <c r="J535" s="15">
        <f>SUMPRODUCT(Business_Portfolio!$V535:$AM535,Business_Portfolio!$V$8:$AM$8)</f>
        <v>0</v>
      </c>
      <c r="K535" s="25">
        <f t="shared" si="38"/>
        <v>0</v>
      </c>
      <c r="L535" s="25"/>
      <c r="M535" s="25"/>
      <c r="N535" s="25"/>
      <c r="O535" s="25"/>
      <c r="P535" s="15">
        <f>SUMPRODUCT(Business_Portfolio!$D535:$U535,Business_Portfolio!$D$8:$U$8)</f>
        <v>0</v>
      </c>
      <c r="Q535" s="25">
        <f t="shared" si="39"/>
        <v>0</v>
      </c>
      <c r="R535" s="25"/>
      <c r="S535" s="25"/>
      <c r="T535" s="25"/>
      <c r="U535" s="25"/>
    </row>
    <row r="536" spans="1:21" x14ac:dyDescent="0.25">
      <c r="A536" s="155">
        <f t="shared" si="40"/>
        <v>43</v>
      </c>
      <c r="C536" s="79">
        <v>42.250000000000107</v>
      </c>
      <c r="D536" s="15">
        <f>SUMPRODUCT(Business_Portfolio!D536:AM536,Business_Portfolio!$D$8:$AM$8)</f>
        <v>0</v>
      </c>
      <c r="E536" s="25">
        <f t="shared" si="37"/>
        <v>0</v>
      </c>
      <c r="F536" s="25"/>
      <c r="G536" s="25"/>
      <c r="H536" s="25"/>
      <c r="I536" s="25"/>
      <c r="J536" s="15">
        <f>SUMPRODUCT(Business_Portfolio!$V536:$AM536,Business_Portfolio!$V$8:$AM$8)</f>
        <v>0</v>
      </c>
      <c r="K536" s="25">
        <f t="shared" si="38"/>
        <v>0</v>
      </c>
      <c r="L536" s="25"/>
      <c r="M536" s="25"/>
      <c r="N536" s="25"/>
      <c r="O536" s="25"/>
      <c r="P536" s="15">
        <f>SUMPRODUCT(Business_Portfolio!$D536:$U536,Business_Portfolio!$D$8:$U$8)</f>
        <v>0</v>
      </c>
      <c r="Q536" s="25">
        <f t="shared" si="39"/>
        <v>0</v>
      </c>
      <c r="R536" s="25"/>
      <c r="S536" s="25"/>
      <c r="T536" s="25"/>
      <c r="U536" s="25"/>
    </row>
    <row r="537" spans="1:21" x14ac:dyDescent="0.25">
      <c r="A537" s="155">
        <f t="shared" si="40"/>
        <v>43</v>
      </c>
      <c r="C537" s="79">
        <v>42.333333333333442</v>
      </c>
      <c r="D537" s="15">
        <f>SUMPRODUCT(Business_Portfolio!D537:AM537,Business_Portfolio!$D$8:$AM$8)</f>
        <v>0</v>
      </c>
      <c r="E537" s="25">
        <f t="shared" si="37"/>
        <v>0</v>
      </c>
      <c r="F537" s="25"/>
      <c r="G537" s="25"/>
      <c r="H537" s="25"/>
      <c r="I537" s="25"/>
      <c r="J537" s="15">
        <f>SUMPRODUCT(Business_Portfolio!$V537:$AM537,Business_Portfolio!$V$8:$AM$8)</f>
        <v>0</v>
      </c>
      <c r="K537" s="25">
        <f t="shared" si="38"/>
        <v>0</v>
      </c>
      <c r="L537" s="25"/>
      <c r="M537" s="25"/>
      <c r="N537" s="25"/>
      <c r="O537" s="25"/>
      <c r="P537" s="15">
        <f>SUMPRODUCT(Business_Portfolio!$D537:$U537,Business_Portfolio!$D$8:$U$8)</f>
        <v>0</v>
      </c>
      <c r="Q537" s="25">
        <f t="shared" si="39"/>
        <v>0</v>
      </c>
      <c r="R537" s="25"/>
      <c r="S537" s="25"/>
      <c r="T537" s="25"/>
      <c r="U537" s="25"/>
    </row>
    <row r="538" spans="1:21" x14ac:dyDescent="0.25">
      <c r="A538" s="155">
        <f t="shared" si="40"/>
        <v>43</v>
      </c>
      <c r="C538" s="79">
        <v>42.416666666666778</v>
      </c>
      <c r="D538" s="15">
        <f>SUMPRODUCT(Business_Portfolio!D538:AM538,Business_Portfolio!$D$8:$AM$8)</f>
        <v>0</v>
      </c>
      <c r="E538" s="25">
        <f t="shared" si="37"/>
        <v>0</v>
      </c>
      <c r="F538" s="25"/>
      <c r="G538" s="25"/>
      <c r="H538" s="25"/>
      <c r="I538" s="25"/>
      <c r="J538" s="15">
        <f>SUMPRODUCT(Business_Portfolio!$V538:$AM538,Business_Portfolio!$V$8:$AM$8)</f>
        <v>0</v>
      </c>
      <c r="K538" s="25">
        <f t="shared" si="38"/>
        <v>0</v>
      </c>
      <c r="L538" s="25"/>
      <c r="M538" s="25"/>
      <c r="N538" s="25"/>
      <c r="O538" s="25"/>
      <c r="P538" s="15">
        <f>SUMPRODUCT(Business_Portfolio!$D538:$U538,Business_Portfolio!$D$8:$U$8)</f>
        <v>0</v>
      </c>
      <c r="Q538" s="25">
        <f t="shared" si="39"/>
        <v>0</v>
      </c>
      <c r="R538" s="25"/>
      <c r="S538" s="25"/>
      <c r="T538" s="25"/>
      <c r="U538" s="25"/>
    </row>
    <row r="539" spans="1:21" x14ac:dyDescent="0.25">
      <c r="A539" s="155">
        <f t="shared" si="40"/>
        <v>43</v>
      </c>
      <c r="C539" s="79">
        <v>42.500000000000114</v>
      </c>
      <c r="D539" s="15">
        <f>SUMPRODUCT(Business_Portfolio!D539:AM539,Business_Portfolio!$D$8:$AM$8)</f>
        <v>0</v>
      </c>
      <c r="E539" s="25">
        <f t="shared" si="37"/>
        <v>0</v>
      </c>
      <c r="F539" s="25"/>
      <c r="G539" s="25"/>
      <c r="H539" s="25"/>
      <c r="I539" s="25"/>
      <c r="J539" s="15">
        <f>SUMPRODUCT(Business_Portfolio!$V539:$AM539,Business_Portfolio!$V$8:$AM$8)</f>
        <v>0</v>
      </c>
      <c r="K539" s="25">
        <f t="shared" si="38"/>
        <v>0</v>
      </c>
      <c r="L539" s="25"/>
      <c r="M539" s="25"/>
      <c r="N539" s="25"/>
      <c r="O539" s="25"/>
      <c r="P539" s="15">
        <f>SUMPRODUCT(Business_Portfolio!$D539:$U539,Business_Portfolio!$D$8:$U$8)</f>
        <v>0</v>
      </c>
      <c r="Q539" s="25">
        <f t="shared" si="39"/>
        <v>0</v>
      </c>
      <c r="R539" s="25"/>
      <c r="S539" s="25"/>
      <c r="T539" s="25"/>
      <c r="U539" s="25"/>
    </row>
    <row r="540" spans="1:21" x14ac:dyDescent="0.25">
      <c r="A540" s="155">
        <f t="shared" si="40"/>
        <v>43</v>
      </c>
      <c r="C540" s="79">
        <v>42.583333333333449</v>
      </c>
      <c r="D540" s="15">
        <f>SUMPRODUCT(Business_Portfolio!D540:AM540,Business_Portfolio!$D$8:$AM$8)</f>
        <v>0</v>
      </c>
      <c r="E540" s="25">
        <f t="shared" si="37"/>
        <v>0</v>
      </c>
      <c r="F540" s="25"/>
      <c r="G540" s="25"/>
      <c r="H540" s="25"/>
      <c r="I540" s="25"/>
      <c r="J540" s="15">
        <f>SUMPRODUCT(Business_Portfolio!$V540:$AM540,Business_Portfolio!$V$8:$AM$8)</f>
        <v>0</v>
      </c>
      <c r="K540" s="25">
        <f t="shared" si="38"/>
        <v>0</v>
      </c>
      <c r="L540" s="25"/>
      <c r="M540" s="25"/>
      <c r="N540" s="25"/>
      <c r="O540" s="25"/>
      <c r="P540" s="15">
        <f>SUMPRODUCT(Business_Portfolio!$D540:$U540,Business_Portfolio!$D$8:$U$8)</f>
        <v>0</v>
      </c>
      <c r="Q540" s="25">
        <f t="shared" si="39"/>
        <v>0</v>
      </c>
      <c r="R540" s="25"/>
      <c r="S540" s="25"/>
      <c r="T540" s="25"/>
      <c r="U540" s="25"/>
    </row>
    <row r="541" spans="1:21" x14ac:dyDescent="0.25">
      <c r="A541" s="155">
        <f t="shared" si="40"/>
        <v>43</v>
      </c>
      <c r="C541" s="79">
        <v>42.666666666666785</v>
      </c>
      <c r="D541" s="15">
        <f>SUMPRODUCT(Business_Portfolio!D541:AM541,Business_Portfolio!$D$8:$AM$8)</f>
        <v>0</v>
      </c>
      <c r="E541" s="25">
        <f t="shared" si="37"/>
        <v>0</v>
      </c>
      <c r="F541" s="25"/>
      <c r="G541" s="25"/>
      <c r="H541" s="25"/>
      <c r="I541" s="25"/>
      <c r="J541" s="15">
        <f>SUMPRODUCT(Business_Portfolio!$V541:$AM541,Business_Portfolio!$V$8:$AM$8)</f>
        <v>0</v>
      </c>
      <c r="K541" s="25">
        <f t="shared" si="38"/>
        <v>0</v>
      </c>
      <c r="L541" s="25"/>
      <c r="M541" s="25"/>
      <c r="N541" s="25"/>
      <c r="O541" s="25"/>
      <c r="P541" s="15">
        <f>SUMPRODUCT(Business_Portfolio!$D541:$U541,Business_Portfolio!$D$8:$U$8)</f>
        <v>0</v>
      </c>
      <c r="Q541" s="25">
        <f t="shared" si="39"/>
        <v>0</v>
      </c>
      <c r="R541" s="25"/>
      <c r="S541" s="25"/>
      <c r="T541" s="25"/>
      <c r="U541" s="25"/>
    </row>
    <row r="542" spans="1:21" x14ac:dyDescent="0.25">
      <c r="A542" s="155">
        <f t="shared" si="40"/>
        <v>43</v>
      </c>
      <c r="C542" s="79">
        <v>42.750000000000121</v>
      </c>
      <c r="D542" s="15">
        <f>SUMPRODUCT(Business_Portfolio!D542:AM542,Business_Portfolio!$D$8:$AM$8)</f>
        <v>0</v>
      </c>
      <c r="E542" s="25">
        <f t="shared" ref="E542:E605" si="41">D542/D$10</f>
        <v>0</v>
      </c>
      <c r="F542" s="25"/>
      <c r="G542" s="25"/>
      <c r="H542" s="25"/>
      <c r="I542" s="25"/>
      <c r="J542" s="15">
        <f>SUMPRODUCT(Business_Portfolio!$V542:$AM542,Business_Portfolio!$V$8:$AM$8)</f>
        <v>0</v>
      </c>
      <c r="K542" s="25">
        <f t="shared" ref="K542:K605" si="42">J542/J$10</f>
        <v>0</v>
      </c>
      <c r="L542" s="25"/>
      <c r="M542" s="25"/>
      <c r="N542" s="25"/>
      <c r="O542" s="25"/>
      <c r="P542" s="15">
        <f>SUMPRODUCT(Business_Portfolio!$D542:$U542,Business_Portfolio!$D$8:$U$8)</f>
        <v>0</v>
      </c>
      <c r="Q542" s="25">
        <f t="shared" ref="Q542:Q605" si="43">P542/P$10</f>
        <v>0</v>
      </c>
      <c r="R542" s="25"/>
      <c r="S542" s="25"/>
      <c r="T542" s="25"/>
      <c r="U542" s="25"/>
    </row>
    <row r="543" spans="1:21" x14ac:dyDescent="0.25">
      <c r="A543" s="155">
        <f t="shared" ref="A543:A606" si="44">ROUNDUP(C543-0.0001,0)</f>
        <v>43</v>
      </c>
      <c r="C543" s="79">
        <v>42.833333333333456</v>
      </c>
      <c r="D543" s="15">
        <f>SUMPRODUCT(Business_Portfolio!D543:AM543,Business_Portfolio!$D$8:$AM$8)</f>
        <v>0</v>
      </c>
      <c r="E543" s="25">
        <f t="shared" si="41"/>
        <v>0</v>
      </c>
      <c r="F543" s="25"/>
      <c r="G543" s="25"/>
      <c r="H543" s="25"/>
      <c r="I543" s="25"/>
      <c r="J543" s="15">
        <f>SUMPRODUCT(Business_Portfolio!$V543:$AM543,Business_Portfolio!$V$8:$AM$8)</f>
        <v>0</v>
      </c>
      <c r="K543" s="25">
        <f t="shared" si="42"/>
        <v>0</v>
      </c>
      <c r="L543" s="25"/>
      <c r="M543" s="25"/>
      <c r="N543" s="25"/>
      <c r="O543" s="25"/>
      <c r="P543" s="15">
        <f>SUMPRODUCT(Business_Portfolio!$D543:$U543,Business_Portfolio!$D$8:$U$8)</f>
        <v>0</v>
      </c>
      <c r="Q543" s="25">
        <f t="shared" si="43"/>
        <v>0</v>
      </c>
      <c r="R543" s="25"/>
      <c r="S543" s="25"/>
      <c r="T543" s="25"/>
      <c r="U543" s="25"/>
    </row>
    <row r="544" spans="1:21" x14ac:dyDescent="0.25">
      <c r="A544" s="155">
        <f t="shared" si="44"/>
        <v>43</v>
      </c>
      <c r="C544" s="79">
        <v>42.916666666666792</v>
      </c>
      <c r="D544" s="15">
        <f>SUMPRODUCT(Business_Portfolio!D544:AM544,Business_Portfolio!$D$8:$AM$8)</f>
        <v>0</v>
      </c>
      <c r="E544" s="25">
        <f t="shared" si="41"/>
        <v>0</v>
      </c>
      <c r="F544" s="25"/>
      <c r="G544" s="25"/>
      <c r="H544" s="25"/>
      <c r="I544" s="25"/>
      <c r="J544" s="15">
        <f>SUMPRODUCT(Business_Portfolio!$V544:$AM544,Business_Portfolio!$V$8:$AM$8)</f>
        <v>0</v>
      </c>
      <c r="K544" s="25">
        <f t="shared" si="42"/>
        <v>0</v>
      </c>
      <c r="L544" s="25"/>
      <c r="M544" s="25"/>
      <c r="N544" s="25"/>
      <c r="O544" s="25"/>
      <c r="P544" s="15">
        <f>SUMPRODUCT(Business_Portfolio!$D544:$U544,Business_Portfolio!$D$8:$U$8)</f>
        <v>0</v>
      </c>
      <c r="Q544" s="25">
        <f t="shared" si="43"/>
        <v>0</v>
      </c>
      <c r="R544" s="25"/>
      <c r="S544" s="25"/>
      <c r="T544" s="25"/>
      <c r="U544" s="25"/>
    </row>
    <row r="545" spans="1:21" x14ac:dyDescent="0.25">
      <c r="A545" s="155">
        <f t="shared" si="44"/>
        <v>43</v>
      </c>
      <c r="C545" s="79">
        <v>43.000000000000128</v>
      </c>
      <c r="D545" s="15">
        <f>SUMPRODUCT(Business_Portfolio!D545:AM545,Business_Portfolio!$D$8:$AM$8)</f>
        <v>0</v>
      </c>
      <c r="E545" s="25">
        <f t="shared" si="41"/>
        <v>0</v>
      </c>
      <c r="F545" s="25"/>
      <c r="G545" s="25"/>
      <c r="H545" s="25"/>
      <c r="I545" s="25"/>
      <c r="J545" s="15">
        <f>SUMPRODUCT(Business_Portfolio!$V545:$AM545,Business_Portfolio!$V$8:$AM$8)</f>
        <v>0</v>
      </c>
      <c r="K545" s="25">
        <f t="shared" si="42"/>
        <v>0</v>
      </c>
      <c r="L545" s="25"/>
      <c r="M545" s="25"/>
      <c r="N545" s="25"/>
      <c r="O545" s="25"/>
      <c r="P545" s="15">
        <f>SUMPRODUCT(Business_Portfolio!$D545:$U545,Business_Portfolio!$D$8:$U$8)</f>
        <v>0</v>
      </c>
      <c r="Q545" s="25">
        <f t="shared" si="43"/>
        <v>0</v>
      </c>
      <c r="R545" s="25"/>
      <c r="S545" s="25"/>
      <c r="T545" s="25"/>
      <c r="U545" s="25"/>
    </row>
    <row r="546" spans="1:21" x14ac:dyDescent="0.25">
      <c r="A546" s="155">
        <f t="shared" si="44"/>
        <v>44</v>
      </c>
      <c r="C546" s="79">
        <v>43.083333333333464</v>
      </c>
      <c r="D546" s="15">
        <f>SUMPRODUCT(Business_Portfolio!D546:AM546,Business_Portfolio!$D$8:$AM$8)</f>
        <v>0</v>
      </c>
      <c r="E546" s="25">
        <f t="shared" si="41"/>
        <v>0</v>
      </c>
      <c r="F546" s="25"/>
      <c r="G546" s="25"/>
      <c r="H546" s="25"/>
      <c r="I546" s="25"/>
      <c r="J546" s="15">
        <f>SUMPRODUCT(Business_Portfolio!$V546:$AM546,Business_Portfolio!$V$8:$AM$8)</f>
        <v>0</v>
      </c>
      <c r="K546" s="25">
        <f t="shared" si="42"/>
        <v>0</v>
      </c>
      <c r="L546" s="25"/>
      <c r="M546" s="25"/>
      <c r="N546" s="25"/>
      <c r="O546" s="25"/>
      <c r="P546" s="15">
        <f>SUMPRODUCT(Business_Portfolio!$D546:$U546,Business_Portfolio!$D$8:$U$8)</f>
        <v>0</v>
      </c>
      <c r="Q546" s="25">
        <f t="shared" si="43"/>
        <v>0</v>
      </c>
      <c r="R546" s="25"/>
      <c r="S546" s="25"/>
      <c r="T546" s="25"/>
      <c r="U546" s="25"/>
    </row>
    <row r="547" spans="1:21" x14ac:dyDescent="0.25">
      <c r="A547" s="155">
        <f t="shared" si="44"/>
        <v>44</v>
      </c>
      <c r="C547" s="79">
        <v>43.166666666666799</v>
      </c>
      <c r="D547" s="15">
        <f>SUMPRODUCT(Business_Portfolio!D547:AM547,Business_Portfolio!$D$8:$AM$8)</f>
        <v>0</v>
      </c>
      <c r="E547" s="25">
        <f t="shared" si="41"/>
        <v>0</v>
      </c>
      <c r="F547" s="25"/>
      <c r="G547" s="25"/>
      <c r="H547" s="25"/>
      <c r="I547" s="25"/>
      <c r="J547" s="15">
        <f>SUMPRODUCT(Business_Portfolio!$V547:$AM547,Business_Portfolio!$V$8:$AM$8)</f>
        <v>0</v>
      </c>
      <c r="K547" s="25">
        <f t="shared" si="42"/>
        <v>0</v>
      </c>
      <c r="L547" s="25"/>
      <c r="M547" s="25"/>
      <c r="N547" s="25"/>
      <c r="O547" s="25"/>
      <c r="P547" s="15">
        <f>SUMPRODUCT(Business_Portfolio!$D547:$U547,Business_Portfolio!$D$8:$U$8)</f>
        <v>0</v>
      </c>
      <c r="Q547" s="25">
        <f t="shared" si="43"/>
        <v>0</v>
      </c>
      <c r="R547" s="25"/>
      <c r="S547" s="25"/>
      <c r="T547" s="25"/>
      <c r="U547" s="25"/>
    </row>
    <row r="548" spans="1:21" x14ac:dyDescent="0.25">
      <c r="A548" s="155">
        <f t="shared" si="44"/>
        <v>44</v>
      </c>
      <c r="C548" s="79">
        <v>43.250000000000135</v>
      </c>
      <c r="D548" s="15">
        <f>SUMPRODUCT(Business_Portfolio!D548:AM548,Business_Portfolio!$D$8:$AM$8)</f>
        <v>0</v>
      </c>
      <c r="E548" s="25">
        <f t="shared" si="41"/>
        <v>0</v>
      </c>
      <c r="F548" s="25"/>
      <c r="G548" s="25"/>
      <c r="H548" s="25"/>
      <c r="I548" s="25"/>
      <c r="J548" s="15">
        <f>SUMPRODUCT(Business_Portfolio!$V548:$AM548,Business_Portfolio!$V$8:$AM$8)</f>
        <v>0</v>
      </c>
      <c r="K548" s="25">
        <f t="shared" si="42"/>
        <v>0</v>
      </c>
      <c r="L548" s="25"/>
      <c r="M548" s="25"/>
      <c r="N548" s="25"/>
      <c r="O548" s="25"/>
      <c r="P548" s="15">
        <f>SUMPRODUCT(Business_Portfolio!$D548:$U548,Business_Portfolio!$D$8:$U$8)</f>
        <v>0</v>
      </c>
      <c r="Q548" s="25">
        <f t="shared" si="43"/>
        <v>0</v>
      </c>
      <c r="R548" s="25"/>
      <c r="S548" s="25"/>
      <c r="T548" s="25"/>
      <c r="U548" s="25"/>
    </row>
    <row r="549" spans="1:21" x14ac:dyDescent="0.25">
      <c r="A549" s="155">
        <f t="shared" si="44"/>
        <v>44</v>
      </c>
      <c r="C549" s="79">
        <v>43.333333333333471</v>
      </c>
      <c r="D549" s="15">
        <f>SUMPRODUCT(Business_Portfolio!D549:AM549,Business_Portfolio!$D$8:$AM$8)</f>
        <v>0</v>
      </c>
      <c r="E549" s="25">
        <f t="shared" si="41"/>
        <v>0</v>
      </c>
      <c r="F549" s="25"/>
      <c r="G549" s="25"/>
      <c r="H549" s="25"/>
      <c r="I549" s="25"/>
      <c r="J549" s="15">
        <f>SUMPRODUCT(Business_Portfolio!$V549:$AM549,Business_Portfolio!$V$8:$AM$8)</f>
        <v>0</v>
      </c>
      <c r="K549" s="25">
        <f t="shared" si="42"/>
        <v>0</v>
      </c>
      <c r="L549" s="25"/>
      <c r="M549" s="25"/>
      <c r="N549" s="25"/>
      <c r="O549" s="25"/>
      <c r="P549" s="15">
        <f>SUMPRODUCT(Business_Portfolio!$D549:$U549,Business_Portfolio!$D$8:$U$8)</f>
        <v>0</v>
      </c>
      <c r="Q549" s="25">
        <f t="shared" si="43"/>
        <v>0</v>
      </c>
      <c r="R549" s="25"/>
      <c r="S549" s="25"/>
      <c r="T549" s="25"/>
      <c r="U549" s="25"/>
    </row>
    <row r="550" spans="1:21" x14ac:dyDescent="0.25">
      <c r="A550" s="155">
        <f t="shared" si="44"/>
        <v>44</v>
      </c>
      <c r="C550" s="79">
        <v>43.416666666666806</v>
      </c>
      <c r="D550" s="15">
        <f>SUMPRODUCT(Business_Portfolio!D550:AM550,Business_Portfolio!$D$8:$AM$8)</f>
        <v>0</v>
      </c>
      <c r="E550" s="25">
        <f t="shared" si="41"/>
        <v>0</v>
      </c>
      <c r="F550" s="25"/>
      <c r="G550" s="25"/>
      <c r="H550" s="25"/>
      <c r="I550" s="25"/>
      <c r="J550" s="15">
        <f>SUMPRODUCT(Business_Portfolio!$V550:$AM550,Business_Portfolio!$V$8:$AM$8)</f>
        <v>0</v>
      </c>
      <c r="K550" s="25">
        <f t="shared" si="42"/>
        <v>0</v>
      </c>
      <c r="L550" s="25"/>
      <c r="M550" s="25"/>
      <c r="N550" s="25"/>
      <c r="O550" s="25"/>
      <c r="P550" s="15">
        <f>SUMPRODUCT(Business_Portfolio!$D550:$U550,Business_Portfolio!$D$8:$U$8)</f>
        <v>0</v>
      </c>
      <c r="Q550" s="25">
        <f t="shared" si="43"/>
        <v>0</v>
      </c>
      <c r="R550" s="25"/>
      <c r="S550" s="25"/>
      <c r="T550" s="25"/>
      <c r="U550" s="25"/>
    </row>
    <row r="551" spans="1:21" x14ac:dyDescent="0.25">
      <c r="A551" s="155">
        <f t="shared" si="44"/>
        <v>44</v>
      </c>
      <c r="C551" s="79">
        <v>43.500000000000142</v>
      </c>
      <c r="D551" s="15">
        <f>SUMPRODUCT(Business_Portfolio!D551:AM551,Business_Portfolio!$D$8:$AM$8)</f>
        <v>0</v>
      </c>
      <c r="E551" s="25">
        <f t="shared" si="41"/>
        <v>0</v>
      </c>
      <c r="F551" s="25"/>
      <c r="G551" s="25"/>
      <c r="H551" s="25"/>
      <c r="I551" s="25"/>
      <c r="J551" s="15">
        <f>SUMPRODUCT(Business_Portfolio!$V551:$AM551,Business_Portfolio!$V$8:$AM$8)</f>
        <v>0</v>
      </c>
      <c r="K551" s="25">
        <f t="shared" si="42"/>
        <v>0</v>
      </c>
      <c r="L551" s="25"/>
      <c r="M551" s="25"/>
      <c r="N551" s="25"/>
      <c r="O551" s="25"/>
      <c r="P551" s="15">
        <f>SUMPRODUCT(Business_Portfolio!$D551:$U551,Business_Portfolio!$D$8:$U$8)</f>
        <v>0</v>
      </c>
      <c r="Q551" s="25">
        <f t="shared" si="43"/>
        <v>0</v>
      </c>
      <c r="R551" s="25"/>
      <c r="S551" s="25"/>
      <c r="T551" s="25"/>
      <c r="U551" s="25"/>
    </row>
    <row r="552" spans="1:21" x14ac:dyDescent="0.25">
      <c r="A552" s="155">
        <f t="shared" si="44"/>
        <v>44</v>
      </c>
      <c r="C552" s="79">
        <v>43.583333333333478</v>
      </c>
      <c r="D552" s="15">
        <f>SUMPRODUCT(Business_Portfolio!D552:AM552,Business_Portfolio!$D$8:$AM$8)</f>
        <v>0</v>
      </c>
      <c r="E552" s="25">
        <f t="shared" si="41"/>
        <v>0</v>
      </c>
      <c r="F552" s="25"/>
      <c r="G552" s="25"/>
      <c r="H552" s="25"/>
      <c r="I552" s="25"/>
      <c r="J552" s="15">
        <f>SUMPRODUCT(Business_Portfolio!$V552:$AM552,Business_Portfolio!$V$8:$AM$8)</f>
        <v>0</v>
      </c>
      <c r="K552" s="25">
        <f t="shared" si="42"/>
        <v>0</v>
      </c>
      <c r="L552" s="25"/>
      <c r="M552" s="25"/>
      <c r="N552" s="25"/>
      <c r="O552" s="25"/>
      <c r="P552" s="15">
        <f>SUMPRODUCT(Business_Portfolio!$D552:$U552,Business_Portfolio!$D$8:$U$8)</f>
        <v>0</v>
      </c>
      <c r="Q552" s="25">
        <f t="shared" si="43"/>
        <v>0</v>
      </c>
      <c r="R552" s="25"/>
      <c r="S552" s="25"/>
      <c r="T552" s="25"/>
      <c r="U552" s="25"/>
    </row>
    <row r="553" spans="1:21" x14ac:dyDescent="0.25">
      <c r="A553" s="155">
        <f t="shared" si="44"/>
        <v>44</v>
      </c>
      <c r="C553" s="79">
        <v>43.666666666666814</v>
      </c>
      <c r="D553" s="15">
        <f>SUMPRODUCT(Business_Portfolio!D553:AM553,Business_Portfolio!$D$8:$AM$8)</f>
        <v>0</v>
      </c>
      <c r="E553" s="25">
        <f t="shared" si="41"/>
        <v>0</v>
      </c>
      <c r="F553" s="25"/>
      <c r="G553" s="25"/>
      <c r="H553" s="25"/>
      <c r="I553" s="25"/>
      <c r="J553" s="15">
        <f>SUMPRODUCT(Business_Portfolio!$V553:$AM553,Business_Portfolio!$V$8:$AM$8)</f>
        <v>0</v>
      </c>
      <c r="K553" s="25">
        <f t="shared" si="42"/>
        <v>0</v>
      </c>
      <c r="L553" s="25"/>
      <c r="M553" s="25"/>
      <c r="N553" s="25"/>
      <c r="O553" s="25"/>
      <c r="P553" s="15">
        <f>SUMPRODUCT(Business_Portfolio!$D553:$U553,Business_Portfolio!$D$8:$U$8)</f>
        <v>0</v>
      </c>
      <c r="Q553" s="25">
        <f t="shared" si="43"/>
        <v>0</v>
      </c>
      <c r="R553" s="25"/>
      <c r="S553" s="25"/>
      <c r="T553" s="25"/>
      <c r="U553" s="25"/>
    </row>
    <row r="554" spans="1:21" x14ac:dyDescent="0.25">
      <c r="A554" s="155">
        <f t="shared" si="44"/>
        <v>44</v>
      </c>
      <c r="C554" s="79">
        <v>43.750000000000149</v>
      </c>
      <c r="D554" s="15">
        <f>SUMPRODUCT(Business_Portfolio!D554:AM554,Business_Portfolio!$D$8:$AM$8)</f>
        <v>0</v>
      </c>
      <c r="E554" s="25">
        <f t="shared" si="41"/>
        <v>0</v>
      </c>
      <c r="F554" s="25"/>
      <c r="G554" s="25"/>
      <c r="H554" s="25"/>
      <c r="I554" s="25"/>
      <c r="J554" s="15">
        <f>SUMPRODUCT(Business_Portfolio!$V554:$AM554,Business_Portfolio!$V$8:$AM$8)</f>
        <v>0</v>
      </c>
      <c r="K554" s="25">
        <f t="shared" si="42"/>
        <v>0</v>
      </c>
      <c r="L554" s="25"/>
      <c r="M554" s="25"/>
      <c r="N554" s="25"/>
      <c r="O554" s="25"/>
      <c r="P554" s="15">
        <f>SUMPRODUCT(Business_Portfolio!$D554:$U554,Business_Portfolio!$D$8:$U$8)</f>
        <v>0</v>
      </c>
      <c r="Q554" s="25">
        <f t="shared" si="43"/>
        <v>0</v>
      </c>
      <c r="R554" s="25"/>
      <c r="S554" s="25"/>
      <c r="T554" s="25"/>
      <c r="U554" s="25"/>
    </row>
    <row r="555" spans="1:21" x14ac:dyDescent="0.25">
      <c r="A555" s="155">
        <f t="shared" si="44"/>
        <v>44</v>
      </c>
      <c r="C555" s="79">
        <v>43.833333333333485</v>
      </c>
      <c r="D555" s="15">
        <f>SUMPRODUCT(Business_Portfolio!D555:AM555,Business_Portfolio!$D$8:$AM$8)</f>
        <v>0</v>
      </c>
      <c r="E555" s="25">
        <f t="shared" si="41"/>
        <v>0</v>
      </c>
      <c r="F555" s="25"/>
      <c r="G555" s="25"/>
      <c r="H555" s="25"/>
      <c r="I555" s="25"/>
      <c r="J555" s="15">
        <f>SUMPRODUCT(Business_Portfolio!$V555:$AM555,Business_Portfolio!$V$8:$AM$8)</f>
        <v>0</v>
      </c>
      <c r="K555" s="25">
        <f t="shared" si="42"/>
        <v>0</v>
      </c>
      <c r="L555" s="25"/>
      <c r="M555" s="25"/>
      <c r="N555" s="25"/>
      <c r="O555" s="25"/>
      <c r="P555" s="15">
        <f>SUMPRODUCT(Business_Portfolio!$D555:$U555,Business_Portfolio!$D$8:$U$8)</f>
        <v>0</v>
      </c>
      <c r="Q555" s="25">
        <f t="shared" si="43"/>
        <v>0</v>
      </c>
      <c r="R555" s="25"/>
      <c r="S555" s="25"/>
      <c r="T555" s="25"/>
      <c r="U555" s="25"/>
    </row>
    <row r="556" spans="1:21" x14ac:dyDescent="0.25">
      <c r="A556" s="155">
        <f t="shared" si="44"/>
        <v>44</v>
      </c>
      <c r="C556" s="79">
        <v>43.916666666666821</v>
      </c>
      <c r="D556" s="15">
        <f>SUMPRODUCT(Business_Portfolio!D556:AM556,Business_Portfolio!$D$8:$AM$8)</f>
        <v>0</v>
      </c>
      <c r="E556" s="25">
        <f t="shared" si="41"/>
        <v>0</v>
      </c>
      <c r="F556" s="25"/>
      <c r="G556" s="25"/>
      <c r="H556" s="25"/>
      <c r="I556" s="25"/>
      <c r="J556" s="15">
        <f>SUMPRODUCT(Business_Portfolio!$V556:$AM556,Business_Portfolio!$V$8:$AM$8)</f>
        <v>0</v>
      </c>
      <c r="K556" s="25">
        <f t="shared" si="42"/>
        <v>0</v>
      </c>
      <c r="L556" s="25"/>
      <c r="M556" s="25"/>
      <c r="N556" s="25"/>
      <c r="O556" s="25"/>
      <c r="P556" s="15">
        <f>SUMPRODUCT(Business_Portfolio!$D556:$U556,Business_Portfolio!$D$8:$U$8)</f>
        <v>0</v>
      </c>
      <c r="Q556" s="25">
        <f t="shared" si="43"/>
        <v>0</v>
      </c>
      <c r="R556" s="25"/>
      <c r="S556" s="25"/>
      <c r="T556" s="25"/>
      <c r="U556" s="25"/>
    </row>
    <row r="557" spans="1:21" x14ac:dyDescent="0.25">
      <c r="A557" s="155">
        <f t="shared" si="44"/>
        <v>44</v>
      </c>
      <c r="C557" s="79">
        <v>44.000000000000156</v>
      </c>
      <c r="D557" s="15">
        <f>SUMPRODUCT(Business_Portfolio!D557:AM557,Business_Portfolio!$D$8:$AM$8)</f>
        <v>0</v>
      </c>
      <c r="E557" s="25">
        <f t="shared" si="41"/>
        <v>0</v>
      </c>
      <c r="F557" s="25"/>
      <c r="G557" s="25"/>
      <c r="H557" s="25"/>
      <c r="I557" s="25"/>
      <c r="J557" s="15">
        <f>SUMPRODUCT(Business_Portfolio!$V557:$AM557,Business_Portfolio!$V$8:$AM$8)</f>
        <v>0</v>
      </c>
      <c r="K557" s="25">
        <f t="shared" si="42"/>
        <v>0</v>
      </c>
      <c r="L557" s="25"/>
      <c r="M557" s="25"/>
      <c r="N557" s="25"/>
      <c r="O557" s="25"/>
      <c r="P557" s="15">
        <f>SUMPRODUCT(Business_Portfolio!$D557:$U557,Business_Portfolio!$D$8:$U$8)</f>
        <v>0</v>
      </c>
      <c r="Q557" s="25">
        <f t="shared" si="43"/>
        <v>0</v>
      </c>
      <c r="R557" s="25"/>
      <c r="S557" s="25"/>
      <c r="T557" s="25"/>
      <c r="U557" s="25"/>
    </row>
    <row r="558" spans="1:21" x14ac:dyDescent="0.25">
      <c r="A558" s="155">
        <f t="shared" si="44"/>
        <v>45</v>
      </c>
      <c r="C558" s="79">
        <v>44.083333333333492</v>
      </c>
      <c r="D558" s="15">
        <f>SUMPRODUCT(Business_Portfolio!D558:AM558,Business_Portfolio!$D$8:$AM$8)</f>
        <v>0</v>
      </c>
      <c r="E558" s="25">
        <f t="shared" si="41"/>
        <v>0</v>
      </c>
      <c r="F558" s="25"/>
      <c r="G558" s="25"/>
      <c r="H558" s="25"/>
      <c r="I558" s="25"/>
      <c r="J558" s="15">
        <f>SUMPRODUCT(Business_Portfolio!$V558:$AM558,Business_Portfolio!$V$8:$AM$8)</f>
        <v>0</v>
      </c>
      <c r="K558" s="25">
        <f t="shared" si="42"/>
        <v>0</v>
      </c>
      <c r="L558" s="25"/>
      <c r="M558" s="25"/>
      <c r="N558" s="25"/>
      <c r="O558" s="25"/>
      <c r="P558" s="15">
        <f>SUMPRODUCT(Business_Portfolio!$D558:$U558,Business_Portfolio!$D$8:$U$8)</f>
        <v>0</v>
      </c>
      <c r="Q558" s="25">
        <f t="shared" si="43"/>
        <v>0</v>
      </c>
      <c r="R558" s="25"/>
      <c r="S558" s="25"/>
      <c r="T558" s="25"/>
      <c r="U558" s="25"/>
    </row>
    <row r="559" spans="1:21" x14ac:dyDescent="0.25">
      <c r="A559" s="155">
        <f t="shared" si="44"/>
        <v>45</v>
      </c>
      <c r="C559" s="79">
        <v>44.166666666666828</v>
      </c>
      <c r="D559" s="15">
        <f>SUMPRODUCT(Business_Portfolio!D559:AM559,Business_Portfolio!$D$8:$AM$8)</f>
        <v>0</v>
      </c>
      <c r="E559" s="25">
        <f t="shared" si="41"/>
        <v>0</v>
      </c>
      <c r="F559" s="25"/>
      <c r="G559" s="25"/>
      <c r="H559" s="25"/>
      <c r="I559" s="25"/>
      <c r="J559" s="15">
        <f>SUMPRODUCT(Business_Portfolio!$V559:$AM559,Business_Portfolio!$V$8:$AM$8)</f>
        <v>0</v>
      </c>
      <c r="K559" s="25">
        <f t="shared" si="42"/>
        <v>0</v>
      </c>
      <c r="L559" s="25"/>
      <c r="M559" s="25"/>
      <c r="N559" s="25"/>
      <c r="O559" s="25"/>
      <c r="P559" s="15">
        <f>SUMPRODUCT(Business_Portfolio!$D559:$U559,Business_Portfolio!$D$8:$U$8)</f>
        <v>0</v>
      </c>
      <c r="Q559" s="25">
        <f t="shared" si="43"/>
        <v>0</v>
      </c>
      <c r="R559" s="25"/>
      <c r="S559" s="25"/>
      <c r="T559" s="25"/>
      <c r="U559" s="25"/>
    </row>
    <row r="560" spans="1:21" x14ac:dyDescent="0.25">
      <c r="A560" s="155">
        <f t="shared" si="44"/>
        <v>45</v>
      </c>
      <c r="C560" s="79">
        <v>44.250000000000163</v>
      </c>
      <c r="D560" s="15">
        <f>SUMPRODUCT(Business_Portfolio!D560:AM560,Business_Portfolio!$D$8:$AM$8)</f>
        <v>0</v>
      </c>
      <c r="E560" s="25">
        <f t="shared" si="41"/>
        <v>0</v>
      </c>
      <c r="F560" s="25"/>
      <c r="G560" s="25"/>
      <c r="H560" s="25"/>
      <c r="I560" s="25"/>
      <c r="J560" s="15">
        <f>SUMPRODUCT(Business_Portfolio!$V560:$AM560,Business_Portfolio!$V$8:$AM$8)</f>
        <v>0</v>
      </c>
      <c r="K560" s="25">
        <f t="shared" si="42"/>
        <v>0</v>
      </c>
      <c r="L560" s="25"/>
      <c r="M560" s="25"/>
      <c r="N560" s="25"/>
      <c r="O560" s="25"/>
      <c r="P560" s="15">
        <f>SUMPRODUCT(Business_Portfolio!$D560:$U560,Business_Portfolio!$D$8:$U$8)</f>
        <v>0</v>
      </c>
      <c r="Q560" s="25">
        <f t="shared" si="43"/>
        <v>0</v>
      </c>
      <c r="R560" s="25"/>
      <c r="S560" s="25"/>
      <c r="T560" s="25"/>
      <c r="U560" s="25"/>
    </row>
    <row r="561" spans="1:21" x14ac:dyDescent="0.25">
      <c r="A561" s="155">
        <f t="shared" si="44"/>
        <v>45</v>
      </c>
      <c r="C561" s="79">
        <v>44.333333333333499</v>
      </c>
      <c r="D561" s="15">
        <f>SUMPRODUCT(Business_Portfolio!D561:AM561,Business_Portfolio!$D$8:$AM$8)</f>
        <v>0</v>
      </c>
      <c r="E561" s="25">
        <f t="shared" si="41"/>
        <v>0</v>
      </c>
      <c r="F561" s="25"/>
      <c r="G561" s="25"/>
      <c r="H561" s="25"/>
      <c r="I561" s="25"/>
      <c r="J561" s="15">
        <f>SUMPRODUCT(Business_Portfolio!$V561:$AM561,Business_Portfolio!$V$8:$AM$8)</f>
        <v>0</v>
      </c>
      <c r="K561" s="25">
        <f t="shared" si="42"/>
        <v>0</v>
      </c>
      <c r="L561" s="25"/>
      <c r="M561" s="25"/>
      <c r="N561" s="25"/>
      <c r="O561" s="25"/>
      <c r="P561" s="15">
        <f>SUMPRODUCT(Business_Portfolio!$D561:$U561,Business_Portfolio!$D$8:$U$8)</f>
        <v>0</v>
      </c>
      <c r="Q561" s="25">
        <f t="shared" si="43"/>
        <v>0</v>
      </c>
      <c r="R561" s="25"/>
      <c r="S561" s="25"/>
      <c r="T561" s="25"/>
      <c r="U561" s="25"/>
    </row>
    <row r="562" spans="1:21" x14ac:dyDescent="0.25">
      <c r="A562" s="155">
        <f t="shared" si="44"/>
        <v>45</v>
      </c>
      <c r="C562" s="79">
        <v>44.416666666666835</v>
      </c>
      <c r="D562" s="15">
        <f>SUMPRODUCT(Business_Portfolio!D562:AM562,Business_Portfolio!$D$8:$AM$8)</f>
        <v>0</v>
      </c>
      <c r="E562" s="25">
        <f t="shared" si="41"/>
        <v>0</v>
      </c>
      <c r="F562" s="25"/>
      <c r="G562" s="25"/>
      <c r="H562" s="25"/>
      <c r="I562" s="25"/>
      <c r="J562" s="15">
        <f>SUMPRODUCT(Business_Portfolio!$V562:$AM562,Business_Portfolio!$V$8:$AM$8)</f>
        <v>0</v>
      </c>
      <c r="K562" s="25">
        <f t="shared" si="42"/>
        <v>0</v>
      </c>
      <c r="L562" s="25"/>
      <c r="M562" s="25"/>
      <c r="N562" s="25"/>
      <c r="O562" s="25"/>
      <c r="P562" s="15">
        <f>SUMPRODUCT(Business_Portfolio!$D562:$U562,Business_Portfolio!$D$8:$U$8)</f>
        <v>0</v>
      </c>
      <c r="Q562" s="25">
        <f t="shared" si="43"/>
        <v>0</v>
      </c>
      <c r="R562" s="25"/>
      <c r="S562" s="25"/>
      <c r="T562" s="25"/>
      <c r="U562" s="25"/>
    </row>
    <row r="563" spans="1:21" x14ac:dyDescent="0.25">
      <c r="A563" s="155">
        <f t="shared" si="44"/>
        <v>45</v>
      </c>
      <c r="C563" s="79">
        <v>44.500000000000171</v>
      </c>
      <c r="D563" s="15">
        <f>SUMPRODUCT(Business_Portfolio!D563:AM563,Business_Portfolio!$D$8:$AM$8)</f>
        <v>0</v>
      </c>
      <c r="E563" s="25">
        <f t="shared" si="41"/>
        <v>0</v>
      </c>
      <c r="F563" s="25"/>
      <c r="G563" s="25"/>
      <c r="H563" s="25"/>
      <c r="I563" s="25"/>
      <c r="J563" s="15">
        <f>SUMPRODUCT(Business_Portfolio!$V563:$AM563,Business_Portfolio!$V$8:$AM$8)</f>
        <v>0</v>
      </c>
      <c r="K563" s="25">
        <f t="shared" si="42"/>
        <v>0</v>
      </c>
      <c r="L563" s="25"/>
      <c r="M563" s="25"/>
      <c r="N563" s="25"/>
      <c r="O563" s="25"/>
      <c r="P563" s="15">
        <f>SUMPRODUCT(Business_Portfolio!$D563:$U563,Business_Portfolio!$D$8:$U$8)</f>
        <v>0</v>
      </c>
      <c r="Q563" s="25">
        <f t="shared" si="43"/>
        <v>0</v>
      </c>
      <c r="R563" s="25"/>
      <c r="S563" s="25"/>
      <c r="T563" s="25"/>
      <c r="U563" s="25"/>
    </row>
    <row r="564" spans="1:21" x14ac:dyDescent="0.25">
      <c r="A564" s="155">
        <f t="shared" si="44"/>
        <v>45</v>
      </c>
      <c r="C564" s="79">
        <v>44.583333333333506</v>
      </c>
      <c r="D564" s="15">
        <f>SUMPRODUCT(Business_Portfolio!D564:AM564,Business_Portfolio!$D$8:$AM$8)</f>
        <v>0</v>
      </c>
      <c r="E564" s="25">
        <f t="shared" si="41"/>
        <v>0</v>
      </c>
      <c r="F564" s="25"/>
      <c r="G564" s="25"/>
      <c r="H564" s="25"/>
      <c r="I564" s="25"/>
      <c r="J564" s="15">
        <f>SUMPRODUCT(Business_Portfolio!$V564:$AM564,Business_Portfolio!$V$8:$AM$8)</f>
        <v>0</v>
      </c>
      <c r="K564" s="25">
        <f t="shared" si="42"/>
        <v>0</v>
      </c>
      <c r="L564" s="25"/>
      <c r="M564" s="25"/>
      <c r="N564" s="25"/>
      <c r="O564" s="25"/>
      <c r="P564" s="15">
        <f>SUMPRODUCT(Business_Portfolio!$D564:$U564,Business_Portfolio!$D$8:$U$8)</f>
        <v>0</v>
      </c>
      <c r="Q564" s="25">
        <f t="shared" si="43"/>
        <v>0</v>
      </c>
      <c r="R564" s="25"/>
      <c r="S564" s="25"/>
      <c r="T564" s="25"/>
      <c r="U564" s="25"/>
    </row>
    <row r="565" spans="1:21" x14ac:dyDescent="0.25">
      <c r="A565" s="155">
        <f t="shared" si="44"/>
        <v>45</v>
      </c>
      <c r="C565" s="79">
        <v>44.666666666666842</v>
      </c>
      <c r="D565" s="15">
        <f>SUMPRODUCT(Business_Portfolio!D565:AM565,Business_Portfolio!$D$8:$AM$8)</f>
        <v>0</v>
      </c>
      <c r="E565" s="25">
        <f t="shared" si="41"/>
        <v>0</v>
      </c>
      <c r="F565" s="25"/>
      <c r="G565" s="25"/>
      <c r="H565" s="25"/>
      <c r="I565" s="25"/>
      <c r="J565" s="15">
        <f>SUMPRODUCT(Business_Portfolio!$V565:$AM565,Business_Portfolio!$V$8:$AM$8)</f>
        <v>0</v>
      </c>
      <c r="K565" s="25">
        <f t="shared" si="42"/>
        <v>0</v>
      </c>
      <c r="L565" s="25"/>
      <c r="M565" s="25"/>
      <c r="N565" s="25"/>
      <c r="O565" s="25"/>
      <c r="P565" s="15">
        <f>SUMPRODUCT(Business_Portfolio!$D565:$U565,Business_Portfolio!$D$8:$U$8)</f>
        <v>0</v>
      </c>
      <c r="Q565" s="25">
        <f t="shared" si="43"/>
        <v>0</v>
      </c>
      <c r="R565" s="25"/>
      <c r="S565" s="25"/>
      <c r="T565" s="25"/>
      <c r="U565" s="25"/>
    </row>
    <row r="566" spans="1:21" x14ac:dyDescent="0.25">
      <c r="A566" s="155">
        <f t="shared" si="44"/>
        <v>45</v>
      </c>
      <c r="C566" s="79">
        <v>44.750000000000178</v>
      </c>
      <c r="D566" s="15">
        <f>SUMPRODUCT(Business_Portfolio!D566:AM566,Business_Portfolio!$D$8:$AM$8)</f>
        <v>0</v>
      </c>
      <c r="E566" s="25">
        <f t="shared" si="41"/>
        <v>0</v>
      </c>
      <c r="F566" s="25"/>
      <c r="G566" s="25"/>
      <c r="H566" s="25"/>
      <c r="I566" s="25"/>
      <c r="J566" s="15">
        <f>SUMPRODUCT(Business_Portfolio!$V566:$AM566,Business_Portfolio!$V$8:$AM$8)</f>
        <v>0</v>
      </c>
      <c r="K566" s="25">
        <f t="shared" si="42"/>
        <v>0</v>
      </c>
      <c r="L566" s="25"/>
      <c r="M566" s="25"/>
      <c r="N566" s="25"/>
      <c r="O566" s="25"/>
      <c r="P566" s="15">
        <f>SUMPRODUCT(Business_Portfolio!$D566:$U566,Business_Portfolio!$D$8:$U$8)</f>
        <v>0</v>
      </c>
      <c r="Q566" s="25">
        <f t="shared" si="43"/>
        <v>0</v>
      </c>
      <c r="R566" s="25"/>
      <c r="S566" s="25"/>
      <c r="T566" s="25"/>
      <c r="U566" s="25"/>
    </row>
    <row r="567" spans="1:21" x14ac:dyDescent="0.25">
      <c r="A567" s="155">
        <f t="shared" si="44"/>
        <v>45</v>
      </c>
      <c r="C567" s="79">
        <v>44.833333333333513</v>
      </c>
      <c r="D567" s="15">
        <f>SUMPRODUCT(Business_Portfolio!D567:AM567,Business_Portfolio!$D$8:$AM$8)</f>
        <v>0</v>
      </c>
      <c r="E567" s="25">
        <f t="shared" si="41"/>
        <v>0</v>
      </c>
      <c r="F567" s="25"/>
      <c r="G567" s="25"/>
      <c r="H567" s="25"/>
      <c r="I567" s="25"/>
      <c r="J567" s="15">
        <f>SUMPRODUCT(Business_Portfolio!$V567:$AM567,Business_Portfolio!$V$8:$AM$8)</f>
        <v>0</v>
      </c>
      <c r="K567" s="25">
        <f t="shared" si="42"/>
        <v>0</v>
      </c>
      <c r="L567" s="25"/>
      <c r="M567" s="25"/>
      <c r="N567" s="25"/>
      <c r="O567" s="25"/>
      <c r="P567" s="15">
        <f>SUMPRODUCT(Business_Portfolio!$D567:$U567,Business_Portfolio!$D$8:$U$8)</f>
        <v>0</v>
      </c>
      <c r="Q567" s="25">
        <f t="shared" si="43"/>
        <v>0</v>
      </c>
      <c r="R567" s="25"/>
      <c r="S567" s="25"/>
      <c r="T567" s="25"/>
      <c r="U567" s="25"/>
    </row>
    <row r="568" spans="1:21" x14ac:dyDescent="0.25">
      <c r="A568" s="155">
        <f t="shared" si="44"/>
        <v>45</v>
      </c>
      <c r="C568" s="79">
        <v>44.916666666666849</v>
      </c>
      <c r="D568" s="15">
        <f>SUMPRODUCT(Business_Portfolio!D568:AM568,Business_Portfolio!$D$8:$AM$8)</f>
        <v>0</v>
      </c>
      <c r="E568" s="25">
        <f t="shared" si="41"/>
        <v>0</v>
      </c>
      <c r="F568" s="25"/>
      <c r="G568" s="25"/>
      <c r="H568" s="25"/>
      <c r="I568" s="25"/>
      <c r="J568" s="15">
        <f>SUMPRODUCT(Business_Portfolio!$V568:$AM568,Business_Portfolio!$V$8:$AM$8)</f>
        <v>0</v>
      </c>
      <c r="K568" s="25">
        <f t="shared" si="42"/>
        <v>0</v>
      </c>
      <c r="L568" s="25"/>
      <c r="M568" s="25"/>
      <c r="N568" s="25"/>
      <c r="O568" s="25"/>
      <c r="P568" s="15">
        <f>SUMPRODUCT(Business_Portfolio!$D568:$U568,Business_Portfolio!$D$8:$U$8)</f>
        <v>0</v>
      </c>
      <c r="Q568" s="25">
        <f t="shared" si="43"/>
        <v>0</v>
      </c>
      <c r="R568" s="25"/>
      <c r="S568" s="25"/>
      <c r="T568" s="25"/>
      <c r="U568" s="25"/>
    </row>
    <row r="569" spans="1:21" x14ac:dyDescent="0.25">
      <c r="A569" s="155">
        <f t="shared" si="44"/>
        <v>45</v>
      </c>
      <c r="C569" s="79">
        <v>45.000000000000185</v>
      </c>
      <c r="D569" s="15">
        <f>SUMPRODUCT(Business_Portfolio!D569:AM569,Business_Portfolio!$D$8:$AM$8)</f>
        <v>0</v>
      </c>
      <c r="E569" s="25">
        <f t="shared" si="41"/>
        <v>0</v>
      </c>
      <c r="F569" s="25"/>
      <c r="G569" s="25"/>
      <c r="H569" s="25"/>
      <c r="I569" s="25"/>
      <c r="J569" s="15">
        <f>SUMPRODUCT(Business_Portfolio!$V569:$AM569,Business_Portfolio!$V$8:$AM$8)</f>
        <v>0</v>
      </c>
      <c r="K569" s="25">
        <f t="shared" si="42"/>
        <v>0</v>
      </c>
      <c r="L569" s="25"/>
      <c r="M569" s="25"/>
      <c r="N569" s="25"/>
      <c r="O569" s="25"/>
      <c r="P569" s="15">
        <f>SUMPRODUCT(Business_Portfolio!$D569:$U569,Business_Portfolio!$D$8:$U$8)</f>
        <v>0</v>
      </c>
      <c r="Q569" s="25">
        <f t="shared" si="43"/>
        <v>0</v>
      </c>
      <c r="R569" s="25"/>
      <c r="S569" s="25"/>
      <c r="T569" s="25"/>
      <c r="U569" s="25"/>
    </row>
    <row r="570" spans="1:21" x14ac:dyDescent="0.25">
      <c r="A570" s="155">
        <f t="shared" si="44"/>
        <v>46</v>
      </c>
      <c r="C570" s="79">
        <v>45.08333333333352</v>
      </c>
      <c r="D570" s="15">
        <f>SUMPRODUCT(Business_Portfolio!D570:AM570,Business_Portfolio!$D$8:$AM$8)</f>
        <v>0</v>
      </c>
      <c r="E570" s="25">
        <f t="shared" si="41"/>
        <v>0</v>
      </c>
      <c r="F570" s="25"/>
      <c r="G570" s="25"/>
      <c r="H570" s="25"/>
      <c r="I570" s="25"/>
      <c r="J570" s="15">
        <f>SUMPRODUCT(Business_Portfolio!$V570:$AM570,Business_Portfolio!$V$8:$AM$8)</f>
        <v>0</v>
      </c>
      <c r="K570" s="25">
        <f t="shared" si="42"/>
        <v>0</v>
      </c>
      <c r="L570" s="25"/>
      <c r="M570" s="25"/>
      <c r="N570" s="25"/>
      <c r="O570" s="25"/>
      <c r="P570" s="15">
        <f>SUMPRODUCT(Business_Portfolio!$D570:$U570,Business_Portfolio!$D$8:$U$8)</f>
        <v>0</v>
      </c>
      <c r="Q570" s="25">
        <f t="shared" si="43"/>
        <v>0</v>
      </c>
      <c r="R570" s="25"/>
      <c r="S570" s="25"/>
      <c r="T570" s="25"/>
      <c r="U570" s="25"/>
    </row>
    <row r="571" spans="1:21" x14ac:dyDescent="0.25">
      <c r="A571" s="155">
        <f t="shared" si="44"/>
        <v>46</v>
      </c>
      <c r="C571" s="79">
        <v>45.166666666666856</v>
      </c>
      <c r="D571" s="15">
        <f>SUMPRODUCT(Business_Portfolio!D571:AM571,Business_Portfolio!$D$8:$AM$8)</f>
        <v>0</v>
      </c>
      <c r="E571" s="25">
        <f t="shared" si="41"/>
        <v>0</v>
      </c>
      <c r="F571" s="25"/>
      <c r="G571" s="25"/>
      <c r="H571" s="25"/>
      <c r="I571" s="25"/>
      <c r="J571" s="15">
        <f>SUMPRODUCT(Business_Portfolio!$V571:$AM571,Business_Portfolio!$V$8:$AM$8)</f>
        <v>0</v>
      </c>
      <c r="K571" s="25">
        <f t="shared" si="42"/>
        <v>0</v>
      </c>
      <c r="L571" s="25"/>
      <c r="M571" s="25"/>
      <c r="N571" s="25"/>
      <c r="O571" s="25"/>
      <c r="P571" s="15">
        <f>SUMPRODUCT(Business_Portfolio!$D571:$U571,Business_Portfolio!$D$8:$U$8)</f>
        <v>0</v>
      </c>
      <c r="Q571" s="25">
        <f t="shared" si="43"/>
        <v>0</v>
      </c>
      <c r="R571" s="25"/>
      <c r="S571" s="25"/>
      <c r="T571" s="25"/>
      <c r="U571" s="25"/>
    </row>
    <row r="572" spans="1:21" x14ac:dyDescent="0.25">
      <c r="A572" s="155">
        <f t="shared" si="44"/>
        <v>46</v>
      </c>
      <c r="C572" s="79">
        <v>45.250000000000192</v>
      </c>
      <c r="D572" s="15">
        <f>SUMPRODUCT(Business_Portfolio!D572:AM572,Business_Portfolio!$D$8:$AM$8)</f>
        <v>0</v>
      </c>
      <c r="E572" s="25">
        <f t="shared" si="41"/>
        <v>0</v>
      </c>
      <c r="F572" s="25"/>
      <c r="G572" s="25"/>
      <c r="H572" s="25"/>
      <c r="I572" s="25"/>
      <c r="J572" s="15">
        <f>SUMPRODUCT(Business_Portfolio!$V572:$AM572,Business_Portfolio!$V$8:$AM$8)</f>
        <v>0</v>
      </c>
      <c r="K572" s="25">
        <f t="shared" si="42"/>
        <v>0</v>
      </c>
      <c r="L572" s="25"/>
      <c r="M572" s="25"/>
      <c r="N572" s="25"/>
      <c r="O572" s="25"/>
      <c r="P572" s="15">
        <f>SUMPRODUCT(Business_Portfolio!$D572:$U572,Business_Portfolio!$D$8:$U$8)</f>
        <v>0</v>
      </c>
      <c r="Q572" s="25">
        <f t="shared" si="43"/>
        <v>0</v>
      </c>
      <c r="R572" s="25"/>
      <c r="S572" s="25"/>
      <c r="T572" s="25"/>
      <c r="U572" s="25"/>
    </row>
    <row r="573" spans="1:21" x14ac:dyDescent="0.25">
      <c r="A573" s="155">
        <f t="shared" si="44"/>
        <v>46</v>
      </c>
      <c r="C573" s="79">
        <v>45.333333333333528</v>
      </c>
      <c r="D573" s="15">
        <f>SUMPRODUCT(Business_Portfolio!D573:AM573,Business_Portfolio!$D$8:$AM$8)</f>
        <v>0</v>
      </c>
      <c r="E573" s="25">
        <f t="shared" si="41"/>
        <v>0</v>
      </c>
      <c r="F573" s="25"/>
      <c r="G573" s="25"/>
      <c r="H573" s="25"/>
      <c r="I573" s="25"/>
      <c r="J573" s="15">
        <f>SUMPRODUCT(Business_Portfolio!$V573:$AM573,Business_Portfolio!$V$8:$AM$8)</f>
        <v>0</v>
      </c>
      <c r="K573" s="25">
        <f t="shared" si="42"/>
        <v>0</v>
      </c>
      <c r="L573" s="25"/>
      <c r="M573" s="25"/>
      <c r="N573" s="25"/>
      <c r="O573" s="25"/>
      <c r="P573" s="15">
        <f>SUMPRODUCT(Business_Portfolio!$D573:$U573,Business_Portfolio!$D$8:$U$8)</f>
        <v>0</v>
      </c>
      <c r="Q573" s="25">
        <f t="shared" si="43"/>
        <v>0</v>
      </c>
      <c r="R573" s="25"/>
      <c r="S573" s="25"/>
      <c r="T573" s="25"/>
      <c r="U573" s="25"/>
    </row>
    <row r="574" spans="1:21" x14ac:dyDescent="0.25">
      <c r="A574" s="155">
        <f t="shared" si="44"/>
        <v>46</v>
      </c>
      <c r="C574" s="79">
        <v>45.416666666666863</v>
      </c>
      <c r="D574" s="15">
        <f>SUMPRODUCT(Business_Portfolio!D574:AM574,Business_Portfolio!$D$8:$AM$8)</f>
        <v>0</v>
      </c>
      <c r="E574" s="25">
        <f t="shared" si="41"/>
        <v>0</v>
      </c>
      <c r="F574" s="25"/>
      <c r="G574" s="25"/>
      <c r="H574" s="25"/>
      <c r="I574" s="25"/>
      <c r="J574" s="15">
        <f>SUMPRODUCT(Business_Portfolio!$V574:$AM574,Business_Portfolio!$V$8:$AM$8)</f>
        <v>0</v>
      </c>
      <c r="K574" s="25">
        <f t="shared" si="42"/>
        <v>0</v>
      </c>
      <c r="L574" s="25"/>
      <c r="M574" s="25"/>
      <c r="N574" s="25"/>
      <c r="O574" s="25"/>
      <c r="P574" s="15">
        <f>SUMPRODUCT(Business_Portfolio!$D574:$U574,Business_Portfolio!$D$8:$U$8)</f>
        <v>0</v>
      </c>
      <c r="Q574" s="25">
        <f t="shared" si="43"/>
        <v>0</v>
      </c>
      <c r="R574" s="25"/>
      <c r="S574" s="25"/>
      <c r="T574" s="25"/>
      <c r="U574" s="25"/>
    </row>
    <row r="575" spans="1:21" x14ac:dyDescent="0.25">
      <c r="A575" s="155">
        <f t="shared" si="44"/>
        <v>46</v>
      </c>
      <c r="C575" s="79">
        <v>45.500000000000199</v>
      </c>
      <c r="D575" s="15">
        <f>SUMPRODUCT(Business_Portfolio!D575:AM575,Business_Portfolio!$D$8:$AM$8)</f>
        <v>0</v>
      </c>
      <c r="E575" s="25">
        <f t="shared" si="41"/>
        <v>0</v>
      </c>
      <c r="F575" s="25"/>
      <c r="G575" s="25"/>
      <c r="H575" s="25"/>
      <c r="I575" s="25"/>
      <c r="J575" s="15">
        <f>SUMPRODUCT(Business_Portfolio!$V575:$AM575,Business_Portfolio!$V$8:$AM$8)</f>
        <v>0</v>
      </c>
      <c r="K575" s="25">
        <f t="shared" si="42"/>
        <v>0</v>
      </c>
      <c r="L575" s="25"/>
      <c r="M575" s="25"/>
      <c r="N575" s="25"/>
      <c r="O575" s="25"/>
      <c r="P575" s="15">
        <f>SUMPRODUCT(Business_Portfolio!$D575:$U575,Business_Portfolio!$D$8:$U$8)</f>
        <v>0</v>
      </c>
      <c r="Q575" s="25">
        <f t="shared" si="43"/>
        <v>0</v>
      </c>
      <c r="R575" s="25"/>
      <c r="S575" s="25"/>
      <c r="T575" s="25"/>
      <c r="U575" s="25"/>
    </row>
    <row r="576" spans="1:21" x14ac:dyDescent="0.25">
      <c r="A576" s="155">
        <f t="shared" si="44"/>
        <v>46</v>
      </c>
      <c r="C576" s="79">
        <v>45.583333333333535</v>
      </c>
      <c r="D576" s="15">
        <f>SUMPRODUCT(Business_Portfolio!D576:AM576,Business_Portfolio!$D$8:$AM$8)</f>
        <v>0</v>
      </c>
      <c r="E576" s="25">
        <f t="shared" si="41"/>
        <v>0</v>
      </c>
      <c r="F576" s="25"/>
      <c r="G576" s="25"/>
      <c r="H576" s="25"/>
      <c r="I576" s="25"/>
      <c r="J576" s="15">
        <f>SUMPRODUCT(Business_Portfolio!$V576:$AM576,Business_Portfolio!$V$8:$AM$8)</f>
        <v>0</v>
      </c>
      <c r="K576" s="25">
        <f t="shared" si="42"/>
        <v>0</v>
      </c>
      <c r="L576" s="25"/>
      <c r="M576" s="25"/>
      <c r="N576" s="25"/>
      <c r="O576" s="25"/>
      <c r="P576" s="15">
        <f>SUMPRODUCT(Business_Portfolio!$D576:$U576,Business_Portfolio!$D$8:$U$8)</f>
        <v>0</v>
      </c>
      <c r="Q576" s="25">
        <f t="shared" si="43"/>
        <v>0</v>
      </c>
      <c r="R576" s="25"/>
      <c r="S576" s="25"/>
      <c r="T576" s="25"/>
      <c r="U576" s="25"/>
    </row>
    <row r="577" spans="1:21" x14ac:dyDescent="0.25">
      <c r="A577" s="155">
        <f t="shared" si="44"/>
        <v>46</v>
      </c>
      <c r="C577" s="79">
        <v>45.66666666666687</v>
      </c>
      <c r="D577" s="15">
        <f>SUMPRODUCT(Business_Portfolio!D577:AM577,Business_Portfolio!$D$8:$AM$8)</f>
        <v>0</v>
      </c>
      <c r="E577" s="25">
        <f t="shared" si="41"/>
        <v>0</v>
      </c>
      <c r="F577" s="25"/>
      <c r="G577" s="25"/>
      <c r="H577" s="25"/>
      <c r="I577" s="25"/>
      <c r="J577" s="15">
        <f>SUMPRODUCT(Business_Portfolio!$V577:$AM577,Business_Portfolio!$V$8:$AM$8)</f>
        <v>0</v>
      </c>
      <c r="K577" s="25">
        <f t="shared" si="42"/>
        <v>0</v>
      </c>
      <c r="L577" s="25"/>
      <c r="M577" s="25"/>
      <c r="N577" s="25"/>
      <c r="O577" s="25"/>
      <c r="P577" s="15">
        <f>SUMPRODUCT(Business_Portfolio!$D577:$U577,Business_Portfolio!$D$8:$U$8)</f>
        <v>0</v>
      </c>
      <c r="Q577" s="25">
        <f t="shared" si="43"/>
        <v>0</v>
      </c>
      <c r="R577" s="25"/>
      <c r="S577" s="25"/>
      <c r="T577" s="25"/>
      <c r="U577" s="25"/>
    </row>
    <row r="578" spans="1:21" x14ac:dyDescent="0.25">
      <c r="A578" s="155">
        <f t="shared" si="44"/>
        <v>46</v>
      </c>
      <c r="C578" s="79">
        <v>45.750000000000206</v>
      </c>
      <c r="D578" s="15">
        <f>SUMPRODUCT(Business_Portfolio!D578:AM578,Business_Portfolio!$D$8:$AM$8)</f>
        <v>0</v>
      </c>
      <c r="E578" s="25">
        <f t="shared" si="41"/>
        <v>0</v>
      </c>
      <c r="F578" s="25"/>
      <c r="G578" s="25"/>
      <c r="H578" s="25"/>
      <c r="I578" s="25"/>
      <c r="J578" s="15">
        <f>SUMPRODUCT(Business_Portfolio!$V578:$AM578,Business_Portfolio!$V$8:$AM$8)</f>
        <v>0</v>
      </c>
      <c r="K578" s="25">
        <f t="shared" si="42"/>
        <v>0</v>
      </c>
      <c r="L578" s="25"/>
      <c r="M578" s="25"/>
      <c r="N578" s="25"/>
      <c r="O578" s="25"/>
      <c r="P578" s="15">
        <f>SUMPRODUCT(Business_Portfolio!$D578:$U578,Business_Portfolio!$D$8:$U$8)</f>
        <v>0</v>
      </c>
      <c r="Q578" s="25">
        <f t="shared" si="43"/>
        <v>0</v>
      </c>
      <c r="R578" s="25"/>
      <c r="S578" s="25"/>
      <c r="T578" s="25"/>
      <c r="U578" s="25"/>
    </row>
    <row r="579" spans="1:21" x14ac:dyDescent="0.25">
      <c r="A579" s="155">
        <f t="shared" si="44"/>
        <v>46</v>
      </c>
      <c r="C579" s="79">
        <v>45.833333333333542</v>
      </c>
      <c r="D579" s="15">
        <f>SUMPRODUCT(Business_Portfolio!D579:AM579,Business_Portfolio!$D$8:$AM$8)</f>
        <v>0</v>
      </c>
      <c r="E579" s="25">
        <f t="shared" si="41"/>
        <v>0</v>
      </c>
      <c r="F579" s="25"/>
      <c r="G579" s="25"/>
      <c r="H579" s="25"/>
      <c r="I579" s="25"/>
      <c r="J579" s="15">
        <f>SUMPRODUCT(Business_Portfolio!$V579:$AM579,Business_Portfolio!$V$8:$AM$8)</f>
        <v>0</v>
      </c>
      <c r="K579" s="25">
        <f t="shared" si="42"/>
        <v>0</v>
      </c>
      <c r="L579" s="25"/>
      <c r="M579" s="25"/>
      <c r="N579" s="25"/>
      <c r="O579" s="25"/>
      <c r="P579" s="15">
        <f>SUMPRODUCT(Business_Portfolio!$D579:$U579,Business_Portfolio!$D$8:$U$8)</f>
        <v>0</v>
      </c>
      <c r="Q579" s="25">
        <f t="shared" si="43"/>
        <v>0</v>
      </c>
      <c r="R579" s="25"/>
      <c r="S579" s="25"/>
      <c r="T579" s="25"/>
      <c r="U579" s="25"/>
    </row>
    <row r="580" spans="1:21" x14ac:dyDescent="0.25">
      <c r="A580" s="155">
        <f t="shared" si="44"/>
        <v>46</v>
      </c>
      <c r="C580" s="79">
        <v>45.916666666666877</v>
      </c>
      <c r="D580" s="15">
        <f>SUMPRODUCT(Business_Portfolio!D580:AM580,Business_Portfolio!$D$8:$AM$8)</f>
        <v>0</v>
      </c>
      <c r="E580" s="25">
        <f t="shared" si="41"/>
        <v>0</v>
      </c>
      <c r="F580" s="25"/>
      <c r="G580" s="25"/>
      <c r="H580" s="25"/>
      <c r="I580" s="25"/>
      <c r="J580" s="15">
        <f>SUMPRODUCT(Business_Portfolio!$V580:$AM580,Business_Portfolio!$V$8:$AM$8)</f>
        <v>0</v>
      </c>
      <c r="K580" s="25">
        <f t="shared" si="42"/>
        <v>0</v>
      </c>
      <c r="L580" s="25"/>
      <c r="M580" s="25"/>
      <c r="N580" s="25"/>
      <c r="O580" s="25"/>
      <c r="P580" s="15">
        <f>SUMPRODUCT(Business_Portfolio!$D580:$U580,Business_Portfolio!$D$8:$U$8)</f>
        <v>0</v>
      </c>
      <c r="Q580" s="25">
        <f t="shared" si="43"/>
        <v>0</v>
      </c>
      <c r="R580" s="25"/>
      <c r="S580" s="25"/>
      <c r="T580" s="25"/>
      <c r="U580" s="25"/>
    </row>
    <row r="581" spans="1:21" x14ac:dyDescent="0.25">
      <c r="A581" s="155">
        <f t="shared" si="44"/>
        <v>46</v>
      </c>
      <c r="C581" s="79">
        <v>46.000000000000213</v>
      </c>
      <c r="D581" s="15">
        <f>SUMPRODUCT(Business_Portfolio!D581:AM581,Business_Portfolio!$D$8:$AM$8)</f>
        <v>0</v>
      </c>
      <c r="E581" s="25">
        <f t="shared" si="41"/>
        <v>0</v>
      </c>
      <c r="F581" s="25"/>
      <c r="G581" s="25"/>
      <c r="H581" s="25"/>
      <c r="I581" s="25"/>
      <c r="J581" s="15">
        <f>SUMPRODUCT(Business_Portfolio!$V581:$AM581,Business_Portfolio!$V$8:$AM$8)</f>
        <v>0</v>
      </c>
      <c r="K581" s="25">
        <f t="shared" si="42"/>
        <v>0</v>
      </c>
      <c r="L581" s="25"/>
      <c r="M581" s="25"/>
      <c r="N581" s="25"/>
      <c r="O581" s="25"/>
      <c r="P581" s="15">
        <f>SUMPRODUCT(Business_Portfolio!$D581:$U581,Business_Portfolio!$D$8:$U$8)</f>
        <v>0</v>
      </c>
      <c r="Q581" s="25">
        <f t="shared" si="43"/>
        <v>0</v>
      </c>
      <c r="R581" s="25"/>
      <c r="S581" s="25"/>
      <c r="T581" s="25"/>
      <c r="U581" s="25"/>
    </row>
    <row r="582" spans="1:21" x14ac:dyDescent="0.25">
      <c r="A582" s="155">
        <f t="shared" si="44"/>
        <v>47</v>
      </c>
      <c r="C582" s="79">
        <v>46.083333333333549</v>
      </c>
      <c r="D582" s="15">
        <f>SUMPRODUCT(Business_Portfolio!D582:AM582,Business_Portfolio!$D$8:$AM$8)</f>
        <v>0</v>
      </c>
      <c r="E582" s="25">
        <f t="shared" si="41"/>
        <v>0</v>
      </c>
      <c r="F582" s="25"/>
      <c r="G582" s="25"/>
      <c r="H582" s="25"/>
      <c r="I582" s="25"/>
      <c r="J582" s="15">
        <f>SUMPRODUCT(Business_Portfolio!$V582:$AM582,Business_Portfolio!$V$8:$AM$8)</f>
        <v>0</v>
      </c>
      <c r="K582" s="25">
        <f t="shared" si="42"/>
        <v>0</v>
      </c>
      <c r="L582" s="25"/>
      <c r="M582" s="25"/>
      <c r="N582" s="25"/>
      <c r="O582" s="25"/>
      <c r="P582" s="15">
        <f>SUMPRODUCT(Business_Portfolio!$D582:$U582,Business_Portfolio!$D$8:$U$8)</f>
        <v>0</v>
      </c>
      <c r="Q582" s="25">
        <f t="shared" si="43"/>
        <v>0</v>
      </c>
      <c r="R582" s="25"/>
      <c r="S582" s="25"/>
      <c r="T582" s="25"/>
      <c r="U582" s="25"/>
    </row>
    <row r="583" spans="1:21" x14ac:dyDescent="0.25">
      <c r="A583" s="155">
        <f t="shared" si="44"/>
        <v>47</v>
      </c>
      <c r="C583" s="79">
        <v>46.166666666666885</v>
      </c>
      <c r="D583" s="15">
        <f>SUMPRODUCT(Business_Portfolio!D583:AM583,Business_Portfolio!$D$8:$AM$8)</f>
        <v>0</v>
      </c>
      <c r="E583" s="25">
        <f t="shared" si="41"/>
        <v>0</v>
      </c>
      <c r="F583" s="25"/>
      <c r="G583" s="25"/>
      <c r="H583" s="25"/>
      <c r="I583" s="25"/>
      <c r="J583" s="15">
        <f>SUMPRODUCT(Business_Portfolio!$V583:$AM583,Business_Portfolio!$V$8:$AM$8)</f>
        <v>0</v>
      </c>
      <c r="K583" s="25">
        <f t="shared" si="42"/>
        <v>0</v>
      </c>
      <c r="L583" s="25"/>
      <c r="M583" s="25"/>
      <c r="N583" s="25"/>
      <c r="O583" s="25"/>
      <c r="P583" s="15">
        <f>SUMPRODUCT(Business_Portfolio!$D583:$U583,Business_Portfolio!$D$8:$U$8)</f>
        <v>0</v>
      </c>
      <c r="Q583" s="25">
        <f t="shared" si="43"/>
        <v>0</v>
      </c>
      <c r="R583" s="25"/>
      <c r="S583" s="25"/>
      <c r="T583" s="25"/>
      <c r="U583" s="25"/>
    </row>
    <row r="584" spans="1:21" x14ac:dyDescent="0.25">
      <c r="A584" s="155">
        <f t="shared" si="44"/>
        <v>47</v>
      </c>
      <c r="C584" s="79">
        <v>46.25000000000022</v>
      </c>
      <c r="D584" s="15">
        <f>SUMPRODUCT(Business_Portfolio!D584:AM584,Business_Portfolio!$D$8:$AM$8)</f>
        <v>0</v>
      </c>
      <c r="E584" s="25">
        <f t="shared" si="41"/>
        <v>0</v>
      </c>
      <c r="F584" s="25"/>
      <c r="G584" s="25"/>
      <c r="H584" s="25"/>
      <c r="I584" s="25"/>
      <c r="J584" s="15">
        <f>SUMPRODUCT(Business_Portfolio!$V584:$AM584,Business_Portfolio!$V$8:$AM$8)</f>
        <v>0</v>
      </c>
      <c r="K584" s="25">
        <f t="shared" si="42"/>
        <v>0</v>
      </c>
      <c r="L584" s="25"/>
      <c r="M584" s="25"/>
      <c r="N584" s="25"/>
      <c r="O584" s="25"/>
      <c r="P584" s="15">
        <f>SUMPRODUCT(Business_Portfolio!$D584:$U584,Business_Portfolio!$D$8:$U$8)</f>
        <v>0</v>
      </c>
      <c r="Q584" s="25">
        <f t="shared" si="43"/>
        <v>0</v>
      </c>
      <c r="R584" s="25"/>
      <c r="S584" s="25"/>
      <c r="T584" s="25"/>
      <c r="U584" s="25"/>
    </row>
    <row r="585" spans="1:21" x14ac:dyDescent="0.25">
      <c r="A585" s="155">
        <f t="shared" si="44"/>
        <v>47</v>
      </c>
      <c r="C585" s="79">
        <v>46.333333333333556</v>
      </c>
      <c r="D585" s="15">
        <f>SUMPRODUCT(Business_Portfolio!D585:AM585,Business_Portfolio!$D$8:$AM$8)</f>
        <v>0</v>
      </c>
      <c r="E585" s="25">
        <f t="shared" si="41"/>
        <v>0</v>
      </c>
      <c r="F585" s="25"/>
      <c r="G585" s="25"/>
      <c r="H585" s="25"/>
      <c r="I585" s="25"/>
      <c r="J585" s="15">
        <f>SUMPRODUCT(Business_Portfolio!$V585:$AM585,Business_Portfolio!$V$8:$AM$8)</f>
        <v>0</v>
      </c>
      <c r="K585" s="25">
        <f t="shared" si="42"/>
        <v>0</v>
      </c>
      <c r="L585" s="25"/>
      <c r="M585" s="25"/>
      <c r="N585" s="25"/>
      <c r="O585" s="25"/>
      <c r="P585" s="15">
        <f>SUMPRODUCT(Business_Portfolio!$D585:$U585,Business_Portfolio!$D$8:$U$8)</f>
        <v>0</v>
      </c>
      <c r="Q585" s="25">
        <f t="shared" si="43"/>
        <v>0</v>
      </c>
      <c r="R585" s="25"/>
      <c r="S585" s="25"/>
      <c r="T585" s="25"/>
      <c r="U585" s="25"/>
    </row>
    <row r="586" spans="1:21" x14ac:dyDescent="0.25">
      <c r="A586" s="155">
        <f t="shared" si="44"/>
        <v>47</v>
      </c>
      <c r="C586" s="79">
        <v>46.416666666666892</v>
      </c>
      <c r="D586" s="15">
        <f>SUMPRODUCT(Business_Portfolio!D586:AM586,Business_Portfolio!$D$8:$AM$8)</f>
        <v>0</v>
      </c>
      <c r="E586" s="25">
        <f t="shared" si="41"/>
        <v>0</v>
      </c>
      <c r="F586" s="25"/>
      <c r="G586" s="25"/>
      <c r="H586" s="25"/>
      <c r="I586" s="25"/>
      <c r="J586" s="15">
        <f>SUMPRODUCT(Business_Portfolio!$V586:$AM586,Business_Portfolio!$V$8:$AM$8)</f>
        <v>0</v>
      </c>
      <c r="K586" s="25">
        <f t="shared" si="42"/>
        <v>0</v>
      </c>
      <c r="L586" s="25"/>
      <c r="M586" s="25"/>
      <c r="N586" s="25"/>
      <c r="O586" s="25"/>
      <c r="P586" s="15">
        <f>SUMPRODUCT(Business_Portfolio!$D586:$U586,Business_Portfolio!$D$8:$U$8)</f>
        <v>0</v>
      </c>
      <c r="Q586" s="25">
        <f t="shared" si="43"/>
        <v>0</v>
      </c>
      <c r="R586" s="25"/>
      <c r="S586" s="25"/>
      <c r="T586" s="25"/>
      <c r="U586" s="25"/>
    </row>
    <row r="587" spans="1:21" x14ac:dyDescent="0.25">
      <c r="A587" s="155">
        <f t="shared" si="44"/>
        <v>47</v>
      </c>
      <c r="C587" s="79">
        <v>46.500000000000227</v>
      </c>
      <c r="D587" s="15">
        <f>SUMPRODUCT(Business_Portfolio!D587:AM587,Business_Portfolio!$D$8:$AM$8)</f>
        <v>0</v>
      </c>
      <c r="E587" s="25">
        <f t="shared" si="41"/>
        <v>0</v>
      </c>
      <c r="F587" s="25"/>
      <c r="G587" s="25"/>
      <c r="H587" s="25"/>
      <c r="I587" s="25"/>
      <c r="J587" s="15">
        <f>SUMPRODUCT(Business_Portfolio!$V587:$AM587,Business_Portfolio!$V$8:$AM$8)</f>
        <v>0</v>
      </c>
      <c r="K587" s="25">
        <f t="shared" si="42"/>
        <v>0</v>
      </c>
      <c r="L587" s="25"/>
      <c r="M587" s="25"/>
      <c r="N587" s="25"/>
      <c r="O587" s="25"/>
      <c r="P587" s="15">
        <f>SUMPRODUCT(Business_Portfolio!$D587:$U587,Business_Portfolio!$D$8:$U$8)</f>
        <v>0</v>
      </c>
      <c r="Q587" s="25">
        <f t="shared" si="43"/>
        <v>0</v>
      </c>
      <c r="R587" s="25"/>
      <c r="S587" s="25"/>
      <c r="T587" s="25"/>
      <c r="U587" s="25"/>
    </row>
    <row r="588" spans="1:21" x14ac:dyDescent="0.25">
      <c r="A588" s="155">
        <f t="shared" si="44"/>
        <v>47</v>
      </c>
      <c r="C588" s="79">
        <v>46.583333333333563</v>
      </c>
      <c r="D588" s="15">
        <f>SUMPRODUCT(Business_Portfolio!D588:AM588,Business_Portfolio!$D$8:$AM$8)</f>
        <v>0</v>
      </c>
      <c r="E588" s="25">
        <f t="shared" si="41"/>
        <v>0</v>
      </c>
      <c r="F588" s="25"/>
      <c r="G588" s="25"/>
      <c r="H588" s="25"/>
      <c r="I588" s="25"/>
      <c r="J588" s="15">
        <f>SUMPRODUCT(Business_Portfolio!$V588:$AM588,Business_Portfolio!$V$8:$AM$8)</f>
        <v>0</v>
      </c>
      <c r="K588" s="25">
        <f t="shared" si="42"/>
        <v>0</v>
      </c>
      <c r="L588" s="25"/>
      <c r="M588" s="25"/>
      <c r="N588" s="25"/>
      <c r="O588" s="25"/>
      <c r="P588" s="15">
        <f>SUMPRODUCT(Business_Portfolio!$D588:$U588,Business_Portfolio!$D$8:$U$8)</f>
        <v>0</v>
      </c>
      <c r="Q588" s="25">
        <f t="shared" si="43"/>
        <v>0</v>
      </c>
      <c r="R588" s="25"/>
      <c r="S588" s="25"/>
      <c r="T588" s="25"/>
      <c r="U588" s="25"/>
    </row>
    <row r="589" spans="1:21" x14ac:dyDescent="0.25">
      <c r="A589" s="155">
        <f t="shared" si="44"/>
        <v>47</v>
      </c>
      <c r="C589" s="79">
        <v>46.666666666666899</v>
      </c>
      <c r="D589" s="15">
        <f>SUMPRODUCT(Business_Portfolio!D589:AM589,Business_Portfolio!$D$8:$AM$8)</f>
        <v>0</v>
      </c>
      <c r="E589" s="25">
        <f t="shared" si="41"/>
        <v>0</v>
      </c>
      <c r="F589" s="25"/>
      <c r="G589" s="25"/>
      <c r="H589" s="25"/>
      <c r="I589" s="25"/>
      <c r="J589" s="15">
        <f>SUMPRODUCT(Business_Portfolio!$V589:$AM589,Business_Portfolio!$V$8:$AM$8)</f>
        <v>0</v>
      </c>
      <c r="K589" s="25">
        <f t="shared" si="42"/>
        <v>0</v>
      </c>
      <c r="L589" s="25"/>
      <c r="M589" s="25"/>
      <c r="N589" s="25"/>
      <c r="O589" s="25"/>
      <c r="P589" s="15">
        <f>SUMPRODUCT(Business_Portfolio!$D589:$U589,Business_Portfolio!$D$8:$U$8)</f>
        <v>0</v>
      </c>
      <c r="Q589" s="25">
        <f t="shared" si="43"/>
        <v>0</v>
      </c>
      <c r="R589" s="25"/>
      <c r="S589" s="25"/>
      <c r="T589" s="25"/>
      <c r="U589" s="25"/>
    </row>
    <row r="590" spans="1:21" x14ac:dyDescent="0.25">
      <c r="A590" s="155">
        <f t="shared" si="44"/>
        <v>47</v>
      </c>
      <c r="C590" s="79">
        <v>46.750000000000234</v>
      </c>
      <c r="D590" s="15">
        <f>SUMPRODUCT(Business_Portfolio!D590:AM590,Business_Portfolio!$D$8:$AM$8)</f>
        <v>0</v>
      </c>
      <c r="E590" s="25">
        <f t="shared" si="41"/>
        <v>0</v>
      </c>
      <c r="F590" s="25"/>
      <c r="G590" s="25"/>
      <c r="H590" s="25"/>
      <c r="I590" s="25"/>
      <c r="J590" s="15">
        <f>SUMPRODUCT(Business_Portfolio!$V590:$AM590,Business_Portfolio!$V$8:$AM$8)</f>
        <v>0</v>
      </c>
      <c r="K590" s="25">
        <f t="shared" si="42"/>
        <v>0</v>
      </c>
      <c r="L590" s="25"/>
      <c r="M590" s="25"/>
      <c r="N590" s="25"/>
      <c r="O590" s="25"/>
      <c r="P590" s="15">
        <f>SUMPRODUCT(Business_Portfolio!$D590:$U590,Business_Portfolio!$D$8:$U$8)</f>
        <v>0</v>
      </c>
      <c r="Q590" s="25">
        <f t="shared" si="43"/>
        <v>0</v>
      </c>
      <c r="R590" s="25"/>
      <c r="S590" s="25"/>
      <c r="T590" s="25"/>
      <c r="U590" s="25"/>
    </row>
    <row r="591" spans="1:21" x14ac:dyDescent="0.25">
      <c r="A591" s="155">
        <f t="shared" si="44"/>
        <v>47</v>
      </c>
      <c r="C591" s="79">
        <v>46.83333333333357</v>
      </c>
      <c r="D591" s="15">
        <f>SUMPRODUCT(Business_Portfolio!D591:AM591,Business_Portfolio!$D$8:$AM$8)</f>
        <v>0</v>
      </c>
      <c r="E591" s="25">
        <f t="shared" si="41"/>
        <v>0</v>
      </c>
      <c r="F591" s="25"/>
      <c r="G591" s="25"/>
      <c r="H591" s="25"/>
      <c r="I591" s="25"/>
      <c r="J591" s="15">
        <f>SUMPRODUCT(Business_Portfolio!$V591:$AM591,Business_Portfolio!$V$8:$AM$8)</f>
        <v>0</v>
      </c>
      <c r="K591" s="25">
        <f t="shared" si="42"/>
        <v>0</v>
      </c>
      <c r="L591" s="25"/>
      <c r="M591" s="25"/>
      <c r="N591" s="25"/>
      <c r="O591" s="25"/>
      <c r="P591" s="15">
        <f>SUMPRODUCT(Business_Portfolio!$D591:$U591,Business_Portfolio!$D$8:$U$8)</f>
        <v>0</v>
      </c>
      <c r="Q591" s="25">
        <f t="shared" si="43"/>
        <v>0</v>
      </c>
      <c r="R591" s="25"/>
      <c r="S591" s="25"/>
      <c r="T591" s="25"/>
      <c r="U591" s="25"/>
    </row>
    <row r="592" spans="1:21" x14ac:dyDescent="0.25">
      <c r="A592" s="155">
        <f t="shared" si="44"/>
        <v>47</v>
      </c>
      <c r="C592" s="79">
        <v>46.916666666666906</v>
      </c>
      <c r="D592" s="15">
        <f>SUMPRODUCT(Business_Portfolio!D592:AM592,Business_Portfolio!$D$8:$AM$8)</f>
        <v>0</v>
      </c>
      <c r="E592" s="25">
        <f t="shared" si="41"/>
        <v>0</v>
      </c>
      <c r="F592" s="25"/>
      <c r="G592" s="25"/>
      <c r="H592" s="25"/>
      <c r="I592" s="25"/>
      <c r="J592" s="15">
        <f>SUMPRODUCT(Business_Portfolio!$V592:$AM592,Business_Portfolio!$V$8:$AM$8)</f>
        <v>0</v>
      </c>
      <c r="K592" s="25">
        <f t="shared" si="42"/>
        <v>0</v>
      </c>
      <c r="L592" s="25"/>
      <c r="M592" s="25"/>
      <c r="N592" s="25"/>
      <c r="O592" s="25"/>
      <c r="P592" s="15">
        <f>SUMPRODUCT(Business_Portfolio!$D592:$U592,Business_Portfolio!$D$8:$U$8)</f>
        <v>0</v>
      </c>
      <c r="Q592" s="25">
        <f t="shared" si="43"/>
        <v>0</v>
      </c>
      <c r="R592" s="25"/>
      <c r="S592" s="25"/>
      <c r="T592" s="25"/>
      <c r="U592" s="25"/>
    </row>
    <row r="593" spans="1:21" x14ac:dyDescent="0.25">
      <c r="A593" s="155">
        <f t="shared" si="44"/>
        <v>47</v>
      </c>
      <c r="C593" s="79">
        <v>47.000000000000242</v>
      </c>
      <c r="D593" s="15">
        <f>SUMPRODUCT(Business_Portfolio!D593:AM593,Business_Portfolio!$D$8:$AM$8)</f>
        <v>0</v>
      </c>
      <c r="E593" s="25">
        <f t="shared" si="41"/>
        <v>0</v>
      </c>
      <c r="F593" s="25"/>
      <c r="G593" s="25"/>
      <c r="H593" s="25"/>
      <c r="I593" s="25"/>
      <c r="J593" s="15">
        <f>SUMPRODUCT(Business_Portfolio!$V593:$AM593,Business_Portfolio!$V$8:$AM$8)</f>
        <v>0</v>
      </c>
      <c r="K593" s="25">
        <f t="shared" si="42"/>
        <v>0</v>
      </c>
      <c r="L593" s="25"/>
      <c r="M593" s="25"/>
      <c r="N593" s="25"/>
      <c r="O593" s="25"/>
      <c r="P593" s="15">
        <f>SUMPRODUCT(Business_Portfolio!$D593:$U593,Business_Portfolio!$D$8:$U$8)</f>
        <v>0</v>
      </c>
      <c r="Q593" s="25">
        <f t="shared" si="43"/>
        <v>0</v>
      </c>
      <c r="R593" s="25"/>
      <c r="S593" s="25"/>
      <c r="T593" s="25"/>
      <c r="U593" s="25"/>
    </row>
    <row r="594" spans="1:21" x14ac:dyDescent="0.25">
      <c r="A594" s="155">
        <f t="shared" si="44"/>
        <v>48</v>
      </c>
      <c r="C594" s="79">
        <v>47.083333333333577</v>
      </c>
      <c r="D594" s="15">
        <f>SUMPRODUCT(Business_Portfolio!D594:AM594,Business_Portfolio!$D$8:$AM$8)</f>
        <v>0</v>
      </c>
      <c r="E594" s="25">
        <f t="shared" si="41"/>
        <v>0</v>
      </c>
      <c r="F594" s="25"/>
      <c r="G594" s="25"/>
      <c r="H594" s="25"/>
      <c r="I594" s="25"/>
      <c r="J594" s="15">
        <f>SUMPRODUCT(Business_Portfolio!$V594:$AM594,Business_Portfolio!$V$8:$AM$8)</f>
        <v>0</v>
      </c>
      <c r="K594" s="25">
        <f t="shared" si="42"/>
        <v>0</v>
      </c>
      <c r="L594" s="25"/>
      <c r="M594" s="25"/>
      <c r="N594" s="25"/>
      <c r="O594" s="25"/>
      <c r="P594" s="15">
        <f>SUMPRODUCT(Business_Portfolio!$D594:$U594,Business_Portfolio!$D$8:$U$8)</f>
        <v>0</v>
      </c>
      <c r="Q594" s="25">
        <f t="shared" si="43"/>
        <v>0</v>
      </c>
      <c r="R594" s="25"/>
      <c r="S594" s="25"/>
      <c r="T594" s="25"/>
      <c r="U594" s="25"/>
    </row>
    <row r="595" spans="1:21" x14ac:dyDescent="0.25">
      <c r="A595" s="155">
        <f t="shared" si="44"/>
        <v>48</v>
      </c>
      <c r="C595" s="79">
        <v>47.166666666666913</v>
      </c>
      <c r="D595" s="15">
        <f>SUMPRODUCT(Business_Portfolio!D595:AM595,Business_Portfolio!$D$8:$AM$8)</f>
        <v>0</v>
      </c>
      <c r="E595" s="25">
        <f t="shared" si="41"/>
        <v>0</v>
      </c>
      <c r="F595" s="25"/>
      <c r="G595" s="25"/>
      <c r="H595" s="25"/>
      <c r="I595" s="25"/>
      <c r="J595" s="15">
        <f>SUMPRODUCT(Business_Portfolio!$V595:$AM595,Business_Portfolio!$V$8:$AM$8)</f>
        <v>0</v>
      </c>
      <c r="K595" s="25">
        <f t="shared" si="42"/>
        <v>0</v>
      </c>
      <c r="L595" s="25"/>
      <c r="M595" s="25"/>
      <c r="N595" s="25"/>
      <c r="O595" s="25"/>
      <c r="P595" s="15">
        <f>SUMPRODUCT(Business_Portfolio!$D595:$U595,Business_Portfolio!$D$8:$U$8)</f>
        <v>0</v>
      </c>
      <c r="Q595" s="25">
        <f t="shared" si="43"/>
        <v>0</v>
      </c>
      <c r="R595" s="25"/>
      <c r="S595" s="25"/>
      <c r="T595" s="25"/>
      <c r="U595" s="25"/>
    </row>
    <row r="596" spans="1:21" x14ac:dyDescent="0.25">
      <c r="A596" s="155">
        <f t="shared" si="44"/>
        <v>48</v>
      </c>
      <c r="C596" s="79">
        <v>47.250000000000249</v>
      </c>
      <c r="D596" s="15">
        <f>SUMPRODUCT(Business_Portfolio!D596:AM596,Business_Portfolio!$D$8:$AM$8)</f>
        <v>0</v>
      </c>
      <c r="E596" s="25">
        <f t="shared" si="41"/>
        <v>0</v>
      </c>
      <c r="F596" s="25"/>
      <c r="G596" s="25"/>
      <c r="H596" s="25"/>
      <c r="I596" s="25"/>
      <c r="J596" s="15">
        <f>SUMPRODUCT(Business_Portfolio!$V596:$AM596,Business_Portfolio!$V$8:$AM$8)</f>
        <v>0</v>
      </c>
      <c r="K596" s="25">
        <f t="shared" si="42"/>
        <v>0</v>
      </c>
      <c r="L596" s="25"/>
      <c r="M596" s="25"/>
      <c r="N596" s="25"/>
      <c r="O596" s="25"/>
      <c r="P596" s="15">
        <f>SUMPRODUCT(Business_Portfolio!$D596:$U596,Business_Portfolio!$D$8:$U$8)</f>
        <v>0</v>
      </c>
      <c r="Q596" s="25">
        <f t="shared" si="43"/>
        <v>0</v>
      </c>
      <c r="R596" s="25"/>
      <c r="S596" s="25"/>
      <c r="T596" s="25"/>
      <c r="U596" s="25"/>
    </row>
    <row r="597" spans="1:21" x14ac:dyDescent="0.25">
      <c r="A597" s="155">
        <f t="shared" si="44"/>
        <v>48</v>
      </c>
      <c r="C597" s="79">
        <v>47.333333333333584</v>
      </c>
      <c r="D597" s="15">
        <f>SUMPRODUCT(Business_Portfolio!D597:AM597,Business_Portfolio!$D$8:$AM$8)</f>
        <v>0</v>
      </c>
      <c r="E597" s="25">
        <f t="shared" si="41"/>
        <v>0</v>
      </c>
      <c r="F597" s="25"/>
      <c r="G597" s="25"/>
      <c r="H597" s="25"/>
      <c r="I597" s="25"/>
      <c r="J597" s="15">
        <f>SUMPRODUCT(Business_Portfolio!$V597:$AM597,Business_Portfolio!$V$8:$AM$8)</f>
        <v>0</v>
      </c>
      <c r="K597" s="25">
        <f t="shared" si="42"/>
        <v>0</v>
      </c>
      <c r="L597" s="25"/>
      <c r="M597" s="25"/>
      <c r="N597" s="25"/>
      <c r="O597" s="25"/>
      <c r="P597" s="15">
        <f>SUMPRODUCT(Business_Portfolio!$D597:$U597,Business_Portfolio!$D$8:$U$8)</f>
        <v>0</v>
      </c>
      <c r="Q597" s="25">
        <f t="shared" si="43"/>
        <v>0</v>
      </c>
      <c r="R597" s="25"/>
      <c r="S597" s="25"/>
      <c r="T597" s="25"/>
      <c r="U597" s="25"/>
    </row>
    <row r="598" spans="1:21" x14ac:dyDescent="0.25">
      <c r="A598" s="155">
        <f t="shared" si="44"/>
        <v>48</v>
      </c>
      <c r="C598" s="79">
        <v>47.41666666666692</v>
      </c>
      <c r="D598" s="15">
        <f>SUMPRODUCT(Business_Portfolio!D598:AM598,Business_Portfolio!$D$8:$AM$8)</f>
        <v>0</v>
      </c>
      <c r="E598" s="25">
        <f t="shared" si="41"/>
        <v>0</v>
      </c>
      <c r="F598" s="25"/>
      <c r="G598" s="25"/>
      <c r="H598" s="25"/>
      <c r="I598" s="25"/>
      <c r="J598" s="15">
        <f>SUMPRODUCT(Business_Portfolio!$V598:$AM598,Business_Portfolio!$V$8:$AM$8)</f>
        <v>0</v>
      </c>
      <c r="K598" s="25">
        <f t="shared" si="42"/>
        <v>0</v>
      </c>
      <c r="L598" s="25"/>
      <c r="M598" s="25"/>
      <c r="N598" s="25"/>
      <c r="O598" s="25"/>
      <c r="P598" s="15">
        <f>SUMPRODUCT(Business_Portfolio!$D598:$U598,Business_Portfolio!$D$8:$U$8)</f>
        <v>0</v>
      </c>
      <c r="Q598" s="25">
        <f t="shared" si="43"/>
        <v>0</v>
      </c>
      <c r="R598" s="25"/>
      <c r="S598" s="25"/>
      <c r="T598" s="25"/>
      <c r="U598" s="25"/>
    </row>
    <row r="599" spans="1:21" x14ac:dyDescent="0.25">
      <c r="A599" s="155">
        <f t="shared" si="44"/>
        <v>48</v>
      </c>
      <c r="C599" s="79">
        <v>47.500000000000256</v>
      </c>
      <c r="D599" s="15">
        <f>SUMPRODUCT(Business_Portfolio!D599:AM599,Business_Portfolio!$D$8:$AM$8)</f>
        <v>0</v>
      </c>
      <c r="E599" s="25">
        <f t="shared" si="41"/>
        <v>0</v>
      </c>
      <c r="F599" s="25"/>
      <c r="G599" s="25"/>
      <c r="H599" s="25"/>
      <c r="I599" s="25"/>
      <c r="J599" s="15">
        <f>SUMPRODUCT(Business_Portfolio!$V599:$AM599,Business_Portfolio!$V$8:$AM$8)</f>
        <v>0</v>
      </c>
      <c r="K599" s="25">
        <f t="shared" si="42"/>
        <v>0</v>
      </c>
      <c r="L599" s="25"/>
      <c r="M599" s="25"/>
      <c r="N599" s="25"/>
      <c r="O599" s="25"/>
      <c r="P599" s="15">
        <f>SUMPRODUCT(Business_Portfolio!$D599:$U599,Business_Portfolio!$D$8:$U$8)</f>
        <v>0</v>
      </c>
      <c r="Q599" s="25">
        <f t="shared" si="43"/>
        <v>0</v>
      </c>
      <c r="R599" s="25"/>
      <c r="S599" s="25"/>
      <c r="T599" s="25"/>
      <c r="U599" s="25"/>
    </row>
    <row r="600" spans="1:21" x14ac:dyDescent="0.25">
      <c r="A600" s="155">
        <f t="shared" si="44"/>
        <v>48</v>
      </c>
      <c r="C600" s="79">
        <v>47.583333333333591</v>
      </c>
      <c r="D600" s="15">
        <f>SUMPRODUCT(Business_Portfolio!D600:AM600,Business_Portfolio!$D$8:$AM$8)</f>
        <v>0</v>
      </c>
      <c r="E600" s="25">
        <f t="shared" si="41"/>
        <v>0</v>
      </c>
      <c r="F600" s="25"/>
      <c r="G600" s="25"/>
      <c r="H600" s="25"/>
      <c r="I600" s="25"/>
      <c r="J600" s="15">
        <f>SUMPRODUCT(Business_Portfolio!$V600:$AM600,Business_Portfolio!$V$8:$AM$8)</f>
        <v>0</v>
      </c>
      <c r="K600" s="25">
        <f t="shared" si="42"/>
        <v>0</v>
      </c>
      <c r="L600" s="25"/>
      <c r="M600" s="25"/>
      <c r="N600" s="25"/>
      <c r="O600" s="25"/>
      <c r="P600" s="15">
        <f>SUMPRODUCT(Business_Portfolio!$D600:$U600,Business_Portfolio!$D$8:$U$8)</f>
        <v>0</v>
      </c>
      <c r="Q600" s="25">
        <f t="shared" si="43"/>
        <v>0</v>
      </c>
      <c r="R600" s="25"/>
      <c r="S600" s="25"/>
      <c r="T600" s="25"/>
      <c r="U600" s="25"/>
    </row>
    <row r="601" spans="1:21" x14ac:dyDescent="0.25">
      <c r="A601" s="155">
        <f t="shared" si="44"/>
        <v>48</v>
      </c>
      <c r="C601" s="79">
        <v>47.666666666666927</v>
      </c>
      <c r="D601" s="15">
        <f>SUMPRODUCT(Business_Portfolio!D601:AM601,Business_Portfolio!$D$8:$AM$8)</f>
        <v>0</v>
      </c>
      <c r="E601" s="25">
        <f t="shared" si="41"/>
        <v>0</v>
      </c>
      <c r="F601" s="25"/>
      <c r="G601" s="25"/>
      <c r="H601" s="25"/>
      <c r="I601" s="25"/>
      <c r="J601" s="15">
        <f>SUMPRODUCT(Business_Portfolio!$V601:$AM601,Business_Portfolio!$V$8:$AM$8)</f>
        <v>0</v>
      </c>
      <c r="K601" s="25">
        <f t="shared" si="42"/>
        <v>0</v>
      </c>
      <c r="L601" s="25"/>
      <c r="M601" s="25"/>
      <c r="N601" s="25"/>
      <c r="O601" s="25"/>
      <c r="P601" s="15">
        <f>SUMPRODUCT(Business_Portfolio!$D601:$U601,Business_Portfolio!$D$8:$U$8)</f>
        <v>0</v>
      </c>
      <c r="Q601" s="25">
        <f t="shared" si="43"/>
        <v>0</v>
      </c>
      <c r="R601" s="25"/>
      <c r="S601" s="25"/>
      <c r="T601" s="25"/>
      <c r="U601" s="25"/>
    </row>
    <row r="602" spans="1:21" x14ac:dyDescent="0.25">
      <c r="A602" s="155">
        <f t="shared" si="44"/>
        <v>48</v>
      </c>
      <c r="C602" s="79">
        <v>47.750000000000263</v>
      </c>
      <c r="D602" s="15">
        <f>SUMPRODUCT(Business_Portfolio!D602:AM602,Business_Portfolio!$D$8:$AM$8)</f>
        <v>0</v>
      </c>
      <c r="E602" s="25">
        <f t="shared" si="41"/>
        <v>0</v>
      </c>
      <c r="F602" s="25"/>
      <c r="G602" s="25"/>
      <c r="H602" s="25"/>
      <c r="I602" s="25"/>
      <c r="J602" s="15">
        <f>SUMPRODUCT(Business_Portfolio!$V602:$AM602,Business_Portfolio!$V$8:$AM$8)</f>
        <v>0</v>
      </c>
      <c r="K602" s="25">
        <f t="shared" si="42"/>
        <v>0</v>
      </c>
      <c r="L602" s="25"/>
      <c r="M602" s="25"/>
      <c r="N602" s="25"/>
      <c r="O602" s="25"/>
      <c r="P602" s="15">
        <f>SUMPRODUCT(Business_Portfolio!$D602:$U602,Business_Portfolio!$D$8:$U$8)</f>
        <v>0</v>
      </c>
      <c r="Q602" s="25">
        <f t="shared" si="43"/>
        <v>0</v>
      </c>
      <c r="R602" s="25"/>
      <c r="S602" s="25"/>
      <c r="T602" s="25"/>
      <c r="U602" s="25"/>
    </row>
    <row r="603" spans="1:21" x14ac:dyDescent="0.25">
      <c r="A603" s="155">
        <f t="shared" si="44"/>
        <v>48</v>
      </c>
      <c r="C603" s="79">
        <v>47.833333333333599</v>
      </c>
      <c r="D603" s="15">
        <f>SUMPRODUCT(Business_Portfolio!D603:AM603,Business_Portfolio!$D$8:$AM$8)</f>
        <v>0</v>
      </c>
      <c r="E603" s="25">
        <f t="shared" si="41"/>
        <v>0</v>
      </c>
      <c r="F603" s="25"/>
      <c r="G603" s="25"/>
      <c r="H603" s="25"/>
      <c r="I603" s="25"/>
      <c r="J603" s="15">
        <f>SUMPRODUCT(Business_Portfolio!$V603:$AM603,Business_Portfolio!$V$8:$AM$8)</f>
        <v>0</v>
      </c>
      <c r="K603" s="25">
        <f t="shared" si="42"/>
        <v>0</v>
      </c>
      <c r="L603" s="25"/>
      <c r="M603" s="25"/>
      <c r="N603" s="25"/>
      <c r="O603" s="25"/>
      <c r="P603" s="15">
        <f>SUMPRODUCT(Business_Portfolio!$D603:$U603,Business_Portfolio!$D$8:$U$8)</f>
        <v>0</v>
      </c>
      <c r="Q603" s="25">
        <f t="shared" si="43"/>
        <v>0</v>
      </c>
      <c r="R603" s="25"/>
      <c r="S603" s="25"/>
      <c r="T603" s="25"/>
      <c r="U603" s="25"/>
    </row>
    <row r="604" spans="1:21" x14ac:dyDescent="0.25">
      <c r="A604" s="155">
        <f t="shared" si="44"/>
        <v>48</v>
      </c>
      <c r="C604" s="79">
        <v>47.916666666666934</v>
      </c>
      <c r="D604" s="15">
        <f>SUMPRODUCT(Business_Portfolio!D604:AM604,Business_Portfolio!$D$8:$AM$8)</f>
        <v>0</v>
      </c>
      <c r="E604" s="25">
        <f t="shared" si="41"/>
        <v>0</v>
      </c>
      <c r="F604" s="25"/>
      <c r="G604" s="25"/>
      <c r="H604" s="25"/>
      <c r="I604" s="25"/>
      <c r="J604" s="15">
        <f>SUMPRODUCT(Business_Portfolio!$V604:$AM604,Business_Portfolio!$V$8:$AM$8)</f>
        <v>0</v>
      </c>
      <c r="K604" s="25">
        <f t="shared" si="42"/>
        <v>0</v>
      </c>
      <c r="L604" s="25"/>
      <c r="M604" s="25"/>
      <c r="N604" s="25"/>
      <c r="O604" s="25"/>
      <c r="P604" s="15">
        <f>SUMPRODUCT(Business_Portfolio!$D604:$U604,Business_Portfolio!$D$8:$U$8)</f>
        <v>0</v>
      </c>
      <c r="Q604" s="25">
        <f t="shared" si="43"/>
        <v>0</v>
      </c>
      <c r="R604" s="25"/>
      <c r="S604" s="25"/>
      <c r="T604" s="25"/>
      <c r="U604" s="25"/>
    </row>
    <row r="605" spans="1:21" x14ac:dyDescent="0.25">
      <c r="A605" s="155">
        <f t="shared" si="44"/>
        <v>48</v>
      </c>
      <c r="C605" s="79">
        <v>48.00000000000027</v>
      </c>
      <c r="D605" s="15">
        <f>SUMPRODUCT(Business_Portfolio!D605:AM605,Business_Portfolio!$D$8:$AM$8)</f>
        <v>0</v>
      </c>
      <c r="E605" s="25">
        <f t="shared" si="41"/>
        <v>0</v>
      </c>
      <c r="F605" s="25"/>
      <c r="G605" s="25"/>
      <c r="H605" s="25"/>
      <c r="I605" s="25"/>
      <c r="J605" s="15">
        <f>SUMPRODUCT(Business_Portfolio!$V605:$AM605,Business_Portfolio!$V$8:$AM$8)</f>
        <v>0</v>
      </c>
      <c r="K605" s="25">
        <f t="shared" si="42"/>
        <v>0</v>
      </c>
      <c r="L605" s="25"/>
      <c r="M605" s="25"/>
      <c r="N605" s="25"/>
      <c r="O605" s="25"/>
      <c r="P605" s="15">
        <f>SUMPRODUCT(Business_Portfolio!$D605:$U605,Business_Portfolio!$D$8:$U$8)</f>
        <v>0</v>
      </c>
      <c r="Q605" s="25">
        <f t="shared" si="43"/>
        <v>0</v>
      </c>
      <c r="R605" s="25"/>
      <c r="S605" s="25"/>
      <c r="T605" s="25"/>
      <c r="U605" s="25"/>
    </row>
    <row r="606" spans="1:21" x14ac:dyDescent="0.25">
      <c r="A606" s="155">
        <f t="shared" si="44"/>
        <v>49</v>
      </c>
      <c r="C606" s="79">
        <v>48.083333333333606</v>
      </c>
      <c r="D606" s="15">
        <f>SUMPRODUCT(Business_Portfolio!D606:AM606,Business_Portfolio!$D$8:$AM$8)</f>
        <v>0</v>
      </c>
      <c r="E606" s="25">
        <f t="shared" ref="E606:E629" si="45">D606/D$10</f>
        <v>0</v>
      </c>
      <c r="F606" s="25"/>
      <c r="G606" s="25"/>
      <c r="H606" s="25"/>
      <c r="I606" s="25"/>
      <c r="J606" s="15">
        <f>SUMPRODUCT(Business_Portfolio!$V606:$AM606,Business_Portfolio!$V$8:$AM$8)</f>
        <v>0</v>
      </c>
      <c r="K606" s="25">
        <f t="shared" ref="K606:K629" si="46">J606/J$10</f>
        <v>0</v>
      </c>
      <c r="L606" s="25"/>
      <c r="M606" s="25"/>
      <c r="N606" s="25"/>
      <c r="O606" s="25"/>
      <c r="P606" s="15">
        <f>SUMPRODUCT(Business_Portfolio!$D606:$U606,Business_Portfolio!$D$8:$U$8)</f>
        <v>0</v>
      </c>
      <c r="Q606" s="25">
        <f t="shared" ref="Q606:Q629" si="47">P606/P$10</f>
        <v>0</v>
      </c>
      <c r="R606" s="25"/>
      <c r="S606" s="25"/>
      <c r="T606" s="25"/>
      <c r="U606" s="25"/>
    </row>
    <row r="607" spans="1:21" x14ac:dyDescent="0.25">
      <c r="A607" s="155">
        <f t="shared" ref="A607:A629" si="48">ROUNDUP(C607-0.0001,0)</f>
        <v>49</v>
      </c>
      <c r="C607" s="79">
        <v>48.166666666666941</v>
      </c>
      <c r="D607" s="15">
        <f>SUMPRODUCT(Business_Portfolio!D607:AM607,Business_Portfolio!$D$8:$AM$8)</f>
        <v>0</v>
      </c>
      <c r="E607" s="25">
        <f t="shared" si="45"/>
        <v>0</v>
      </c>
      <c r="F607" s="25"/>
      <c r="G607" s="25"/>
      <c r="H607" s="25"/>
      <c r="I607" s="25"/>
      <c r="J607" s="15">
        <f>SUMPRODUCT(Business_Portfolio!$V607:$AM607,Business_Portfolio!$V$8:$AM$8)</f>
        <v>0</v>
      </c>
      <c r="K607" s="25">
        <f t="shared" si="46"/>
        <v>0</v>
      </c>
      <c r="L607" s="25"/>
      <c r="M607" s="25"/>
      <c r="N607" s="25"/>
      <c r="O607" s="25"/>
      <c r="P607" s="15">
        <f>SUMPRODUCT(Business_Portfolio!$D607:$U607,Business_Portfolio!$D$8:$U$8)</f>
        <v>0</v>
      </c>
      <c r="Q607" s="25">
        <f t="shared" si="47"/>
        <v>0</v>
      </c>
      <c r="R607" s="25"/>
      <c r="S607" s="25"/>
      <c r="T607" s="25"/>
      <c r="U607" s="25"/>
    </row>
    <row r="608" spans="1:21" x14ac:dyDescent="0.25">
      <c r="A608" s="155">
        <f t="shared" si="48"/>
        <v>49</v>
      </c>
      <c r="C608" s="79">
        <v>48.250000000000277</v>
      </c>
      <c r="D608" s="15">
        <f>SUMPRODUCT(Business_Portfolio!D608:AM608,Business_Portfolio!$D$8:$AM$8)</f>
        <v>0</v>
      </c>
      <c r="E608" s="25">
        <f t="shared" si="45"/>
        <v>0</v>
      </c>
      <c r="F608" s="25"/>
      <c r="G608" s="25"/>
      <c r="H608" s="25"/>
      <c r="I608" s="25"/>
      <c r="J608" s="15">
        <f>SUMPRODUCT(Business_Portfolio!$V608:$AM608,Business_Portfolio!$V$8:$AM$8)</f>
        <v>0</v>
      </c>
      <c r="K608" s="25">
        <f t="shared" si="46"/>
        <v>0</v>
      </c>
      <c r="L608" s="25"/>
      <c r="M608" s="25"/>
      <c r="N608" s="25"/>
      <c r="O608" s="25"/>
      <c r="P608" s="15">
        <f>SUMPRODUCT(Business_Portfolio!$D608:$U608,Business_Portfolio!$D$8:$U$8)</f>
        <v>0</v>
      </c>
      <c r="Q608" s="25">
        <f t="shared" si="47"/>
        <v>0</v>
      </c>
      <c r="R608" s="25"/>
      <c r="S608" s="25"/>
      <c r="T608" s="25"/>
      <c r="U608" s="25"/>
    </row>
    <row r="609" spans="1:21" x14ac:dyDescent="0.25">
      <c r="A609" s="155">
        <f t="shared" si="48"/>
        <v>49</v>
      </c>
      <c r="C609" s="79">
        <v>48.333333333333613</v>
      </c>
      <c r="D609" s="15">
        <f>SUMPRODUCT(Business_Portfolio!D609:AM609,Business_Portfolio!$D$8:$AM$8)</f>
        <v>0</v>
      </c>
      <c r="E609" s="25">
        <f t="shared" si="45"/>
        <v>0</v>
      </c>
      <c r="F609" s="25"/>
      <c r="G609" s="25"/>
      <c r="H609" s="25"/>
      <c r="I609" s="25"/>
      <c r="J609" s="15">
        <f>SUMPRODUCT(Business_Portfolio!$V609:$AM609,Business_Portfolio!$V$8:$AM$8)</f>
        <v>0</v>
      </c>
      <c r="K609" s="25">
        <f t="shared" si="46"/>
        <v>0</v>
      </c>
      <c r="L609" s="25"/>
      <c r="M609" s="25"/>
      <c r="N609" s="25"/>
      <c r="O609" s="25"/>
      <c r="P609" s="15">
        <f>SUMPRODUCT(Business_Portfolio!$D609:$U609,Business_Portfolio!$D$8:$U$8)</f>
        <v>0</v>
      </c>
      <c r="Q609" s="25">
        <f t="shared" si="47"/>
        <v>0</v>
      </c>
      <c r="R609" s="25"/>
      <c r="S609" s="25"/>
      <c r="T609" s="25"/>
      <c r="U609" s="25"/>
    </row>
    <row r="610" spans="1:21" x14ac:dyDescent="0.25">
      <c r="A610" s="155">
        <f t="shared" si="48"/>
        <v>49</v>
      </c>
      <c r="C610" s="79">
        <v>48.416666666666949</v>
      </c>
      <c r="D610" s="15">
        <f>SUMPRODUCT(Business_Portfolio!D610:AM610,Business_Portfolio!$D$8:$AM$8)</f>
        <v>0</v>
      </c>
      <c r="E610" s="25">
        <f t="shared" si="45"/>
        <v>0</v>
      </c>
      <c r="F610" s="25"/>
      <c r="G610" s="25"/>
      <c r="H610" s="25"/>
      <c r="I610" s="25"/>
      <c r="J610" s="15">
        <f>SUMPRODUCT(Business_Portfolio!$V610:$AM610,Business_Portfolio!$V$8:$AM$8)</f>
        <v>0</v>
      </c>
      <c r="K610" s="25">
        <f t="shared" si="46"/>
        <v>0</v>
      </c>
      <c r="L610" s="25"/>
      <c r="M610" s="25"/>
      <c r="N610" s="25"/>
      <c r="O610" s="25"/>
      <c r="P610" s="15">
        <f>SUMPRODUCT(Business_Portfolio!$D610:$U610,Business_Portfolio!$D$8:$U$8)</f>
        <v>0</v>
      </c>
      <c r="Q610" s="25">
        <f t="shared" si="47"/>
        <v>0</v>
      </c>
      <c r="R610" s="25"/>
      <c r="S610" s="25"/>
      <c r="T610" s="25"/>
      <c r="U610" s="25"/>
    </row>
    <row r="611" spans="1:21" x14ac:dyDescent="0.25">
      <c r="A611" s="155">
        <f t="shared" si="48"/>
        <v>49</v>
      </c>
      <c r="C611" s="79">
        <v>48.500000000000284</v>
      </c>
      <c r="D611" s="15">
        <f>SUMPRODUCT(Business_Portfolio!D611:AM611,Business_Portfolio!$D$8:$AM$8)</f>
        <v>0</v>
      </c>
      <c r="E611" s="25">
        <f t="shared" si="45"/>
        <v>0</v>
      </c>
      <c r="F611" s="25"/>
      <c r="G611" s="25"/>
      <c r="H611" s="25"/>
      <c r="I611" s="25"/>
      <c r="J611" s="15">
        <f>SUMPRODUCT(Business_Portfolio!$V611:$AM611,Business_Portfolio!$V$8:$AM$8)</f>
        <v>0</v>
      </c>
      <c r="K611" s="25">
        <f t="shared" si="46"/>
        <v>0</v>
      </c>
      <c r="L611" s="25"/>
      <c r="M611" s="25"/>
      <c r="N611" s="25"/>
      <c r="O611" s="25"/>
      <c r="P611" s="15">
        <f>SUMPRODUCT(Business_Portfolio!$D611:$U611,Business_Portfolio!$D$8:$U$8)</f>
        <v>0</v>
      </c>
      <c r="Q611" s="25">
        <f t="shared" si="47"/>
        <v>0</v>
      </c>
      <c r="R611" s="25"/>
      <c r="S611" s="25"/>
      <c r="T611" s="25"/>
      <c r="U611" s="25"/>
    </row>
    <row r="612" spans="1:21" x14ac:dyDescent="0.25">
      <c r="A612" s="155">
        <f t="shared" si="48"/>
        <v>49</v>
      </c>
      <c r="C612" s="79">
        <v>48.58333333333362</v>
      </c>
      <c r="D612" s="15">
        <f>SUMPRODUCT(Business_Portfolio!D612:AM612,Business_Portfolio!$D$8:$AM$8)</f>
        <v>0</v>
      </c>
      <c r="E612" s="25">
        <f t="shared" si="45"/>
        <v>0</v>
      </c>
      <c r="F612" s="25"/>
      <c r="G612" s="25"/>
      <c r="H612" s="25"/>
      <c r="I612" s="25"/>
      <c r="J612" s="15">
        <f>SUMPRODUCT(Business_Portfolio!$V612:$AM612,Business_Portfolio!$V$8:$AM$8)</f>
        <v>0</v>
      </c>
      <c r="K612" s="25">
        <f t="shared" si="46"/>
        <v>0</v>
      </c>
      <c r="L612" s="25"/>
      <c r="M612" s="25"/>
      <c r="N612" s="25"/>
      <c r="O612" s="25"/>
      <c r="P612" s="15">
        <f>SUMPRODUCT(Business_Portfolio!$D612:$U612,Business_Portfolio!$D$8:$U$8)</f>
        <v>0</v>
      </c>
      <c r="Q612" s="25">
        <f t="shared" si="47"/>
        <v>0</v>
      </c>
      <c r="R612" s="25"/>
      <c r="S612" s="25"/>
      <c r="T612" s="25"/>
      <c r="U612" s="25"/>
    </row>
    <row r="613" spans="1:21" x14ac:dyDescent="0.25">
      <c r="A613" s="155">
        <f t="shared" si="48"/>
        <v>49</v>
      </c>
      <c r="C613" s="79">
        <v>48.666666666666956</v>
      </c>
      <c r="D613" s="15">
        <f>SUMPRODUCT(Business_Portfolio!D613:AM613,Business_Portfolio!$D$8:$AM$8)</f>
        <v>0</v>
      </c>
      <c r="E613" s="25">
        <f t="shared" si="45"/>
        <v>0</v>
      </c>
      <c r="F613" s="25"/>
      <c r="G613" s="25"/>
      <c r="H613" s="25"/>
      <c r="I613" s="25"/>
      <c r="J613" s="15">
        <f>SUMPRODUCT(Business_Portfolio!$V613:$AM613,Business_Portfolio!$V$8:$AM$8)</f>
        <v>0</v>
      </c>
      <c r="K613" s="25">
        <f t="shared" si="46"/>
        <v>0</v>
      </c>
      <c r="L613" s="25"/>
      <c r="M613" s="25"/>
      <c r="N613" s="25"/>
      <c r="O613" s="25"/>
      <c r="P613" s="15">
        <f>SUMPRODUCT(Business_Portfolio!$D613:$U613,Business_Portfolio!$D$8:$U$8)</f>
        <v>0</v>
      </c>
      <c r="Q613" s="25">
        <f t="shared" si="47"/>
        <v>0</v>
      </c>
      <c r="R613" s="25"/>
      <c r="S613" s="25"/>
      <c r="T613" s="25"/>
      <c r="U613" s="25"/>
    </row>
    <row r="614" spans="1:21" x14ac:dyDescent="0.25">
      <c r="A614" s="155">
        <f t="shared" si="48"/>
        <v>49</v>
      </c>
      <c r="C614" s="79">
        <v>48.750000000000291</v>
      </c>
      <c r="D614" s="15">
        <f>SUMPRODUCT(Business_Portfolio!D614:AM614,Business_Portfolio!$D$8:$AM$8)</f>
        <v>0</v>
      </c>
      <c r="E614" s="25">
        <f t="shared" si="45"/>
        <v>0</v>
      </c>
      <c r="F614" s="25"/>
      <c r="G614" s="25"/>
      <c r="H614" s="25"/>
      <c r="I614" s="25"/>
      <c r="J614" s="15">
        <f>SUMPRODUCT(Business_Portfolio!$V614:$AM614,Business_Portfolio!$V$8:$AM$8)</f>
        <v>0</v>
      </c>
      <c r="K614" s="25">
        <f t="shared" si="46"/>
        <v>0</v>
      </c>
      <c r="L614" s="25"/>
      <c r="M614" s="25"/>
      <c r="N614" s="25"/>
      <c r="O614" s="25"/>
      <c r="P614" s="15">
        <f>SUMPRODUCT(Business_Portfolio!$D614:$U614,Business_Portfolio!$D$8:$U$8)</f>
        <v>0</v>
      </c>
      <c r="Q614" s="25">
        <f t="shared" si="47"/>
        <v>0</v>
      </c>
      <c r="R614" s="25"/>
      <c r="S614" s="25"/>
      <c r="T614" s="25"/>
      <c r="U614" s="25"/>
    </row>
    <row r="615" spans="1:21" x14ac:dyDescent="0.25">
      <c r="A615" s="155">
        <f t="shared" si="48"/>
        <v>49</v>
      </c>
      <c r="C615" s="79">
        <v>48.833333333333627</v>
      </c>
      <c r="D615" s="15">
        <f>SUMPRODUCT(Business_Portfolio!D615:AM615,Business_Portfolio!$D$8:$AM$8)</f>
        <v>0</v>
      </c>
      <c r="E615" s="25">
        <f t="shared" si="45"/>
        <v>0</v>
      </c>
      <c r="F615" s="25"/>
      <c r="G615" s="25"/>
      <c r="H615" s="25"/>
      <c r="I615" s="25"/>
      <c r="J615" s="15">
        <f>SUMPRODUCT(Business_Portfolio!$V615:$AM615,Business_Portfolio!$V$8:$AM$8)</f>
        <v>0</v>
      </c>
      <c r="K615" s="25">
        <f t="shared" si="46"/>
        <v>0</v>
      </c>
      <c r="L615" s="25"/>
      <c r="M615" s="25"/>
      <c r="N615" s="25"/>
      <c r="O615" s="25"/>
      <c r="P615" s="15">
        <f>SUMPRODUCT(Business_Portfolio!$D615:$U615,Business_Portfolio!$D$8:$U$8)</f>
        <v>0</v>
      </c>
      <c r="Q615" s="25">
        <f t="shared" si="47"/>
        <v>0</v>
      </c>
      <c r="R615" s="25"/>
      <c r="S615" s="25"/>
      <c r="T615" s="25"/>
      <c r="U615" s="25"/>
    </row>
    <row r="616" spans="1:21" x14ac:dyDescent="0.25">
      <c r="A616" s="155">
        <f t="shared" si="48"/>
        <v>49</v>
      </c>
      <c r="C616" s="79">
        <v>48.916666666666963</v>
      </c>
      <c r="D616" s="15">
        <f>SUMPRODUCT(Business_Portfolio!D616:AM616,Business_Portfolio!$D$8:$AM$8)</f>
        <v>0</v>
      </c>
      <c r="E616" s="25">
        <f t="shared" si="45"/>
        <v>0</v>
      </c>
      <c r="F616" s="25"/>
      <c r="G616" s="25"/>
      <c r="H616" s="25"/>
      <c r="I616" s="25"/>
      <c r="J616" s="15">
        <f>SUMPRODUCT(Business_Portfolio!$V616:$AM616,Business_Portfolio!$V$8:$AM$8)</f>
        <v>0</v>
      </c>
      <c r="K616" s="25">
        <f t="shared" si="46"/>
        <v>0</v>
      </c>
      <c r="L616" s="25"/>
      <c r="M616" s="25"/>
      <c r="N616" s="25"/>
      <c r="O616" s="25"/>
      <c r="P616" s="15">
        <f>SUMPRODUCT(Business_Portfolio!$D616:$U616,Business_Portfolio!$D$8:$U$8)</f>
        <v>0</v>
      </c>
      <c r="Q616" s="25">
        <f t="shared" si="47"/>
        <v>0</v>
      </c>
      <c r="R616" s="25"/>
      <c r="S616" s="25"/>
      <c r="T616" s="25"/>
      <c r="U616" s="25"/>
    </row>
    <row r="617" spans="1:21" x14ac:dyDescent="0.25">
      <c r="A617" s="155">
        <f t="shared" si="48"/>
        <v>49</v>
      </c>
      <c r="C617" s="79">
        <v>49.000000000000298</v>
      </c>
      <c r="D617" s="15">
        <f>SUMPRODUCT(Business_Portfolio!D617:AM617,Business_Portfolio!$D$8:$AM$8)</f>
        <v>0</v>
      </c>
      <c r="E617" s="25">
        <f t="shared" si="45"/>
        <v>0</v>
      </c>
      <c r="F617" s="25"/>
      <c r="G617" s="25"/>
      <c r="H617" s="25"/>
      <c r="I617" s="25"/>
      <c r="J617" s="15">
        <f>SUMPRODUCT(Business_Portfolio!$V617:$AM617,Business_Portfolio!$V$8:$AM$8)</f>
        <v>0</v>
      </c>
      <c r="K617" s="25">
        <f t="shared" si="46"/>
        <v>0</v>
      </c>
      <c r="L617" s="25"/>
      <c r="M617" s="25"/>
      <c r="N617" s="25"/>
      <c r="O617" s="25"/>
      <c r="P617" s="15">
        <f>SUMPRODUCT(Business_Portfolio!$D617:$U617,Business_Portfolio!$D$8:$U$8)</f>
        <v>0</v>
      </c>
      <c r="Q617" s="25">
        <f t="shared" si="47"/>
        <v>0</v>
      </c>
      <c r="R617" s="25"/>
      <c r="S617" s="25"/>
      <c r="T617" s="25"/>
      <c r="U617" s="25"/>
    </row>
    <row r="618" spans="1:21" x14ac:dyDescent="0.25">
      <c r="A618" s="155">
        <f t="shared" si="48"/>
        <v>50</v>
      </c>
      <c r="C618" s="79">
        <v>49.083333333333634</v>
      </c>
      <c r="D618" s="15">
        <f>SUMPRODUCT(Business_Portfolio!D618:AM618,Business_Portfolio!$D$8:$AM$8)</f>
        <v>0</v>
      </c>
      <c r="E618" s="25">
        <f t="shared" si="45"/>
        <v>0</v>
      </c>
      <c r="F618" s="25"/>
      <c r="G618" s="25"/>
      <c r="H618" s="25"/>
      <c r="I618" s="25"/>
      <c r="J618" s="15">
        <f>SUMPRODUCT(Business_Portfolio!$V618:$AM618,Business_Portfolio!$V$8:$AM$8)</f>
        <v>0</v>
      </c>
      <c r="K618" s="25">
        <f t="shared" si="46"/>
        <v>0</v>
      </c>
      <c r="L618" s="25"/>
      <c r="M618" s="25"/>
      <c r="N618" s="25"/>
      <c r="O618" s="25"/>
      <c r="P618" s="15">
        <f>SUMPRODUCT(Business_Portfolio!$D618:$U618,Business_Portfolio!$D$8:$U$8)</f>
        <v>0</v>
      </c>
      <c r="Q618" s="25">
        <f t="shared" si="47"/>
        <v>0</v>
      </c>
      <c r="R618" s="25"/>
      <c r="S618" s="25"/>
      <c r="T618" s="25"/>
      <c r="U618" s="25"/>
    </row>
    <row r="619" spans="1:21" x14ac:dyDescent="0.25">
      <c r="A619" s="155">
        <f t="shared" si="48"/>
        <v>50</v>
      </c>
      <c r="C619" s="79">
        <v>49.16666666666697</v>
      </c>
      <c r="D619" s="15">
        <f>SUMPRODUCT(Business_Portfolio!D619:AM619,Business_Portfolio!$D$8:$AM$8)</f>
        <v>0</v>
      </c>
      <c r="E619" s="25">
        <f t="shared" si="45"/>
        <v>0</v>
      </c>
      <c r="F619" s="25"/>
      <c r="G619" s="25"/>
      <c r="H619" s="25"/>
      <c r="I619" s="25"/>
      <c r="J619" s="15">
        <f>SUMPRODUCT(Business_Portfolio!$V619:$AM619,Business_Portfolio!$V$8:$AM$8)</f>
        <v>0</v>
      </c>
      <c r="K619" s="25">
        <f t="shared" si="46"/>
        <v>0</v>
      </c>
      <c r="L619" s="25"/>
      <c r="M619" s="25"/>
      <c r="N619" s="25"/>
      <c r="O619" s="25"/>
      <c r="P619" s="15">
        <f>SUMPRODUCT(Business_Portfolio!$D619:$U619,Business_Portfolio!$D$8:$U$8)</f>
        <v>0</v>
      </c>
      <c r="Q619" s="25">
        <f t="shared" si="47"/>
        <v>0</v>
      </c>
      <c r="R619" s="25"/>
      <c r="S619" s="25"/>
      <c r="T619" s="25"/>
      <c r="U619" s="25"/>
    </row>
    <row r="620" spans="1:21" x14ac:dyDescent="0.25">
      <c r="A620" s="155">
        <f t="shared" si="48"/>
        <v>50</v>
      </c>
      <c r="C620" s="79">
        <v>49.250000000000306</v>
      </c>
      <c r="D620" s="15">
        <f>SUMPRODUCT(Business_Portfolio!D620:AM620,Business_Portfolio!$D$8:$AM$8)</f>
        <v>0</v>
      </c>
      <c r="E620" s="25">
        <f t="shared" si="45"/>
        <v>0</v>
      </c>
      <c r="F620" s="25"/>
      <c r="G620" s="25"/>
      <c r="H620" s="25"/>
      <c r="I620" s="25"/>
      <c r="J620" s="15">
        <f>SUMPRODUCT(Business_Portfolio!$V620:$AM620,Business_Portfolio!$V$8:$AM$8)</f>
        <v>0</v>
      </c>
      <c r="K620" s="25">
        <f t="shared" si="46"/>
        <v>0</v>
      </c>
      <c r="L620" s="25"/>
      <c r="M620" s="25"/>
      <c r="N620" s="25"/>
      <c r="O620" s="25"/>
      <c r="P620" s="15">
        <f>SUMPRODUCT(Business_Portfolio!$D620:$U620,Business_Portfolio!$D$8:$U$8)</f>
        <v>0</v>
      </c>
      <c r="Q620" s="25">
        <f t="shared" si="47"/>
        <v>0</v>
      </c>
      <c r="R620" s="25"/>
      <c r="S620" s="25"/>
      <c r="T620" s="25"/>
      <c r="U620" s="25"/>
    </row>
    <row r="621" spans="1:21" x14ac:dyDescent="0.25">
      <c r="A621" s="155">
        <f t="shared" si="48"/>
        <v>50</v>
      </c>
      <c r="C621" s="79">
        <v>49.333333333333641</v>
      </c>
      <c r="D621" s="15">
        <f>SUMPRODUCT(Business_Portfolio!D621:AM621,Business_Portfolio!$D$8:$AM$8)</f>
        <v>0</v>
      </c>
      <c r="E621" s="25">
        <f t="shared" si="45"/>
        <v>0</v>
      </c>
      <c r="F621" s="25"/>
      <c r="G621" s="25"/>
      <c r="H621" s="25"/>
      <c r="I621" s="25"/>
      <c r="J621" s="15">
        <f>SUMPRODUCT(Business_Portfolio!$V621:$AM621,Business_Portfolio!$V$8:$AM$8)</f>
        <v>0</v>
      </c>
      <c r="K621" s="25">
        <f t="shared" si="46"/>
        <v>0</v>
      </c>
      <c r="L621" s="25"/>
      <c r="M621" s="25"/>
      <c r="N621" s="25"/>
      <c r="O621" s="25"/>
      <c r="P621" s="15">
        <f>SUMPRODUCT(Business_Portfolio!$D621:$U621,Business_Portfolio!$D$8:$U$8)</f>
        <v>0</v>
      </c>
      <c r="Q621" s="25">
        <f t="shared" si="47"/>
        <v>0</v>
      </c>
      <c r="R621" s="25"/>
      <c r="S621" s="25"/>
      <c r="T621" s="25"/>
      <c r="U621" s="25"/>
    </row>
    <row r="622" spans="1:21" x14ac:dyDescent="0.25">
      <c r="A622" s="155">
        <f t="shared" si="48"/>
        <v>50</v>
      </c>
      <c r="C622" s="79">
        <v>49.416666666666977</v>
      </c>
      <c r="D622" s="15">
        <f>SUMPRODUCT(Business_Portfolio!D622:AM622,Business_Portfolio!$D$8:$AM$8)</f>
        <v>0</v>
      </c>
      <c r="E622" s="25">
        <f t="shared" si="45"/>
        <v>0</v>
      </c>
      <c r="F622" s="25"/>
      <c r="G622" s="25"/>
      <c r="H622" s="25"/>
      <c r="I622" s="25"/>
      <c r="J622" s="15">
        <f>SUMPRODUCT(Business_Portfolio!$V622:$AM622,Business_Portfolio!$V$8:$AM$8)</f>
        <v>0</v>
      </c>
      <c r="K622" s="25">
        <f t="shared" si="46"/>
        <v>0</v>
      </c>
      <c r="L622" s="25"/>
      <c r="M622" s="25"/>
      <c r="N622" s="25"/>
      <c r="O622" s="25"/>
      <c r="P622" s="15">
        <f>SUMPRODUCT(Business_Portfolio!$D622:$U622,Business_Portfolio!$D$8:$U$8)</f>
        <v>0</v>
      </c>
      <c r="Q622" s="25">
        <f t="shared" si="47"/>
        <v>0</v>
      </c>
      <c r="R622" s="25"/>
      <c r="S622" s="25"/>
      <c r="T622" s="25"/>
      <c r="U622" s="25"/>
    </row>
    <row r="623" spans="1:21" x14ac:dyDescent="0.25">
      <c r="A623" s="155">
        <f t="shared" si="48"/>
        <v>50</v>
      </c>
      <c r="C623" s="79">
        <v>49.500000000000313</v>
      </c>
      <c r="D623" s="15">
        <f>SUMPRODUCT(Business_Portfolio!D623:AM623,Business_Portfolio!$D$8:$AM$8)</f>
        <v>0</v>
      </c>
      <c r="E623" s="25">
        <f t="shared" si="45"/>
        <v>0</v>
      </c>
      <c r="F623" s="25"/>
      <c r="G623" s="25"/>
      <c r="H623" s="25"/>
      <c r="I623" s="25"/>
      <c r="J623" s="15">
        <f>SUMPRODUCT(Business_Portfolio!$V623:$AM623,Business_Portfolio!$V$8:$AM$8)</f>
        <v>0</v>
      </c>
      <c r="K623" s="25">
        <f t="shared" si="46"/>
        <v>0</v>
      </c>
      <c r="L623" s="25"/>
      <c r="M623" s="25"/>
      <c r="N623" s="25"/>
      <c r="O623" s="25"/>
      <c r="P623" s="15">
        <f>SUMPRODUCT(Business_Portfolio!$D623:$U623,Business_Portfolio!$D$8:$U$8)</f>
        <v>0</v>
      </c>
      <c r="Q623" s="25">
        <f t="shared" si="47"/>
        <v>0</v>
      </c>
      <c r="R623" s="25"/>
      <c r="S623" s="25"/>
      <c r="T623" s="25"/>
      <c r="U623" s="25"/>
    </row>
    <row r="624" spans="1:21" x14ac:dyDescent="0.25">
      <c r="A624" s="155">
        <f t="shared" si="48"/>
        <v>50</v>
      </c>
      <c r="C624" s="79">
        <v>49.583333333333648</v>
      </c>
      <c r="D624" s="15">
        <f>SUMPRODUCT(Business_Portfolio!D624:AM624,Business_Portfolio!$D$8:$AM$8)</f>
        <v>0</v>
      </c>
      <c r="E624" s="25">
        <f t="shared" si="45"/>
        <v>0</v>
      </c>
      <c r="F624" s="25"/>
      <c r="G624" s="25"/>
      <c r="H624" s="25"/>
      <c r="I624" s="25"/>
      <c r="J624" s="15">
        <f>SUMPRODUCT(Business_Portfolio!$V624:$AM624,Business_Portfolio!$V$8:$AM$8)</f>
        <v>0</v>
      </c>
      <c r="K624" s="25">
        <f t="shared" si="46"/>
        <v>0</v>
      </c>
      <c r="L624" s="25"/>
      <c r="M624" s="25"/>
      <c r="N624" s="25"/>
      <c r="O624" s="25"/>
      <c r="P624" s="15">
        <f>SUMPRODUCT(Business_Portfolio!$D624:$U624,Business_Portfolio!$D$8:$U$8)</f>
        <v>0</v>
      </c>
      <c r="Q624" s="25">
        <f t="shared" si="47"/>
        <v>0</v>
      </c>
      <c r="R624" s="25"/>
      <c r="S624" s="25"/>
      <c r="T624" s="25"/>
      <c r="U624" s="25"/>
    </row>
    <row r="625" spans="1:21" x14ac:dyDescent="0.25">
      <c r="A625" s="155">
        <f t="shared" si="48"/>
        <v>50</v>
      </c>
      <c r="C625" s="79">
        <v>49.666666666666984</v>
      </c>
      <c r="D625" s="15">
        <f>SUMPRODUCT(Business_Portfolio!D625:AM625,Business_Portfolio!$D$8:$AM$8)</f>
        <v>0</v>
      </c>
      <c r="E625" s="25">
        <f t="shared" si="45"/>
        <v>0</v>
      </c>
      <c r="F625" s="25"/>
      <c r="G625" s="25"/>
      <c r="H625" s="25"/>
      <c r="I625" s="25"/>
      <c r="J625" s="15">
        <f>SUMPRODUCT(Business_Portfolio!$V625:$AM625,Business_Portfolio!$V$8:$AM$8)</f>
        <v>0</v>
      </c>
      <c r="K625" s="25">
        <f t="shared" si="46"/>
        <v>0</v>
      </c>
      <c r="L625" s="25"/>
      <c r="M625" s="25"/>
      <c r="N625" s="25"/>
      <c r="O625" s="25"/>
      <c r="P625" s="15">
        <f>SUMPRODUCT(Business_Portfolio!$D625:$U625,Business_Portfolio!$D$8:$U$8)</f>
        <v>0</v>
      </c>
      <c r="Q625" s="25">
        <f t="shared" si="47"/>
        <v>0</v>
      </c>
      <c r="R625" s="25"/>
      <c r="S625" s="25"/>
      <c r="T625" s="25"/>
      <c r="U625" s="25"/>
    </row>
    <row r="626" spans="1:21" x14ac:dyDescent="0.25">
      <c r="A626" s="155">
        <f t="shared" si="48"/>
        <v>50</v>
      </c>
      <c r="C626" s="79">
        <v>49.75000000000032</v>
      </c>
      <c r="D626" s="15">
        <f>SUMPRODUCT(Business_Portfolio!D626:AM626,Business_Portfolio!$D$8:$AM$8)</f>
        <v>0</v>
      </c>
      <c r="E626" s="25">
        <f t="shared" si="45"/>
        <v>0</v>
      </c>
      <c r="F626" s="25"/>
      <c r="G626" s="25"/>
      <c r="H626" s="25"/>
      <c r="I626" s="25"/>
      <c r="J626" s="15">
        <f>SUMPRODUCT(Business_Portfolio!$V626:$AM626,Business_Portfolio!$V$8:$AM$8)</f>
        <v>0</v>
      </c>
      <c r="K626" s="25">
        <f t="shared" si="46"/>
        <v>0</v>
      </c>
      <c r="L626" s="25"/>
      <c r="M626" s="25"/>
      <c r="N626" s="25"/>
      <c r="O626" s="25"/>
      <c r="P626" s="15">
        <f>SUMPRODUCT(Business_Portfolio!$D626:$U626,Business_Portfolio!$D$8:$U$8)</f>
        <v>0</v>
      </c>
      <c r="Q626" s="25">
        <f t="shared" si="47"/>
        <v>0</v>
      </c>
      <c r="R626" s="25"/>
      <c r="S626" s="25"/>
      <c r="T626" s="25"/>
      <c r="U626" s="25"/>
    </row>
    <row r="627" spans="1:21" x14ac:dyDescent="0.25">
      <c r="A627" s="155">
        <f t="shared" si="48"/>
        <v>50</v>
      </c>
      <c r="C627" s="79">
        <v>49.833333333333655</v>
      </c>
      <c r="D627" s="15">
        <f>SUMPRODUCT(Business_Portfolio!D627:AM627,Business_Portfolio!$D$8:$AM$8)</f>
        <v>0</v>
      </c>
      <c r="E627" s="25">
        <f t="shared" si="45"/>
        <v>0</v>
      </c>
      <c r="F627" s="25"/>
      <c r="G627" s="25"/>
      <c r="H627" s="25"/>
      <c r="I627" s="25"/>
      <c r="J627" s="15">
        <f>SUMPRODUCT(Business_Portfolio!$V627:$AM627,Business_Portfolio!$V$8:$AM$8)</f>
        <v>0</v>
      </c>
      <c r="K627" s="25">
        <f t="shared" si="46"/>
        <v>0</v>
      </c>
      <c r="L627" s="25"/>
      <c r="M627" s="25"/>
      <c r="N627" s="25"/>
      <c r="O627" s="25"/>
      <c r="P627" s="15">
        <f>SUMPRODUCT(Business_Portfolio!$D627:$U627,Business_Portfolio!$D$8:$U$8)</f>
        <v>0</v>
      </c>
      <c r="Q627" s="25">
        <f t="shared" si="47"/>
        <v>0</v>
      </c>
      <c r="R627" s="25"/>
      <c r="S627" s="25"/>
      <c r="T627" s="25"/>
      <c r="U627" s="25"/>
    </row>
    <row r="628" spans="1:21" x14ac:dyDescent="0.25">
      <c r="A628" s="155">
        <f t="shared" si="48"/>
        <v>50</v>
      </c>
      <c r="C628" s="79">
        <v>49.916666666666991</v>
      </c>
      <c r="D628" s="15">
        <f>SUMPRODUCT(Business_Portfolio!D628:AM628,Business_Portfolio!$D$8:$AM$8)</f>
        <v>0</v>
      </c>
      <c r="E628" s="25">
        <f t="shared" si="45"/>
        <v>0</v>
      </c>
      <c r="F628" s="25"/>
      <c r="G628" s="25"/>
      <c r="H628" s="25"/>
      <c r="I628" s="25"/>
      <c r="J628" s="15">
        <f>SUMPRODUCT(Business_Portfolio!$V628:$AM628,Business_Portfolio!$V$8:$AM$8)</f>
        <v>0</v>
      </c>
      <c r="K628" s="25">
        <f t="shared" si="46"/>
        <v>0</v>
      </c>
      <c r="L628" s="25"/>
      <c r="M628" s="25"/>
      <c r="N628" s="25"/>
      <c r="O628" s="25"/>
      <c r="P628" s="15">
        <f>SUMPRODUCT(Business_Portfolio!$D628:$U628,Business_Portfolio!$D$8:$U$8)</f>
        <v>0</v>
      </c>
      <c r="Q628" s="25">
        <f t="shared" si="47"/>
        <v>0</v>
      </c>
      <c r="R628" s="25"/>
      <c r="S628" s="25"/>
      <c r="T628" s="25"/>
      <c r="U628" s="25"/>
    </row>
    <row r="629" spans="1:21" x14ac:dyDescent="0.25">
      <c r="A629" s="155">
        <f t="shared" si="48"/>
        <v>50</v>
      </c>
      <c r="C629" s="79">
        <v>50.000000000000327</v>
      </c>
      <c r="D629" s="15">
        <f>SUMPRODUCT(Business_Portfolio!D629:AM629,Business_Portfolio!$D$8:$AM$8)</f>
        <v>0</v>
      </c>
      <c r="E629" s="25">
        <f t="shared" si="45"/>
        <v>0</v>
      </c>
      <c r="F629" s="25"/>
      <c r="G629" s="25"/>
      <c r="H629" s="25"/>
      <c r="I629" s="25"/>
      <c r="J629" s="15">
        <f>SUMPRODUCT(Business_Portfolio!$V629:$AM629,Business_Portfolio!$V$8:$AM$8)</f>
        <v>0</v>
      </c>
      <c r="K629" s="25">
        <f t="shared" si="46"/>
        <v>0</v>
      </c>
      <c r="L629" s="25"/>
      <c r="M629" s="25"/>
      <c r="N629" s="25"/>
      <c r="O629" s="25"/>
      <c r="P629" s="15">
        <f>SUMPRODUCT(Business_Portfolio!$D629:$U629,Business_Portfolio!$D$8:$U$8)</f>
        <v>0</v>
      </c>
      <c r="Q629" s="25">
        <f t="shared" si="47"/>
        <v>0</v>
      </c>
      <c r="R629" s="25"/>
      <c r="S629" s="25"/>
      <c r="T629" s="25"/>
      <c r="U629" s="25"/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31A8C-051E-4E47-A7DD-D27C548071AD}">
  <sheetPr codeName="Sheet19">
    <tabColor theme="4" tint="0.79998168889431442"/>
  </sheetPr>
  <dimension ref="A1:R1012"/>
  <sheetViews>
    <sheetView workbookViewId="0">
      <selection activeCell="Q21" sqref="Q21"/>
    </sheetView>
  </sheetViews>
  <sheetFormatPr defaultColWidth="9.140625" defaultRowHeight="15" x14ac:dyDescent="0.25"/>
  <cols>
    <col min="1" max="1" width="13.140625" bestFit="1" customWidth="1"/>
    <col min="2" max="2" width="9" style="2" customWidth="1"/>
    <col min="3" max="3" width="13.140625" bestFit="1" customWidth="1"/>
    <col min="4" max="4" width="13.28515625" bestFit="1" customWidth="1"/>
    <col min="5" max="6" width="16.140625" bestFit="1" customWidth="1"/>
    <col min="7" max="7" width="13.7109375" bestFit="1" customWidth="1"/>
    <col min="8" max="8" width="14.7109375" style="163" bestFit="1" customWidth="1"/>
    <col min="9" max="9" width="12.28515625" style="12" bestFit="1" customWidth="1"/>
    <col min="10" max="10" width="11.7109375" style="115" bestFit="1" customWidth="1"/>
    <col min="11" max="11" width="12.42578125" style="115" bestFit="1" customWidth="1"/>
    <col min="12" max="12" width="11.85546875" style="115" bestFit="1" customWidth="1"/>
    <col min="13" max="13" width="8.85546875"/>
    <col min="14" max="14" width="1.42578125" style="174" customWidth="1"/>
    <col min="15" max="15" width="10" style="73" bestFit="1" customWidth="1"/>
    <col min="16" max="17" width="9.140625" style="73"/>
    <col min="18" max="18" width="15.28515625" style="73" bestFit="1" customWidth="1"/>
    <col min="19" max="16384" width="9.140625" style="73"/>
  </cols>
  <sheetData>
    <row r="1" spans="1:18" x14ac:dyDescent="0.25">
      <c r="B1" s="2" t="s">
        <v>39</v>
      </c>
      <c r="I1" s="12" t="s">
        <v>135</v>
      </c>
    </row>
    <row r="2" spans="1:18" s="3" customFormat="1" x14ac:dyDescent="0.25">
      <c r="B2" s="4" t="s">
        <v>305</v>
      </c>
      <c r="C2" s="3" t="s">
        <v>308</v>
      </c>
      <c r="D2" s="3" t="s">
        <v>309</v>
      </c>
      <c r="E2" s="3" t="s">
        <v>310</v>
      </c>
      <c r="F2" s="3" t="s">
        <v>311</v>
      </c>
      <c r="G2" s="3" t="s">
        <v>313</v>
      </c>
      <c r="H2" s="164" t="s">
        <v>314</v>
      </c>
      <c r="I2" s="53" t="s">
        <v>317</v>
      </c>
      <c r="J2" s="114" t="s">
        <v>318</v>
      </c>
      <c r="K2" s="114" t="s">
        <v>319</v>
      </c>
      <c r="L2" s="114" t="s">
        <v>320</v>
      </c>
      <c r="N2" s="175"/>
      <c r="P2" s="3" t="s">
        <v>254</v>
      </c>
      <c r="Q2" s="3" t="s">
        <v>337</v>
      </c>
      <c r="R2" s="3" t="s">
        <v>326</v>
      </c>
    </row>
    <row r="3" spans="1:18" x14ac:dyDescent="0.25">
      <c r="A3" t="s">
        <v>325</v>
      </c>
      <c r="B3" s="2">
        <v>1</v>
      </c>
      <c r="C3">
        <v>0.9</v>
      </c>
      <c r="D3">
        <v>0.9</v>
      </c>
      <c r="E3">
        <v>2.08</v>
      </c>
      <c r="F3">
        <v>5.07</v>
      </c>
      <c r="G3">
        <v>1.1000000000000001</v>
      </c>
      <c r="H3" s="165">
        <v>1</v>
      </c>
      <c r="I3" s="12">
        <v>2.629090909090909E-2</v>
      </c>
      <c r="J3" s="115">
        <v>4.0690909090909097E-2</v>
      </c>
      <c r="K3" s="115">
        <v>4.2545454545454544E-3</v>
      </c>
      <c r="L3" s="115">
        <v>1.9445454545454547E-2</v>
      </c>
      <c r="P3" s="188">
        <f>Business_Portfolio_Result!D13</f>
        <v>5.0203484205092061E-2</v>
      </c>
      <c r="Q3" s="188">
        <f>Business_Portfolio_Result!D14</f>
        <v>1.0040696841018411</v>
      </c>
      <c r="R3" s="49">
        <f>'Business Size'!AD5</f>
        <v>44163276.658007085</v>
      </c>
    </row>
    <row r="4" spans="1:18" x14ac:dyDescent="0.25">
      <c r="A4" s="3"/>
      <c r="B4" s="4"/>
      <c r="C4" s="3"/>
      <c r="D4" s="3"/>
      <c r="E4" s="3"/>
      <c r="F4" s="3"/>
      <c r="G4" s="3"/>
      <c r="H4" s="164"/>
      <c r="I4" s="53"/>
      <c r="J4" s="114"/>
      <c r="K4" s="114"/>
      <c r="L4" s="114"/>
      <c r="M4" s="3"/>
      <c r="N4" s="175"/>
    </row>
    <row r="5" spans="1:18" x14ac:dyDescent="0.25">
      <c r="A5" t="s">
        <v>306</v>
      </c>
      <c r="B5" s="168">
        <v>1</v>
      </c>
      <c r="C5" s="122">
        <v>0.9</v>
      </c>
      <c r="D5" s="122">
        <v>0.9</v>
      </c>
      <c r="E5" s="122">
        <v>2.08</v>
      </c>
      <c r="F5" s="122">
        <v>5.07</v>
      </c>
      <c r="G5" s="122">
        <v>1.1000000000000001</v>
      </c>
      <c r="H5" s="163">
        <v>1</v>
      </c>
      <c r="I5" s="12">
        <v>2.629090909090909E-2</v>
      </c>
      <c r="J5" s="115">
        <v>4.0690909090909097E-2</v>
      </c>
      <c r="K5" s="115">
        <v>4.2545454545454544E-3</v>
      </c>
      <c r="L5" s="115">
        <v>1.9445454545454547E-2</v>
      </c>
      <c r="O5" s="73" t="s">
        <v>343</v>
      </c>
      <c r="P5" s="188">
        <f>AVERAGE(P13:P1012)</f>
        <v>4.3229808913723348E-2</v>
      </c>
      <c r="Q5" s="188">
        <f>AVERAGE(Q13:Q1012)</f>
        <v>0.86459617827446744</v>
      </c>
      <c r="R5" s="49">
        <f>AVERAGE(R13:R1012)</f>
        <v>38028635.684530906</v>
      </c>
    </row>
    <row r="6" spans="1:18" x14ac:dyDescent="0.25">
      <c r="A6" t="s">
        <v>323</v>
      </c>
      <c r="B6" s="168">
        <v>0.98</v>
      </c>
      <c r="C6" s="122">
        <v>0.86</v>
      </c>
      <c r="D6" s="122">
        <v>0.85</v>
      </c>
      <c r="E6" s="122">
        <v>1.07</v>
      </c>
      <c r="F6" s="122">
        <v>2.56</v>
      </c>
      <c r="G6" s="122">
        <v>1.05</v>
      </c>
      <c r="H6" s="163">
        <v>0</v>
      </c>
      <c r="O6" s="73" t="s">
        <v>312</v>
      </c>
      <c r="P6" s="188">
        <f>_xlfn.STDEV.S(P13:P1012)</f>
        <v>7.2995189228117319E-2</v>
      </c>
      <c r="Q6" s="188">
        <f>_xlfn.STDEV.S(Q13:Q1012)</f>
        <v>1.4599037845623444</v>
      </c>
      <c r="R6" s="49">
        <f>_xlfn.STDEV.S(R13:R1012)</f>
        <v>64212808.884247705</v>
      </c>
    </row>
    <row r="7" spans="1:18" x14ac:dyDescent="0.25">
      <c r="A7" t="s">
        <v>322</v>
      </c>
      <c r="B7" s="168">
        <v>1.02</v>
      </c>
      <c r="C7" s="122">
        <v>0.97</v>
      </c>
      <c r="D7" s="122">
        <v>0.89</v>
      </c>
      <c r="E7" s="122">
        <v>4.05</v>
      </c>
      <c r="F7" s="122">
        <v>10.050000000000001</v>
      </c>
      <c r="G7" s="122">
        <v>1.1499999999999999</v>
      </c>
      <c r="H7" s="163">
        <v>0</v>
      </c>
      <c r="O7" s="73" t="s">
        <v>344</v>
      </c>
      <c r="P7" s="188">
        <f>_xlfn.PERCENTILE.INC(P$13:P$1012, 0.05)</f>
        <v>-8.1726376883343707E-2</v>
      </c>
      <c r="Q7" s="188">
        <f t="shared" ref="Q7:R7" si="0">_xlfn.PERCENTILE.INC(Q$13:Q$1012, 0.05)</f>
        <v>-1.6345275376668738</v>
      </c>
      <c r="R7" s="49">
        <f t="shared" si="0"/>
        <v>-71893507.984642565</v>
      </c>
    </row>
    <row r="8" spans="1:18" x14ac:dyDescent="0.25">
      <c r="A8" t="s">
        <v>312</v>
      </c>
      <c r="B8" s="168">
        <f>((B7-B5)+(B5-B6))/2 / 1.96</f>
        <v>1.0204081632653071E-2</v>
      </c>
      <c r="C8" s="122">
        <f t="shared" ref="C8:H8" si="1">((C7-C5)+(C5-C6))/2 / 1.96</f>
        <v>2.8061224489795915E-2</v>
      </c>
      <c r="D8" s="122">
        <f t="shared" si="1"/>
        <v>1.0204081632653071E-2</v>
      </c>
      <c r="E8" s="122">
        <f t="shared" si="1"/>
        <v>0.76020408163265296</v>
      </c>
      <c r="F8" s="122">
        <f t="shared" si="1"/>
        <v>1.9107142857142858</v>
      </c>
      <c r="G8" s="122">
        <f t="shared" si="1"/>
        <v>2.5510204081632619E-2</v>
      </c>
      <c r="H8" s="122">
        <f t="shared" si="1"/>
        <v>0</v>
      </c>
      <c r="I8" s="12">
        <v>1.0224089201488791E-2</v>
      </c>
      <c r="J8" s="115">
        <v>1.7094938113105539E-2</v>
      </c>
      <c r="K8" s="115">
        <v>6.1428154634647633E-3</v>
      </c>
      <c r="L8" s="115">
        <v>1.6737345287491892E-2</v>
      </c>
      <c r="O8" s="73" t="s">
        <v>345</v>
      </c>
      <c r="P8" s="188">
        <f>_xlfn.PERCENTILE.INC(P$13:P$1012, 0.005)</f>
        <v>-0.15244081922475194</v>
      </c>
      <c r="Q8" s="188">
        <f t="shared" ref="Q8:R8" si="2">_xlfn.PERCENTILE.INC(Q$13:Q$1012, 0.005)</f>
        <v>-3.048816384495038</v>
      </c>
      <c r="R8" s="49">
        <f t="shared" si="2"/>
        <v>-134099976.92377533</v>
      </c>
    </row>
    <row r="9" spans="1:18" x14ac:dyDescent="0.25">
      <c r="A9" s="3"/>
      <c r="B9" s="169"/>
      <c r="C9" s="3"/>
      <c r="D9" s="3"/>
      <c r="E9" s="3"/>
      <c r="F9" s="3"/>
      <c r="G9" s="3"/>
      <c r="H9" s="164"/>
      <c r="I9" s="53"/>
      <c r="J9" s="114"/>
      <c r="K9" s="114"/>
      <c r="L9" s="114"/>
      <c r="M9" s="3"/>
      <c r="N9" s="175"/>
      <c r="P9" s="188"/>
      <c r="Q9" s="188"/>
      <c r="R9" s="49"/>
    </row>
    <row r="10" spans="1:18" x14ac:dyDescent="0.25">
      <c r="A10" t="s">
        <v>324</v>
      </c>
      <c r="B10" s="171">
        <v>1.0076639577049222</v>
      </c>
      <c r="C10" s="161">
        <v>0.91552111101837885</v>
      </c>
      <c r="D10" s="161">
        <v>0.89312152732110806</v>
      </c>
      <c r="E10" s="161">
        <v>3.4725803115637985</v>
      </c>
      <c r="F10" s="161">
        <v>7.7983296555326875</v>
      </c>
      <c r="G10" s="161">
        <v>1.0958873457369238</v>
      </c>
      <c r="H10" s="172">
        <v>1</v>
      </c>
      <c r="I10" s="152">
        <v>2.4007956329489988E-2</v>
      </c>
      <c r="J10" s="173">
        <v>3.8544935495775312E-2</v>
      </c>
      <c r="K10" s="173">
        <v>5.5645017415150225E-3</v>
      </c>
      <c r="L10" s="173">
        <v>3.137815129738418E-2</v>
      </c>
    </row>
    <row r="11" spans="1:18" x14ac:dyDescent="0.25">
      <c r="B11" s="168"/>
      <c r="C11" s="122"/>
      <c r="D11" s="122"/>
      <c r="E11" s="122"/>
      <c r="F11" s="122"/>
      <c r="G11" s="122"/>
      <c r="P11" s="188"/>
      <c r="R11" s="188"/>
    </row>
    <row r="12" spans="1:18" s="3" customFormat="1" x14ac:dyDescent="0.25">
      <c r="A12" s="3" t="s">
        <v>321</v>
      </c>
      <c r="B12" s="170"/>
      <c r="C12" s="124"/>
      <c r="D12" s="124"/>
      <c r="E12" s="124"/>
      <c r="F12" s="124"/>
      <c r="G12" s="124"/>
      <c r="H12" s="164"/>
      <c r="I12" s="53"/>
      <c r="J12" s="114"/>
      <c r="K12" s="114"/>
      <c r="L12" s="114"/>
      <c r="N12" s="175"/>
    </row>
    <row r="13" spans="1:18" x14ac:dyDescent="0.25">
      <c r="A13">
        <v>1</v>
      </c>
      <c r="B13" s="168">
        <v>1</v>
      </c>
      <c r="C13" s="122">
        <v>0.9</v>
      </c>
      <c r="D13" s="122">
        <v>0.9</v>
      </c>
      <c r="E13" s="122">
        <v>2.08</v>
      </c>
      <c r="F13" s="122">
        <v>5.07</v>
      </c>
      <c r="G13" s="122">
        <v>1.1000000000000001</v>
      </c>
      <c r="H13" s="163">
        <v>1</v>
      </c>
      <c r="I13" s="12">
        <v>2.629090909090909E-2</v>
      </c>
      <c r="J13" s="115">
        <v>4.0690909090909097E-2</v>
      </c>
      <c r="K13" s="115">
        <v>4.2545454545454544E-3</v>
      </c>
      <c r="L13" s="115">
        <v>1.9445454545454547E-2</v>
      </c>
      <c r="P13" s="108">
        <v>5.0203484205091943E-2</v>
      </c>
      <c r="Q13" s="108">
        <v>1.0040696841018386</v>
      </c>
      <c r="R13" s="49">
        <v>44163276.658006981</v>
      </c>
    </row>
    <row r="14" spans="1:18" x14ac:dyDescent="0.25">
      <c r="A14">
        <f>A13+1</f>
        <v>2</v>
      </c>
      <c r="B14" s="168">
        <v>1.0108975007942753</v>
      </c>
      <c r="C14" s="122">
        <v>0.88824345194364651</v>
      </c>
      <c r="D14" s="122">
        <v>0.90476195751272248</v>
      </c>
      <c r="E14" s="122">
        <v>1.1289159476935779</v>
      </c>
      <c r="F14" s="122">
        <v>4.9751174174837454</v>
      </c>
      <c r="G14" s="122">
        <v>1.0864711939349152</v>
      </c>
      <c r="H14" s="163">
        <v>1</v>
      </c>
      <c r="I14" s="12">
        <v>3.3149076569339034E-2</v>
      </c>
      <c r="J14" s="115">
        <v>5.4749961875122294E-2</v>
      </c>
      <c r="K14" s="115">
        <v>2.5486361770807198E-3</v>
      </c>
      <c r="L14" s="115">
        <v>3.2903129377112539E-2</v>
      </c>
      <c r="P14" s="108">
        <v>0.12554611839107396</v>
      </c>
      <c r="Q14" s="108">
        <v>2.5109223678214789</v>
      </c>
      <c r="R14" s="49">
        <v>110441098.81284969</v>
      </c>
    </row>
    <row r="15" spans="1:18" x14ac:dyDescent="0.25">
      <c r="A15">
        <f t="shared" ref="A15:A78" si="3">A14+1</f>
        <v>3</v>
      </c>
      <c r="B15" s="168">
        <v>1.0080804454823113</v>
      </c>
      <c r="C15" s="122">
        <v>0.87000516954937068</v>
      </c>
      <c r="D15" s="122">
        <v>0.90723516501228674</v>
      </c>
      <c r="E15" s="122">
        <v>1.7318352071777445</v>
      </c>
      <c r="F15" s="122">
        <v>3.6104012126639287</v>
      </c>
      <c r="G15" s="122">
        <v>1.1616577372791848</v>
      </c>
      <c r="H15" s="163">
        <v>1</v>
      </c>
      <c r="I15" s="12">
        <v>4.0955717292767396E-2</v>
      </c>
      <c r="J15" s="115">
        <v>3.2302908514796794E-2</v>
      </c>
      <c r="K15" s="115">
        <v>3.1639707821859032E-3</v>
      </c>
      <c r="L15" s="115">
        <v>-4.913043763519271E-3</v>
      </c>
      <c r="P15" s="108">
        <v>-2.3755041040549835E-2</v>
      </c>
      <c r="Q15" s="108">
        <v>-0.47510082081099658</v>
      </c>
      <c r="R15" s="49">
        <v>-20896964.943913311</v>
      </c>
    </row>
    <row r="16" spans="1:18" x14ac:dyDescent="0.25">
      <c r="A16">
        <f t="shared" si="3"/>
        <v>4</v>
      </c>
      <c r="B16" s="168">
        <v>1.012041300381898</v>
      </c>
      <c r="C16" s="122">
        <v>0.88921250750044667</v>
      </c>
      <c r="D16" s="122">
        <v>0.90824022049410835</v>
      </c>
      <c r="E16" s="122">
        <v>3.0085223420883307</v>
      </c>
      <c r="F16" s="122">
        <v>5.4896961903744232</v>
      </c>
      <c r="G16" s="122">
        <v>1.1161516522458677</v>
      </c>
      <c r="H16" s="163">
        <v>1</v>
      </c>
      <c r="I16" s="12">
        <v>2.4448460621949275E-2</v>
      </c>
      <c r="J16" s="115">
        <v>2.7714254061040465E-2</v>
      </c>
      <c r="K16" s="115">
        <v>3.3855809698439998E-3</v>
      </c>
      <c r="L16" s="115">
        <v>1.4628963155880401E-3</v>
      </c>
      <c r="P16" s="108">
        <v>-1.3618733317043474E-2</v>
      </c>
      <c r="Q16" s="108">
        <v>-0.27237466634086943</v>
      </c>
      <c r="R16" s="49">
        <v>-11980202.106195755</v>
      </c>
    </row>
    <row r="17" spans="1:18" x14ac:dyDescent="0.25">
      <c r="A17">
        <f t="shared" si="3"/>
        <v>5</v>
      </c>
      <c r="B17" s="168">
        <v>0.99101580830782299</v>
      </c>
      <c r="C17" s="122">
        <v>0.87632846412326215</v>
      </c>
      <c r="D17" s="122">
        <v>0.88791298215215442</v>
      </c>
      <c r="E17" s="122">
        <v>0.89084429474772708</v>
      </c>
      <c r="F17" s="122">
        <v>5.5135826888929191</v>
      </c>
      <c r="G17" s="122">
        <v>1.1218540486875141</v>
      </c>
      <c r="H17" s="163">
        <v>1</v>
      </c>
      <c r="I17" s="12">
        <v>3.7442626743724429E-2</v>
      </c>
      <c r="J17" s="115">
        <v>4.7963334865413446E-2</v>
      </c>
      <c r="K17" s="115">
        <v>6.5913683355999977E-3</v>
      </c>
      <c r="L17" s="115">
        <v>3.2389773992634908E-3</v>
      </c>
      <c r="P17" s="108">
        <v>9.3687515185932366E-2</v>
      </c>
      <c r="Q17" s="108">
        <v>1.8737503037186471</v>
      </c>
      <c r="R17" s="49">
        <v>82415547.806498811</v>
      </c>
    </row>
    <row r="18" spans="1:18" x14ac:dyDescent="0.25">
      <c r="A18">
        <f t="shared" si="3"/>
        <v>6</v>
      </c>
      <c r="B18" s="168">
        <v>0.99944860201816177</v>
      </c>
      <c r="C18" s="122">
        <v>0.89893803276605577</v>
      </c>
      <c r="D18" s="122">
        <v>0.88868237315070886</v>
      </c>
      <c r="E18" s="122">
        <v>2.1254340137284076</v>
      </c>
      <c r="F18" s="122">
        <v>5.6855217912958844</v>
      </c>
      <c r="G18" s="122">
        <v>1.1281049184338232</v>
      </c>
      <c r="H18" s="163">
        <v>1</v>
      </c>
      <c r="I18" s="12">
        <v>3.192004497054652E-2</v>
      </c>
      <c r="J18" s="115">
        <v>5.1954753628469179E-2</v>
      </c>
      <c r="K18" s="115">
        <v>1.0338391408229026E-2</v>
      </c>
      <c r="L18" s="115">
        <v>1.7031615161573865E-2</v>
      </c>
      <c r="P18" s="108">
        <v>9.7636504149541545E-2</v>
      </c>
      <c r="Q18" s="108">
        <v>1.9527300829908305</v>
      </c>
      <c r="R18" s="49">
        <v>85889416.102309212</v>
      </c>
    </row>
    <row r="19" spans="1:18" x14ac:dyDescent="0.25">
      <c r="A19">
        <f t="shared" si="3"/>
        <v>7</v>
      </c>
      <c r="B19" s="168">
        <v>1.0019917246057917</v>
      </c>
      <c r="C19" s="122">
        <v>0.90138220442702999</v>
      </c>
      <c r="D19" s="122">
        <v>0.89166968769019028</v>
      </c>
      <c r="E19" s="122">
        <v>1.8618566260397833</v>
      </c>
      <c r="F19" s="122">
        <v>4.3899308694369221</v>
      </c>
      <c r="G19" s="122">
        <v>1.1332792771069142</v>
      </c>
      <c r="H19" s="163">
        <v>1</v>
      </c>
      <c r="I19" s="12">
        <v>2.7762339714182023E-2</v>
      </c>
      <c r="J19" s="115">
        <v>-5.64486538209482E-3</v>
      </c>
      <c r="K19" s="115">
        <v>1.9113239560072964E-2</v>
      </c>
      <c r="L19" s="115">
        <v>3.9798778267239598E-2</v>
      </c>
      <c r="P19" s="108">
        <v>-0.1103690919434845</v>
      </c>
      <c r="Q19" s="108">
        <v>-2.20738183886969</v>
      </c>
      <c r="R19" s="49">
        <v>-97090088.848828167</v>
      </c>
    </row>
    <row r="20" spans="1:18" x14ac:dyDescent="0.25">
      <c r="A20">
        <f t="shared" si="3"/>
        <v>8</v>
      </c>
      <c r="B20" s="168">
        <v>1.0077052621854532</v>
      </c>
      <c r="C20" s="122">
        <v>0.86453484111573897</v>
      </c>
      <c r="D20" s="122">
        <v>0.89600981069050578</v>
      </c>
      <c r="E20" s="122">
        <v>1.470039064647914</v>
      </c>
      <c r="F20" s="122">
        <v>6.7812841021778585</v>
      </c>
      <c r="G20" s="122">
        <v>1.114571685314407</v>
      </c>
      <c r="H20" s="163">
        <v>1</v>
      </c>
      <c r="I20" s="12">
        <v>3.6760246942313175E-2</v>
      </c>
      <c r="J20" s="115">
        <v>1.2331504176324434E-2</v>
      </c>
      <c r="K20" s="115">
        <v>3.7257315534323368E-3</v>
      </c>
      <c r="L20" s="115">
        <v>3.1661302212937933E-2</v>
      </c>
      <c r="P20" s="108">
        <v>-2.036732099830749E-3</v>
      </c>
      <c r="Q20" s="108">
        <v>-4.0734641996614973E-2</v>
      </c>
      <c r="R20" s="49">
        <v>-1791683.6774836071</v>
      </c>
    </row>
    <row r="21" spans="1:18" x14ac:dyDescent="0.25">
      <c r="A21">
        <f t="shared" si="3"/>
        <v>9</v>
      </c>
      <c r="B21" s="168">
        <v>1.0077771591994746</v>
      </c>
      <c r="C21" s="122">
        <v>0.95365293191459144</v>
      </c>
      <c r="D21" s="122">
        <v>0.89272636160744367</v>
      </c>
      <c r="E21" s="122">
        <v>1.9053017497576956</v>
      </c>
      <c r="F21" s="122">
        <v>3.1440951047075032</v>
      </c>
      <c r="G21" s="122">
        <v>1.1118399434524515</v>
      </c>
      <c r="H21" s="163">
        <v>1</v>
      </c>
      <c r="I21" s="12">
        <v>-2.9956149013309792E-3</v>
      </c>
      <c r="J21" s="115">
        <v>3.5427637987466148E-2</v>
      </c>
      <c r="K21" s="115">
        <v>7.4311710007521218E-3</v>
      </c>
      <c r="L21" s="115">
        <v>1.2218366143747368E-2</v>
      </c>
      <c r="P21" s="108">
        <v>-3.8283911854366262E-2</v>
      </c>
      <c r="Q21" s="108">
        <v>-0.76567823708732508</v>
      </c>
      <c r="R21" s="49">
        <v>-33677801.800928496</v>
      </c>
    </row>
    <row r="22" spans="1:18" x14ac:dyDescent="0.25">
      <c r="A22">
        <f t="shared" si="3"/>
        <v>10</v>
      </c>
      <c r="B22" s="168">
        <v>0.98680027212563015</v>
      </c>
      <c r="C22" s="122">
        <v>0.92127666389909202</v>
      </c>
      <c r="D22" s="122">
        <v>0.88420775359480042</v>
      </c>
      <c r="E22" s="122">
        <v>2.1221274175269516</v>
      </c>
      <c r="F22" s="122">
        <v>3.1287239792714638</v>
      </c>
      <c r="G22" s="122">
        <v>1.1219116135441709</v>
      </c>
      <c r="H22" s="163">
        <v>1</v>
      </c>
      <c r="I22" s="12">
        <v>2.9315406733174634E-2</v>
      </c>
      <c r="J22" s="115">
        <v>4.8993659075121009E-2</v>
      </c>
      <c r="K22" s="115">
        <v>1.2649166706952146E-2</v>
      </c>
      <c r="L22" s="115">
        <v>3.688830300090655E-2</v>
      </c>
      <c r="P22" s="108">
        <v>5.4508809049157635E-2</v>
      </c>
      <c r="Q22" s="108">
        <v>1.0901761809831525</v>
      </c>
      <c r="R22" s="49">
        <v>47950608.457814194</v>
      </c>
    </row>
    <row r="23" spans="1:18" x14ac:dyDescent="0.25">
      <c r="A23">
        <f t="shared" si="3"/>
        <v>11</v>
      </c>
      <c r="B23" s="168">
        <v>0.98612031743972306</v>
      </c>
      <c r="C23" s="122">
        <v>0.90780771899235979</v>
      </c>
      <c r="D23" s="122">
        <v>0.89639261910470802</v>
      </c>
      <c r="E23" s="122">
        <v>2.7865695194994933</v>
      </c>
      <c r="F23" s="122">
        <v>4.1491360225250942</v>
      </c>
      <c r="G23" s="122">
        <v>1.1086148435342884</v>
      </c>
      <c r="H23" s="163">
        <v>1</v>
      </c>
      <c r="I23" s="12">
        <v>3.7135843083248264E-2</v>
      </c>
      <c r="J23" s="115">
        <v>4.1171394505344051E-2</v>
      </c>
      <c r="K23" s="115">
        <v>1.4118087059535626E-3</v>
      </c>
      <c r="L23" s="115">
        <v>2.4895578780646375E-2</v>
      </c>
      <c r="P23" s="108">
        <v>4.5202598003767878E-2</v>
      </c>
      <c r="Q23" s="108">
        <v>0.90405196007535749</v>
      </c>
      <c r="R23" s="49">
        <v>39764069.624048114</v>
      </c>
    </row>
    <row r="24" spans="1:18" x14ac:dyDescent="0.25">
      <c r="A24">
        <f t="shared" si="3"/>
        <v>12</v>
      </c>
      <c r="B24" s="168">
        <v>0.99828914329163509</v>
      </c>
      <c r="C24" s="122">
        <v>0.87267214312111774</v>
      </c>
      <c r="D24" s="122">
        <v>0.90581023298458707</v>
      </c>
      <c r="E24" s="122">
        <v>2.4983311016545682</v>
      </c>
      <c r="F24" s="122">
        <v>4.0826626791658915</v>
      </c>
      <c r="G24" s="122">
        <v>1.0905190859097318</v>
      </c>
      <c r="H24" s="163">
        <v>1</v>
      </c>
      <c r="I24" s="12">
        <v>3.4063020185268217E-2</v>
      </c>
      <c r="J24" s="115">
        <v>5.8550649358285883E-2</v>
      </c>
      <c r="K24" s="115">
        <v>6.392967645753032E-3</v>
      </c>
      <c r="L24" s="115">
        <v>6.1034482428458728E-2</v>
      </c>
      <c r="P24" s="108">
        <v>0.13249266740874766</v>
      </c>
      <c r="Q24" s="108">
        <v>2.6498533481749531</v>
      </c>
      <c r="R24" s="49">
        <v>116551877.19692877</v>
      </c>
    </row>
    <row r="25" spans="1:18" x14ac:dyDescent="0.25">
      <c r="A25">
        <f t="shared" si="3"/>
        <v>13</v>
      </c>
      <c r="B25" s="168">
        <v>1.0105460781313582</v>
      </c>
      <c r="C25" s="122">
        <v>0.93930320034041848</v>
      </c>
      <c r="D25" s="122">
        <v>0.91236337581518234</v>
      </c>
      <c r="E25" s="122">
        <v>1.3188843040497793</v>
      </c>
      <c r="F25" s="122">
        <v>6.2438680595457807</v>
      </c>
      <c r="G25" s="122">
        <v>1.1136371599654893</v>
      </c>
      <c r="H25" s="163">
        <v>1</v>
      </c>
      <c r="I25" s="12">
        <v>1.9913706178740789E-2</v>
      </c>
      <c r="J25" s="115">
        <v>4.0868015014676476E-2</v>
      </c>
      <c r="K25" s="115">
        <v>9.8462464154071838E-3</v>
      </c>
      <c r="L25" s="115">
        <v>8.8842051292646954E-4</v>
      </c>
      <c r="P25" s="108">
        <v>5.7635084330376132E-2</v>
      </c>
      <c r="Q25" s="108">
        <v>1.1527016866075224</v>
      </c>
      <c r="R25" s="49">
        <v>50700747.463894136</v>
      </c>
    </row>
    <row r="26" spans="1:18" x14ac:dyDescent="0.25">
      <c r="A26">
        <f t="shared" si="3"/>
        <v>14</v>
      </c>
      <c r="B26" s="168">
        <v>0.99122575188481588</v>
      </c>
      <c r="C26" s="122">
        <v>0.882108640557974</v>
      </c>
      <c r="D26" s="122">
        <v>0.90304305714250011</v>
      </c>
      <c r="E26" s="122">
        <v>1.2772671111105862</v>
      </c>
      <c r="F26" s="122">
        <v>10.150219324268715</v>
      </c>
      <c r="G26" s="122">
        <v>1.0951527262974499</v>
      </c>
      <c r="H26" s="163">
        <v>1</v>
      </c>
      <c r="I26" s="12">
        <v>4.2790974532874976E-2</v>
      </c>
      <c r="J26" s="115">
        <v>3.0974493335911128E-2</v>
      </c>
      <c r="K26" s="115">
        <v>4.3292881691268711E-3</v>
      </c>
      <c r="L26" s="115">
        <v>4.9349954473212457E-2</v>
      </c>
      <c r="P26" s="108">
        <v>0.12065978562830891</v>
      </c>
      <c r="Q26" s="108">
        <v>2.4131957125661776</v>
      </c>
      <c r="R26" s="49">
        <v>106142662.77674705</v>
      </c>
    </row>
    <row r="27" spans="1:18" x14ac:dyDescent="0.25">
      <c r="A27">
        <f t="shared" si="3"/>
        <v>15</v>
      </c>
      <c r="B27" s="168">
        <v>1.0158186699301543</v>
      </c>
      <c r="C27" s="122">
        <v>0.91951573571673573</v>
      </c>
      <c r="D27" s="122">
        <v>0.91549482458500531</v>
      </c>
      <c r="E27" s="122">
        <v>1.8195390251758394</v>
      </c>
      <c r="F27" s="122">
        <v>4.208214522492753</v>
      </c>
      <c r="G27" s="122">
        <v>1.0848352702787869</v>
      </c>
      <c r="H27" s="163">
        <v>1</v>
      </c>
      <c r="I27" s="12">
        <v>3.8018916979697066E-2</v>
      </c>
      <c r="J27" s="115">
        <v>4.815965387284718E-2</v>
      </c>
      <c r="K27" s="115">
        <v>4.0941173732961314E-3</v>
      </c>
      <c r="L27" s="115">
        <v>4.8257944799183772E-2</v>
      </c>
      <c r="P27" s="108">
        <v>9.652096191764245E-2</v>
      </c>
      <c r="Q27" s="108">
        <v>1.9304192383528487</v>
      </c>
      <c r="R27" s="49">
        <v>84908089.786195621</v>
      </c>
    </row>
    <row r="28" spans="1:18" x14ac:dyDescent="0.25">
      <c r="A28">
        <f t="shared" si="3"/>
        <v>16</v>
      </c>
      <c r="B28" s="168">
        <v>0.98730466217753277</v>
      </c>
      <c r="C28" s="122">
        <v>0.89371665573097314</v>
      </c>
      <c r="D28" s="122">
        <v>0.90384274923628005</v>
      </c>
      <c r="E28" s="122">
        <v>2.506336409605749</v>
      </c>
      <c r="F28" s="122">
        <v>5.7666852748731241</v>
      </c>
      <c r="G28" s="122">
        <v>1.0801372010175669</v>
      </c>
      <c r="H28" s="163">
        <v>1</v>
      </c>
      <c r="I28" s="12">
        <v>1.1282010140201764E-2</v>
      </c>
      <c r="J28" s="115">
        <v>1.6566300654342503E-2</v>
      </c>
      <c r="K28" s="115">
        <v>1.787866287641601E-3</v>
      </c>
      <c r="L28" s="115">
        <v>1.1679654733126359E-2</v>
      </c>
      <c r="P28" s="108">
        <v>-4.3947334806648461E-2</v>
      </c>
      <c r="Q28" s="108">
        <v>-0.87894669613296916</v>
      </c>
      <c r="R28" s="49">
        <v>-38659832.80202736</v>
      </c>
    </row>
    <row r="29" spans="1:18" x14ac:dyDescent="0.25">
      <c r="A29">
        <f t="shared" si="3"/>
        <v>17</v>
      </c>
      <c r="B29" s="168">
        <v>1.0018906246276114</v>
      </c>
      <c r="C29" s="122">
        <v>0.89963421575225333</v>
      </c>
      <c r="D29" s="122">
        <v>0.91596454130043758</v>
      </c>
      <c r="E29" s="122">
        <v>3.5424462347003298</v>
      </c>
      <c r="F29" s="122">
        <v>3.0680029669491575</v>
      </c>
      <c r="G29" s="122">
        <v>1.1146084471175914</v>
      </c>
      <c r="H29" s="163">
        <v>1</v>
      </c>
      <c r="I29" s="12">
        <v>2.9160868685357156E-2</v>
      </c>
      <c r="J29" s="115">
        <v>3.0759263893387762E-2</v>
      </c>
      <c r="K29" s="115">
        <v>-1.0699214115510109E-3</v>
      </c>
      <c r="L29" s="115">
        <v>2.0752865939979114E-2</v>
      </c>
      <c r="P29" s="108">
        <v>-2.0282972417706276E-2</v>
      </c>
      <c r="Q29" s="108">
        <v>-0.40565944835412548</v>
      </c>
      <c r="R29" s="49">
        <v>-17842636.552286014</v>
      </c>
    </row>
    <row r="30" spans="1:18" x14ac:dyDescent="0.25">
      <c r="A30">
        <f t="shared" si="3"/>
        <v>18</v>
      </c>
      <c r="B30" s="168">
        <v>0.99972322975214578</v>
      </c>
      <c r="C30" s="122">
        <v>0.90285985170614869</v>
      </c>
      <c r="D30" s="122">
        <v>0.89458660400982726</v>
      </c>
      <c r="E30" s="122">
        <v>1.9903978306170731</v>
      </c>
      <c r="F30" s="122">
        <v>4.3208825233601607</v>
      </c>
      <c r="G30" s="122">
        <v>1.1053500785637813</v>
      </c>
      <c r="H30" s="163">
        <v>1</v>
      </c>
      <c r="I30" s="12">
        <v>1.6350712284717434E-2</v>
      </c>
      <c r="J30" s="115">
        <v>4.4231367193306823E-2</v>
      </c>
      <c r="K30" s="115">
        <v>-2.9218696258527122E-3</v>
      </c>
      <c r="L30" s="115">
        <v>2.3474580035986226E-2</v>
      </c>
      <c r="P30" s="108">
        <v>4.2111166566324805E-2</v>
      </c>
      <c r="Q30" s="108">
        <v>0.84222333132649585</v>
      </c>
      <c r="R30" s="49">
        <v>37044582.241791636</v>
      </c>
    </row>
    <row r="31" spans="1:18" x14ac:dyDescent="0.25">
      <c r="A31">
        <f t="shared" si="3"/>
        <v>19</v>
      </c>
      <c r="B31" s="168">
        <v>1.0180521407823797</v>
      </c>
      <c r="C31" s="122">
        <v>0.88629151628306124</v>
      </c>
      <c r="D31" s="122">
        <v>0.89844542652055948</v>
      </c>
      <c r="E31" s="122">
        <v>2.1368075628601146</v>
      </c>
      <c r="F31" s="122">
        <v>5.8781405930214872</v>
      </c>
      <c r="G31" s="122">
        <v>1.1441104593339684</v>
      </c>
      <c r="H31" s="163">
        <v>1</v>
      </c>
      <c r="I31" s="12">
        <v>2.7477406201428706E-2</v>
      </c>
      <c r="J31" s="115">
        <v>7.2798717644234442E-2</v>
      </c>
      <c r="K31" s="115">
        <v>-1.7441770837313105E-3</v>
      </c>
      <c r="L31" s="115">
        <v>1.0551074429304232E-2</v>
      </c>
      <c r="P31" s="108">
        <v>0.15714366086100665</v>
      </c>
      <c r="Q31" s="108">
        <v>3.1428732172201324</v>
      </c>
      <c r="R31" s="49">
        <v>138236998.47814083</v>
      </c>
    </row>
    <row r="32" spans="1:18" x14ac:dyDescent="0.25">
      <c r="A32">
        <f t="shared" si="3"/>
        <v>20</v>
      </c>
      <c r="B32" s="168">
        <v>1.0081992204189223</v>
      </c>
      <c r="C32" s="122">
        <v>0.89314240110498944</v>
      </c>
      <c r="D32" s="122">
        <v>0.8947869000452725</v>
      </c>
      <c r="E32" s="122">
        <v>1.5140509252698977</v>
      </c>
      <c r="F32" s="122">
        <v>4.9288029279557604</v>
      </c>
      <c r="G32" s="122">
        <v>1.1032957037706512</v>
      </c>
      <c r="H32" s="163">
        <v>1</v>
      </c>
      <c r="I32" s="12">
        <v>3.4944884393355677E-2</v>
      </c>
      <c r="J32" s="115">
        <v>3.8349100333268084E-2</v>
      </c>
      <c r="K32" s="115">
        <v>1.1303227554591535E-2</v>
      </c>
      <c r="L32" s="115">
        <v>-3.7446668308735685E-3</v>
      </c>
      <c r="P32" s="108">
        <v>3.5811091339679774E-2</v>
      </c>
      <c r="Q32" s="108">
        <v>0.71622182679359536</v>
      </c>
      <c r="R32" s="49">
        <v>31502497.472058453</v>
      </c>
    </row>
    <row r="33" spans="1:18" x14ac:dyDescent="0.25">
      <c r="A33">
        <f t="shared" si="3"/>
        <v>21</v>
      </c>
      <c r="B33" s="168">
        <v>1.0030631851868168</v>
      </c>
      <c r="C33" s="122">
        <v>0.91196350377912727</v>
      </c>
      <c r="D33" s="122">
        <v>0.93206198163289544</v>
      </c>
      <c r="E33" s="122">
        <v>0.92819530993132826</v>
      </c>
      <c r="F33" s="122">
        <v>8.0063672855917805</v>
      </c>
      <c r="G33" s="122">
        <v>1.1084354885525816</v>
      </c>
      <c r="H33" s="163">
        <v>1</v>
      </c>
      <c r="I33" s="12">
        <v>2.2276988400332192E-2</v>
      </c>
      <c r="J33" s="115">
        <v>4.0019908554133066E-2</v>
      </c>
      <c r="K33" s="115">
        <v>1.8234294769854477E-2</v>
      </c>
      <c r="L33" s="115">
        <v>1.0377740261429536E-2</v>
      </c>
      <c r="P33" s="108">
        <v>9.591471204885979E-2</v>
      </c>
      <c r="Q33" s="108">
        <v>1.9182942409771955</v>
      </c>
      <c r="R33" s="49">
        <v>84374780.5726448</v>
      </c>
    </row>
    <row r="34" spans="1:18" x14ac:dyDescent="0.25">
      <c r="A34">
        <f t="shared" si="3"/>
        <v>22</v>
      </c>
      <c r="B34" s="168">
        <v>0.99510090713536736</v>
      </c>
      <c r="C34" s="122">
        <v>0.91332033316362715</v>
      </c>
      <c r="D34" s="122">
        <v>0.90130683226787423</v>
      </c>
      <c r="E34" s="122">
        <v>1.7912679971097298</v>
      </c>
      <c r="F34" s="122">
        <v>3.7807442280623995</v>
      </c>
      <c r="G34" s="122">
        <v>1.0911422801140676</v>
      </c>
      <c r="H34" s="163">
        <v>1</v>
      </c>
      <c r="I34" s="12">
        <v>2.8605814067623067E-2</v>
      </c>
      <c r="J34" s="115">
        <v>3.9008321772340607E-2</v>
      </c>
      <c r="K34" s="115">
        <v>-1.2208015870429009E-2</v>
      </c>
      <c r="L34" s="115">
        <v>1.3427693731278119E-2</v>
      </c>
      <c r="P34" s="108">
        <v>1.7517041558206197E-2</v>
      </c>
      <c r="Q34" s="108">
        <v>0.3503408311641239</v>
      </c>
      <c r="R34" s="49">
        <v>15409487.305791454</v>
      </c>
    </row>
    <row r="35" spans="1:18" x14ac:dyDescent="0.25">
      <c r="A35">
        <f t="shared" si="3"/>
        <v>23</v>
      </c>
      <c r="B35" s="168">
        <v>1.0111537798060688</v>
      </c>
      <c r="C35" s="122">
        <v>0.88941950484135235</v>
      </c>
      <c r="D35" s="122">
        <v>0.90716917255430141</v>
      </c>
      <c r="E35" s="122">
        <v>2.7748588433763932</v>
      </c>
      <c r="F35" s="122">
        <v>5.8979335531076584</v>
      </c>
      <c r="G35" s="122">
        <v>1.1157621316882977</v>
      </c>
      <c r="H35" s="163">
        <v>1</v>
      </c>
      <c r="I35" s="12">
        <v>2.890684904798433E-2</v>
      </c>
      <c r="J35" s="115">
        <v>2.0267239455975014E-2</v>
      </c>
      <c r="K35" s="115">
        <v>4.4468540458712192E-3</v>
      </c>
      <c r="L35" s="115">
        <v>3.0481400418877078E-2</v>
      </c>
      <c r="P35" s="108">
        <v>-7.3383688756243296E-3</v>
      </c>
      <c r="Q35" s="108">
        <v>-0.14676737751248656</v>
      </c>
      <c r="R35" s="49">
        <v>-6455456.6282440331</v>
      </c>
    </row>
    <row r="36" spans="1:18" x14ac:dyDescent="0.25">
      <c r="A36">
        <f t="shared" si="3"/>
        <v>24</v>
      </c>
      <c r="B36" s="168">
        <v>1.0086394800114049</v>
      </c>
      <c r="C36" s="122">
        <v>0.91526587389663105</v>
      </c>
      <c r="D36" s="122">
        <v>0.90336621034447295</v>
      </c>
      <c r="E36" s="122">
        <v>2.8475350382556313</v>
      </c>
      <c r="F36" s="122">
        <v>7.3152435488556691</v>
      </c>
      <c r="G36" s="122">
        <v>1.0453539912382712</v>
      </c>
      <c r="H36" s="163">
        <v>1</v>
      </c>
      <c r="I36" s="12">
        <v>5.9198274370576807E-3</v>
      </c>
      <c r="J36" s="115">
        <v>3.921659133003795E-2</v>
      </c>
      <c r="K36" s="115">
        <v>3.4321091471099796E-3</v>
      </c>
      <c r="L36" s="115">
        <v>2.631102606925317E-2</v>
      </c>
      <c r="P36" s="108">
        <v>6.2233844691535617E-2</v>
      </c>
      <c r="Q36" s="108">
        <v>1.2446768938307122</v>
      </c>
      <c r="R36" s="49">
        <v>54746210.230662897</v>
      </c>
    </row>
    <row r="37" spans="1:18" x14ac:dyDescent="0.25">
      <c r="A37">
        <f t="shared" si="3"/>
        <v>25</v>
      </c>
      <c r="B37" s="168">
        <v>0.99410613352633814</v>
      </c>
      <c r="C37" s="122">
        <v>0.93209036716054294</v>
      </c>
      <c r="D37" s="122">
        <v>0.90078964529237115</v>
      </c>
      <c r="E37" s="122">
        <v>1.6114499633170194</v>
      </c>
      <c r="F37" s="122">
        <v>5.4687202206415506</v>
      </c>
      <c r="G37" s="122">
        <v>1.0846265462911953</v>
      </c>
      <c r="H37" s="163">
        <v>1</v>
      </c>
      <c r="I37" s="12">
        <v>2.2823212675432657E-2</v>
      </c>
      <c r="J37" s="115">
        <v>2.2646040112873887E-2</v>
      </c>
      <c r="K37" s="115">
        <v>5.0162660220993858E-3</v>
      </c>
      <c r="L37" s="115">
        <v>2.5655366932194307E-2</v>
      </c>
      <c r="P37" s="108">
        <v>2.7241263316201973E-3</v>
      </c>
      <c r="Q37" s="108">
        <v>5.4482526632403938E-2</v>
      </c>
      <c r="R37" s="49">
        <v>2396374.4098562319</v>
      </c>
    </row>
    <row r="38" spans="1:18" x14ac:dyDescent="0.25">
      <c r="A38">
        <f t="shared" si="3"/>
        <v>26</v>
      </c>
      <c r="B38" s="168">
        <v>1.0247296660585676</v>
      </c>
      <c r="C38" s="122">
        <v>0.84447444223925783</v>
      </c>
      <c r="D38" s="122">
        <v>0.88862383724089078</v>
      </c>
      <c r="E38" s="122">
        <v>2.2651162460538292</v>
      </c>
      <c r="F38" s="122">
        <v>2.6271279806490102</v>
      </c>
      <c r="G38" s="122">
        <v>1.1272162899337268</v>
      </c>
      <c r="H38" s="163">
        <v>1</v>
      </c>
      <c r="I38" s="12">
        <v>2.0039238150943474E-3</v>
      </c>
      <c r="J38" s="115">
        <v>2.8821759760321607E-2</v>
      </c>
      <c r="K38" s="115">
        <v>5.669233893776918E-3</v>
      </c>
      <c r="L38" s="115">
        <v>3.1638151944944418E-2</v>
      </c>
      <c r="P38" s="108">
        <v>-5.8990282607072723E-2</v>
      </c>
      <c r="Q38" s="108">
        <v>-1.1798056521414544</v>
      </c>
      <c r="R38" s="49">
        <v>-51892895.725471087</v>
      </c>
    </row>
    <row r="39" spans="1:18" x14ac:dyDescent="0.25">
      <c r="A39">
        <f t="shared" si="3"/>
        <v>27</v>
      </c>
      <c r="B39" s="168">
        <v>0.99987073850963459</v>
      </c>
      <c r="C39" s="122">
        <v>0.91732623554625792</v>
      </c>
      <c r="D39" s="122">
        <v>0.9014225320805338</v>
      </c>
      <c r="E39" s="122">
        <v>2.3787803385572057</v>
      </c>
      <c r="F39" s="122">
        <v>2.014552169245833</v>
      </c>
      <c r="G39" s="122">
        <v>1.1240879050596577</v>
      </c>
      <c r="H39" s="163">
        <v>1</v>
      </c>
      <c r="I39" s="12">
        <v>3.632608582167169E-2</v>
      </c>
      <c r="J39" s="115">
        <v>8.1391843080583587E-2</v>
      </c>
      <c r="K39" s="115">
        <v>3.3073523134280209E-4</v>
      </c>
      <c r="L39" s="115">
        <v>3.1070598579852893E-2</v>
      </c>
      <c r="P39" s="108">
        <v>0.13562142525768206</v>
      </c>
      <c r="Q39" s="108">
        <v>2.7124285051536408</v>
      </c>
      <c r="R39" s="49">
        <v>119304200.08180903</v>
      </c>
    </row>
    <row r="40" spans="1:18" x14ac:dyDescent="0.25">
      <c r="A40">
        <f t="shared" si="3"/>
        <v>28</v>
      </c>
      <c r="B40" s="168">
        <v>0.9924814520264359</v>
      </c>
      <c r="C40" s="122">
        <v>0.87951766020330724</v>
      </c>
      <c r="D40" s="122">
        <v>0.89748813120294346</v>
      </c>
      <c r="E40" s="122">
        <v>1.7863679232273919</v>
      </c>
      <c r="F40" s="122">
        <v>4.9342280384404615</v>
      </c>
      <c r="G40" s="122">
        <v>1.1040378006122149</v>
      </c>
      <c r="H40" s="163">
        <v>1</v>
      </c>
      <c r="I40" s="12">
        <v>4.4042447134508222E-2</v>
      </c>
      <c r="J40" s="115">
        <v>5.6776218840766488E-2</v>
      </c>
      <c r="K40" s="115">
        <v>2.1417235876019635E-3</v>
      </c>
      <c r="L40" s="115">
        <v>2.2810937533690769E-3</v>
      </c>
      <c r="P40" s="108">
        <v>0.10700723862810774</v>
      </c>
      <c r="Q40" s="108">
        <v>2.1401447725621545</v>
      </c>
      <c r="R40" s="49">
        <v>94132715.264076754</v>
      </c>
    </row>
    <row r="41" spans="1:18" x14ac:dyDescent="0.25">
      <c r="A41">
        <f t="shared" si="3"/>
        <v>29</v>
      </c>
      <c r="B41" s="168">
        <v>1.0072488678514302</v>
      </c>
      <c r="C41" s="122">
        <v>0.90137147289391484</v>
      </c>
      <c r="D41" s="122">
        <v>0.8766424244823815</v>
      </c>
      <c r="E41" s="122">
        <v>2.9029671316937451</v>
      </c>
      <c r="F41" s="122">
        <v>2.8574484687370574</v>
      </c>
      <c r="G41" s="122">
        <v>1.1294307615389942</v>
      </c>
      <c r="H41" s="163">
        <v>1</v>
      </c>
      <c r="I41" s="12">
        <v>3.4189444981303441E-2</v>
      </c>
      <c r="J41" s="115">
        <v>3.8556674318475294E-2</v>
      </c>
      <c r="K41" s="115">
        <v>1.5617511493698282E-3</v>
      </c>
      <c r="L41" s="115">
        <v>1.8751726774032858E-2</v>
      </c>
      <c r="P41" s="108">
        <v>1.6773913902356284E-3</v>
      </c>
      <c r="Q41" s="108">
        <v>3.3547827804712563E-2</v>
      </c>
      <c r="R41" s="49">
        <v>1475576.8688903381</v>
      </c>
    </row>
    <row r="42" spans="1:18" x14ac:dyDescent="0.25">
      <c r="A42">
        <f t="shared" si="3"/>
        <v>30</v>
      </c>
      <c r="B42" s="168">
        <v>1.0042055021250378</v>
      </c>
      <c r="C42" s="122">
        <v>0.9258031190945647</v>
      </c>
      <c r="D42" s="122">
        <v>0.89674401334394149</v>
      </c>
      <c r="E42" s="122">
        <v>1.5960664552724149</v>
      </c>
      <c r="F42" s="122">
        <v>3.3819404611105282</v>
      </c>
      <c r="G42" s="122">
        <v>1.1215410584783227</v>
      </c>
      <c r="H42" s="163">
        <v>1</v>
      </c>
      <c r="I42" s="12">
        <v>1.2728793172919689E-2</v>
      </c>
      <c r="J42" s="115">
        <v>5.3349348340943202E-2</v>
      </c>
      <c r="K42" s="115">
        <v>9.4881980107126788E-3</v>
      </c>
      <c r="L42" s="115">
        <v>2.1504554439238141E-2</v>
      </c>
      <c r="P42" s="108">
        <v>4.8994303531330538E-2</v>
      </c>
      <c r="Q42" s="108">
        <v>0.97988607062661059</v>
      </c>
      <c r="R42" s="49">
        <v>43099577.963177674</v>
      </c>
    </row>
    <row r="43" spans="1:18" x14ac:dyDescent="0.25">
      <c r="A43">
        <f t="shared" si="3"/>
        <v>31</v>
      </c>
      <c r="B43" s="168">
        <v>0.98620619192241421</v>
      </c>
      <c r="C43" s="122">
        <v>0.87290904799382318</v>
      </c>
      <c r="D43" s="122">
        <v>0.90278372965062692</v>
      </c>
      <c r="E43" s="122">
        <v>0.97205924871144433</v>
      </c>
      <c r="F43" s="122">
        <v>7.2576025306805683</v>
      </c>
      <c r="G43" s="122">
        <v>1.060851842559001</v>
      </c>
      <c r="H43" s="163">
        <v>1</v>
      </c>
      <c r="I43" s="12">
        <v>1.7908882821199772E-2</v>
      </c>
      <c r="J43" s="115">
        <v>3.9091445745937398E-2</v>
      </c>
      <c r="K43" s="115">
        <v>4.0046148982087774E-3</v>
      </c>
      <c r="L43" s="115">
        <v>5.0779126303683361E-3</v>
      </c>
      <c r="P43" s="108">
        <v>7.9182829629503446E-2</v>
      </c>
      <c r="Q43" s="108">
        <v>1.5836565925900687</v>
      </c>
      <c r="R43" s="49">
        <v>69655986.369506001</v>
      </c>
    </row>
    <row r="44" spans="1:18" x14ac:dyDescent="0.25">
      <c r="A44">
        <f t="shared" si="3"/>
        <v>32</v>
      </c>
      <c r="B44" s="168">
        <v>1.0097561219931142</v>
      </c>
      <c r="C44" s="122">
        <v>0.88263288391808503</v>
      </c>
      <c r="D44" s="122">
        <v>0.90455215670629907</v>
      </c>
      <c r="E44" s="122">
        <v>2.8316678453841169</v>
      </c>
      <c r="F44" s="122">
        <v>3.7961400535585206</v>
      </c>
      <c r="G44" s="122">
        <v>1.0954716001132017</v>
      </c>
      <c r="H44" s="163">
        <v>1</v>
      </c>
      <c r="I44" s="12">
        <v>1.6864731030394091E-2</v>
      </c>
      <c r="J44" s="115">
        <v>2.9913139301679867E-2</v>
      </c>
      <c r="K44" s="115">
        <v>7.7184261476669104E-3</v>
      </c>
      <c r="L44" s="115">
        <v>7.5324010164330678E-3</v>
      </c>
      <c r="P44" s="108">
        <v>-2.7313842039818115E-2</v>
      </c>
      <c r="Q44" s="108">
        <v>-0.54627684079636218</v>
      </c>
      <c r="R44" s="49">
        <v>-24027590.548690289</v>
      </c>
    </row>
    <row r="45" spans="1:18" x14ac:dyDescent="0.25">
      <c r="A45">
        <f t="shared" si="3"/>
        <v>33</v>
      </c>
      <c r="B45" s="168">
        <v>1.003741998945229</v>
      </c>
      <c r="C45" s="122">
        <v>0.91226028995522057</v>
      </c>
      <c r="D45" s="122">
        <v>0.89640958161907136</v>
      </c>
      <c r="E45" s="122">
        <v>1.5411976025007208</v>
      </c>
      <c r="F45" s="122">
        <v>3.4938193244789923</v>
      </c>
      <c r="G45" s="122">
        <v>1.0987758432179557</v>
      </c>
      <c r="H45" s="163">
        <v>1</v>
      </c>
      <c r="I45" s="12">
        <v>1.1165050846648128E-2</v>
      </c>
      <c r="J45" s="115">
        <v>2.4647772632692192E-2</v>
      </c>
      <c r="K45" s="115">
        <v>8.7880334153382714E-3</v>
      </c>
      <c r="L45" s="115">
        <v>8.4229235664883204E-3</v>
      </c>
      <c r="P45" s="108">
        <v>-5.4889527823245625E-2</v>
      </c>
      <c r="Q45" s="108">
        <v>-1.0977905564649124</v>
      </c>
      <c r="R45" s="49">
        <v>-48285521.239569694</v>
      </c>
    </row>
    <row r="46" spans="1:18" x14ac:dyDescent="0.25">
      <c r="A46">
        <f t="shared" si="3"/>
        <v>34</v>
      </c>
      <c r="B46" s="168">
        <v>1.001511283754789</v>
      </c>
      <c r="C46" s="122">
        <v>0.9031784607703448</v>
      </c>
      <c r="D46" s="122">
        <v>0.89224552785292299</v>
      </c>
      <c r="E46" s="122">
        <v>3.115473739100425</v>
      </c>
      <c r="F46" s="122">
        <v>7.6227479892084169</v>
      </c>
      <c r="G46" s="122">
        <v>1.1270139848008061</v>
      </c>
      <c r="H46" s="163">
        <v>1</v>
      </c>
      <c r="I46" s="12">
        <v>3.9818795692980809E-2</v>
      </c>
      <c r="J46" s="115">
        <v>5.4901518838236886E-2</v>
      </c>
      <c r="K46" s="115">
        <v>3.8756732759103645E-3</v>
      </c>
      <c r="L46" s="115">
        <v>-4.2895619259527562E-3</v>
      </c>
      <c r="P46" s="108">
        <v>0.11049972956136733</v>
      </c>
      <c r="Q46" s="108">
        <v>2.2099945912273462</v>
      </c>
      <c r="R46" s="49">
        <v>97205008.865871847</v>
      </c>
    </row>
    <row r="47" spans="1:18" x14ac:dyDescent="0.25">
      <c r="A47">
        <f t="shared" si="3"/>
        <v>35</v>
      </c>
      <c r="B47" s="168">
        <v>1.0119247248669037</v>
      </c>
      <c r="C47" s="122">
        <v>0.9022781254135499</v>
      </c>
      <c r="D47" s="122">
        <v>0.9092279753359056</v>
      </c>
      <c r="E47" s="122">
        <v>0.91259723796302961</v>
      </c>
      <c r="F47" s="122">
        <v>7.3813153153710811</v>
      </c>
      <c r="G47" s="122">
        <v>1.1684666650055304</v>
      </c>
      <c r="H47" s="163">
        <v>1</v>
      </c>
      <c r="I47" s="12">
        <v>3.7665199785235443E-2</v>
      </c>
      <c r="J47" s="115">
        <v>6.5215059614479376E-2</v>
      </c>
      <c r="K47" s="115">
        <v>9.524356278937194E-3</v>
      </c>
      <c r="L47" s="115">
        <v>2.3194420596890371E-2</v>
      </c>
      <c r="P47" s="108">
        <v>0.18885764325538451</v>
      </c>
      <c r="Q47" s="108">
        <v>3.7771528651076895</v>
      </c>
      <c r="R47" s="49">
        <v>166135328.65555143</v>
      </c>
    </row>
    <row r="48" spans="1:18" x14ac:dyDescent="0.25">
      <c r="A48">
        <f t="shared" si="3"/>
        <v>36</v>
      </c>
      <c r="B48" s="168">
        <v>1.0093441425381446</v>
      </c>
      <c r="C48" s="122">
        <v>0.88802779459706982</v>
      </c>
      <c r="D48" s="122">
        <v>0.89280679988428668</v>
      </c>
      <c r="E48" s="122">
        <v>1.6218654380609148</v>
      </c>
      <c r="F48" s="122">
        <v>5.4236080624908407</v>
      </c>
      <c r="G48" s="122">
        <v>1.0959336779378981</v>
      </c>
      <c r="H48" s="163">
        <v>1</v>
      </c>
      <c r="I48" s="12">
        <v>2.12543026072332E-2</v>
      </c>
      <c r="J48" s="115">
        <v>4.6338877495597626E-2</v>
      </c>
      <c r="K48" s="115">
        <v>2.0254592290586773E-3</v>
      </c>
      <c r="L48" s="115">
        <v>8.6629068134125749E-3</v>
      </c>
      <c r="P48" s="108">
        <v>6.7649231604966484E-2</v>
      </c>
      <c r="Q48" s="108">
        <v>1.3529846320993295</v>
      </c>
      <c r="R48" s="49">
        <v>59510047.527113743</v>
      </c>
    </row>
    <row r="49" spans="1:18" x14ac:dyDescent="0.25">
      <c r="A49">
        <f t="shared" si="3"/>
        <v>37</v>
      </c>
      <c r="B49" s="168">
        <v>1.0112393478981447</v>
      </c>
      <c r="C49" s="122">
        <v>0.94388275460037019</v>
      </c>
      <c r="D49" s="122">
        <v>0.91033663623513095</v>
      </c>
      <c r="E49" s="122">
        <v>1.9890318160716107</v>
      </c>
      <c r="F49" s="122">
        <v>7.1875271562777918</v>
      </c>
      <c r="G49" s="122">
        <v>1.0816244719642449</v>
      </c>
      <c r="H49" s="163">
        <v>1</v>
      </c>
      <c r="I49" s="12">
        <v>2.0412702223957448E-2</v>
      </c>
      <c r="J49" s="115">
        <v>4.3803751116773496E-2</v>
      </c>
      <c r="K49" s="115">
        <v>3.9612340009645645E-3</v>
      </c>
      <c r="L49" s="115">
        <v>2.6640399530615724E-2</v>
      </c>
      <c r="P49" s="108">
        <v>9.3268542377756919E-2</v>
      </c>
      <c r="Q49" s="108">
        <v>1.865370847555138</v>
      </c>
      <c r="R49" s="49">
        <v>82046983.505980432</v>
      </c>
    </row>
    <row r="50" spans="1:18" x14ac:dyDescent="0.25">
      <c r="A50">
        <f t="shared" si="3"/>
        <v>38</v>
      </c>
      <c r="B50" s="168">
        <v>0.99787177587233378</v>
      </c>
      <c r="C50" s="122">
        <v>0.87534518772331649</v>
      </c>
      <c r="D50" s="122">
        <v>0.88996898843495553</v>
      </c>
      <c r="E50" s="122">
        <v>1.5654245404727785</v>
      </c>
      <c r="F50" s="122">
        <v>6.0545186188793316</v>
      </c>
      <c r="G50" s="122">
        <v>1.094930253575336</v>
      </c>
      <c r="H50" s="163">
        <v>1</v>
      </c>
      <c r="I50" s="12">
        <v>2.5856549770359526E-2</v>
      </c>
      <c r="J50" s="115">
        <v>5.6295605509275294E-2</v>
      </c>
      <c r="K50" s="115">
        <v>9.0356757925130447E-3</v>
      </c>
      <c r="L50" s="115">
        <v>2.8698989966260129E-2</v>
      </c>
      <c r="P50" s="108">
        <v>0.133031486496798</v>
      </c>
      <c r="Q50" s="108">
        <v>2.6606297299359598</v>
      </c>
      <c r="R50" s="49">
        <v>117025868.53101563</v>
      </c>
    </row>
    <row r="51" spans="1:18" x14ac:dyDescent="0.25">
      <c r="A51">
        <f t="shared" si="3"/>
        <v>39</v>
      </c>
      <c r="B51" s="168">
        <v>1.0021554873762226</v>
      </c>
      <c r="C51" s="122">
        <v>0.84732621366726379</v>
      </c>
      <c r="D51" s="122">
        <v>0.91075164871864678</v>
      </c>
      <c r="E51" s="122">
        <v>-0.19563303497579332</v>
      </c>
      <c r="F51" s="122">
        <v>4.6661602229058321</v>
      </c>
      <c r="G51" s="122">
        <v>1.1122593272787042</v>
      </c>
      <c r="H51" s="163">
        <v>1</v>
      </c>
      <c r="I51" s="12">
        <v>7.3486091548656436E-3</v>
      </c>
      <c r="J51" s="115">
        <v>6.080504737171237E-2</v>
      </c>
      <c r="K51" s="115">
        <v>2.4038012689515525E-3</v>
      </c>
      <c r="L51" s="115">
        <v>-5.7516661912084405E-3</v>
      </c>
      <c r="P51" s="108">
        <v>0.1302210657550954</v>
      </c>
      <c r="Q51" s="108">
        <v>2.6044213151019076</v>
      </c>
      <c r="R51" s="49">
        <v>114553582.18064669</v>
      </c>
    </row>
    <row r="52" spans="1:18" x14ac:dyDescent="0.25">
      <c r="A52">
        <f t="shared" si="3"/>
        <v>40</v>
      </c>
      <c r="B52" s="168">
        <v>1.0064390463736579</v>
      </c>
      <c r="C52" s="122">
        <v>0.90936148667187844</v>
      </c>
      <c r="D52" s="122">
        <v>0.90120633980562892</v>
      </c>
      <c r="E52" s="122">
        <v>-0.3775697320256417</v>
      </c>
      <c r="F52" s="122">
        <v>5.9024113488646792</v>
      </c>
      <c r="G52" s="122">
        <v>1.1324053813940296</v>
      </c>
      <c r="H52" s="163">
        <v>1</v>
      </c>
      <c r="I52" s="12">
        <v>2.615409538150399E-2</v>
      </c>
      <c r="J52" s="115">
        <v>1.8272197485702173E-2</v>
      </c>
      <c r="K52" s="115">
        <v>1.0699825741770743E-2</v>
      </c>
      <c r="L52" s="115">
        <v>3.7685438981609448E-2</v>
      </c>
      <c r="P52" s="108">
        <v>6.7230346515998338E-2</v>
      </c>
      <c r="Q52" s="108">
        <v>1.3446069303199666</v>
      </c>
      <c r="R52" s="49">
        <v>59141560.391909309</v>
      </c>
    </row>
    <row r="53" spans="1:18" x14ac:dyDescent="0.25">
      <c r="A53">
        <f t="shared" si="3"/>
        <v>41</v>
      </c>
      <c r="B53" s="168">
        <v>0.99115721535117285</v>
      </c>
      <c r="C53" s="122">
        <v>0.92871894824161239</v>
      </c>
      <c r="D53" s="122">
        <v>0.9002593916340379</v>
      </c>
      <c r="E53" s="122">
        <v>1.73648208604898</v>
      </c>
      <c r="F53" s="122">
        <v>2.1877971210398939</v>
      </c>
      <c r="G53" s="122">
        <v>1.1102730909977239</v>
      </c>
      <c r="H53" s="163">
        <v>1</v>
      </c>
      <c r="I53" s="12">
        <v>1.780591196897955E-2</v>
      </c>
      <c r="J53" s="115">
        <v>3.3811968256824587E-2</v>
      </c>
      <c r="K53" s="115">
        <v>-2.7295871066175103E-4</v>
      </c>
      <c r="L53" s="115">
        <v>1.3545158424967139E-2</v>
      </c>
      <c r="P53" s="108">
        <v>-5.611726235958997E-2</v>
      </c>
      <c r="Q53" s="108">
        <v>-1.1223452471917992</v>
      </c>
      <c r="R53" s="49">
        <v>-49365541.498117112</v>
      </c>
    </row>
    <row r="54" spans="1:18" x14ac:dyDescent="0.25">
      <c r="A54">
        <f t="shared" si="3"/>
        <v>42</v>
      </c>
      <c r="B54" s="168">
        <v>1.0194418699849166</v>
      </c>
      <c r="C54" s="122">
        <v>0.85758912891885908</v>
      </c>
      <c r="D54" s="122">
        <v>0.90720458732510312</v>
      </c>
      <c r="E54" s="122">
        <v>1.8467019617746268</v>
      </c>
      <c r="F54" s="122">
        <v>6.5326771339901608</v>
      </c>
      <c r="G54" s="122">
        <v>1.1156155630263083</v>
      </c>
      <c r="H54" s="163">
        <v>1</v>
      </c>
      <c r="I54" s="12">
        <v>3.2773353657279014E-2</v>
      </c>
      <c r="J54" s="115">
        <v>2.0271069521898093E-2</v>
      </c>
      <c r="K54" s="115">
        <v>3.0590210385903144E-3</v>
      </c>
      <c r="L54" s="115">
        <v>4.6871463412407818E-2</v>
      </c>
      <c r="P54" s="108">
        <v>2.4527902243306355E-2</v>
      </c>
      <c r="Q54" s="108">
        <v>0.49055804486612703</v>
      </c>
      <c r="R54" s="49">
        <v>21576839.730614148</v>
      </c>
    </row>
    <row r="55" spans="1:18" x14ac:dyDescent="0.25">
      <c r="A55">
        <f t="shared" si="3"/>
        <v>43</v>
      </c>
      <c r="B55" s="168">
        <v>0.99555957416962937</v>
      </c>
      <c r="C55" s="122">
        <v>0.89820556790688055</v>
      </c>
      <c r="D55" s="122">
        <v>0.88553530625452859</v>
      </c>
      <c r="E55" s="122">
        <v>0.91641990583638711</v>
      </c>
      <c r="F55" s="122">
        <v>4.0284132649180791</v>
      </c>
      <c r="G55" s="122">
        <v>1.1118021471323822</v>
      </c>
      <c r="H55" s="163">
        <v>1</v>
      </c>
      <c r="I55" s="12">
        <v>1.4384013530724091E-2</v>
      </c>
      <c r="J55" s="115">
        <v>2.8605282147393333E-2</v>
      </c>
      <c r="K55" s="115">
        <v>3.8878487162158394E-3</v>
      </c>
      <c r="L55" s="115">
        <v>2.735512753389828E-2</v>
      </c>
      <c r="P55" s="108">
        <v>-7.9392381942185088E-3</v>
      </c>
      <c r="Q55" s="108">
        <v>-0.15878476388437016</v>
      </c>
      <c r="R55" s="49">
        <v>-6984032.6498599071</v>
      </c>
    </row>
    <row r="56" spans="1:18" x14ac:dyDescent="0.25">
      <c r="A56">
        <f t="shared" si="3"/>
        <v>44</v>
      </c>
      <c r="B56" s="168">
        <v>1.0107146573011327</v>
      </c>
      <c r="C56" s="122">
        <v>0.90291140043946994</v>
      </c>
      <c r="D56" s="122">
        <v>0.90500726684551658</v>
      </c>
      <c r="E56" s="122">
        <v>1.2772056001370498</v>
      </c>
      <c r="F56" s="122">
        <v>8.8973595774935053</v>
      </c>
      <c r="G56" s="122">
        <v>1.1110201587122861</v>
      </c>
      <c r="H56" s="163">
        <v>1</v>
      </c>
      <c r="I56" s="12">
        <v>2.6680507330552234E-2</v>
      </c>
      <c r="J56" s="115">
        <v>6.1723026795856048E-2</v>
      </c>
      <c r="K56" s="115">
        <v>6.9333579772337334E-3</v>
      </c>
      <c r="L56" s="115">
        <v>3.3388036675428473E-2</v>
      </c>
      <c r="P56" s="108">
        <v>0.19011567219844211</v>
      </c>
      <c r="Q56" s="108">
        <v>3.8023134439688415</v>
      </c>
      <c r="R56" s="49">
        <v>167241998.46414602</v>
      </c>
    </row>
    <row r="57" spans="1:18" x14ac:dyDescent="0.25">
      <c r="A57">
        <f t="shared" si="3"/>
        <v>45</v>
      </c>
      <c r="B57" s="168">
        <v>1.002532865807825</v>
      </c>
      <c r="C57" s="122">
        <v>0.89827304366087568</v>
      </c>
      <c r="D57" s="122">
        <v>0.88352680857077825</v>
      </c>
      <c r="E57" s="122">
        <v>2.9134481845726401</v>
      </c>
      <c r="F57" s="122">
        <v>2.3830023753383562</v>
      </c>
      <c r="G57" s="122">
        <v>1.1247476617204597</v>
      </c>
      <c r="H57" s="163">
        <v>1</v>
      </c>
      <c r="I57" s="12">
        <v>1.6786459409756573E-2</v>
      </c>
      <c r="J57" s="115">
        <v>6.0143101203543783E-2</v>
      </c>
      <c r="K57" s="115">
        <v>2.1985244311210558E-4</v>
      </c>
      <c r="L57" s="115">
        <v>8.3467500903910835E-3</v>
      </c>
      <c r="P57" s="108">
        <v>4.4048561281674226E-2</v>
      </c>
      <c r="Q57" s="108">
        <v>0.88097122563348429</v>
      </c>
      <c r="R57" s="49">
        <v>38748880.263422988</v>
      </c>
    </row>
    <row r="58" spans="1:18" x14ac:dyDescent="0.25">
      <c r="A58">
        <f t="shared" si="3"/>
        <v>46</v>
      </c>
      <c r="B58" s="168">
        <v>0.98614556804498688</v>
      </c>
      <c r="C58" s="122">
        <v>0.85082891759247714</v>
      </c>
      <c r="D58" s="122">
        <v>0.88534872098348494</v>
      </c>
      <c r="E58" s="122">
        <v>1.598004455114008</v>
      </c>
      <c r="F58" s="122">
        <v>6.3710524506757125</v>
      </c>
      <c r="G58" s="122">
        <v>1.0979271749585449</v>
      </c>
      <c r="H58" s="163">
        <v>1</v>
      </c>
      <c r="I58" s="12">
        <v>1.956954977014267E-2</v>
      </c>
      <c r="J58" s="115">
        <v>1.0972616824293784E-2</v>
      </c>
      <c r="K58" s="115">
        <v>9.042216054162576E-3</v>
      </c>
      <c r="L58" s="115">
        <v>2.4915158125379994E-2</v>
      </c>
      <c r="P58" s="108">
        <v>-3.0440979759798058E-2</v>
      </c>
      <c r="Q58" s="108">
        <v>-0.60881959519596107</v>
      </c>
      <c r="R58" s="49">
        <v>-26778488.229635648</v>
      </c>
    </row>
    <row r="59" spans="1:18" x14ac:dyDescent="0.25">
      <c r="A59">
        <f t="shared" si="3"/>
        <v>47</v>
      </c>
      <c r="B59" s="168">
        <v>0.99339411277982692</v>
      </c>
      <c r="C59" s="122">
        <v>0.95857861261855237</v>
      </c>
      <c r="D59" s="122">
        <v>0.89989971931419233</v>
      </c>
      <c r="E59" s="122">
        <v>1.3461106421958955</v>
      </c>
      <c r="F59" s="122">
        <v>6.4849897938434875</v>
      </c>
      <c r="G59" s="122">
        <v>1.111065039041885</v>
      </c>
      <c r="H59" s="163">
        <v>1</v>
      </c>
      <c r="I59" s="12">
        <v>2.203532166207748E-2</v>
      </c>
      <c r="J59" s="115">
        <v>3.6720628456980674E-2</v>
      </c>
      <c r="K59" s="115">
        <v>-2.5731064234276232E-3</v>
      </c>
      <c r="L59" s="115">
        <v>-7.0130756287020771E-3</v>
      </c>
      <c r="P59" s="108">
        <v>3.9965164149080953E-2</v>
      </c>
      <c r="Q59" s="108">
        <v>0.79930328298161901</v>
      </c>
      <c r="R59" s="49">
        <v>35156775.051471606</v>
      </c>
    </row>
    <row r="60" spans="1:18" x14ac:dyDescent="0.25">
      <c r="A60">
        <f t="shared" si="3"/>
        <v>48</v>
      </c>
      <c r="B60" s="168">
        <v>1.0042545126668796</v>
      </c>
      <c r="C60" s="122">
        <v>0.91990333601693686</v>
      </c>
      <c r="D60" s="122">
        <v>0.90338328150624136</v>
      </c>
      <c r="E60" s="122">
        <v>1.9339773148300357</v>
      </c>
      <c r="F60" s="122">
        <v>7.9027805801746043</v>
      </c>
      <c r="G60" s="122">
        <v>1.082568127398404</v>
      </c>
      <c r="H60" s="163">
        <v>1</v>
      </c>
      <c r="I60" s="12">
        <v>1.9955909761861575E-2</v>
      </c>
      <c r="J60" s="115">
        <v>2.1010203152004164E-2</v>
      </c>
      <c r="K60" s="115">
        <v>-1.2513742331463152E-3</v>
      </c>
      <c r="L60" s="115">
        <v>1.1750511943482082E-2</v>
      </c>
      <c r="P60" s="108">
        <v>8.5859486707194448E-3</v>
      </c>
      <c r="Q60" s="108">
        <v>0.17171897341438888</v>
      </c>
      <c r="R60" s="49">
        <v>7552934.4729816737</v>
      </c>
    </row>
    <row r="61" spans="1:18" x14ac:dyDescent="0.25">
      <c r="A61">
        <f t="shared" si="3"/>
        <v>49</v>
      </c>
      <c r="B61" s="168">
        <v>1.0081714374966417</v>
      </c>
      <c r="C61" s="122">
        <v>0.89592195694136112</v>
      </c>
      <c r="D61" s="122">
        <v>0.89615192887108386</v>
      </c>
      <c r="E61" s="122">
        <v>3.160588516800674</v>
      </c>
      <c r="F61" s="122">
        <v>4.3679928257104521</v>
      </c>
      <c r="G61" s="122">
        <v>1.084258827463989</v>
      </c>
      <c r="H61" s="163">
        <v>1</v>
      </c>
      <c r="I61" s="12">
        <v>1.6141717458957747E-2</v>
      </c>
      <c r="J61" s="115">
        <v>4.2724317214061079E-2</v>
      </c>
      <c r="K61" s="115">
        <v>1.5398151897612119E-2</v>
      </c>
      <c r="L61" s="115">
        <v>-3.5978480964473127E-3</v>
      </c>
      <c r="P61" s="108">
        <v>2.0689172950665014E-2</v>
      </c>
      <c r="Q61" s="108">
        <v>0.41378345901330021</v>
      </c>
      <c r="R61" s="49">
        <v>18199965.267607871</v>
      </c>
    </row>
    <row r="62" spans="1:18" x14ac:dyDescent="0.25">
      <c r="A62">
        <f t="shared" si="3"/>
        <v>50</v>
      </c>
      <c r="B62" s="168">
        <v>0.99553392548041053</v>
      </c>
      <c r="C62" s="122">
        <v>0.93450386771584248</v>
      </c>
      <c r="D62" s="122">
        <v>0.90090779452112812</v>
      </c>
      <c r="E62" s="122">
        <v>1.0165746138619611</v>
      </c>
      <c r="F62" s="122">
        <v>6.5321039961112675</v>
      </c>
      <c r="G62" s="122">
        <v>1.1253554140111148</v>
      </c>
      <c r="H62" s="163">
        <v>1</v>
      </c>
      <c r="I62" s="12">
        <v>4.0307185658389089E-2</v>
      </c>
      <c r="J62" s="115">
        <v>3.04912786544831E-2</v>
      </c>
      <c r="K62" s="115">
        <v>-5.0517115649796477E-3</v>
      </c>
      <c r="L62" s="115">
        <v>3.9013115749186422E-2</v>
      </c>
      <c r="P62" s="108">
        <v>7.2981332617339092E-2</v>
      </c>
      <c r="Q62" s="108">
        <v>1.4596266523467816</v>
      </c>
      <c r="R62" s="49">
        <v>64200619.424790233</v>
      </c>
    </row>
    <row r="63" spans="1:18" x14ac:dyDescent="0.25">
      <c r="A63">
        <f t="shared" si="3"/>
        <v>51</v>
      </c>
      <c r="B63" s="168">
        <v>1.0094836721355034</v>
      </c>
      <c r="C63" s="122">
        <v>0.91928166416302126</v>
      </c>
      <c r="D63" s="122">
        <v>0.8892581758343302</v>
      </c>
      <c r="E63" s="122">
        <v>0.62727311060576385</v>
      </c>
      <c r="F63" s="122">
        <v>6.6881295863098087</v>
      </c>
      <c r="G63" s="122">
        <v>1.1390303968676221</v>
      </c>
      <c r="H63" s="163">
        <v>1</v>
      </c>
      <c r="I63" s="12">
        <v>2.8870771119070351E-2</v>
      </c>
      <c r="J63" s="115">
        <v>4.3230764381447163E-2</v>
      </c>
      <c r="K63" s="115">
        <v>-2.386661380777714E-3</v>
      </c>
      <c r="L63" s="115">
        <v>2.8235451754260742E-2</v>
      </c>
      <c r="P63" s="108">
        <v>0.11011956267475849</v>
      </c>
      <c r="Q63" s="108">
        <v>2.2023912534951693</v>
      </c>
      <c r="R63" s="49">
        <v>96870581.571524471</v>
      </c>
    </row>
    <row r="64" spans="1:18" x14ac:dyDescent="0.25">
      <c r="A64">
        <f t="shared" si="3"/>
        <v>52</v>
      </c>
      <c r="B64" s="168">
        <v>0.98256237286254366</v>
      </c>
      <c r="C64" s="122">
        <v>0.94880552819919861</v>
      </c>
      <c r="D64" s="122">
        <v>0.91852405088422251</v>
      </c>
      <c r="E64" s="122">
        <v>0.81647316679068482</v>
      </c>
      <c r="F64" s="122">
        <v>3.8528097939263661</v>
      </c>
      <c r="G64" s="122">
        <v>1.0733237792933887</v>
      </c>
      <c r="H64" s="163">
        <v>1</v>
      </c>
      <c r="I64" s="12">
        <v>1.9864497454967392E-2</v>
      </c>
      <c r="J64" s="115">
        <v>5.5432459824185813E-2</v>
      </c>
      <c r="K64" s="115">
        <v>-6.6219205711343576E-3</v>
      </c>
      <c r="L64" s="115">
        <v>3.1196234220543288E-2</v>
      </c>
      <c r="P64" s="108">
        <v>9.4278746234372546E-2</v>
      </c>
      <c r="Q64" s="108">
        <v>1.8855749246874505</v>
      </c>
      <c r="R64" s="49">
        <v>82935645.181700855</v>
      </c>
    </row>
    <row r="65" spans="1:18" x14ac:dyDescent="0.25">
      <c r="A65">
        <f t="shared" si="3"/>
        <v>53</v>
      </c>
      <c r="B65" s="168">
        <v>0.99396973405149525</v>
      </c>
      <c r="C65" s="122">
        <v>0.90025653308750198</v>
      </c>
      <c r="D65" s="122">
        <v>0.90766236648058396</v>
      </c>
      <c r="E65" s="122">
        <v>3.1759505599249547</v>
      </c>
      <c r="F65" s="122">
        <v>4.1250845548540784</v>
      </c>
      <c r="G65" s="122">
        <v>1.0967637382098094</v>
      </c>
      <c r="H65" s="163">
        <v>1</v>
      </c>
      <c r="I65" s="12">
        <v>3.1848846184293698E-2</v>
      </c>
      <c r="J65" s="115">
        <v>5.8548313700303972E-2</v>
      </c>
      <c r="K65" s="115">
        <v>1.3642897138239261E-3</v>
      </c>
      <c r="L65" s="115">
        <v>9.1038322914797284E-3</v>
      </c>
      <c r="P65" s="108">
        <v>8.9684053299610086E-2</v>
      </c>
      <c r="Q65" s="108">
        <v>1.7936810659922016</v>
      </c>
      <c r="R65" s="49">
        <v>78893760.470919728</v>
      </c>
    </row>
    <row r="66" spans="1:18" x14ac:dyDescent="0.25">
      <c r="A66">
        <f t="shared" si="3"/>
        <v>54</v>
      </c>
      <c r="B66" s="168">
        <v>0.99282098406945696</v>
      </c>
      <c r="C66" s="122">
        <v>0.9404369460902896</v>
      </c>
      <c r="D66" s="122">
        <v>0.89421278903908952</v>
      </c>
      <c r="E66" s="122">
        <v>2.9894823342827053</v>
      </c>
      <c r="F66" s="122">
        <v>6.7722188478551022</v>
      </c>
      <c r="G66" s="122">
        <v>1.1183153092735645</v>
      </c>
      <c r="H66" s="163">
        <v>1</v>
      </c>
      <c r="I66" s="12">
        <v>1.5213078778753705E-2</v>
      </c>
      <c r="J66" s="115">
        <v>2.5369492768810148E-3</v>
      </c>
      <c r="K66" s="115">
        <v>-9.7947034065937709E-5</v>
      </c>
      <c r="L66" s="115">
        <v>1.7822063852711411E-2</v>
      </c>
      <c r="P66" s="108">
        <v>-8.4303735865087617E-2</v>
      </c>
      <c r="Q66" s="108">
        <v>-1.6860747173017521</v>
      </c>
      <c r="R66" s="49">
        <v>-74160773.286245123</v>
      </c>
    </row>
    <row r="67" spans="1:18" x14ac:dyDescent="0.25">
      <c r="A67">
        <f t="shared" si="3"/>
        <v>55</v>
      </c>
      <c r="B67" s="168">
        <v>0.99854546083431184</v>
      </c>
      <c r="C67" s="122">
        <v>0.87480339632729864</v>
      </c>
      <c r="D67" s="122">
        <v>0.88948986595806434</v>
      </c>
      <c r="E67" s="122">
        <v>2.5051138194691704</v>
      </c>
      <c r="F67" s="122">
        <v>2.6686669039080839</v>
      </c>
      <c r="G67" s="122">
        <v>1.1076648426070645</v>
      </c>
      <c r="H67" s="163">
        <v>1</v>
      </c>
      <c r="I67" s="12">
        <v>3.5929911706074048E-2</v>
      </c>
      <c r="J67" s="115">
        <v>3.1173140848269158E-2</v>
      </c>
      <c r="K67" s="115">
        <v>3.9352085931068153E-3</v>
      </c>
      <c r="L67" s="115">
        <v>1.9797073214636585E-2</v>
      </c>
      <c r="P67" s="108">
        <v>-2.3205413170749783E-2</v>
      </c>
      <c r="Q67" s="108">
        <v>-0.46410826341499556</v>
      </c>
      <c r="R67" s="49">
        <v>-20413465.281344712</v>
      </c>
    </row>
    <row r="68" spans="1:18" x14ac:dyDescent="0.25">
      <c r="A68">
        <f t="shared" si="3"/>
        <v>56</v>
      </c>
      <c r="B68" s="168">
        <v>1.005288938296935</v>
      </c>
      <c r="C68" s="122">
        <v>0.88381298400252728</v>
      </c>
      <c r="D68" s="122">
        <v>0.91021782192901457</v>
      </c>
      <c r="E68" s="122">
        <v>3.3293923145632203</v>
      </c>
      <c r="F68" s="122">
        <v>4.5279946733045762</v>
      </c>
      <c r="G68" s="122">
        <v>1.0931685559280562</v>
      </c>
      <c r="H68" s="163">
        <v>1</v>
      </c>
      <c r="I68" s="12">
        <v>4.1169047144805578E-2</v>
      </c>
      <c r="J68" s="115">
        <v>6.5641562338564358E-2</v>
      </c>
      <c r="K68" s="115">
        <v>3.7389622511088622E-3</v>
      </c>
      <c r="L68" s="115">
        <v>2.6956437611015523E-2</v>
      </c>
      <c r="P68" s="108">
        <v>0.14158742603664909</v>
      </c>
      <c r="Q68" s="108">
        <v>2.8317485207329813</v>
      </c>
      <c r="R68" s="49">
        <v>124552404.40697187</v>
      </c>
    </row>
    <row r="69" spans="1:18" x14ac:dyDescent="0.25">
      <c r="A69">
        <f t="shared" si="3"/>
        <v>57</v>
      </c>
      <c r="B69" s="168">
        <v>1.004172912736528</v>
      </c>
      <c r="C69" s="122">
        <v>0.86976592686543464</v>
      </c>
      <c r="D69" s="122">
        <v>0.89954318219980822</v>
      </c>
      <c r="E69" s="122">
        <v>0.82506888442664938</v>
      </c>
      <c r="F69" s="122">
        <v>3.9370019850071785</v>
      </c>
      <c r="G69" s="122">
        <v>1.0701613694700858</v>
      </c>
      <c r="H69" s="163">
        <v>1</v>
      </c>
      <c r="I69" s="12">
        <v>1.3369154127294849E-2</v>
      </c>
      <c r="J69" s="115">
        <v>5.3405652639498702E-2</v>
      </c>
      <c r="K69" s="115">
        <v>3.9496490073226871E-3</v>
      </c>
      <c r="L69" s="115">
        <v>2.1988736703591742E-2</v>
      </c>
      <c r="P69" s="108">
        <v>7.9251182036180992E-2</v>
      </c>
      <c r="Q69" s="108">
        <v>1.5850236407236196</v>
      </c>
      <c r="R69" s="49">
        <v>69716114.989942163</v>
      </c>
    </row>
    <row r="70" spans="1:18" x14ac:dyDescent="0.25">
      <c r="A70">
        <f t="shared" si="3"/>
        <v>58</v>
      </c>
      <c r="B70" s="168">
        <v>1.0094700036313511</v>
      </c>
      <c r="C70" s="122">
        <v>0.8951052028324914</v>
      </c>
      <c r="D70" s="122">
        <v>0.89982592889117241</v>
      </c>
      <c r="E70" s="122">
        <v>1.7408710961113381</v>
      </c>
      <c r="F70" s="122">
        <v>6.983349821421057</v>
      </c>
      <c r="G70" s="122">
        <v>1.0786882554526969</v>
      </c>
      <c r="H70" s="163">
        <v>1</v>
      </c>
      <c r="I70" s="12">
        <v>1.6039991985527538E-2</v>
      </c>
      <c r="J70" s="115">
        <v>4.2933358659251908E-2</v>
      </c>
      <c r="K70" s="115">
        <v>2.0722100663853674E-3</v>
      </c>
      <c r="L70" s="115">
        <v>8.2878852625071359E-4</v>
      </c>
      <c r="P70" s="108">
        <v>6.7828077880128276E-2</v>
      </c>
      <c r="Q70" s="108">
        <v>1.3565615576025654</v>
      </c>
      <c r="R70" s="49">
        <v>59667376.000511266</v>
      </c>
    </row>
    <row r="71" spans="1:18" x14ac:dyDescent="0.25">
      <c r="A71">
        <f t="shared" si="3"/>
        <v>59</v>
      </c>
      <c r="B71" s="168">
        <v>1.0064466865249431</v>
      </c>
      <c r="C71" s="122">
        <v>0.90620962945810768</v>
      </c>
      <c r="D71" s="122">
        <v>0.89977453459678813</v>
      </c>
      <c r="E71" s="122">
        <v>1.5739861846294376</v>
      </c>
      <c r="F71" s="122">
        <v>2.5842316286111178</v>
      </c>
      <c r="G71" s="122">
        <v>1.1321183850534438</v>
      </c>
      <c r="H71" s="163">
        <v>1</v>
      </c>
      <c r="I71" s="12">
        <v>1.0751733898153934E-2</v>
      </c>
      <c r="J71" s="115">
        <v>3.2801050164573256E-2</v>
      </c>
      <c r="K71" s="115">
        <v>-5.4985184280208097E-3</v>
      </c>
      <c r="L71" s="115">
        <v>-1.8886091481365302E-3</v>
      </c>
      <c r="P71" s="108">
        <v>-7.1615351406653649E-2</v>
      </c>
      <c r="Q71" s="108">
        <v>-1.4323070281330728</v>
      </c>
      <c r="R71" s="49">
        <v>-62998985.572631769</v>
      </c>
    </row>
    <row r="72" spans="1:18" x14ac:dyDescent="0.25">
      <c r="A72">
        <f t="shared" si="3"/>
        <v>60</v>
      </c>
      <c r="B72" s="168">
        <v>1.0047158348912624</v>
      </c>
      <c r="C72" s="122">
        <v>0.87688260048160183</v>
      </c>
      <c r="D72" s="122">
        <v>0.90529495552438866</v>
      </c>
      <c r="E72" s="122">
        <v>1.5167055877754276</v>
      </c>
      <c r="F72" s="122">
        <v>2.2147459920025288</v>
      </c>
      <c r="G72" s="122">
        <v>1.1061764870648396</v>
      </c>
      <c r="H72" s="163">
        <v>1</v>
      </c>
      <c r="I72" s="12">
        <v>3.4876221916213902E-2</v>
      </c>
      <c r="J72" s="115">
        <v>5.4024505359556163E-2</v>
      </c>
      <c r="K72" s="115">
        <v>-1.5246245998925077E-3</v>
      </c>
      <c r="L72" s="115">
        <v>3.1883653506510991E-2</v>
      </c>
      <c r="P72" s="108">
        <v>4.0132031365337655E-2</v>
      </c>
      <c r="Q72" s="108">
        <v>0.8026406273067529</v>
      </c>
      <c r="R72" s="49">
        <v>35303565.720553264</v>
      </c>
    </row>
    <row r="73" spans="1:18" x14ac:dyDescent="0.25">
      <c r="A73">
        <f t="shared" si="3"/>
        <v>61</v>
      </c>
      <c r="B73" s="168">
        <v>0.99942718434776712</v>
      </c>
      <c r="C73" s="122">
        <v>0.89077153671758569</v>
      </c>
      <c r="D73" s="122">
        <v>0.9040338096446503</v>
      </c>
      <c r="E73" s="122">
        <v>3.2769231366630533</v>
      </c>
      <c r="F73" s="122">
        <v>2.6393156582610739</v>
      </c>
      <c r="G73" s="122">
        <v>1.1039624085015556</v>
      </c>
      <c r="H73" s="163">
        <v>1</v>
      </c>
      <c r="I73" s="12">
        <v>2.6541516150464201E-2</v>
      </c>
      <c r="J73" s="115">
        <v>3.838058509730246E-2</v>
      </c>
      <c r="K73" s="115">
        <v>1.0049420945241198E-2</v>
      </c>
      <c r="L73" s="115">
        <v>1.5908360786893359E-2</v>
      </c>
      <c r="P73" s="108">
        <v>-3.4929985443848972E-3</v>
      </c>
      <c r="Q73" s="108">
        <v>-6.9859970887697936E-2</v>
      </c>
      <c r="R73" s="49">
        <v>-3072740.1399371354</v>
      </c>
    </row>
    <row r="74" spans="1:18" x14ac:dyDescent="0.25">
      <c r="A74">
        <f t="shared" si="3"/>
        <v>62</v>
      </c>
      <c r="B74" s="168">
        <v>1.0142942466373757</v>
      </c>
      <c r="C74" s="122">
        <v>0.87158465575287625</v>
      </c>
      <c r="D74" s="122">
        <v>0.88385721618246915</v>
      </c>
      <c r="E74" s="122">
        <v>2.6265790698975922</v>
      </c>
      <c r="F74" s="122">
        <v>7.5017123753702002</v>
      </c>
      <c r="G74" s="122">
        <v>1.1218456518743054</v>
      </c>
      <c r="H74" s="163">
        <v>1</v>
      </c>
      <c r="I74" s="12">
        <v>2.8914976310007768E-2</v>
      </c>
      <c r="J74" s="115">
        <v>3.8723537338549774E-2</v>
      </c>
      <c r="K74" s="115">
        <v>1.4216225243834329E-3</v>
      </c>
      <c r="L74" s="115">
        <v>1.3028449232293394E-2</v>
      </c>
      <c r="P74" s="108">
        <v>6.1680227031399387E-2</v>
      </c>
      <c r="Q74" s="108">
        <v>1.2336045406279874</v>
      </c>
      <c r="R74" s="49">
        <v>54259200.807423003</v>
      </c>
    </row>
    <row r="75" spans="1:18" x14ac:dyDescent="0.25">
      <c r="A75">
        <f t="shared" si="3"/>
        <v>63</v>
      </c>
      <c r="B75" s="168">
        <v>1.0040323034327259</v>
      </c>
      <c r="C75" s="122">
        <v>0.90491619436813853</v>
      </c>
      <c r="D75" s="122">
        <v>0.90723327373595075</v>
      </c>
      <c r="E75" s="122">
        <v>1.9464988553838021</v>
      </c>
      <c r="F75" s="122">
        <v>3.8548814627285628</v>
      </c>
      <c r="G75" s="122">
        <v>1.1297868655821208</v>
      </c>
      <c r="H75" s="163">
        <v>1</v>
      </c>
      <c r="I75" s="12">
        <v>3.3696773635661398E-2</v>
      </c>
      <c r="J75" s="115">
        <v>3.9391026618285481E-2</v>
      </c>
      <c r="K75" s="115">
        <v>2.1779638084571864E-2</v>
      </c>
      <c r="L75" s="115">
        <v>3.1032498053168382E-2</v>
      </c>
      <c r="P75" s="108">
        <v>3.7189411821874289E-2</v>
      </c>
      <c r="Q75" s="108">
        <v>0.74378823643748571</v>
      </c>
      <c r="R75" s="49">
        <v>32714986.002334207</v>
      </c>
    </row>
    <row r="76" spans="1:18" x14ac:dyDescent="0.25">
      <c r="A76">
        <f t="shared" si="3"/>
        <v>64</v>
      </c>
      <c r="B76" s="168">
        <v>0.99382960207636573</v>
      </c>
      <c r="C76" s="122">
        <v>0.8910156450795329</v>
      </c>
      <c r="D76" s="122">
        <v>0.90815101376521645</v>
      </c>
      <c r="E76" s="122">
        <v>1.334062266241606</v>
      </c>
      <c r="F76" s="122">
        <v>5.4688702687072617</v>
      </c>
      <c r="G76" s="122">
        <v>1.0957622380283158</v>
      </c>
      <c r="H76" s="163">
        <v>1</v>
      </c>
      <c r="I76" s="12">
        <v>2.4327115702477965E-2</v>
      </c>
      <c r="J76" s="115">
        <v>5.4110167534813756E-2</v>
      </c>
      <c r="K76" s="115">
        <v>8.912419110289482E-3</v>
      </c>
      <c r="L76" s="115">
        <v>2.2085495300664247E-2</v>
      </c>
      <c r="P76" s="108">
        <v>0.11343275090047032</v>
      </c>
      <c r="Q76" s="108">
        <v>2.2686550180094058</v>
      </c>
      <c r="R76" s="49">
        <v>99785145.182974383</v>
      </c>
    </row>
    <row r="77" spans="1:18" x14ac:dyDescent="0.25">
      <c r="A77">
        <f t="shared" si="3"/>
        <v>65</v>
      </c>
      <c r="B77" s="168">
        <v>1.0001952047136469</v>
      </c>
      <c r="C77" s="122">
        <v>0.9144152284529713</v>
      </c>
      <c r="D77" s="122">
        <v>0.90325922831124372</v>
      </c>
      <c r="E77" s="122">
        <v>3.8514795239532584</v>
      </c>
      <c r="F77" s="122">
        <v>8.8142933037143116</v>
      </c>
      <c r="G77" s="122">
        <v>1.0964252247762267</v>
      </c>
      <c r="H77" s="163">
        <v>1</v>
      </c>
      <c r="I77" s="12">
        <v>3.6067382003195023E-2</v>
      </c>
      <c r="J77" s="115">
        <v>3.2686074740745724E-2</v>
      </c>
      <c r="K77" s="115">
        <v>-5.4569034565839407E-3</v>
      </c>
      <c r="L77" s="115">
        <v>1.7311133716616082E-2</v>
      </c>
      <c r="P77" s="108">
        <v>5.3671000618807599E-2</v>
      </c>
      <c r="Q77" s="108">
        <v>1.0734200123761519</v>
      </c>
      <c r="R77" s="49">
        <v>47213600.537312023</v>
      </c>
    </row>
    <row r="78" spans="1:18" x14ac:dyDescent="0.25">
      <c r="A78">
        <f t="shared" si="3"/>
        <v>66</v>
      </c>
      <c r="B78" s="168">
        <v>0.99235764581303543</v>
      </c>
      <c r="C78" s="122">
        <v>0.90664336274968516</v>
      </c>
      <c r="D78" s="122">
        <v>0.89316513803936592</v>
      </c>
      <c r="E78" s="122">
        <v>2.1899887146779342</v>
      </c>
      <c r="F78" s="122">
        <v>6.1380872507152997</v>
      </c>
      <c r="G78" s="122">
        <v>1.0929666476315432</v>
      </c>
      <c r="H78" s="163">
        <v>1</v>
      </c>
      <c r="I78" s="12">
        <v>1.7514625936579233E-2</v>
      </c>
      <c r="J78" s="115">
        <v>6.1142408072844975E-2</v>
      </c>
      <c r="K78" s="115">
        <v>5.2842301261059217E-3</v>
      </c>
      <c r="L78" s="115">
        <v>-8.0002173678202435E-3</v>
      </c>
      <c r="P78" s="108">
        <v>0.10823283358095857</v>
      </c>
      <c r="Q78" s="108">
        <v>2.1646566716191709</v>
      </c>
      <c r="R78" s="49">
        <v>95210853.362067938</v>
      </c>
    </row>
    <row r="79" spans="1:18" x14ac:dyDescent="0.25">
      <c r="A79">
        <f t="shared" ref="A79:A142" si="4">A78+1</f>
        <v>67</v>
      </c>
      <c r="B79" s="168">
        <v>0.99384928148508911</v>
      </c>
      <c r="C79" s="122">
        <v>0.8652803286474422</v>
      </c>
      <c r="D79" s="122">
        <v>0.89325905653170889</v>
      </c>
      <c r="E79" s="122">
        <v>3.1151821560681419</v>
      </c>
      <c r="F79" s="122">
        <v>8.9360974682358929</v>
      </c>
      <c r="G79" s="122">
        <v>1.0887824481040032</v>
      </c>
      <c r="H79" s="163">
        <v>1</v>
      </c>
      <c r="I79" s="12">
        <v>2.846163837019074E-2</v>
      </c>
      <c r="J79" s="115">
        <v>3.5378804607713636E-2</v>
      </c>
      <c r="K79" s="115">
        <v>7.3568866468683766E-3</v>
      </c>
      <c r="L79" s="115">
        <v>2.2467778982700297E-2</v>
      </c>
      <c r="P79" s="108">
        <v>7.0929427541805895E-2</v>
      </c>
      <c r="Q79" s="108">
        <v>1.4185885508361178</v>
      </c>
      <c r="R79" s="49">
        <v>62395588.30072435</v>
      </c>
    </row>
    <row r="80" spans="1:18" x14ac:dyDescent="0.25">
      <c r="A80">
        <f t="shared" si="4"/>
        <v>68</v>
      </c>
      <c r="B80" s="168">
        <v>0.97197713228079974</v>
      </c>
      <c r="C80" s="122">
        <v>0.88888148977688297</v>
      </c>
      <c r="D80" s="122">
        <v>0.90914614197698818</v>
      </c>
      <c r="E80" s="122">
        <v>1.6620483890976416</v>
      </c>
      <c r="F80" s="122">
        <v>5.8827794456829485</v>
      </c>
      <c r="G80" s="122">
        <v>1.1103078695215749</v>
      </c>
      <c r="H80" s="163">
        <v>1</v>
      </c>
      <c r="I80" s="12">
        <v>2.6275837692745101E-2</v>
      </c>
      <c r="J80" s="115">
        <v>4.9991046740707847E-2</v>
      </c>
      <c r="K80" s="115">
        <v>2.1073800663971671E-3</v>
      </c>
      <c r="L80" s="115">
        <v>4.2076372076128368E-3</v>
      </c>
      <c r="P80" s="108">
        <v>8.5652112668376745E-2</v>
      </c>
      <c r="Q80" s="108">
        <v>1.7130422533675347</v>
      </c>
      <c r="R80" s="49">
        <v>75346920.79663758</v>
      </c>
    </row>
    <row r="81" spans="1:18" x14ac:dyDescent="0.25">
      <c r="A81">
        <f t="shared" si="4"/>
        <v>69</v>
      </c>
      <c r="B81" s="168">
        <v>1.0085150435559094</v>
      </c>
      <c r="C81" s="122">
        <v>0.86794555137080909</v>
      </c>
      <c r="D81" s="122">
        <v>0.90267149042016293</v>
      </c>
      <c r="E81" s="122">
        <v>2.8258659369381482</v>
      </c>
      <c r="F81" s="122">
        <v>4.6851937377133428</v>
      </c>
      <c r="G81" s="122">
        <v>1.0679754302455771</v>
      </c>
      <c r="H81" s="163">
        <v>1</v>
      </c>
      <c r="I81" s="12">
        <v>3.2690583956781684E-2</v>
      </c>
      <c r="J81" s="115">
        <v>5.1077120979991196E-2</v>
      </c>
      <c r="K81" s="115">
        <v>5.9071308096775178E-3</v>
      </c>
      <c r="L81" s="115">
        <v>3.2781641907057235E-2</v>
      </c>
      <c r="P81" s="108">
        <v>9.7318521159602045E-2</v>
      </c>
      <c r="Q81" s="108">
        <v>1.9463704231920405</v>
      </c>
      <c r="R81" s="49">
        <v>85609691.079642072</v>
      </c>
    </row>
    <row r="82" spans="1:18" x14ac:dyDescent="0.25">
      <c r="A82">
        <f t="shared" si="4"/>
        <v>70</v>
      </c>
      <c r="B82" s="168">
        <v>1.0048683253463084</v>
      </c>
      <c r="C82" s="122">
        <v>0.93071462180319486</v>
      </c>
      <c r="D82" s="122">
        <v>0.89930796171774896</v>
      </c>
      <c r="E82" s="122">
        <v>1.2835187885567645</v>
      </c>
      <c r="F82" s="122">
        <v>6.2816452392610502</v>
      </c>
      <c r="G82" s="122">
        <v>1.0933509258002614</v>
      </c>
      <c r="H82" s="163">
        <v>1</v>
      </c>
      <c r="I82" s="12">
        <v>1.3996746318566226E-2</v>
      </c>
      <c r="J82" s="115">
        <v>3.2021814177376019E-2</v>
      </c>
      <c r="K82" s="115">
        <v>-5.9911470870534569E-5</v>
      </c>
      <c r="L82" s="115">
        <v>3.0822413252473181E-2</v>
      </c>
      <c r="P82" s="108">
        <v>4.6396372182120435E-2</v>
      </c>
      <c r="Q82" s="108">
        <v>0.92792744364240853</v>
      </c>
      <c r="R82" s="49">
        <v>40814215.44839751</v>
      </c>
    </row>
    <row r="83" spans="1:18" x14ac:dyDescent="0.25">
      <c r="A83">
        <f t="shared" si="4"/>
        <v>71</v>
      </c>
      <c r="B83" s="168">
        <v>1.0008788608543</v>
      </c>
      <c r="C83" s="122">
        <v>0.92971938713600411</v>
      </c>
      <c r="D83" s="122">
        <v>0.90661513127951188</v>
      </c>
      <c r="E83" s="122">
        <v>1.7716175514850485</v>
      </c>
      <c r="F83" s="122">
        <v>6.7126668629957322</v>
      </c>
      <c r="G83" s="122">
        <v>1.1455107950836507</v>
      </c>
      <c r="H83" s="163">
        <v>1</v>
      </c>
      <c r="I83" s="12">
        <v>1.1201262858856068E-2</v>
      </c>
      <c r="J83" s="115">
        <v>2.2370412266857587E-2</v>
      </c>
      <c r="K83" s="115">
        <v>1.5268634409223936E-2</v>
      </c>
      <c r="L83" s="115">
        <v>5.2724508613742421E-2</v>
      </c>
      <c r="P83" s="108">
        <v>1.9258595695154875E-2</v>
      </c>
      <c r="Q83" s="108">
        <v>0.38517191390309746</v>
      </c>
      <c r="R83" s="49">
        <v>16941507.212034523</v>
      </c>
    </row>
    <row r="84" spans="1:18" x14ac:dyDescent="0.25">
      <c r="A84">
        <f t="shared" si="4"/>
        <v>72</v>
      </c>
      <c r="B84" s="168">
        <v>1.0014177638063717</v>
      </c>
      <c r="C84" s="122">
        <v>0.90744953498467562</v>
      </c>
      <c r="D84" s="122">
        <v>0.88604120787178209</v>
      </c>
      <c r="E84" s="122">
        <v>0.94984019343023185</v>
      </c>
      <c r="F84" s="122">
        <v>0.62976123270487694</v>
      </c>
      <c r="G84" s="122">
        <v>1.0439646084196246</v>
      </c>
      <c r="H84" s="163">
        <v>1</v>
      </c>
      <c r="I84" s="12">
        <v>2.8562454197885841E-2</v>
      </c>
      <c r="J84" s="115">
        <v>5.8734058041553398E-2</v>
      </c>
      <c r="K84" s="115">
        <v>6.4600610121252639E-3</v>
      </c>
      <c r="L84" s="115">
        <v>8.5432480305580438E-3</v>
      </c>
      <c r="P84" s="108">
        <v>-8.1921094874237918E-2</v>
      </c>
      <c r="Q84" s="108">
        <v>-1.638421897484758</v>
      </c>
      <c r="R84" s="49">
        <v>-72064798.576088831</v>
      </c>
    </row>
    <row r="85" spans="1:18" x14ac:dyDescent="0.25">
      <c r="A85">
        <f t="shared" si="4"/>
        <v>73</v>
      </c>
      <c r="B85" s="168">
        <v>0.99682131454596978</v>
      </c>
      <c r="C85" s="122">
        <v>0.86691466650235305</v>
      </c>
      <c r="D85" s="122">
        <v>0.89465044556934559</v>
      </c>
      <c r="E85" s="122">
        <v>2.398104365721184</v>
      </c>
      <c r="F85" s="122">
        <v>7.3457878376510761</v>
      </c>
      <c r="G85" s="122">
        <v>1.1569242420474273</v>
      </c>
      <c r="H85" s="163">
        <v>1</v>
      </c>
      <c r="I85" s="12">
        <v>1.276221460725928E-2</v>
      </c>
      <c r="J85" s="115">
        <v>3.6440074468372746E-2</v>
      </c>
      <c r="K85" s="115">
        <v>1.4176835820528802E-3</v>
      </c>
      <c r="L85" s="115">
        <v>2.1586357832824258E-2</v>
      </c>
      <c r="P85" s="108">
        <v>4.1377145469007157E-2</v>
      </c>
      <c r="Q85" s="108">
        <v>0.82754290938014297</v>
      </c>
      <c r="R85" s="49">
        <v>36398874.532318264</v>
      </c>
    </row>
    <row r="86" spans="1:18" x14ac:dyDescent="0.25">
      <c r="A86">
        <f t="shared" si="4"/>
        <v>74</v>
      </c>
      <c r="B86" s="168">
        <v>0.97492594988173265</v>
      </c>
      <c r="C86" s="122">
        <v>0.8487451209422745</v>
      </c>
      <c r="D86" s="122">
        <v>0.87589936965621384</v>
      </c>
      <c r="E86" s="122">
        <v>1.0079900248647315</v>
      </c>
      <c r="F86" s="122">
        <v>8.4474166792340739</v>
      </c>
      <c r="G86" s="122">
        <v>1.0874985425630548</v>
      </c>
      <c r="H86" s="163">
        <v>1</v>
      </c>
      <c r="I86" s="12">
        <v>1.8741587665437286E-2</v>
      </c>
      <c r="J86" s="115">
        <v>6.1621101397616139E-2</v>
      </c>
      <c r="K86" s="115">
        <v>6.6176561939380874E-4</v>
      </c>
      <c r="L86" s="115">
        <v>7.6099964355036184E-3</v>
      </c>
      <c r="P86" s="108">
        <v>0.1671811384265581</v>
      </c>
      <c r="Q86" s="108">
        <v>3.3436227685311617</v>
      </c>
      <c r="R86" s="49">
        <v>147066821.85982209</v>
      </c>
    </row>
    <row r="87" spans="1:18" x14ac:dyDescent="0.25">
      <c r="A87">
        <f t="shared" si="4"/>
        <v>75</v>
      </c>
      <c r="B87" s="168">
        <v>0.99051932496443629</v>
      </c>
      <c r="C87" s="122">
        <v>0.94597760339052073</v>
      </c>
      <c r="D87" s="122">
        <v>0.91536166492862236</v>
      </c>
      <c r="E87" s="122">
        <v>2.6590268334892162</v>
      </c>
      <c r="F87" s="122">
        <v>2.4753008557970335</v>
      </c>
      <c r="G87" s="122">
        <v>1.1089629175403803</v>
      </c>
      <c r="H87" s="163">
        <v>1</v>
      </c>
      <c r="I87" s="12">
        <v>2.089685432715202E-2</v>
      </c>
      <c r="J87" s="115">
        <v>2.0616751288542477E-2</v>
      </c>
      <c r="K87" s="115">
        <v>6.8357724679758512E-3</v>
      </c>
      <c r="L87" s="115">
        <v>3.3832239683645147E-2</v>
      </c>
      <c r="P87" s="108">
        <v>-6.5511981274881684E-2</v>
      </c>
      <c r="Q87" s="108">
        <v>-1.3102396254976336</v>
      </c>
      <c r="R87" s="49">
        <v>-57629939.420884386</v>
      </c>
    </row>
    <row r="88" spans="1:18" x14ac:dyDescent="0.25">
      <c r="A88">
        <f t="shared" si="4"/>
        <v>76</v>
      </c>
      <c r="B88" s="168">
        <v>1.0055362715037872</v>
      </c>
      <c r="C88" s="122">
        <v>0.9356663993416402</v>
      </c>
      <c r="D88" s="122">
        <v>0.89676523731815272</v>
      </c>
      <c r="E88" s="122">
        <v>1.7873480042928387</v>
      </c>
      <c r="F88" s="122">
        <v>4.5343958559524022</v>
      </c>
      <c r="G88" s="122">
        <v>1.06078732099569</v>
      </c>
      <c r="H88" s="163">
        <v>1</v>
      </c>
      <c r="I88" s="12">
        <v>1.5446516242213212E-2</v>
      </c>
      <c r="J88" s="115">
        <v>1.4615834103246295E-2</v>
      </c>
      <c r="K88" s="115">
        <v>1.3173519877054011E-2</v>
      </c>
      <c r="L88" s="115">
        <v>2.5662033426669756E-2</v>
      </c>
      <c r="P88" s="108">
        <v>-4.4167146838965339E-2</v>
      </c>
      <c r="Q88" s="108">
        <v>-0.88334293677930664</v>
      </c>
      <c r="R88" s="49">
        <v>-38853198.25762628</v>
      </c>
    </row>
    <row r="89" spans="1:18" x14ac:dyDescent="0.25">
      <c r="A89">
        <f t="shared" si="4"/>
        <v>77</v>
      </c>
      <c r="B89" s="168">
        <v>1.0029294438600114</v>
      </c>
      <c r="C89" s="122">
        <v>0.87781628092851949</v>
      </c>
      <c r="D89" s="122">
        <v>0.90316676155454279</v>
      </c>
      <c r="E89" s="122">
        <v>1.2687326864839581</v>
      </c>
      <c r="F89" s="122">
        <v>4.3498323733747473</v>
      </c>
      <c r="G89" s="122">
        <v>1.127944948200541</v>
      </c>
      <c r="H89" s="163">
        <v>1</v>
      </c>
      <c r="I89" s="12">
        <v>2.8402059478709458E-2</v>
      </c>
      <c r="J89" s="115">
        <v>4.4055973833427256E-2</v>
      </c>
      <c r="K89" s="115">
        <v>4.3782721024598677E-3</v>
      </c>
      <c r="L89" s="115">
        <v>4.3516554885324132E-2</v>
      </c>
      <c r="P89" s="108">
        <v>7.0334301949454878E-2</v>
      </c>
      <c r="Q89" s="108">
        <v>1.4066860389890974</v>
      </c>
      <c r="R89" s="49">
        <v>61872064.951749437</v>
      </c>
    </row>
    <row r="90" spans="1:18" x14ac:dyDescent="0.25">
      <c r="A90">
        <f t="shared" si="4"/>
        <v>78</v>
      </c>
      <c r="B90" s="168">
        <v>0.97688889197837225</v>
      </c>
      <c r="C90" s="122">
        <v>0.91313964240038914</v>
      </c>
      <c r="D90" s="122">
        <v>0.88638448473581521</v>
      </c>
      <c r="E90" s="122">
        <v>1.7318822236164653</v>
      </c>
      <c r="F90" s="122">
        <v>9.2060648132147662</v>
      </c>
      <c r="G90" s="122">
        <v>1.146320066598095</v>
      </c>
      <c r="H90" s="163">
        <v>1</v>
      </c>
      <c r="I90" s="12">
        <v>1.6577582171409214E-2</v>
      </c>
      <c r="J90" s="115">
        <v>7.2653207744109521E-2</v>
      </c>
      <c r="K90" s="115">
        <v>9.6078067807032208E-3</v>
      </c>
      <c r="L90" s="115">
        <v>9.1759628165108686E-3</v>
      </c>
      <c r="P90" s="108">
        <v>0.19115796029514137</v>
      </c>
      <c r="Q90" s="108">
        <v>3.8231592059028268</v>
      </c>
      <c r="R90" s="49">
        <v>168158884.18036109</v>
      </c>
    </row>
    <row r="91" spans="1:18" x14ac:dyDescent="0.25">
      <c r="A91">
        <f t="shared" si="4"/>
        <v>79</v>
      </c>
      <c r="B91" s="168">
        <v>0.98720033527634365</v>
      </c>
      <c r="C91" s="122">
        <v>0.89233645661871075</v>
      </c>
      <c r="D91" s="122">
        <v>0.90130405423404281</v>
      </c>
      <c r="E91" s="122">
        <v>1.7770784536366979</v>
      </c>
      <c r="F91" s="122">
        <v>4.4021529587001194</v>
      </c>
      <c r="G91" s="122">
        <v>1.094504736013028</v>
      </c>
      <c r="H91" s="163">
        <v>1</v>
      </c>
      <c r="I91" s="12">
        <v>3.1234813193761146E-2</v>
      </c>
      <c r="J91" s="115">
        <v>3.8338026334317668E-2</v>
      </c>
      <c r="K91" s="115">
        <v>-1.1190422698921683E-3</v>
      </c>
      <c r="L91" s="115">
        <v>8.114431602257912E-3</v>
      </c>
      <c r="P91" s="108">
        <v>2.816258093531435E-2</v>
      </c>
      <c r="Q91" s="108">
        <v>0.56325161870628693</v>
      </c>
      <c r="R91" s="49">
        <v>24774213.840792593</v>
      </c>
    </row>
    <row r="92" spans="1:18" x14ac:dyDescent="0.25">
      <c r="A92">
        <f t="shared" si="4"/>
        <v>80</v>
      </c>
      <c r="B92" s="168">
        <v>0.99428666543658806</v>
      </c>
      <c r="C92" s="122">
        <v>0.86199071486100687</v>
      </c>
      <c r="D92" s="122">
        <v>0.89520458623201049</v>
      </c>
      <c r="E92" s="122">
        <v>1.5129184647939105</v>
      </c>
      <c r="F92" s="122">
        <v>7.1794030667844604</v>
      </c>
      <c r="G92" s="122">
        <v>1.1058160890122484</v>
      </c>
      <c r="H92" s="163">
        <v>1</v>
      </c>
      <c r="I92" s="12">
        <v>2.8470819439491587E-2</v>
      </c>
      <c r="J92" s="115">
        <v>6.6140235425669824E-2</v>
      </c>
      <c r="K92" s="115">
        <v>1.7253492672338294E-3</v>
      </c>
      <c r="L92" s="115">
        <v>4.0938750560543677E-2</v>
      </c>
      <c r="P92" s="108">
        <v>0.19009272185926382</v>
      </c>
      <c r="Q92" s="108">
        <v>3.8018544371852756</v>
      </c>
      <c r="R92" s="49">
        <v>167221809.383755</v>
      </c>
    </row>
    <row r="93" spans="1:18" x14ac:dyDescent="0.25">
      <c r="A93">
        <f t="shared" si="4"/>
        <v>81</v>
      </c>
      <c r="B93" s="168">
        <v>1.0015683435377978</v>
      </c>
      <c r="C93" s="122">
        <v>0.92227328953726762</v>
      </c>
      <c r="D93" s="122">
        <v>0.89221798306747169</v>
      </c>
      <c r="E93" s="122">
        <v>1.1288391113518719</v>
      </c>
      <c r="F93" s="122">
        <v>4.1480175908218273</v>
      </c>
      <c r="G93" s="122">
        <v>1.1180154020340034</v>
      </c>
      <c r="H93" s="163">
        <v>1</v>
      </c>
      <c r="I93" s="12">
        <v>4.3679285843496396E-2</v>
      </c>
      <c r="J93" s="115">
        <v>2.4096391675821966E-2</v>
      </c>
      <c r="K93" s="115">
        <v>-9.5295684405154527E-5</v>
      </c>
      <c r="L93" s="115">
        <v>4.2042048961974804E-3</v>
      </c>
      <c r="P93" s="108">
        <v>-1.7268820779224835E-2</v>
      </c>
      <c r="Q93" s="108">
        <v>-0.34537641558449661</v>
      </c>
      <c r="R93" s="49">
        <v>-15191131.087931423</v>
      </c>
    </row>
    <row r="94" spans="1:18" x14ac:dyDescent="0.25">
      <c r="A94">
        <f t="shared" si="4"/>
        <v>82</v>
      </c>
      <c r="B94" s="168">
        <v>1.0060366022632965</v>
      </c>
      <c r="C94" s="122">
        <v>0.91805451710205643</v>
      </c>
      <c r="D94" s="122">
        <v>0.89551167420581956</v>
      </c>
      <c r="E94" s="122">
        <v>2.8817399731746249</v>
      </c>
      <c r="F94" s="122">
        <v>4.2272598437860545</v>
      </c>
      <c r="G94" s="122">
        <v>1.1183440297724303</v>
      </c>
      <c r="H94" s="163">
        <v>1</v>
      </c>
      <c r="I94" s="12">
        <v>3.6396943798670645E-2</v>
      </c>
      <c r="J94" s="115">
        <v>4.3479552368008323E-2</v>
      </c>
      <c r="K94" s="115">
        <v>2.6458673356552567E-3</v>
      </c>
      <c r="L94" s="115">
        <v>1.4503589777311143E-2</v>
      </c>
      <c r="P94" s="108">
        <v>4.41695547560466E-2</v>
      </c>
      <c r="Q94" s="108">
        <v>0.88339109512093184</v>
      </c>
      <c r="R94" s="49">
        <v>38855316.467346407</v>
      </c>
    </row>
    <row r="95" spans="1:18" x14ac:dyDescent="0.25">
      <c r="A95">
        <f t="shared" si="4"/>
        <v>83</v>
      </c>
      <c r="B95" s="168">
        <v>1.0048878275684419</v>
      </c>
      <c r="C95" s="122">
        <v>0.90867146623440065</v>
      </c>
      <c r="D95" s="122">
        <v>0.90597888131355275</v>
      </c>
      <c r="E95" s="122">
        <v>3.2674103513502102</v>
      </c>
      <c r="F95" s="122">
        <v>4.7718638335191592</v>
      </c>
      <c r="G95" s="122">
        <v>1.0859855356698889</v>
      </c>
      <c r="H95" s="163">
        <v>1</v>
      </c>
      <c r="I95" s="12">
        <v>4.1904849210994237E-2</v>
      </c>
      <c r="J95" s="115">
        <v>1.9939034291765079E-2</v>
      </c>
      <c r="K95" s="115">
        <v>5.4768815254083135E-3</v>
      </c>
      <c r="L95" s="115">
        <v>8.2982264328234599E-3</v>
      </c>
      <c r="P95" s="108">
        <v>-2.4855631015062791E-2</v>
      </c>
      <c r="Q95" s="108">
        <v>-0.49711262030125569</v>
      </c>
      <c r="R95" s="49">
        <v>-21865137.976145111</v>
      </c>
    </row>
    <row r="96" spans="1:18" x14ac:dyDescent="0.25">
      <c r="A96">
        <f t="shared" si="4"/>
        <v>84</v>
      </c>
      <c r="B96" s="168">
        <v>0.99864344472184741</v>
      </c>
      <c r="C96" s="122">
        <v>0.89498501437075462</v>
      </c>
      <c r="D96" s="122">
        <v>0.89595236348566931</v>
      </c>
      <c r="E96" s="122">
        <v>2.7524960074829048</v>
      </c>
      <c r="F96" s="122">
        <v>3.6912520389961809</v>
      </c>
      <c r="G96" s="122">
        <v>1.0786949037089333</v>
      </c>
      <c r="H96" s="163">
        <v>1</v>
      </c>
      <c r="I96" s="12">
        <v>3.6861025544080266E-2</v>
      </c>
      <c r="J96" s="115">
        <v>6.2288557888011714E-2</v>
      </c>
      <c r="K96" s="115">
        <v>8.6555231014061578E-4</v>
      </c>
      <c r="L96" s="115">
        <v>1.6636745006514787E-2</v>
      </c>
      <c r="P96" s="108">
        <v>0.10907831621684659</v>
      </c>
      <c r="Q96" s="108">
        <v>2.1815663243369312</v>
      </c>
      <c r="R96" s="49">
        <v>95954612.169837639</v>
      </c>
    </row>
    <row r="97" spans="1:18" x14ac:dyDescent="0.25">
      <c r="A97">
        <f t="shared" si="4"/>
        <v>85</v>
      </c>
      <c r="B97" s="168">
        <v>1.0041794791058833</v>
      </c>
      <c r="C97" s="122">
        <v>0.90586658905944717</v>
      </c>
      <c r="D97" s="122">
        <v>0.90180170637883894</v>
      </c>
      <c r="E97" s="122">
        <v>2.7874963680573428</v>
      </c>
      <c r="F97" s="122">
        <v>6.5323442552124193</v>
      </c>
      <c r="G97" s="122">
        <v>1.0781946326056853</v>
      </c>
      <c r="H97" s="163">
        <v>1</v>
      </c>
      <c r="I97" s="12">
        <v>1.1207055593773307E-2</v>
      </c>
      <c r="J97" s="115">
        <v>7.3057160606159272E-2</v>
      </c>
      <c r="K97" s="115">
        <v>-6.9669356471084055E-5</v>
      </c>
      <c r="L97" s="115">
        <v>2.5656413329768944E-2</v>
      </c>
      <c r="P97" s="108">
        <v>0.16951196402145835</v>
      </c>
      <c r="Q97" s="108">
        <v>3.3902392804291663</v>
      </c>
      <c r="R97" s="49">
        <v>149117215.31794587</v>
      </c>
    </row>
    <row r="98" spans="1:18" x14ac:dyDescent="0.25">
      <c r="A98">
        <f t="shared" si="4"/>
        <v>86</v>
      </c>
      <c r="B98" s="168">
        <v>1.0164172483471718</v>
      </c>
      <c r="C98" s="122">
        <v>0.90519496603042671</v>
      </c>
      <c r="D98" s="122">
        <v>0.9049177976541195</v>
      </c>
      <c r="E98" s="122">
        <v>2.1784133950463285</v>
      </c>
      <c r="F98" s="122">
        <v>4.9432001394740404</v>
      </c>
      <c r="G98" s="122">
        <v>1.1174552572792353</v>
      </c>
      <c r="H98" s="163">
        <v>1</v>
      </c>
      <c r="I98" s="12">
        <v>4.0259086900621244E-2</v>
      </c>
      <c r="J98" s="115">
        <v>2.3466459193204968E-2</v>
      </c>
      <c r="K98" s="115">
        <v>2.0237680442609287E-3</v>
      </c>
      <c r="L98" s="115">
        <v>2.4605100097672812E-2</v>
      </c>
      <c r="P98" s="108">
        <v>-5.0097233544180012E-4</v>
      </c>
      <c r="Q98" s="108">
        <v>-1.0019446708836E-2</v>
      </c>
      <c r="R98" s="49">
        <v>-440698.09493183345</v>
      </c>
    </row>
    <row r="99" spans="1:18" x14ac:dyDescent="0.25">
      <c r="A99">
        <f t="shared" si="4"/>
        <v>87</v>
      </c>
      <c r="B99" s="168">
        <v>0.98134877339003623</v>
      </c>
      <c r="C99" s="122">
        <v>0.90779486593468162</v>
      </c>
      <c r="D99" s="122">
        <v>0.88547702284595153</v>
      </c>
      <c r="E99" s="122">
        <v>1.1574291774677745</v>
      </c>
      <c r="F99" s="122">
        <v>7.6156492150584887</v>
      </c>
      <c r="G99" s="122">
        <v>1.148012855731998</v>
      </c>
      <c r="H99" s="163">
        <v>1</v>
      </c>
      <c r="I99" s="12">
        <v>2.3074214120974025E-2</v>
      </c>
      <c r="J99" s="115">
        <v>4.4724427122753679E-2</v>
      </c>
      <c r="K99" s="115">
        <v>6.3147083705316787E-3</v>
      </c>
      <c r="L99" s="115">
        <v>2.0203842158810003E-2</v>
      </c>
      <c r="P99" s="108">
        <v>0.10341949840027956</v>
      </c>
      <c r="Q99" s="108">
        <v>2.0683899680055906</v>
      </c>
      <c r="R99" s="49">
        <v>90976632.239811927</v>
      </c>
    </row>
    <row r="100" spans="1:18" x14ac:dyDescent="0.25">
      <c r="A100">
        <f t="shared" si="4"/>
        <v>88</v>
      </c>
      <c r="B100" s="168">
        <v>1.0177312075388862</v>
      </c>
      <c r="C100" s="122">
        <v>0.88414480710978072</v>
      </c>
      <c r="D100" s="122">
        <v>0.90523758871486248</v>
      </c>
      <c r="E100" s="122">
        <v>1.1518061071251311</v>
      </c>
      <c r="F100" s="122">
        <v>6.9488138928643686</v>
      </c>
      <c r="G100" s="122">
        <v>1.087498531306861</v>
      </c>
      <c r="H100" s="163">
        <v>1</v>
      </c>
      <c r="I100" s="12">
        <v>2.4805129293755203E-2</v>
      </c>
      <c r="J100" s="115">
        <v>2.8293655050211697E-2</v>
      </c>
      <c r="K100" s="115">
        <v>6.5237600986819411E-3</v>
      </c>
      <c r="L100" s="115">
        <v>4.0064211337945972E-2</v>
      </c>
      <c r="P100" s="108">
        <v>6.2681643615454793E-2</v>
      </c>
      <c r="Q100" s="108">
        <v>1.2536328723090957</v>
      </c>
      <c r="R100" s="49">
        <v>55140132.446965829</v>
      </c>
    </row>
    <row r="101" spans="1:18" x14ac:dyDescent="0.25">
      <c r="A101">
        <f t="shared" si="4"/>
        <v>89</v>
      </c>
      <c r="B101" s="168">
        <v>1.0069431472777755</v>
      </c>
      <c r="C101" s="122">
        <v>0.90525618844231881</v>
      </c>
      <c r="D101" s="122">
        <v>0.8941190225125174</v>
      </c>
      <c r="E101" s="122">
        <v>2.2932224096343083</v>
      </c>
      <c r="F101" s="122">
        <v>4.5554641635412878</v>
      </c>
      <c r="G101" s="122">
        <v>1.093797883562188</v>
      </c>
      <c r="H101" s="163">
        <v>1</v>
      </c>
      <c r="I101" s="12">
        <v>3.1411145243809752E-2</v>
      </c>
      <c r="J101" s="115">
        <v>2.1721756712808592E-2</v>
      </c>
      <c r="K101" s="115">
        <v>4.2674203894911824E-3</v>
      </c>
      <c r="L101" s="115">
        <v>2.3434053887545273E-2</v>
      </c>
      <c r="P101" s="108">
        <v>-1.7383050691789279E-2</v>
      </c>
      <c r="Q101" s="108">
        <v>-0.34766101383578552</v>
      </c>
      <c r="R101" s="49">
        <v>-15291617.484664263</v>
      </c>
    </row>
    <row r="102" spans="1:18" x14ac:dyDescent="0.25">
      <c r="A102">
        <f t="shared" si="4"/>
        <v>90</v>
      </c>
      <c r="B102" s="168">
        <v>1.0063065892466003</v>
      </c>
      <c r="C102" s="122">
        <v>0.86411515536981998</v>
      </c>
      <c r="D102" s="122">
        <v>0.88313326842668927</v>
      </c>
      <c r="E102" s="122">
        <v>2.2859414107616849</v>
      </c>
      <c r="F102" s="122">
        <v>4.4261785662420863</v>
      </c>
      <c r="G102" s="122">
        <v>1.0835526997754592</v>
      </c>
      <c r="H102" s="163">
        <v>1</v>
      </c>
      <c r="I102" s="12">
        <v>8.3032086224374621E-3</v>
      </c>
      <c r="J102" s="115">
        <v>1.7507565665971909E-2</v>
      </c>
      <c r="K102" s="115">
        <v>-3.4472159181972457E-3</v>
      </c>
      <c r="L102" s="115">
        <v>8.9015940296165944E-3</v>
      </c>
      <c r="P102" s="108">
        <v>-6.5622505999875486E-2</v>
      </c>
      <c r="Q102" s="108">
        <v>-1.3124501199975094</v>
      </c>
      <c r="R102" s="49">
        <v>-57727166.417869486</v>
      </c>
    </row>
    <row r="103" spans="1:18" x14ac:dyDescent="0.25">
      <c r="A103">
        <f t="shared" si="4"/>
        <v>91</v>
      </c>
      <c r="B103" s="168">
        <v>0.99617507172621456</v>
      </c>
      <c r="C103" s="122">
        <v>0.92281810596270231</v>
      </c>
      <c r="D103" s="122">
        <v>0.91029383212892312</v>
      </c>
      <c r="E103" s="122">
        <v>3.4130751280208806</v>
      </c>
      <c r="F103" s="122">
        <v>8.8080000502909783</v>
      </c>
      <c r="G103" s="122">
        <v>1.0802103872240472</v>
      </c>
      <c r="H103" s="163">
        <v>1</v>
      </c>
      <c r="I103" s="12">
        <v>2.5486343394223624E-2</v>
      </c>
      <c r="J103" s="115">
        <v>2.8091772081171647E-2</v>
      </c>
      <c r="K103" s="115">
        <v>1.1664114497392908E-2</v>
      </c>
      <c r="L103" s="115">
        <v>8.5328030010543687E-3</v>
      </c>
      <c r="P103" s="108">
        <v>3.1232389528727776E-2</v>
      </c>
      <c r="Q103" s="108">
        <v>0.62464779057455533</v>
      </c>
      <c r="R103" s="49">
        <v>27474679.920879781</v>
      </c>
    </row>
    <row r="104" spans="1:18" x14ac:dyDescent="0.25">
      <c r="A104">
        <f t="shared" si="4"/>
        <v>92</v>
      </c>
      <c r="B104" s="168">
        <v>0.9969835454480297</v>
      </c>
      <c r="C104" s="122">
        <v>0.93159517165192507</v>
      </c>
      <c r="D104" s="122">
        <v>0.89851063975607814</v>
      </c>
      <c r="E104" s="122">
        <v>2.0789571546082333</v>
      </c>
      <c r="F104" s="122">
        <v>5.0860831631964381</v>
      </c>
      <c r="G104" s="122">
        <v>1.1133330967920025</v>
      </c>
      <c r="H104" s="163">
        <v>1</v>
      </c>
      <c r="I104" s="12">
        <v>3.6483942035606398E-2</v>
      </c>
      <c r="J104" s="115">
        <v>3.8945681290063455E-2</v>
      </c>
      <c r="K104" s="115">
        <v>4.3541903915310029E-5</v>
      </c>
      <c r="L104" s="115">
        <v>-7.6934616648755144E-3</v>
      </c>
      <c r="P104" s="108">
        <v>2.9678613128897947E-2</v>
      </c>
      <c r="Q104" s="108">
        <v>0.59357226257795881</v>
      </c>
      <c r="R104" s="49">
        <v>26107845.365532205</v>
      </c>
    </row>
    <row r="105" spans="1:18" x14ac:dyDescent="0.25">
      <c r="A105">
        <f t="shared" si="4"/>
        <v>93</v>
      </c>
      <c r="B105" s="168">
        <v>1.0039830966211971</v>
      </c>
      <c r="C105" s="122">
        <v>0.89869704865057831</v>
      </c>
      <c r="D105" s="122">
        <v>0.92618281650747658</v>
      </c>
      <c r="E105" s="122">
        <v>2.9940507103916936</v>
      </c>
      <c r="F105" s="122">
        <v>0.80881349792078794</v>
      </c>
      <c r="G105" s="122">
        <v>1.0800575238148757</v>
      </c>
      <c r="H105" s="163">
        <v>1</v>
      </c>
      <c r="I105" s="12">
        <v>1.6078641951055524E-2</v>
      </c>
      <c r="J105" s="115">
        <v>2.2349866940985189E-2</v>
      </c>
      <c r="K105" s="115">
        <v>4.1366260334230265E-3</v>
      </c>
      <c r="L105" s="115">
        <v>2.5117514174804605E-2</v>
      </c>
      <c r="P105" s="108">
        <v>-0.10332673318795153</v>
      </c>
      <c r="Q105" s="108">
        <v>-2.0665346637590303</v>
      </c>
      <c r="R105" s="49">
        <v>-90895028.028447956</v>
      </c>
    </row>
    <row r="106" spans="1:18" x14ac:dyDescent="0.25">
      <c r="A106">
        <f t="shared" si="4"/>
        <v>94</v>
      </c>
      <c r="B106" s="168">
        <v>1.0136147898417682</v>
      </c>
      <c r="C106" s="122">
        <v>0.913777713179587</v>
      </c>
      <c r="D106" s="122">
        <v>0.89475874268742694</v>
      </c>
      <c r="E106" s="122">
        <v>2.189862295607504</v>
      </c>
      <c r="F106" s="122">
        <v>4.2132745102307938</v>
      </c>
      <c r="G106" s="122">
        <v>1.0832160405664837</v>
      </c>
      <c r="H106" s="163">
        <v>1</v>
      </c>
      <c r="I106" s="12">
        <v>3.9448305984278974E-2</v>
      </c>
      <c r="J106" s="115">
        <v>4.2655705556559231E-2</v>
      </c>
      <c r="K106" s="115">
        <v>9.4793511093922873E-3</v>
      </c>
      <c r="L106" s="115">
        <v>2.3057615382503852E-3</v>
      </c>
      <c r="P106" s="108">
        <v>4.4318275405157592E-2</v>
      </c>
      <c r="Q106" s="108">
        <v>0.88636550810315173</v>
      </c>
      <c r="R106" s="49">
        <v>38986143.864596687</v>
      </c>
    </row>
    <row r="107" spans="1:18" x14ac:dyDescent="0.25">
      <c r="A107">
        <f t="shared" si="4"/>
        <v>95</v>
      </c>
      <c r="B107" s="168">
        <v>0.99212856782480785</v>
      </c>
      <c r="C107" s="122">
        <v>0.86862061107669064</v>
      </c>
      <c r="D107" s="122">
        <v>0.89210936225060411</v>
      </c>
      <c r="E107" s="122">
        <v>2.3696543631513176</v>
      </c>
      <c r="F107" s="122">
        <v>5.9991563433890045</v>
      </c>
      <c r="G107" s="122">
        <v>1.0962595982346857</v>
      </c>
      <c r="H107" s="163">
        <v>1</v>
      </c>
      <c r="I107" s="12">
        <v>4.5686895443901046E-2</v>
      </c>
      <c r="J107" s="115">
        <v>8.0487691226819688E-2</v>
      </c>
      <c r="K107" s="115">
        <v>1.0672133713629543E-2</v>
      </c>
      <c r="L107" s="115">
        <v>2.6292893321542797E-2</v>
      </c>
      <c r="P107" s="108">
        <v>0.22071732170018374</v>
      </c>
      <c r="Q107" s="108">
        <v>4.414346434003674</v>
      </c>
      <c r="R107" s="49">
        <v>194161825.5346286</v>
      </c>
    </row>
    <row r="108" spans="1:18" x14ac:dyDescent="0.25">
      <c r="A108">
        <f t="shared" si="4"/>
        <v>96</v>
      </c>
      <c r="B108" s="168">
        <v>0.98973497356691953</v>
      </c>
      <c r="C108" s="122">
        <v>0.91966532861674333</v>
      </c>
      <c r="D108" s="122">
        <v>0.91998835486584252</v>
      </c>
      <c r="E108" s="122">
        <v>2.4695425521161587</v>
      </c>
      <c r="F108" s="122">
        <v>2.220564589715424</v>
      </c>
      <c r="G108" s="122">
        <v>1.1109520356510103</v>
      </c>
      <c r="H108" s="163">
        <v>1</v>
      </c>
      <c r="I108" s="12">
        <v>8.9420327883161024E-3</v>
      </c>
      <c r="J108" s="115">
        <v>4.6036120872021441E-2</v>
      </c>
      <c r="K108" s="115">
        <v>1.3645855272051781E-3</v>
      </c>
      <c r="L108" s="115">
        <v>-1.6410359016535946E-3</v>
      </c>
      <c r="P108" s="108">
        <v>-2.3439463509529645E-2</v>
      </c>
      <c r="Q108" s="108">
        <v>-0.4687892701905928</v>
      </c>
      <c r="R108" s="49">
        <v>-20619355.968556944</v>
      </c>
    </row>
    <row r="109" spans="1:18" x14ac:dyDescent="0.25">
      <c r="A109">
        <f t="shared" si="4"/>
        <v>97</v>
      </c>
      <c r="B109" s="168">
        <v>1.0048703661396803</v>
      </c>
      <c r="C109" s="122">
        <v>0.9150243722400706</v>
      </c>
      <c r="D109" s="122">
        <v>0.9042975165264926</v>
      </c>
      <c r="E109" s="122">
        <v>9.3454319430144706E-2</v>
      </c>
      <c r="F109" s="122">
        <v>4.988051780516666</v>
      </c>
      <c r="G109" s="122">
        <v>1.1103904617656162</v>
      </c>
      <c r="H109" s="163">
        <v>1</v>
      </c>
      <c r="I109" s="12">
        <v>4.5869241661277912E-2</v>
      </c>
      <c r="J109" s="115">
        <v>5.3712746471805212E-2</v>
      </c>
      <c r="K109" s="115">
        <v>5.7875356746673731E-3</v>
      </c>
      <c r="L109" s="115">
        <v>3.4292541782466823E-2</v>
      </c>
      <c r="P109" s="108">
        <v>0.16083454303108341</v>
      </c>
      <c r="Q109" s="108">
        <v>3.216690860621668</v>
      </c>
      <c r="R109" s="49">
        <v>141483813.97252584</v>
      </c>
    </row>
    <row r="110" spans="1:18" x14ac:dyDescent="0.25">
      <c r="A110">
        <f t="shared" si="4"/>
        <v>98</v>
      </c>
      <c r="B110" s="168">
        <v>0.99640783407333999</v>
      </c>
      <c r="C110" s="122">
        <v>0.86160342786821198</v>
      </c>
      <c r="D110" s="122">
        <v>0.89923838112484078</v>
      </c>
      <c r="E110" s="122">
        <v>2.0048103188118591</v>
      </c>
      <c r="F110" s="122">
        <v>3.0693740751406078</v>
      </c>
      <c r="G110" s="122">
        <v>1.0302085564839252</v>
      </c>
      <c r="H110" s="163">
        <v>1</v>
      </c>
      <c r="I110" s="12">
        <v>1.6213298392506917E-2</v>
      </c>
      <c r="J110" s="115">
        <v>3.9854564524453913E-2</v>
      </c>
      <c r="K110" s="115">
        <v>8.5102308993141862E-3</v>
      </c>
      <c r="L110" s="115">
        <v>2.3995593896401539E-2</v>
      </c>
      <c r="P110" s="108">
        <v>1.6676491859192392E-2</v>
      </c>
      <c r="Q110" s="108">
        <v>0.33352983718384782</v>
      </c>
      <c r="R110" s="49">
        <v>14670067.931018539</v>
      </c>
    </row>
    <row r="111" spans="1:18" x14ac:dyDescent="0.25">
      <c r="A111">
        <f t="shared" si="4"/>
        <v>99</v>
      </c>
      <c r="B111" s="168">
        <v>1.0034529680281252</v>
      </c>
      <c r="C111" s="122">
        <v>0.90193837651038222</v>
      </c>
      <c r="D111" s="122">
        <v>0.91728276039523482</v>
      </c>
      <c r="E111" s="122">
        <v>2.666790138697634</v>
      </c>
      <c r="F111" s="122">
        <v>3.9115490904050181</v>
      </c>
      <c r="G111" s="122">
        <v>1.0965717565950863</v>
      </c>
      <c r="H111" s="163">
        <v>1</v>
      </c>
      <c r="I111" s="12">
        <v>1.9519165146998148E-2</v>
      </c>
      <c r="J111" s="115">
        <v>3.9974447103575353E-2</v>
      </c>
      <c r="K111" s="115">
        <v>1.7898700022962589E-3</v>
      </c>
      <c r="L111" s="115">
        <v>6.7823539483827591E-4</v>
      </c>
      <c r="P111" s="108">
        <v>5.6986243093750232E-3</v>
      </c>
      <c r="Q111" s="108">
        <v>0.11397248618750044</v>
      </c>
      <c r="R111" s="49">
        <v>5012997.1242005453</v>
      </c>
    </row>
    <row r="112" spans="1:18" x14ac:dyDescent="0.25">
      <c r="A112">
        <f t="shared" si="4"/>
        <v>100</v>
      </c>
      <c r="B112" s="168">
        <v>0.99632724922682991</v>
      </c>
      <c r="C112" s="122">
        <v>0.88444751782761644</v>
      </c>
      <c r="D112" s="122">
        <v>0.90677236027905284</v>
      </c>
      <c r="E112" s="122">
        <v>4.3267125411615943</v>
      </c>
      <c r="F112" s="122">
        <v>6.7761066241830532</v>
      </c>
      <c r="G112" s="122">
        <v>1.076294105063329</v>
      </c>
      <c r="H112" s="163">
        <v>1</v>
      </c>
      <c r="I112" s="12">
        <v>3.2206820092836916E-2</v>
      </c>
      <c r="J112" s="115">
        <v>3.7567527807258701E-2</v>
      </c>
      <c r="K112" s="115">
        <v>4.8229531326106365E-3</v>
      </c>
      <c r="L112" s="115">
        <v>1.7331912395107243E-2</v>
      </c>
      <c r="P112" s="108">
        <v>5.3762427168812028E-2</v>
      </c>
      <c r="Q112" s="108">
        <v>1.0752485433762404</v>
      </c>
      <c r="R112" s="49">
        <v>47294027.146852463</v>
      </c>
    </row>
    <row r="113" spans="1:18" x14ac:dyDescent="0.25">
      <c r="A113">
        <f t="shared" si="4"/>
        <v>101</v>
      </c>
      <c r="B113" s="168">
        <v>0.99954796185425665</v>
      </c>
      <c r="C113" s="122">
        <v>0.90720048045965229</v>
      </c>
      <c r="D113" s="122">
        <v>0.90615033649938515</v>
      </c>
      <c r="E113" s="122">
        <v>2.1596063472239417</v>
      </c>
      <c r="F113" s="122">
        <v>3.8192006694324334</v>
      </c>
      <c r="G113" s="122">
        <v>1.1312005533181013</v>
      </c>
      <c r="H113" s="163">
        <v>1</v>
      </c>
      <c r="I113" s="12">
        <v>2.0699888578396747E-2</v>
      </c>
      <c r="J113" s="115">
        <v>5.7868106601452397E-2</v>
      </c>
      <c r="K113" s="115">
        <v>6.8613335679831803E-3</v>
      </c>
      <c r="L113" s="115">
        <v>2.6025309633238639E-3</v>
      </c>
      <c r="P113" s="108">
        <v>6.3772962405400604E-2</v>
      </c>
      <c r="Q113" s="108">
        <v>1.2754592481080118</v>
      </c>
      <c r="R113" s="49">
        <v>56100149.752648592</v>
      </c>
    </row>
    <row r="114" spans="1:18" x14ac:dyDescent="0.25">
      <c r="A114">
        <f t="shared" si="4"/>
        <v>102</v>
      </c>
      <c r="B114" s="168">
        <v>0.99659605881430702</v>
      </c>
      <c r="C114" s="122">
        <v>0.89476402925923837</v>
      </c>
      <c r="D114" s="122">
        <v>0.90732763035888409</v>
      </c>
      <c r="E114" s="122">
        <v>1.7559307299674636</v>
      </c>
      <c r="F114" s="122">
        <v>7.9788804828288136</v>
      </c>
      <c r="G114" s="122">
        <v>1.1156107039344343</v>
      </c>
      <c r="H114" s="163">
        <v>1</v>
      </c>
      <c r="I114" s="12">
        <v>4.1523584536725909E-2</v>
      </c>
      <c r="J114" s="115">
        <v>4.7233754510986173E-2</v>
      </c>
      <c r="K114" s="115">
        <v>1.3562600825989556E-3</v>
      </c>
      <c r="L114" s="115">
        <v>1.517433391618829E-2</v>
      </c>
      <c r="P114" s="108">
        <v>0.1204218042276224</v>
      </c>
      <c r="Q114" s="108">
        <v>2.4084360845524477</v>
      </c>
      <c r="R114" s="49">
        <v>105933313.9914109</v>
      </c>
    </row>
    <row r="115" spans="1:18" x14ac:dyDescent="0.25">
      <c r="A115">
        <f t="shared" si="4"/>
        <v>103</v>
      </c>
      <c r="B115" s="168">
        <v>1.0005005074994124</v>
      </c>
      <c r="C115" s="122">
        <v>0.90896371772917839</v>
      </c>
      <c r="D115" s="122">
        <v>0.89654954020235533</v>
      </c>
      <c r="E115" s="122">
        <v>2.3496308661457075</v>
      </c>
      <c r="F115" s="122">
        <v>4.923881847572452</v>
      </c>
      <c r="G115" s="122">
        <v>1.1000989503344003</v>
      </c>
      <c r="H115" s="163">
        <v>1</v>
      </c>
      <c r="I115" s="12">
        <v>2.8033942233549835E-2</v>
      </c>
      <c r="J115" s="115">
        <v>4.9048443581245084E-2</v>
      </c>
      <c r="K115" s="115">
        <v>8.5580581398320144E-3</v>
      </c>
      <c r="L115" s="115">
        <v>1.8537811525167647E-2</v>
      </c>
      <c r="P115" s="108">
        <v>7.681432621632453E-2</v>
      </c>
      <c r="Q115" s="108">
        <v>1.5362865243264905</v>
      </c>
      <c r="R115" s="49">
        <v>67572448.281306043</v>
      </c>
    </row>
    <row r="116" spans="1:18" x14ac:dyDescent="0.25">
      <c r="A116">
        <f t="shared" si="4"/>
        <v>104</v>
      </c>
      <c r="B116" s="168">
        <v>1.0028971627307031</v>
      </c>
      <c r="C116" s="122">
        <v>0.87612981302840576</v>
      </c>
      <c r="D116" s="122">
        <v>0.9047053247195691</v>
      </c>
      <c r="E116" s="122">
        <v>1.476365086539781</v>
      </c>
      <c r="F116" s="122">
        <v>4.664003877628474</v>
      </c>
      <c r="G116" s="122">
        <v>1.1011380110344506</v>
      </c>
      <c r="H116" s="163">
        <v>1</v>
      </c>
      <c r="I116" s="12">
        <v>2.9146034234650297E-2</v>
      </c>
      <c r="J116" s="115">
        <v>3.4520738589043642E-3</v>
      </c>
      <c r="K116" s="115">
        <v>3.9116040609592532E-3</v>
      </c>
      <c r="L116" s="115">
        <v>3.9260181764159921E-2</v>
      </c>
      <c r="P116" s="108">
        <v>-6.604645029464784E-2</v>
      </c>
      <c r="Q116" s="108">
        <v>-1.3209290058929566</v>
      </c>
      <c r="R116" s="49">
        <v>-58100104.063016362</v>
      </c>
    </row>
    <row r="117" spans="1:18" x14ac:dyDescent="0.25">
      <c r="A117">
        <f t="shared" si="4"/>
        <v>105</v>
      </c>
      <c r="B117" s="168">
        <v>0.99676202090384569</v>
      </c>
      <c r="C117" s="122">
        <v>0.87738308846231949</v>
      </c>
      <c r="D117" s="122">
        <v>0.89869286476859389</v>
      </c>
      <c r="E117" s="122">
        <v>2.8623378303362115</v>
      </c>
      <c r="F117" s="122">
        <v>7.3181515627118419</v>
      </c>
      <c r="G117" s="122">
        <v>1.1177012986534791</v>
      </c>
      <c r="H117" s="163">
        <v>1</v>
      </c>
      <c r="I117" s="12">
        <v>4.0587720276846602E-2</v>
      </c>
      <c r="J117" s="115">
        <v>2.9233139897617787E-2</v>
      </c>
      <c r="K117" s="115">
        <v>2.4030263701652161E-3</v>
      </c>
      <c r="L117" s="115">
        <v>1.6869886610218245E-2</v>
      </c>
      <c r="P117" s="108">
        <v>3.8412459898987318E-2</v>
      </c>
      <c r="Q117" s="108">
        <v>0.76824919797974611</v>
      </c>
      <c r="R117" s="49">
        <v>33790883.650691211</v>
      </c>
    </row>
    <row r="118" spans="1:18" x14ac:dyDescent="0.25">
      <c r="A118">
        <f t="shared" si="4"/>
        <v>106</v>
      </c>
      <c r="B118" s="168">
        <v>0.98666156823049467</v>
      </c>
      <c r="C118" s="122">
        <v>0.89506818757227691</v>
      </c>
      <c r="D118" s="122">
        <v>0.88377886158673458</v>
      </c>
      <c r="E118" s="122">
        <v>2.0841081315588879</v>
      </c>
      <c r="F118" s="122">
        <v>5.392603709780718</v>
      </c>
      <c r="G118" s="122">
        <v>1.0569904106494672</v>
      </c>
      <c r="H118" s="163">
        <v>1</v>
      </c>
      <c r="I118" s="12">
        <v>1.764912049689335E-2</v>
      </c>
      <c r="J118" s="115">
        <v>3.8110726674978314E-2</v>
      </c>
      <c r="K118" s="115">
        <v>7.4325390140238317E-3</v>
      </c>
      <c r="L118" s="115">
        <v>1.7070598838702409E-2</v>
      </c>
      <c r="P118" s="108">
        <v>4.5045163565866075E-2</v>
      </c>
      <c r="Q118" s="108">
        <v>0.9009032713173214</v>
      </c>
      <c r="R118" s="49">
        <v>39625576.833226025</v>
      </c>
    </row>
    <row r="119" spans="1:18" x14ac:dyDescent="0.25">
      <c r="A119">
        <f t="shared" si="4"/>
        <v>107</v>
      </c>
      <c r="B119" s="168">
        <v>1.001093152847244</v>
      </c>
      <c r="C119" s="122">
        <v>0.89857148495219064</v>
      </c>
      <c r="D119" s="122">
        <v>0.89286684200233057</v>
      </c>
      <c r="E119" s="122">
        <v>3.8864148332024131</v>
      </c>
      <c r="F119" s="122">
        <v>6.7349415869506721</v>
      </c>
      <c r="G119" s="122">
        <v>1.1295967583139439</v>
      </c>
      <c r="H119" s="163">
        <v>1</v>
      </c>
      <c r="I119" s="12">
        <v>1.8044165539523246E-2</v>
      </c>
      <c r="J119" s="115">
        <v>2.8502710046165506E-2</v>
      </c>
      <c r="K119" s="115">
        <v>-4.0485797020915334E-3</v>
      </c>
      <c r="L119" s="115">
        <v>3.2872185010366407E-2</v>
      </c>
      <c r="P119" s="108">
        <v>1.244166893476501E-2</v>
      </c>
      <c r="Q119" s="108">
        <v>0.24883337869530017</v>
      </c>
      <c r="R119" s="49">
        <v>10944755.647012003</v>
      </c>
    </row>
    <row r="120" spans="1:18" x14ac:dyDescent="0.25">
      <c r="A120">
        <f t="shared" si="4"/>
        <v>108</v>
      </c>
      <c r="B120" s="168">
        <v>0.99512312132863379</v>
      </c>
      <c r="C120" s="122">
        <v>0.93034241569426801</v>
      </c>
      <c r="D120" s="122">
        <v>0.90428699127055945</v>
      </c>
      <c r="E120" s="122">
        <v>2.0677392578609757</v>
      </c>
      <c r="F120" s="122">
        <v>2.9110638282130412</v>
      </c>
      <c r="G120" s="122">
        <v>1.1037186107525225</v>
      </c>
      <c r="H120" s="163">
        <v>1</v>
      </c>
      <c r="I120" s="12">
        <v>9.2361361553434836E-3</v>
      </c>
      <c r="J120" s="115">
        <v>4.5155530629195015E-2</v>
      </c>
      <c r="K120" s="115">
        <v>1.2504567756534253E-2</v>
      </c>
      <c r="L120" s="115">
        <v>8.4913282987297469E-3</v>
      </c>
      <c r="P120" s="108">
        <v>5.2998007504303124E-4</v>
      </c>
      <c r="Q120" s="108">
        <v>1.0599601500860622E-2</v>
      </c>
      <c r="R120" s="49">
        <v>466215.78258870495</v>
      </c>
    </row>
    <row r="121" spans="1:18" x14ac:dyDescent="0.25">
      <c r="A121">
        <f t="shared" si="4"/>
        <v>109</v>
      </c>
      <c r="B121" s="168">
        <v>1.0081409344951704</v>
      </c>
      <c r="C121" s="122">
        <v>0.8819010083515717</v>
      </c>
      <c r="D121" s="122">
        <v>0.90928610196924609</v>
      </c>
      <c r="E121" s="122">
        <v>0.58725450377279431</v>
      </c>
      <c r="F121" s="122">
        <v>7.7092049781541814</v>
      </c>
      <c r="G121" s="122">
        <v>1.0987247758412375</v>
      </c>
      <c r="H121" s="163">
        <v>1</v>
      </c>
      <c r="I121" s="12">
        <v>4.3253699471900553E-2</v>
      </c>
      <c r="J121" s="115">
        <v>3.349479818543221E-2</v>
      </c>
      <c r="K121" s="115">
        <v>-3.1715840685201209E-3</v>
      </c>
      <c r="L121" s="115">
        <v>3.3083938880604374E-2</v>
      </c>
      <c r="P121" s="108">
        <v>0.11074940525980695</v>
      </c>
      <c r="Q121" s="108">
        <v>2.2149881051961384</v>
      </c>
      <c r="R121" s="49">
        <v>97424644.955269992</v>
      </c>
    </row>
    <row r="122" spans="1:18" x14ac:dyDescent="0.25">
      <c r="A122">
        <f t="shared" si="4"/>
        <v>110</v>
      </c>
      <c r="B122" s="168">
        <v>0.9901550404950088</v>
      </c>
      <c r="C122" s="122">
        <v>0.94402929629350429</v>
      </c>
      <c r="D122" s="122">
        <v>0.90484172269487628</v>
      </c>
      <c r="E122" s="122">
        <v>1.7381946856344042</v>
      </c>
      <c r="F122" s="122">
        <v>5.8669011545488114</v>
      </c>
      <c r="G122" s="122">
        <v>1.1149852305802406</v>
      </c>
      <c r="H122" s="163">
        <v>1</v>
      </c>
      <c r="I122" s="12">
        <v>7.2477594508394902E-3</v>
      </c>
      <c r="J122" s="115">
        <v>5.836001088311811E-2</v>
      </c>
      <c r="K122" s="115">
        <v>5.4543735551913861E-3</v>
      </c>
      <c r="L122" s="115">
        <v>3.2874747897103859E-2</v>
      </c>
      <c r="P122" s="108">
        <v>0.11862199246067948</v>
      </c>
      <c r="Q122" s="108">
        <v>2.3724398492135892</v>
      </c>
      <c r="R122" s="49">
        <v>104350045.69331591</v>
      </c>
    </row>
    <row r="123" spans="1:18" x14ac:dyDescent="0.25">
      <c r="A123">
        <f t="shared" si="4"/>
        <v>111</v>
      </c>
      <c r="B123" s="168">
        <v>0.99179929554338775</v>
      </c>
      <c r="C123" s="122">
        <v>0.91848975629071572</v>
      </c>
      <c r="D123" s="122">
        <v>0.88927360079273388</v>
      </c>
      <c r="E123" s="122">
        <v>2.4567401451480868</v>
      </c>
      <c r="F123" s="122">
        <v>5.2377503584075926</v>
      </c>
      <c r="G123" s="122">
        <v>1.0972013830483858</v>
      </c>
      <c r="H123" s="163">
        <v>1</v>
      </c>
      <c r="I123" s="12">
        <v>3.869568592696996E-2</v>
      </c>
      <c r="J123" s="115">
        <v>5.8306168787439064E-2</v>
      </c>
      <c r="K123" s="115">
        <v>-2.5619663475941797E-3</v>
      </c>
      <c r="L123" s="115">
        <v>3.4815215826175833E-2</v>
      </c>
      <c r="P123" s="108">
        <v>0.13229940048859246</v>
      </c>
      <c r="Q123" s="108">
        <v>2.6459880097718491</v>
      </c>
      <c r="R123" s="49">
        <v>116381863.09135818</v>
      </c>
    </row>
    <row r="124" spans="1:18" x14ac:dyDescent="0.25">
      <c r="A124">
        <f t="shared" si="4"/>
        <v>112</v>
      </c>
      <c r="B124" s="168">
        <v>1.0178408057762174</v>
      </c>
      <c r="C124" s="122">
        <v>0.88381240181559917</v>
      </c>
      <c r="D124" s="122">
        <v>0.89795049068596111</v>
      </c>
      <c r="E124" s="122">
        <v>2.1772027176730231</v>
      </c>
      <c r="F124" s="122">
        <v>3.5120523491363977</v>
      </c>
      <c r="G124" s="122">
        <v>1.0838959992460913</v>
      </c>
      <c r="H124" s="163">
        <v>1</v>
      </c>
      <c r="I124" s="12">
        <v>1.3069902440570448E-2</v>
      </c>
      <c r="J124" s="115">
        <v>6.488034137267551E-2</v>
      </c>
      <c r="K124" s="115">
        <v>5.9033998684494132E-3</v>
      </c>
      <c r="L124" s="115">
        <v>5.2656129389378522E-3</v>
      </c>
      <c r="P124" s="108">
        <v>8.5421233865357632E-2</v>
      </c>
      <c r="Q124" s="108">
        <v>1.7084246773071523</v>
      </c>
      <c r="R124" s="49">
        <v>75143820.063418582</v>
      </c>
    </row>
    <row r="125" spans="1:18" x14ac:dyDescent="0.25">
      <c r="A125">
        <f t="shared" si="4"/>
        <v>113</v>
      </c>
      <c r="B125" s="168">
        <v>0.98747813977189058</v>
      </c>
      <c r="C125" s="122">
        <v>0.85058607856506629</v>
      </c>
      <c r="D125" s="122">
        <v>0.89873495309738027</v>
      </c>
      <c r="E125" s="122">
        <v>2.8357536360815181</v>
      </c>
      <c r="F125" s="122">
        <v>6.5177975773575749</v>
      </c>
      <c r="G125" s="122">
        <v>1.1443755993797518</v>
      </c>
      <c r="H125" s="163">
        <v>1</v>
      </c>
      <c r="I125" s="12">
        <v>9.4447717452134233E-3</v>
      </c>
      <c r="J125" s="115">
        <v>4.9365080545594818E-2</v>
      </c>
      <c r="K125" s="115">
        <v>1.4279858510819776E-3</v>
      </c>
      <c r="L125" s="115">
        <v>3.0555727247467239E-2</v>
      </c>
      <c r="P125" s="108">
        <v>7.8811617677249979E-2</v>
      </c>
      <c r="Q125" s="108">
        <v>1.5762323535449991</v>
      </c>
      <c r="R125" s="49">
        <v>69329436.600984812</v>
      </c>
    </row>
    <row r="126" spans="1:18" x14ac:dyDescent="0.25">
      <c r="A126">
        <f t="shared" si="4"/>
        <v>114</v>
      </c>
      <c r="B126" s="168">
        <v>0.97229233010336147</v>
      </c>
      <c r="C126" s="122">
        <v>0.88016659187433954</v>
      </c>
      <c r="D126" s="122">
        <v>0.90656000977310058</v>
      </c>
      <c r="E126" s="122">
        <v>0.96484817900290687</v>
      </c>
      <c r="F126" s="122">
        <v>5.0135106021644695</v>
      </c>
      <c r="G126" s="122">
        <v>1.0734186532180541</v>
      </c>
      <c r="H126" s="163">
        <v>1</v>
      </c>
      <c r="I126" s="12">
        <v>2.6231041319027319E-2</v>
      </c>
      <c r="J126" s="115">
        <v>5.7177460000501584E-2</v>
      </c>
      <c r="K126" s="115">
        <v>-1.9026918490411314E-3</v>
      </c>
      <c r="L126" s="115">
        <v>2.6973541915129275E-2</v>
      </c>
      <c r="P126" s="108">
        <v>0.12862988543499665</v>
      </c>
      <c r="Q126" s="108">
        <v>2.5725977086999325</v>
      </c>
      <c r="R126" s="49">
        <v>113153843.93932816</v>
      </c>
    </row>
    <row r="127" spans="1:18" x14ac:dyDescent="0.25">
      <c r="A127">
        <f t="shared" si="4"/>
        <v>115</v>
      </c>
      <c r="B127" s="168">
        <v>1.0003925339472648</v>
      </c>
      <c r="C127" s="122">
        <v>0.83951543900966052</v>
      </c>
      <c r="D127" s="122">
        <v>0.88378950770947218</v>
      </c>
      <c r="E127" s="122">
        <v>2.9070987164374227</v>
      </c>
      <c r="F127" s="122">
        <v>3.4154503514891883</v>
      </c>
      <c r="G127" s="122">
        <v>1.1076936765686161</v>
      </c>
      <c r="H127" s="163">
        <v>1</v>
      </c>
      <c r="I127" s="12">
        <v>3.2564541588440687E-3</v>
      </c>
      <c r="J127" s="115">
        <v>9.5016308977462424E-3</v>
      </c>
      <c r="K127" s="115">
        <v>7.9077997920674256E-3</v>
      </c>
      <c r="L127" s="115">
        <v>-4.3968608867909174E-3</v>
      </c>
      <c r="P127" s="108">
        <v>-0.12951592271636483</v>
      </c>
      <c r="Q127" s="108">
        <v>-2.5903184543272961</v>
      </c>
      <c r="R127" s="49">
        <v>-113933278.08032355</v>
      </c>
    </row>
    <row r="128" spans="1:18" x14ac:dyDescent="0.25">
      <c r="A128">
        <f t="shared" si="4"/>
        <v>116</v>
      </c>
      <c r="B128" s="168">
        <v>1.0153368229831909</v>
      </c>
      <c r="C128" s="122">
        <v>0.91689979594124227</v>
      </c>
      <c r="D128" s="122">
        <v>0.90853534183294504</v>
      </c>
      <c r="E128" s="122">
        <v>2.5208758431035685</v>
      </c>
      <c r="F128" s="122">
        <v>6.2654941974788994</v>
      </c>
      <c r="G128" s="122">
        <v>1.1184927241778813</v>
      </c>
      <c r="H128" s="163">
        <v>1</v>
      </c>
      <c r="I128" s="12">
        <v>2.5408360003782274E-2</v>
      </c>
      <c r="J128" s="115">
        <v>2.5815147659339482E-2</v>
      </c>
      <c r="K128" s="115">
        <v>-4.7174119347906879E-3</v>
      </c>
      <c r="L128" s="115">
        <v>9.9013136736519399E-3</v>
      </c>
      <c r="P128" s="108">
        <v>-2.0629991944926497E-3</v>
      </c>
      <c r="Q128" s="108">
        <v>-4.125998388985299E-2</v>
      </c>
      <c r="R128" s="49">
        <v>-1814790.4595510857</v>
      </c>
    </row>
    <row r="129" spans="1:18" x14ac:dyDescent="0.25">
      <c r="A129">
        <f t="shared" si="4"/>
        <v>117</v>
      </c>
      <c r="B129" s="168">
        <v>0.98642981397886764</v>
      </c>
      <c r="C129" s="122">
        <v>0.91581524023467276</v>
      </c>
      <c r="D129" s="122">
        <v>0.89696176297478425</v>
      </c>
      <c r="E129" s="122">
        <v>2.278413652697624</v>
      </c>
      <c r="F129" s="122">
        <v>6.4734220442785011</v>
      </c>
      <c r="G129" s="122">
        <v>1.0947405713525427</v>
      </c>
      <c r="H129" s="163">
        <v>1</v>
      </c>
      <c r="I129" s="12">
        <v>1.9282790669527618E-2</v>
      </c>
      <c r="J129" s="115">
        <v>4.4800594718603391E-2</v>
      </c>
      <c r="K129" s="115">
        <v>-4.6831273181602295E-4</v>
      </c>
      <c r="L129" s="115">
        <v>1.7541448099132731E-2</v>
      </c>
      <c r="P129" s="108">
        <v>7.461034275942427E-2</v>
      </c>
      <c r="Q129" s="108">
        <v>1.4922068551884851</v>
      </c>
      <c r="R129" s="49">
        <v>65633636.011641189</v>
      </c>
    </row>
    <row r="130" spans="1:18" x14ac:dyDescent="0.25">
      <c r="A130">
        <f t="shared" si="4"/>
        <v>118</v>
      </c>
      <c r="B130" s="168">
        <v>1.0029869071393165</v>
      </c>
      <c r="C130" s="122">
        <v>0.93041161449872856</v>
      </c>
      <c r="D130" s="122">
        <v>0.88462790632719213</v>
      </c>
      <c r="E130" s="122">
        <v>3.1804339634929715</v>
      </c>
      <c r="F130" s="122">
        <v>6.6367593533910112</v>
      </c>
      <c r="G130" s="122">
        <v>1.1532365231514621</v>
      </c>
      <c r="H130" s="163">
        <v>1</v>
      </c>
      <c r="I130" s="12">
        <v>-3.9720949510702215E-3</v>
      </c>
      <c r="J130" s="115">
        <v>6.2873844797675507E-2</v>
      </c>
      <c r="K130" s="115">
        <v>-7.7164328623587986E-3</v>
      </c>
      <c r="L130" s="115">
        <v>3.4978932854888838E-2</v>
      </c>
      <c r="P130" s="108">
        <v>0.11293477764457657</v>
      </c>
      <c r="Q130" s="108">
        <v>2.2586955528915311</v>
      </c>
      <c r="R130" s="49">
        <v>99347085.334807679</v>
      </c>
    </row>
    <row r="131" spans="1:18" x14ac:dyDescent="0.25">
      <c r="A131">
        <f t="shared" si="4"/>
        <v>119</v>
      </c>
      <c r="B131" s="168">
        <v>1.0099075888962425</v>
      </c>
      <c r="C131" s="122">
        <v>0.92434759278373835</v>
      </c>
      <c r="D131" s="122">
        <v>0.88861221388500877</v>
      </c>
      <c r="E131" s="122">
        <v>1.8490411233322956</v>
      </c>
      <c r="F131" s="122">
        <v>6.4047585827882534</v>
      </c>
      <c r="G131" s="122">
        <v>1.0923540720887444</v>
      </c>
      <c r="H131" s="163">
        <v>1</v>
      </c>
      <c r="I131" s="12">
        <v>4.5914486791824541E-2</v>
      </c>
      <c r="J131" s="115">
        <v>5.097743829091362E-2</v>
      </c>
      <c r="K131" s="115">
        <v>6.153778795594758E-3</v>
      </c>
      <c r="L131" s="115">
        <v>3.4361412879869491E-2</v>
      </c>
      <c r="P131" s="108">
        <v>0.1370889005305026</v>
      </c>
      <c r="Q131" s="108">
        <v>2.7417780106100516</v>
      </c>
      <c r="R131" s="49">
        <v>120595116.78786075</v>
      </c>
    </row>
    <row r="132" spans="1:18" x14ac:dyDescent="0.25">
      <c r="A132">
        <f t="shared" si="4"/>
        <v>120</v>
      </c>
      <c r="B132" s="168">
        <v>0.99303320217262181</v>
      </c>
      <c r="C132" s="122">
        <v>0.94430046386662847</v>
      </c>
      <c r="D132" s="122">
        <v>0.88109186244935878</v>
      </c>
      <c r="E132" s="122">
        <v>3.5482910824495582</v>
      </c>
      <c r="F132" s="122">
        <v>7.0851118305880831</v>
      </c>
      <c r="G132" s="122">
        <v>1.0660444151386193</v>
      </c>
      <c r="H132" s="163">
        <v>1</v>
      </c>
      <c r="I132" s="12">
        <v>2.2316814448222026E-2</v>
      </c>
      <c r="J132" s="115">
        <v>5.3283683487067357E-2</v>
      </c>
      <c r="K132" s="115">
        <v>1.0114346563400262E-2</v>
      </c>
      <c r="L132" s="115">
        <v>1.9975247008253972E-2</v>
      </c>
      <c r="P132" s="108">
        <v>0.11192862859387788</v>
      </c>
      <c r="Q132" s="108">
        <v>2.2385725718775573</v>
      </c>
      <c r="R132" s="49">
        <v>98461990.613021582</v>
      </c>
    </row>
    <row r="133" spans="1:18" x14ac:dyDescent="0.25">
      <c r="A133">
        <f t="shared" si="4"/>
        <v>121</v>
      </c>
      <c r="B133" s="168">
        <v>1.0144274792628598</v>
      </c>
      <c r="C133" s="122">
        <v>0.89448000557378404</v>
      </c>
      <c r="D133" s="122">
        <v>0.89938384314377107</v>
      </c>
      <c r="E133" s="122">
        <v>2.2326694643161331</v>
      </c>
      <c r="F133" s="122">
        <v>6.1081015813564008</v>
      </c>
      <c r="G133" s="122">
        <v>1.1204576002417961</v>
      </c>
      <c r="H133" s="163">
        <v>1</v>
      </c>
      <c r="I133" s="12">
        <v>2.7317735897268533E-2</v>
      </c>
      <c r="J133" s="115">
        <v>1.6564578582236433E-2</v>
      </c>
      <c r="K133" s="115">
        <v>-4.1021334667170123E-3</v>
      </c>
      <c r="L133" s="115">
        <v>2.7386925122405294E-2</v>
      </c>
      <c r="P133" s="108">
        <v>-1.9497024488124553E-2</v>
      </c>
      <c r="Q133" s="108">
        <v>-0.38994048976249102</v>
      </c>
      <c r="R133" s="49">
        <v>-17151249.561871029</v>
      </c>
    </row>
    <row r="134" spans="1:18" x14ac:dyDescent="0.25">
      <c r="A134">
        <f t="shared" si="4"/>
        <v>122</v>
      </c>
      <c r="B134" s="168">
        <v>0.98336974118049214</v>
      </c>
      <c r="C134" s="122">
        <v>0.86715501391894945</v>
      </c>
      <c r="D134" s="122">
        <v>0.91284077378627004</v>
      </c>
      <c r="E134" s="122">
        <v>2.0735330755414791</v>
      </c>
      <c r="F134" s="122">
        <v>1.1238463542419979</v>
      </c>
      <c r="G134" s="122">
        <v>1.1039257370603281</v>
      </c>
      <c r="H134" s="163">
        <v>1</v>
      </c>
      <c r="I134" s="12">
        <v>3.0501396746498804E-2</v>
      </c>
      <c r="J134" s="115">
        <v>3.4363547226271288E-2</v>
      </c>
      <c r="K134" s="115">
        <v>1.2025828908946167E-2</v>
      </c>
      <c r="L134" s="115">
        <v>5.5342322160670629E-2</v>
      </c>
      <c r="P134" s="108">
        <v>-4.2422671993971817E-2</v>
      </c>
      <c r="Q134" s="108">
        <v>-0.84845343987943622</v>
      </c>
      <c r="R134" s="49">
        <v>-37318609.046892397</v>
      </c>
    </row>
    <row r="135" spans="1:18" x14ac:dyDescent="0.25">
      <c r="A135">
        <f t="shared" si="4"/>
        <v>123</v>
      </c>
      <c r="B135" s="168">
        <v>0.98981623648309902</v>
      </c>
      <c r="C135" s="122">
        <v>0.84398573373986707</v>
      </c>
      <c r="D135" s="122">
        <v>0.89226231835550673</v>
      </c>
      <c r="E135" s="122">
        <v>1.8547713225251174</v>
      </c>
      <c r="F135" s="122">
        <v>3.2760686586975543</v>
      </c>
      <c r="G135" s="122">
        <v>1.1268160450696008</v>
      </c>
      <c r="H135" s="163">
        <v>1</v>
      </c>
      <c r="I135" s="12">
        <v>2.5263224965043886E-2</v>
      </c>
      <c r="J135" s="115">
        <v>3.3607538036887555E-2</v>
      </c>
      <c r="K135" s="115">
        <v>7.4573964586794432E-3</v>
      </c>
      <c r="L135" s="115">
        <v>1.9345422683224884E-2</v>
      </c>
      <c r="P135" s="108">
        <v>-1.510685032202343E-2</v>
      </c>
      <c r="Q135" s="108">
        <v>-0.30213700644046859</v>
      </c>
      <c r="R135" s="49">
        <v>-13289277.044539362</v>
      </c>
    </row>
    <row r="136" spans="1:18" x14ac:dyDescent="0.25">
      <c r="A136">
        <f t="shared" si="4"/>
        <v>124</v>
      </c>
      <c r="B136" s="168">
        <v>0.99410162139646874</v>
      </c>
      <c r="C136" s="122">
        <v>0.93454644184863833</v>
      </c>
      <c r="D136" s="122">
        <v>0.914139915875256</v>
      </c>
      <c r="E136" s="122">
        <v>2.8217572047304675</v>
      </c>
      <c r="F136" s="122">
        <v>8.0526332956337807</v>
      </c>
      <c r="G136" s="122">
        <v>1.1230881750688826</v>
      </c>
      <c r="H136" s="163">
        <v>1</v>
      </c>
      <c r="I136" s="12">
        <v>-7.7726640075004051E-3</v>
      </c>
      <c r="J136" s="115">
        <v>2.7773582340550627E-2</v>
      </c>
      <c r="K136" s="115">
        <v>6.5905418779501259E-3</v>
      </c>
      <c r="L136" s="115">
        <v>-1.1306209951028254E-2</v>
      </c>
      <c r="P136" s="108">
        <v>-2.2663160233457439E-2</v>
      </c>
      <c r="Q136" s="108">
        <v>-0.45326320466914871</v>
      </c>
      <c r="R136" s="49">
        <v>-19936453.23990098</v>
      </c>
    </row>
    <row r="137" spans="1:18" x14ac:dyDescent="0.25">
      <c r="A137">
        <f t="shared" si="4"/>
        <v>125</v>
      </c>
      <c r="B137" s="168">
        <v>1.0128618920244172</v>
      </c>
      <c r="C137" s="122">
        <v>0.89824558814281719</v>
      </c>
      <c r="D137" s="122">
        <v>0.89638117884081414</v>
      </c>
      <c r="E137" s="122">
        <v>2.0591886953501159</v>
      </c>
      <c r="F137" s="122">
        <v>6.9616183585269198</v>
      </c>
      <c r="G137" s="122">
        <v>1.0991536528349015</v>
      </c>
      <c r="H137" s="163">
        <v>1</v>
      </c>
      <c r="I137" s="12">
        <v>2.8064980000687627E-2</v>
      </c>
      <c r="J137" s="115">
        <v>8.2604360213526865E-2</v>
      </c>
      <c r="K137" s="115">
        <v>3.9151179893326532E-3</v>
      </c>
      <c r="L137" s="115">
        <v>3.5423084942668728E-2</v>
      </c>
      <c r="P137" s="108">
        <v>0.23275264940634627</v>
      </c>
      <c r="Q137" s="108">
        <v>4.6550529881269247</v>
      </c>
      <c r="R137" s="49">
        <v>204749128.69840226</v>
      </c>
    </row>
    <row r="138" spans="1:18" x14ac:dyDescent="0.25">
      <c r="A138">
        <f t="shared" si="4"/>
        <v>126</v>
      </c>
      <c r="B138" s="168">
        <v>1.0027224732121061</v>
      </c>
      <c r="C138" s="122">
        <v>0.90570918973843817</v>
      </c>
      <c r="D138" s="122">
        <v>0.89340454361383315</v>
      </c>
      <c r="E138" s="122">
        <v>2.2227507633938837</v>
      </c>
      <c r="F138" s="122">
        <v>6.7536156229757625</v>
      </c>
      <c r="G138" s="122">
        <v>1.1199573345223761</v>
      </c>
      <c r="H138" s="163">
        <v>1</v>
      </c>
      <c r="I138" s="12">
        <v>2.6401258180036531E-2</v>
      </c>
      <c r="J138" s="115">
        <v>3.1378907698434058E-2</v>
      </c>
      <c r="K138" s="115">
        <v>4.4345598505642026E-3</v>
      </c>
      <c r="L138" s="115">
        <v>3.8981901627431322E-2</v>
      </c>
      <c r="P138" s="108">
        <v>5.0651490008956628E-2</v>
      </c>
      <c r="Q138" s="108">
        <v>1.0130298001791322</v>
      </c>
      <c r="R138" s="49">
        <v>44557380.863596395</v>
      </c>
    </row>
    <row r="139" spans="1:18" x14ac:dyDescent="0.25">
      <c r="A139">
        <f t="shared" si="4"/>
        <v>127</v>
      </c>
      <c r="B139" s="168">
        <v>0.99827811798664201</v>
      </c>
      <c r="C139" s="122">
        <v>0.918061706280354</v>
      </c>
      <c r="D139" s="122">
        <v>0.88931808989188454</v>
      </c>
      <c r="E139" s="122">
        <v>2.2423090443606606</v>
      </c>
      <c r="F139" s="122">
        <v>2.6814554074986514</v>
      </c>
      <c r="G139" s="122">
        <v>1.1183569907658446</v>
      </c>
      <c r="H139" s="163">
        <v>1</v>
      </c>
      <c r="I139" s="12">
        <v>3.6314102935025537E-2</v>
      </c>
      <c r="J139" s="115">
        <v>-5.1661450512311829E-3</v>
      </c>
      <c r="K139" s="115">
        <v>2.6018997377169452E-3</v>
      </c>
      <c r="L139" s="115">
        <v>1.7316468464915649E-2</v>
      </c>
      <c r="P139" s="108">
        <v>-0.15674681072895513</v>
      </c>
      <c r="Q139" s="108">
        <v>-3.1349362145791022</v>
      </c>
      <c r="R139" s="49">
        <v>-137887895.17483306</v>
      </c>
    </row>
    <row r="140" spans="1:18" x14ac:dyDescent="0.25">
      <c r="A140">
        <f t="shared" si="4"/>
        <v>128</v>
      </c>
      <c r="B140" s="168">
        <v>0.99652095128364859</v>
      </c>
      <c r="C140" s="122">
        <v>0.82895016049402148</v>
      </c>
      <c r="D140" s="122">
        <v>0.90718159932874265</v>
      </c>
      <c r="E140" s="122">
        <v>2.1466855091081136</v>
      </c>
      <c r="F140" s="122">
        <v>4.2423481164765793</v>
      </c>
      <c r="G140" s="122">
        <v>1.1456296274139728</v>
      </c>
      <c r="H140" s="163">
        <v>1</v>
      </c>
      <c r="I140" s="12">
        <v>1.4576433011489309E-2</v>
      </c>
      <c r="J140" s="115">
        <v>3.207386221094459E-2</v>
      </c>
      <c r="K140" s="115">
        <v>2.0956058706196174E-2</v>
      </c>
      <c r="L140" s="115">
        <v>1.5104076722149119E-2</v>
      </c>
      <c r="P140" s="108">
        <v>-1.3505655573034191E-2</v>
      </c>
      <c r="Q140" s="108">
        <v>-0.27011311146068379</v>
      </c>
      <c r="R140" s="49">
        <v>-11880729.255424209</v>
      </c>
    </row>
    <row r="141" spans="1:18" x14ac:dyDescent="0.25">
      <c r="A141">
        <f t="shared" si="4"/>
        <v>129</v>
      </c>
      <c r="B141" s="168">
        <v>0.99452838306392</v>
      </c>
      <c r="C141" s="122">
        <v>0.91755885260182757</v>
      </c>
      <c r="D141" s="122">
        <v>0.88502697604467506</v>
      </c>
      <c r="E141" s="122">
        <v>0.69973034109047272</v>
      </c>
      <c r="F141" s="122">
        <v>6.1239713327413092</v>
      </c>
      <c r="G141" s="122">
        <v>1.0542849423973661</v>
      </c>
      <c r="H141" s="163">
        <v>1</v>
      </c>
      <c r="I141" s="12">
        <v>2.2667306489716484E-2</v>
      </c>
      <c r="J141" s="115">
        <v>3.421782830272898E-2</v>
      </c>
      <c r="K141" s="115">
        <v>1.0065975205345603E-2</v>
      </c>
      <c r="L141" s="115">
        <v>3.7827017337788919E-2</v>
      </c>
      <c r="P141" s="108">
        <v>8.4915605662129579E-2</v>
      </c>
      <c r="Q141" s="108">
        <v>1.6983121132425913</v>
      </c>
      <c r="R141" s="49">
        <v>74699026.269146666</v>
      </c>
    </row>
    <row r="142" spans="1:18" x14ac:dyDescent="0.25">
      <c r="A142">
        <f t="shared" si="4"/>
        <v>130</v>
      </c>
      <c r="B142" s="168">
        <v>1.0021454018368157</v>
      </c>
      <c r="C142" s="122">
        <v>0.87285270041767704</v>
      </c>
      <c r="D142" s="122">
        <v>0.91341680769018874</v>
      </c>
      <c r="E142" s="122">
        <v>3.1496702050334799</v>
      </c>
      <c r="F142" s="122">
        <v>3.9344623454397496</v>
      </c>
      <c r="G142" s="122">
        <v>1.0850214931271678</v>
      </c>
      <c r="H142" s="163">
        <v>1</v>
      </c>
      <c r="I142" s="12">
        <v>2.96419322786508E-2</v>
      </c>
      <c r="J142" s="115">
        <v>6.2758862718168412E-2</v>
      </c>
      <c r="K142" s="115">
        <v>1.2430978412364103E-2</v>
      </c>
      <c r="L142" s="115">
        <v>4.5570716699598821E-2</v>
      </c>
      <c r="P142" s="108">
        <v>0.13069651238590979</v>
      </c>
      <c r="Q142" s="108">
        <v>2.6139302477181956</v>
      </c>
      <c r="R142" s="49">
        <v>114971825.68356761</v>
      </c>
    </row>
    <row r="143" spans="1:18" x14ac:dyDescent="0.25">
      <c r="A143">
        <f t="shared" ref="A143:A206" si="5">A142+1</f>
        <v>131</v>
      </c>
      <c r="B143" s="168">
        <v>0.99512529621466028</v>
      </c>
      <c r="C143" s="122">
        <v>0.92133404187939705</v>
      </c>
      <c r="D143" s="122">
        <v>0.90141581523415315</v>
      </c>
      <c r="E143" s="122">
        <v>2.0753750057542524</v>
      </c>
      <c r="F143" s="122">
        <v>3.4539399465669898</v>
      </c>
      <c r="G143" s="122">
        <v>1.1057789198679655</v>
      </c>
      <c r="H143" s="163">
        <v>1</v>
      </c>
      <c r="I143" s="12">
        <v>1.2588882401043205E-2</v>
      </c>
      <c r="J143" s="115">
        <v>5.3434429734687594E-2</v>
      </c>
      <c r="K143" s="115">
        <v>8.6077449435078141E-3</v>
      </c>
      <c r="L143" s="115">
        <v>4.8100451038286654E-2</v>
      </c>
      <c r="P143" s="108">
        <v>7.3248697256213052E-2</v>
      </c>
      <c r="Q143" s="108">
        <v>1.4649739451242607</v>
      </c>
      <c r="R143" s="49">
        <v>64435816.218441486</v>
      </c>
    </row>
    <row r="144" spans="1:18" x14ac:dyDescent="0.25">
      <c r="A144">
        <f t="shared" si="5"/>
        <v>132</v>
      </c>
      <c r="B144" s="168">
        <v>0.99690459328185843</v>
      </c>
      <c r="C144" s="122">
        <v>0.9077391916539328</v>
      </c>
      <c r="D144" s="122">
        <v>0.88494523944579073</v>
      </c>
      <c r="E144" s="122">
        <v>1.4499955396059385</v>
      </c>
      <c r="F144" s="122">
        <v>8.1330946374255042</v>
      </c>
      <c r="G144" s="122">
        <v>1.1141070487719924</v>
      </c>
      <c r="H144" s="163">
        <v>1</v>
      </c>
      <c r="I144" s="12">
        <v>3.675776724162437E-2</v>
      </c>
      <c r="J144" s="115">
        <v>2.2386310679476811E-2</v>
      </c>
      <c r="K144" s="115">
        <v>1.0215970403578006E-2</v>
      </c>
      <c r="L144" s="115">
        <v>5.2193418431479791E-3</v>
      </c>
      <c r="P144" s="108">
        <v>3.1092677957219563E-2</v>
      </c>
      <c r="Q144" s="108">
        <v>0.62185355914439122</v>
      </c>
      <c r="R144" s="49">
        <v>27351777.678484898</v>
      </c>
    </row>
    <row r="145" spans="1:18" x14ac:dyDescent="0.25">
      <c r="A145">
        <f t="shared" si="5"/>
        <v>133</v>
      </c>
      <c r="B145" s="168">
        <v>1.0183450707514654</v>
      </c>
      <c r="C145" s="122">
        <v>0.92121542226748931</v>
      </c>
      <c r="D145" s="122">
        <v>0.90655827674461475</v>
      </c>
      <c r="E145" s="122">
        <v>2.1116748879384883</v>
      </c>
      <c r="F145" s="122">
        <v>4.1048419772173919</v>
      </c>
      <c r="G145" s="122">
        <v>1.0693381391489574</v>
      </c>
      <c r="H145" s="163">
        <v>1</v>
      </c>
      <c r="I145" s="12">
        <v>1.4744875315780137E-2</v>
      </c>
      <c r="J145" s="115">
        <v>4.2461349341670722E-2</v>
      </c>
      <c r="K145" s="115">
        <v>7.1529182180029727E-3</v>
      </c>
      <c r="L145" s="115">
        <v>5.7078440034295519E-3</v>
      </c>
      <c r="P145" s="108">
        <v>2.5147349525043314E-2</v>
      </c>
      <c r="Q145" s="108">
        <v>0.50294699050086622</v>
      </c>
      <c r="R145" s="49">
        <v>22121758.516860988</v>
      </c>
    </row>
    <row r="146" spans="1:18" x14ac:dyDescent="0.25">
      <c r="A146">
        <f t="shared" si="5"/>
        <v>134</v>
      </c>
      <c r="B146" s="168">
        <v>1.0146959258616368</v>
      </c>
      <c r="C146" s="122">
        <v>0.93346937354946125</v>
      </c>
      <c r="D146" s="122">
        <v>0.90620005597137687</v>
      </c>
      <c r="E146" s="122">
        <v>2.2014288632540358</v>
      </c>
      <c r="F146" s="122">
        <v>5.8414646193670663</v>
      </c>
      <c r="G146" s="122">
        <v>1.1162484386292224</v>
      </c>
      <c r="H146" s="163">
        <v>1</v>
      </c>
      <c r="I146" s="12">
        <v>2.7789862922750746E-2</v>
      </c>
      <c r="J146" s="115">
        <v>3.6244897485391454E-2</v>
      </c>
      <c r="K146" s="115">
        <v>5.633339014988587E-4</v>
      </c>
      <c r="L146" s="115">
        <v>-2.0244766563643487E-2</v>
      </c>
      <c r="P146" s="108">
        <v>1.2554364822465516E-2</v>
      </c>
      <c r="Q146" s="108">
        <v>0.25108729644931027</v>
      </c>
      <c r="R146" s="49">
        <v>11043892.584329059</v>
      </c>
    </row>
    <row r="147" spans="1:18" x14ac:dyDescent="0.25">
      <c r="A147">
        <f t="shared" si="5"/>
        <v>135</v>
      </c>
      <c r="B147" s="168">
        <v>0.99127703468208084</v>
      </c>
      <c r="C147" s="122">
        <v>0.90955048631628355</v>
      </c>
      <c r="D147" s="122">
        <v>0.90620891594025088</v>
      </c>
      <c r="E147" s="122">
        <v>1.5119404284369971</v>
      </c>
      <c r="F147" s="122">
        <v>3.6589663718854579</v>
      </c>
      <c r="G147" s="122">
        <v>1.1214843071327676</v>
      </c>
      <c r="H147" s="163">
        <v>1</v>
      </c>
      <c r="I147" s="12">
        <v>4.2845509966527515E-2</v>
      </c>
      <c r="J147" s="115">
        <v>5.2485712579314725E-2</v>
      </c>
      <c r="K147" s="115">
        <v>9.2065099817244308E-3</v>
      </c>
      <c r="L147" s="115">
        <v>3.5035585827987561E-2</v>
      </c>
      <c r="P147" s="108">
        <v>8.9359442888835031E-2</v>
      </c>
      <c r="Q147" s="108">
        <v>1.7871888577767003</v>
      </c>
      <c r="R147" s="49">
        <v>78608205.402300075</v>
      </c>
    </row>
    <row r="148" spans="1:18" x14ac:dyDescent="0.25">
      <c r="A148">
        <f t="shared" si="5"/>
        <v>136</v>
      </c>
      <c r="B148" s="168">
        <v>0.99134829784340994</v>
      </c>
      <c r="C148" s="122">
        <v>0.90508944478707054</v>
      </c>
      <c r="D148" s="122">
        <v>0.89572724051391395</v>
      </c>
      <c r="E148" s="122">
        <v>2.0727940954074193</v>
      </c>
      <c r="F148" s="122">
        <v>4.0662032888255242</v>
      </c>
      <c r="G148" s="122">
        <v>1.0839012514723023</v>
      </c>
      <c r="H148" s="163">
        <v>1</v>
      </c>
      <c r="I148" s="12">
        <v>2.6441166309479801E-2</v>
      </c>
      <c r="J148" s="115">
        <v>4.6804021781807467E-2</v>
      </c>
      <c r="K148" s="115">
        <v>1.5942351802996509E-3</v>
      </c>
      <c r="L148" s="115">
        <v>1.5500392026184365E-2</v>
      </c>
      <c r="P148" s="108">
        <v>5.3497538792824387E-2</v>
      </c>
      <c r="Q148" s="108">
        <v>1.0699507758564875</v>
      </c>
      <c r="R148" s="49">
        <v>47061008.685734466</v>
      </c>
    </row>
    <row r="149" spans="1:18" x14ac:dyDescent="0.25">
      <c r="A149">
        <f t="shared" si="5"/>
        <v>137</v>
      </c>
      <c r="B149" s="168">
        <v>1.0032979080604194</v>
      </c>
      <c r="C149" s="122">
        <v>0.88991210184215819</v>
      </c>
      <c r="D149" s="122">
        <v>0.90353491385548867</v>
      </c>
      <c r="E149" s="122">
        <v>1.915051587543684</v>
      </c>
      <c r="F149" s="122">
        <v>6.0550378075146778</v>
      </c>
      <c r="G149" s="122">
        <v>1.1318632087615255</v>
      </c>
      <c r="H149" s="163">
        <v>1</v>
      </c>
      <c r="I149" s="12">
        <v>2.431127561018108E-2</v>
      </c>
      <c r="J149" s="115">
        <v>5.8618593860147866E-2</v>
      </c>
      <c r="K149" s="115">
        <v>9.4288769345843969E-3</v>
      </c>
      <c r="L149" s="115">
        <v>2.2897896802285236E-2</v>
      </c>
      <c r="P149" s="108">
        <v>0.12480783793978277</v>
      </c>
      <c r="Q149" s="108">
        <v>2.4961567587956548</v>
      </c>
      <c r="R149" s="49">
        <v>109791644.21148434</v>
      </c>
    </row>
    <row r="150" spans="1:18" x14ac:dyDescent="0.25">
      <c r="A150">
        <f t="shared" si="5"/>
        <v>138</v>
      </c>
      <c r="B150" s="168">
        <v>0.98810892966724151</v>
      </c>
      <c r="C150" s="122">
        <v>0.90753391114678095</v>
      </c>
      <c r="D150" s="122">
        <v>0.8968790434088989</v>
      </c>
      <c r="E150" s="122">
        <v>2.1357754986513307</v>
      </c>
      <c r="F150" s="122">
        <v>3.356947401570487</v>
      </c>
      <c r="G150" s="122">
        <v>1.1058413865488079</v>
      </c>
      <c r="H150" s="163">
        <v>1</v>
      </c>
      <c r="I150" s="12">
        <v>1.8028438153742873E-2</v>
      </c>
      <c r="J150" s="115">
        <v>6.9109216306433907E-2</v>
      </c>
      <c r="K150" s="115">
        <v>4.3495759862805863E-3</v>
      </c>
      <c r="L150" s="115">
        <v>-8.1897678069093559E-3</v>
      </c>
      <c r="P150" s="108">
        <v>8.6337971527533711E-2</v>
      </c>
      <c r="Q150" s="108">
        <v>1.7267594305506739</v>
      </c>
      <c r="R150" s="49">
        <v>75950260.883981988</v>
      </c>
    </row>
    <row r="151" spans="1:18" x14ac:dyDescent="0.25">
      <c r="A151">
        <f t="shared" si="5"/>
        <v>139</v>
      </c>
      <c r="B151" s="168">
        <v>0.99687120920871208</v>
      </c>
      <c r="C151" s="122">
        <v>0.86980936061915315</v>
      </c>
      <c r="D151" s="122">
        <v>0.90020776726586305</v>
      </c>
      <c r="E151" s="122">
        <v>1.3223727880913905</v>
      </c>
      <c r="F151" s="122">
        <v>3.4538430885811464</v>
      </c>
      <c r="G151" s="122">
        <v>1.1306463130877673</v>
      </c>
      <c r="H151" s="163">
        <v>1</v>
      </c>
      <c r="I151" s="12">
        <v>1.9683755742407515E-2</v>
      </c>
      <c r="J151" s="115">
        <v>3.3831217910823212E-2</v>
      </c>
      <c r="K151" s="115">
        <v>-3.5019089900703406E-3</v>
      </c>
      <c r="L151" s="115">
        <v>2.4152876101727245E-2</v>
      </c>
      <c r="P151" s="108">
        <v>-1.2962601773033841E-2</v>
      </c>
      <c r="Q151" s="108">
        <v>-0.25925203546067677</v>
      </c>
      <c r="R151" s="49">
        <v>-11403012.706675895</v>
      </c>
    </row>
    <row r="152" spans="1:18" x14ac:dyDescent="0.25">
      <c r="A152">
        <f t="shared" si="5"/>
        <v>140</v>
      </c>
      <c r="B152" s="168">
        <v>1.0040068100549742</v>
      </c>
      <c r="C152" s="122">
        <v>0.9020463713011978</v>
      </c>
      <c r="D152" s="122">
        <v>0.91342993041028886</v>
      </c>
      <c r="E152" s="122">
        <v>1.6355739050131808</v>
      </c>
      <c r="F152" s="122">
        <v>6.6487560668325134</v>
      </c>
      <c r="G152" s="122">
        <v>1.0873106018195147</v>
      </c>
      <c r="H152" s="163">
        <v>1</v>
      </c>
      <c r="I152" s="12">
        <v>4.0159793199218315E-2</v>
      </c>
      <c r="J152" s="115">
        <v>3.3366811914858824E-2</v>
      </c>
      <c r="K152" s="115">
        <v>1.6101096926153857E-2</v>
      </c>
      <c r="L152" s="115">
        <v>2.4404130435649006E-2</v>
      </c>
      <c r="P152" s="108">
        <v>7.2248979728747983E-2</v>
      </c>
      <c r="Q152" s="108">
        <v>1.4449795945749593</v>
      </c>
      <c r="R152" s="49">
        <v>63556379.214329749</v>
      </c>
    </row>
    <row r="153" spans="1:18" x14ac:dyDescent="0.25">
      <c r="A153">
        <f t="shared" si="5"/>
        <v>141</v>
      </c>
      <c r="B153" s="168">
        <v>1.0167387160043122</v>
      </c>
      <c r="C153" s="122">
        <v>0.87751986466182097</v>
      </c>
      <c r="D153" s="122">
        <v>0.90612986834057474</v>
      </c>
      <c r="E153" s="122">
        <v>2.1439549703306802</v>
      </c>
      <c r="F153" s="122">
        <v>3.9934813885121061</v>
      </c>
      <c r="G153" s="122">
        <v>1.1236530510366143</v>
      </c>
      <c r="H153" s="163">
        <v>1</v>
      </c>
      <c r="I153" s="12">
        <v>3.8907861449602822E-2</v>
      </c>
      <c r="J153" s="115">
        <v>7.1915608523214464E-2</v>
      </c>
      <c r="K153" s="115">
        <v>8.7512007228272744E-3</v>
      </c>
      <c r="L153" s="115">
        <v>9.4258179888808552E-3</v>
      </c>
      <c r="P153" s="108">
        <v>0.13733965484886917</v>
      </c>
      <c r="Q153" s="108">
        <v>2.7467930969773833</v>
      </c>
      <c r="R153" s="49">
        <v>120815701.72355911</v>
      </c>
    </row>
    <row r="154" spans="1:18" x14ac:dyDescent="0.25">
      <c r="A154">
        <f t="shared" si="5"/>
        <v>142</v>
      </c>
      <c r="B154" s="168">
        <v>0.98983799938682182</v>
      </c>
      <c r="C154" s="122">
        <v>0.87461747296761871</v>
      </c>
      <c r="D154" s="122">
        <v>0.9205884042015523</v>
      </c>
      <c r="E154" s="122">
        <v>1.615218970128234</v>
      </c>
      <c r="F154" s="122">
        <v>4.9348242701900995</v>
      </c>
      <c r="G154" s="122">
        <v>1.1030656734304229</v>
      </c>
      <c r="H154" s="163">
        <v>1</v>
      </c>
      <c r="I154" s="12">
        <v>2.6656090544298214E-2</v>
      </c>
      <c r="J154" s="115">
        <v>4.3028717168898389E-2</v>
      </c>
      <c r="K154" s="115">
        <v>3.8987760724180538E-3</v>
      </c>
      <c r="L154" s="115">
        <v>2.3485752405945498E-2</v>
      </c>
      <c r="P154" s="108">
        <v>6.2717386575660561E-2</v>
      </c>
      <c r="Q154" s="108">
        <v>1.254347731513211</v>
      </c>
      <c r="R154" s="49">
        <v>55171575.010467894</v>
      </c>
    </row>
    <row r="155" spans="1:18" x14ac:dyDescent="0.25">
      <c r="A155">
        <f t="shared" si="5"/>
        <v>143</v>
      </c>
      <c r="B155" s="168">
        <v>1.0051972472427575</v>
      </c>
      <c r="C155" s="122">
        <v>0.87357852037777284</v>
      </c>
      <c r="D155" s="122">
        <v>0.90800524164904239</v>
      </c>
      <c r="E155" s="122">
        <v>0.64375762470760489</v>
      </c>
      <c r="F155" s="122">
        <v>4.9517958951197425</v>
      </c>
      <c r="G155" s="122">
        <v>1.0957719690378167</v>
      </c>
      <c r="H155" s="163">
        <v>1</v>
      </c>
      <c r="I155" s="12">
        <v>3.3797406854906828E-2</v>
      </c>
      <c r="J155" s="115">
        <v>6.2620072064767329E-2</v>
      </c>
      <c r="K155" s="115">
        <v>4.9076088407725002E-3</v>
      </c>
      <c r="L155" s="115">
        <v>4.3023187469506244E-2</v>
      </c>
      <c r="P155" s="108">
        <v>0.1688681926846963</v>
      </c>
      <c r="Q155" s="108">
        <v>3.3773638536939257</v>
      </c>
      <c r="R155" s="49">
        <v>148550899.01340875</v>
      </c>
    </row>
    <row r="156" spans="1:18" x14ac:dyDescent="0.25">
      <c r="A156">
        <f t="shared" si="5"/>
        <v>144</v>
      </c>
      <c r="B156" s="168">
        <v>1.0023129730347373</v>
      </c>
      <c r="C156" s="122">
        <v>0.90806208210953565</v>
      </c>
      <c r="D156" s="122">
        <v>0.92078252224426749</v>
      </c>
      <c r="E156" s="122">
        <v>3.4692471036953219</v>
      </c>
      <c r="F156" s="122">
        <v>2.9320531994624295</v>
      </c>
      <c r="G156" s="122">
        <v>1.1109022094511458</v>
      </c>
      <c r="H156" s="163">
        <v>1</v>
      </c>
      <c r="I156" s="12">
        <v>3.0586783618108109E-2</v>
      </c>
      <c r="J156" s="115">
        <v>3.3497848330964801E-2</v>
      </c>
      <c r="K156" s="115">
        <v>2.2331969874957837E-3</v>
      </c>
      <c r="L156" s="115">
        <v>4.8209483548627752E-2</v>
      </c>
      <c r="P156" s="108">
        <v>9.8625138878222236E-3</v>
      </c>
      <c r="Q156" s="108">
        <v>0.19725027775644444</v>
      </c>
      <c r="R156" s="49">
        <v>8675910.3729129508</v>
      </c>
    </row>
    <row r="157" spans="1:18" x14ac:dyDescent="0.25">
      <c r="A157">
        <f t="shared" si="5"/>
        <v>145</v>
      </c>
      <c r="B157" s="168">
        <v>1.0049291448195969</v>
      </c>
      <c r="C157" s="122">
        <v>0.87243713014584057</v>
      </c>
      <c r="D157" s="122">
        <v>0.89560241686962272</v>
      </c>
      <c r="E157" s="122">
        <v>2.5155290903604519</v>
      </c>
      <c r="F157" s="122">
        <v>4.0671139796998146</v>
      </c>
      <c r="G157" s="122">
        <v>1.0991956317989744</v>
      </c>
      <c r="H157" s="163">
        <v>1</v>
      </c>
      <c r="I157" s="12">
        <v>3.0607463642255531E-2</v>
      </c>
      <c r="J157" s="115">
        <v>1.9383441673227145E-2</v>
      </c>
      <c r="K157" s="115">
        <v>-1.694676973954071E-3</v>
      </c>
      <c r="L157" s="115">
        <v>2.2885440253212215E-2</v>
      </c>
      <c r="P157" s="108">
        <v>-3.8410886955359672E-2</v>
      </c>
      <c r="Q157" s="108">
        <v>-0.76821773910719326</v>
      </c>
      <c r="R157" s="49">
        <v>-33789499.955003656</v>
      </c>
    </row>
    <row r="158" spans="1:18" x14ac:dyDescent="0.25">
      <c r="A158">
        <f t="shared" si="5"/>
        <v>146</v>
      </c>
      <c r="B158" s="168">
        <v>0.99969530628687409</v>
      </c>
      <c r="C158" s="122">
        <v>0.88784378454730084</v>
      </c>
      <c r="D158" s="122">
        <v>0.90559537759223885</v>
      </c>
      <c r="E158" s="122">
        <v>0.9374385629531321</v>
      </c>
      <c r="F158" s="122">
        <v>2.8845407491437527</v>
      </c>
      <c r="G158" s="122">
        <v>1.0768903191858226</v>
      </c>
      <c r="H158" s="163">
        <v>1</v>
      </c>
      <c r="I158" s="12">
        <v>2.4460103387506659E-2</v>
      </c>
      <c r="J158" s="115">
        <v>1.9859259949571488E-2</v>
      </c>
      <c r="K158" s="115">
        <v>-1.4050825834553214E-2</v>
      </c>
      <c r="L158" s="115">
        <v>-7.8990101659334767E-3</v>
      </c>
      <c r="P158" s="108">
        <v>-9.1995864791506704E-2</v>
      </c>
      <c r="Q158" s="108">
        <v>-1.8399172958301337</v>
      </c>
      <c r="R158" s="49">
        <v>-80927427.498504892</v>
      </c>
    </row>
    <row r="159" spans="1:18" x14ac:dyDescent="0.25">
      <c r="A159">
        <f t="shared" si="5"/>
        <v>147</v>
      </c>
      <c r="B159" s="168">
        <v>0.9785049933457286</v>
      </c>
      <c r="C159" s="122">
        <v>0.8929276311015345</v>
      </c>
      <c r="D159" s="122">
        <v>0.89150316654480999</v>
      </c>
      <c r="E159" s="122">
        <v>1.2835615219317849</v>
      </c>
      <c r="F159" s="122">
        <v>4.7464684794033172</v>
      </c>
      <c r="G159" s="122">
        <v>1.1161365323648551</v>
      </c>
      <c r="H159" s="163">
        <v>1</v>
      </c>
      <c r="I159" s="12">
        <v>3.8381108268129523E-2</v>
      </c>
      <c r="J159" s="115">
        <v>5.7765859350101145E-2</v>
      </c>
      <c r="K159" s="115">
        <v>1.4510303063763209E-3</v>
      </c>
      <c r="L159" s="115">
        <v>3.373667637935468E-2</v>
      </c>
      <c r="P159" s="108">
        <v>0.12928319769222146</v>
      </c>
      <c r="Q159" s="108">
        <v>2.5856639538444286</v>
      </c>
      <c r="R159" s="49">
        <v>113728553.25316818</v>
      </c>
    </row>
    <row r="160" spans="1:18" x14ac:dyDescent="0.25">
      <c r="A160">
        <f t="shared" si="5"/>
        <v>148</v>
      </c>
      <c r="B160" s="168">
        <v>1.008659967436353</v>
      </c>
      <c r="C160" s="122">
        <v>0.94055036890619703</v>
      </c>
      <c r="D160" s="122">
        <v>0.90162400339190729</v>
      </c>
      <c r="E160" s="122">
        <v>0.81743845258638292</v>
      </c>
      <c r="F160" s="122">
        <v>6.2243517678743814</v>
      </c>
      <c r="G160" s="122">
        <v>1.1374761888225118</v>
      </c>
      <c r="H160" s="163">
        <v>1</v>
      </c>
      <c r="I160" s="12">
        <v>3.9090295909613507E-2</v>
      </c>
      <c r="J160" s="115">
        <v>5.8708604487383499E-2</v>
      </c>
      <c r="K160" s="115">
        <v>-1.7848124744636526E-3</v>
      </c>
      <c r="L160" s="115">
        <v>3.5390618804428099E-2</v>
      </c>
      <c r="P160" s="108">
        <v>0.16589301058174402</v>
      </c>
      <c r="Q160" s="108">
        <v>3.3178602116348799</v>
      </c>
      <c r="R160" s="49">
        <v>145933674.48405415</v>
      </c>
    </row>
    <row r="161" spans="1:18" x14ac:dyDescent="0.25">
      <c r="A161">
        <f t="shared" si="5"/>
        <v>149</v>
      </c>
      <c r="B161" s="168">
        <v>0.98414442769416621</v>
      </c>
      <c r="C161" s="122">
        <v>0.91407808727966644</v>
      </c>
      <c r="D161" s="122">
        <v>0.89503810162858732</v>
      </c>
      <c r="E161" s="122">
        <v>2.9343175874590464</v>
      </c>
      <c r="F161" s="122">
        <v>5.8466578395192963</v>
      </c>
      <c r="G161" s="122">
        <v>1.0942185142433183</v>
      </c>
      <c r="H161" s="163">
        <v>1</v>
      </c>
      <c r="I161" s="12">
        <v>3.1335366190498572E-2</v>
      </c>
      <c r="J161" s="115">
        <v>6.3346286638936822E-2</v>
      </c>
      <c r="K161" s="115">
        <v>8.4876652904736227E-3</v>
      </c>
      <c r="L161" s="115">
        <v>7.3226201872278254E-3</v>
      </c>
      <c r="P161" s="108">
        <v>0.13039837951877895</v>
      </c>
      <c r="Q161" s="108">
        <v>2.6079675903755786</v>
      </c>
      <c r="R161" s="49">
        <v>114709562.52593186</v>
      </c>
    </row>
    <row r="162" spans="1:18" x14ac:dyDescent="0.25">
      <c r="A162">
        <f t="shared" si="5"/>
        <v>150</v>
      </c>
      <c r="B162" s="168">
        <v>1.003391355907338</v>
      </c>
      <c r="C162" s="122">
        <v>0.86873964530282999</v>
      </c>
      <c r="D162" s="122">
        <v>0.88147515546730715</v>
      </c>
      <c r="E162" s="122">
        <v>1.7083137167331279</v>
      </c>
      <c r="F162" s="122">
        <v>5.4775880224162261</v>
      </c>
      <c r="G162" s="122">
        <v>1.1183503016026415</v>
      </c>
      <c r="H162" s="163">
        <v>1</v>
      </c>
      <c r="I162" s="12">
        <v>3.4932721764007732E-2</v>
      </c>
      <c r="J162" s="115">
        <v>5.2354788918774334E-2</v>
      </c>
      <c r="K162" s="115">
        <v>6.8900942889479604E-3</v>
      </c>
      <c r="L162" s="115">
        <v>2.0314383870618506E-2</v>
      </c>
      <c r="P162" s="108">
        <v>0.10606108912631274</v>
      </c>
      <c r="Q162" s="108">
        <v>2.1212217825262543</v>
      </c>
      <c r="R162" s="49">
        <v>93300401.274933919</v>
      </c>
    </row>
    <row r="163" spans="1:18" x14ac:dyDescent="0.25">
      <c r="A163">
        <f t="shared" si="5"/>
        <v>151</v>
      </c>
      <c r="B163" s="168">
        <v>0.99181186047514036</v>
      </c>
      <c r="C163" s="122">
        <v>0.88713048624686053</v>
      </c>
      <c r="D163" s="122">
        <v>0.8960969659806739</v>
      </c>
      <c r="E163" s="122">
        <v>1.4603321719696414</v>
      </c>
      <c r="F163" s="122">
        <v>-0.74169019476617493</v>
      </c>
      <c r="G163" s="122">
        <v>1.0776857375491413</v>
      </c>
      <c r="H163" s="163">
        <v>1</v>
      </c>
      <c r="I163" s="12">
        <v>3.2525663090939003E-2</v>
      </c>
      <c r="J163" s="115">
        <v>5.5502622087508564E-2</v>
      </c>
      <c r="K163" s="115">
        <v>1.0926510991007467E-3</v>
      </c>
      <c r="L163" s="115">
        <v>3.9898515465383859E-2</v>
      </c>
      <c r="P163" s="108">
        <v>-0.16499698355085507</v>
      </c>
      <c r="Q163" s="108">
        <v>-3.2999396710171007</v>
      </c>
      <c r="R163" s="49">
        <v>-145145452.50534561</v>
      </c>
    </row>
    <row r="164" spans="1:18" x14ac:dyDescent="0.25">
      <c r="A164">
        <f t="shared" si="5"/>
        <v>152</v>
      </c>
      <c r="B164" s="168">
        <v>1.0102111337675548</v>
      </c>
      <c r="C164" s="122">
        <v>0.93105188157710073</v>
      </c>
      <c r="D164" s="122">
        <v>0.8931115035457291</v>
      </c>
      <c r="E164" s="122">
        <v>1.7861850721933026</v>
      </c>
      <c r="F164" s="122">
        <v>9.2898357577469426</v>
      </c>
      <c r="G164" s="122">
        <v>1.0914695792905775</v>
      </c>
      <c r="H164" s="163">
        <v>1</v>
      </c>
      <c r="I164" s="12">
        <v>3.5694629366162155E-2</v>
      </c>
      <c r="J164" s="115">
        <v>2.5744910681629232E-2</v>
      </c>
      <c r="K164" s="115">
        <v>9.8545195997978962E-3</v>
      </c>
      <c r="L164" s="115">
        <v>2.9414892497277998E-2</v>
      </c>
      <c r="P164" s="108">
        <v>6.7871963983259218E-2</v>
      </c>
      <c r="Q164" s="108">
        <v>1.3574392796651842</v>
      </c>
      <c r="R164" s="49">
        <v>59705981.968696572</v>
      </c>
    </row>
    <row r="165" spans="1:18" x14ac:dyDescent="0.25">
      <c r="A165">
        <f t="shared" si="5"/>
        <v>153</v>
      </c>
      <c r="B165" s="168">
        <v>0.98653787613035027</v>
      </c>
      <c r="C165" s="122">
        <v>0.9238243182517748</v>
      </c>
      <c r="D165" s="122">
        <v>0.90834597468795086</v>
      </c>
      <c r="E165" s="122">
        <v>1.3740405562291942</v>
      </c>
      <c r="F165" s="122">
        <v>6.6596525930488149</v>
      </c>
      <c r="G165" s="122">
        <v>1.0806337618514381</v>
      </c>
      <c r="H165" s="163">
        <v>1</v>
      </c>
      <c r="I165" s="12">
        <v>1.5411913360331675E-2</v>
      </c>
      <c r="J165" s="115">
        <v>4.8628348410979898E-2</v>
      </c>
      <c r="K165" s="115">
        <v>2.5914172880830361E-3</v>
      </c>
      <c r="L165" s="115">
        <v>-7.5011908128876301E-3</v>
      </c>
      <c r="P165" s="108">
        <v>8.2561459809071647E-2</v>
      </c>
      <c r="Q165" s="108">
        <v>1.6512291961814325</v>
      </c>
      <c r="R165" s="49">
        <v>72628118.318272769</v>
      </c>
    </row>
    <row r="166" spans="1:18" x14ac:dyDescent="0.25">
      <c r="A166">
        <f t="shared" si="5"/>
        <v>154</v>
      </c>
      <c r="B166" s="168">
        <v>1.0029231122784428</v>
      </c>
      <c r="C166" s="122">
        <v>0.87930020120904784</v>
      </c>
      <c r="D166" s="122">
        <v>0.90301909424026383</v>
      </c>
      <c r="E166" s="122">
        <v>2.5124351799164266</v>
      </c>
      <c r="F166" s="122">
        <v>8.771293801266955</v>
      </c>
      <c r="G166" s="122">
        <v>1.0759722729492824</v>
      </c>
      <c r="H166" s="163">
        <v>1</v>
      </c>
      <c r="I166" s="12">
        <v>3.1778471753538859E-2</v>
      </c>
      <c r="J166" s="115">
        <v>4.8811445360496537E-2</v>
      </c>
      <c r="K166" s="115">
        <v>1.9061615766777836E-4</v>
      </c>
      <c r="L166" s="115">
        <v>1.9767751059141404E-2</v>
      </c>
      <c r="P166" s="108">
        <v>0.12361667401505329</v>
      </c>
      <c r="Q166" s="108">
        <v>2.4723334803010655</v>
      </c>
      <c r="R166" s="49">
        <v>108743794.58937526</v>
      </c>
    </row>
    <row r="167" spans="1:18" x14ac:dyDescent="0.25">
      <c r="A167">
        <f t="shared" si="5"/>
        <v>155</v>
      </c>
      <c r="B167" s="168">
        <v>0.99976138235210088</v>
      </c>
      <c r="C167" s="122">
        <v>0.87223409176267308</v>
      </c>
      <c r="D167" s="122">
        <v>0.89299895304223498</v>
      </c>
      <c r="E167" s="122">
        <v>2.4307824006498269</v>
      </c>
      <c r="F167" s="122">
        <v>4.8392304938359834</v>
      </c>
      <c r="G167" s="122">
        <v>1.1344947175027185</v>
      </c>
      <c r="H167" s="163">
        <v>1</v>
      </c>
      <c r="I167" s="12">
        <v>2.5035702920913307E-2</v>
      </c>
      <c r="J167" s="115">
        <v>4.877756827200163E-2</v>
      </c>
      <c r="K167" s="115">
        <v>6.7796016695462497E-3</v>
      </c>
      <c r="L167" s="115">
        <v>3.2329281228456942E-2</v>
      </c>
      <c r="P167" s="108">
        <v>7.4976630640100739E-2</v>
      </c>
      <c r="Q167" s="108">
        <v>1.4995326128020146</v>
      </c>
      <c r="R167" s="49">
        <v>65955854.145838924</v>
      </c>
    </row>
    <row r="168" spans="1:18" x14ac:dyDescent="0.25">
      <c r="A168">
        <f t="shared" si="5"/>
        <v>156</v>
      </c>
      <c r="B168" s="168">
        <v>1.0034789126145964</v>
      </c>
      <c r="C168" s="122">
        <v>0.93539953908748841</v>
      </c>
      <c r="D168" s="122">
        <v>0.89844496811612962</v>
      </c>
      <c r="E168" s="122">
        <v>3.0981944455631201</v>
      </c>
      <c r="F168" s="122">
        <v>2.3826000203074225</v>
      </c>
      <c r="G168" s="122">
        <v>1.0715936827722909</v>
      </c>
      <c r="H168" s="163">
        <v>1</v>
      </c>
      <c r="I168" s="12">
        <v>2.9545266158192442E-2</v>
      </c>
      <c r="J168" s="115">
        <v>3.5225752559651394E-2</v>
      </c>
      <c r="K168" s="115">
        <v>1.3505143686009396E-2</v>
      </c>
      <c r="L168" s="115">
        <v>2.6126249319735027E-3</v>
      </c>
      <c r="P168" s="108">
        <v>-2.0229447156769848E-2</v>
      </c>
      <c r="Q168" s="108">
        <v>-0.40458894313539689</v>
      </c>
      <c r="R168" s="49">
        <v>-17795551.156832762</v>
      </c>
    </row>
    <row r="169" spans="1:18" x14ac:dyDescent="0.25">
      <c r="A169">
        <f t="shared" si="5"/>
        <v>157</v>
      </c>
      <c r="B169" s="168">
        <v>1.0189153993045412</v>
      </c>
      <c r="C169" s="122">
        <v>0.90291285360876694</v>
      </c>
      <c r="D169" s="122">
        <v>0.89191511565152759</v>
      </c>
      <c r="E169" s="122">
        <v>3.0774205301351003</v>
      </c>
      <c r="F169" s="122">
        <v>5.4309799459715089</v>
      </c>
      <c r="G169" s="122">
        <v>1.0760540875655926</v>
      </c>
      <c r="H169" s="163">
        <v>1</v>
      </c>
      <c r="I169" s="12">
        <v>1.9509191794746233E-2</v>
      </c>
      <c r="J169" s="115">
        <v>6.4300361854873131E-2</v>
      </c>
      <c r="K169" s="115">
        <v>1.8685977389342194E-3</v>
      </c>
      <c r="L169" s="115">
        <v>3.4484048203609771E-2</v>
      </c>
      <c r="P169" s="108">
        <v>0.13948251057420014</v>
      </c>
      <c r="Q169" s="108">
        <v>2.7896502114840023</v>
      </c>
      <c r="R169" s="49">
        <v>122700740.81465843</v>
      </c>
    </row>
    <row r="170" spans="1:18" x14ac:dyDescent="0.25">
      <c r="A170">
        <f t="shared" si="5"/>
        <v>158</v>
      </c>
      <c r="B170" s="168">
        <v>0.99628148969763597</v>
      </c>
      <c r="C170" s="122">
        <v>0.92491801555407793</v>
      </c>
      <c r="D170" s="122">
        <v>0.90523602803790237</v>
      </c>
      <c r="E170" s="122">
        <v>2.5315518571236941</v>
      </c>
      <c r="F170" s="122">
        <v>7.2861156521095811</v>
      </c>
      <c r="G170" s="122">
        <v>1.1108392476346665</v>
      </c>
      <c r="H170" s="163">
        <v>1</v>
      </c>
      <c r="I170" s="12">
        <v>3.2642363977834599E-2</v>
      </c>
      <c r="J170" s="115">
        <v>6.3040720340998641E-2</v>
      </c>
      <c r="K170" s="115">
        <v>-3.7086041988482121E-3</v>
      </c>
      <c r="L170" s="115">
        <v>3.8724308250611544E-4</v>
      </c>
      <c r="P170" s="108">
        <v>0.13895155298861842</v>
      </c>
      <c r="Q170" s="108">
        <v>2.7790310597723678</v>
      </c>
      <c r="R170" s="49">
        <v>122233665.1302315</v>
      </c>
    </row>
    <row r="171" spans="1:18" x14ac:dyDescent="0.25">
      <c r="A171">
        <f t="shared" si="5"/>
        <v>159</v>
      </c>
      <c r="B171" s="168">
        <v>0.99208446828079488</v>
      </c>
      <c r="C171" s="122">
        <v>0.86440661915588546</v>
      </c>
      <c r="D171" s="122">
        <v>0.91218317113194169</v>
      </c>
      <c r="E171" s="122">
        <v>1.4124137202339127</v>
      </c>
      <c r="F171" s="122">
        <v>6.5766613939450398</v>
      </c>
      <c r="G171" s="122">
        <v>1.1126806569547503</v>
      </c>
      <c r="H171" s="163">
        <v>1</v>
      </c>
      <c r="I171" s="12">
        <v>2.1201933955356862E-2</v>
      </c>
      <c r="J171" s="115">
        <v>5.4662959726679908E-3</v>
      </c>
      <c r="K171" s="115">
        <v>1.0309393729674505E-2</v>
      </c>
      <c r="L171" s="115">
        <v>3.5668204924818758E-2</v>
      </c>
      <c r="P171" s="108">
        <v>-3.7182510564578157E-2</v>
      </c>
      <c r="Q171" s="108">
        <v>-0.74365021129156306</v>
      </c>
      <c r="R171" s="49">
        <v>-32708915.066420469</v>
      </c>
    </row>
    <row r="172" spans="1:18" x14ac:dyDescent="0.25">
      <c r="A172">
        <f t="shared" si="5"/>
        <v>160</v>
      </c>
      <c r="B172" s="168">
        <v>0.98786132743994826</v>
      </c>
      <c r="C172" s="122">
        <v>0.90313337233018953</v>
      </c>
      <c r="D172" s="122">
        <v>0.91156664399689236</v>
      </c>
      <c r="E172" s="122">
        <v>1.7884995490310645</v>
      </c>
      <c r="F172" s="122">
        <v>2.7678114277509103</v>
      </c>
      <c r="G172" s="122">
        <v>1.1049939421197779</v>
      </c>
      <c r="H172" s="163">
        <v>1</v>
      </c>
      <c r="I172" s="12">
        <v>2.066447633872354E-2</v>
      </c>
      <c r="J172" s="115">
        <v>3.8960137199560714E-2</v>
      </c>
      <c r="K172" s="115">
        <v>-3.6860638233276915E-3</v>
      </c>
      <c r="L172" s="115">
        <v>1.6878213684143051E-2</v>
      </c>
      <c r="P172" s="108">
        <v>-1.3936019901530467E-2</v>
      </c>
      <c r="Q172" s="108">
        <v>-0.27872039803060933</v>
      </c>
      <c r="R172" s="49">
        <v>-12259314.5110904</v>
      </c>
    </row>
    <row r="173" spans="1:18" x14ac:dyDescent="0.25">
      <c r="A173">
        <f t="shared" si="5"/>
        <v>161</v>
      </c>
      <c r="B173" s="168">
        <v>0.99483568243434262</v>
      </c>
      <c r="C173" s="122">
        <v>0.88838748601321893</v>
      </c>
      <c r="D173" s="122">
        <v>0.89784402304186339</v>
      </c>
      <c r="E173" s="122">
        <v>1.6558797073522178</v>
      </c>
      <c r="F173" s="122">
        <v>5.3238558555130355</v>
      </c>
      <c r="G173" s="122">
        <v>1.1033450856758058</v>
      </c>
      <c r="H173" s="163">
        <v>1</v>
      </c>
      <c r="I173" s="12">
        <v>3.8643514648897641E-2</v>
      </c>
      <c r="J173" s="115">
        <v>4.2887928550799349E-2</v>
      </c>
      <c r="K173" s="115">
        <v>-7.9445544814533975E-4</v>
      </c>
      <c r="L173" s="115">
        <v>4.9037716520247264E-2</v>
      </c>
      <c r="P173" s="108">
        <v>9.6966708521104505E-2</v>
      </c>
      <c r="Q173" s="108">
        <v>1.9393341704220899</v>
      </c>
      <c r="R173" s="49">
        <v>85300206.60596934</v>
      </c>
    </row>
    <row r="174" spans="1:18" x14ac:dyDescent="0.25">
      <c r="A174">
        <f t="shared" si="5"/>
        <v>162</v>
      </c>
      <c r="B174" s="168">
        <v>1.0006614105262885</v>
      </c>
      <c r="C174" s="122">
        <v>0.88251229505131124</v>
      </c>
      <c r="D174" s="122">
        <v>0.91210373160296865</v>
      </c>
      <c r="E174" s="122">
        <v>3.3469256791000785</v>
      </c>
      <c r="F174" s="122">
        <v>6.4635534857878705</v>
      </c>
      <c r="G174" s="122">
        <v>1.0989714108307216</v>
      </c>
      <c r="H174" s="163">
        <v>1</v>
      </c>
      <c r="I174" s="12">
        <v>2.1507606108170717E-2</v>
      </c>
      <c r="J174" s="115">
        <v>3.2616271091231192E-2</v>
      </c>
      <c r="K174" s="115">
        <v>-4.265465977545793E-3</v>
      </c>
      <c r="L174" s="115">
        <v>2.9112026659851298E-3</v>
      </c>
      <c r="P174" s="108">
        <v>1.2529748350491168E-2</v>
      </c>
      <c r="Q174" s="108">
        <v>0.25059496700982331</v>
      </c>
      <c r="R174" s="49">
        <v>11022237.831091085</v>
      </c>
    </row>
    <row r="175" spans="1:18" x14ac:dyDescent="0.25">
      <c r="A175">
        <f t="shared" si="5"/>
        <v>163</v>
      </c>
      <c r="B175" s="168">
        <v>1.0130958958913465</v>
      </c>
      <c r="C175" s="122">
        <v>0.88987164072001679</v>
      </c>
      <c r="D175" s="122">
        <v>0.904063208824475</v>
      </c>
      <c r="E175" s="122">
        <v>3.1663195920339771</v>
      </c>
      <c r="F175" s="122">
        <v>4.9763343289050628</v>
      </c>
      <c r="G175" s="122">
        <v>1.108474161201493</v>
      </c>
      <c r="H175" s="163">
        <v>1</v>
      </c>
      <c r="I175" s="12">
        <v>3.7432632206993902E-2</v>
      </c>
      <c r="J175" s="115">
        <v>5.4266864816741235E-2</v>
      </c>
      <c r="K175" s="115">
        <v>1.8552853332244906E-2</v>
      </c>
      <c r="L175" s="115">
        <v>1.6165540084313569E-2</v>
      </c>
      <c r="P175" s="108">
        <v>9.8241332812868856E-2</v>
      </c>
      <c r="Q175" s="108">
        <v>1.9648266562573768</v>
      </c>
      <c r="R175" s="49">
        <v>86421475.102041095</v>
      </c>
    </row>
    <row r="176" spans="1:18" x14ac:dyDescent="0.25">
      <c r="A176">
        <f t="shared" si="5"/>
        <v>164</v>
      </c>
      <c r="B176" s="168">
        <v>0.98400245724691415</v>
      </c>
      <c r="C176" s="122">
        <v>0.91197229394278456</v>
      </c>
      <c r="D176" s="122">
        <v>0.88644753317492797</v>
      </c>
      <c r="E176" s="122">
        <v>2.9279844459133928</v>
      </c>
      <c r="F176" s="122">
        <v>4.6357228120924709</v>
      </c>
      <c r="G176" s="122">
        <v>1.0796439955846926</v>
      </c>
      <c r="H176" s="163">
        <v>1</v>
      </c>
      <c r="I176" s="12">
        <v>2.1337603787953345E-2</v>
      </c>
      <c r="J176" s="115">
        <v>2.0651742720083084E-2</v>
      </c>
      <c r="K176" s="115">
        <v>4.5649534607725322E-3</v>
      </c>
      <c r="L176" s="115">
        <v>4.6842151544821839E-2</v>
      </c>
      <c r="P176" s="108">
        <v>-1.0966554418462346E-2</v>
      </c>
      <c r="Q176" s="108">
        <v>-0.21933108836924689</v>
      </c>
      <c r="R176" s="49">
        <v>-9647118.8093060665</v>
      </c>
    </row>
    <row r="177" spans="1:18" x14ac:dyDescent="0.25">
      <c r="A177">
        <f t="shared" si="5"/>
        <v>165</v>
      </c>
      <c r="B177" s="168">
        <v>0.99411064895233059</v>
      </c>
      <c r="C177" s="122">
        <v>0.90106231125148895</v>
      </c>
      <c r="D177" s="122">
        <v>0.89970673370478593</v>
      </c>
      <c r="E177" s="122">
        <v>2.8554532354127367</v>
      </c>
      <c r="F177" s="122">
        <v>6.5903771201180854</v>
      </c>
      <c r="G177" s="122">
        <v>1.102768833964699</v>
      </c>
      <c r="H177" s="163">
        <v>1</v>
      </c>
      <c r="I177" s="12">
        <v>2.8829442088345539E-2</v>
      </c>
      <c r="J177" s="115">
        <v>4.0756681470660507E-2</v>
      </c>
      <c r="K177" s="115">
        <v>4.5980784794771067E-3</v>
      </c>
      <c r="L177" s="115">
        <v>2.1444027729489105E-2</v>
      </c>
      <c r="P177" s="108">
        <v>6.75325730652169E-2</v>
      </c>
      <c r="Q177" s="108">
        <v>1.3506514613043377</v>
      </c>
      <c r="R177" s="49">
        <v>59407424.702282824</v>
      </c>
    </row>
    <row r="178" spans="1:18" x14ac:dyDescent="0.25">
      <c r="A178">
        <f t="shared" si="5"/>
        <v>166</v>
      </c>
      <c r="B178" s="168">
        <v>0.98668696693826607</v>
      </c>
      <c r="C178" s="122">
        <v>0.91300672573562303</v>
      </c>
      <c r="D178" s="122">
        <v>0.88786416454599359</v>
      </c>
      <c r="E178" s="122">
        <v>1.2354108395549122</v>
      </c>
      <c r="F178" s="122">
        <v>2.6057313307066199</v>
      </c>
      <c r="G178" s="122">
        <v>1.0844976095480938</v>
      </c>
      <c r="H178" s="163">
        <v>1</v>
      </c>
      <c r="I178" s="12">
        <v>2.6109422375932355E-2</v>
      </c>
      <c r="J178" s="115">
        <v>3.1145237997830668E-2</v>
      </c>
      <c r="K178" s="115">
        <v>2.4748273308410024E-3</v>
      </c>
      <c r="L178" s="115">
        <v>-1.7314722584039939E-3</v>
      </c>
      <c r="P178" s="108">
        <v>-5.3460417758594857E-2</v>
      </c>
      <c r="Q178" s="108">
        <v>-1.0692083551718969</v>
      </c>
      <c r="R178" s="49">
        <v>-47028353.850508012</v>
      </c>
    </row>
    <row r="179" spans="1:18" x14ac:dyDescent="0.25">
      <c r="A179">
        <f t="shared" si="5"/>
        <v>167</v>
      </c>
      <c r="B179" s="168">
        <v>1.0134849644634962</v>
      </c>
      <c r="C179" s="122">
        <v>0.92125932967934765</v>
      </c>
      <c r="D179" s="122">
        <v>0.91735234019875445</v>
      </c>
      <c r="E179" s="122">
        <v>3.6543021467684849</v>
      </c>
      <c r="F179" s="122">
        <v>2.9076679527470422</v>
      </c>
      <c r="G179" s="122">
        <v>1.101206908239738</v>
      </c>
      <c r="H179" s="163">
        <v>1</v>
      </c>
      <c r="I179" s="12">
        <v>3.9334079969529923E-2</v>
      </c>
      <c r="J179" s="115">
        <v>4.4235622249177285E-2</v>
      </c>
      <c r="K179" s="115">
        <v>8.2296973611972433E-3</v>
      </c>
      <c r="L179" s="115">
        <v>1.8645469218296573E-2</v>
      </c>
      <c r="P179" s="108">
        <v>3.6249742021173058E-2</v>
      </c>
      <c r="Q179" s="108">
        <v>0.72499484042346107</v>
      </c>
      <c r="R179" s="49">
        <v>31888372.112230279</v>
      </c>
    </row>
    <row r="180" spans="1:18" x14ac:dyDescent="0.25">
      <c r="A180">
        <f t="shared" si="5"/>
        <v>168</v>
      </c>
      <c r="B180" s="168">
        <v>1.0004672246811035</v>
      </c>
      <c r="C180" s="122">
        <v>0.88702831762332435</v>
      </c>
      <c r="D180" s="122">
        <v>0.9005315102740703</v>
      </c>
      <c r="E180" s="122">
        <v>3.4185789764058239</v>
      </c>
      <c r="F180" s="122">
        <v>7.0612300910854646</v>
      </c>
      <c r="G180" s="122">
        <v>1.1057733310510718</v>
      </c>
      <c r="H180" s="163">
        <v>1</v>
      </c>
      <c r="I180" s="12">
        <v>3.7758099907165193E-2</v>
      </c>
      <c r="J180" s="115">
        <v>6.8428568892107272E-2</v>
      </c>
      <c r="K180" s="115">
        <v>-8.4572904047542936E-4</v>
      </c>
      <c r="L180" s="115">
        <v>2.3374931493023995E-2</v>
      </c>
      <c r="P180" s="108">
        <v>0.17067873680418602</v>
      </c>
      <c r="Q180" s="108">
        <v>3.4135747360837194</v>
      </c>
      <c r="R180" s="49">
        <v>150143608.40632457</v>
      </c>
    </row>
    <row r="181" spans="1:18" x14ac:dyDescent="0.25">
      <c r="A181">
        <f t="shared" si="5"/>
        <v>169</v>
      </c>
      <c r="B181" s="168">
        <v>0.99572672926324457</v>
      </c>
      <c r="C181" s="122">
        <v>0.90905047248128834</v>
      </c>
      <c r="D181" s="122">
        <v>0.90629236661045898</v>
      </c>
      <c r="E181" s="122">
        <v>1.2492865249474288</v>
      </c>
      <c r="F181" s="122">
        <v>5.8493511156425191</v>
      </c>
      <c r="G181" s="122">
        <v>1.1458715764441607</v>
      </c>
      <c r="H181" s="163">
        <v>1</v>
      </c>
      <c r="I181" s="12">
        <v>4.5412269373768466E-2</v>
      </c>
      <c r="J181" s="115">
        <v>2.6189688324610085E-2</v>
      </c>
      <c r="K181" s="115">
        <v>-5.4317817570627642E-3</v>
      </c>
      <c r="L181" s="115">
        <v>2.290922648587005E-2</v>
      </c>
      <c r="P181" s="108">
        <v>3.189014265568469E-2</v>
      </c>
      <c r="Q181" s="108">
        <v>0.63780285311369367</v>
      </c>
      <c r="R181" s="49">
        <v>28053295.803390998</v>
      </c>
    </row>
    <row r="182" spans="1:18" x14ac:dyDescent="0.25">
      <c r="A182">
        <f t="shared" si="5"/>
        <v>170</v>
      </c>
      <c r="B182" s="168">
        <v>0.99105269769922144</v>
      </c>
      <c r="C182" s="122">
        <v>0.88003650639899267</v>
      </c>
      <c r="D182" s="122">
        <v>0.90695362050160055</v>
      </c>
      <c r="E182" s="122">
        <v>-0.64239041619861847</v>
      </c>
      <c r="F182" s="122">
        <v>6.1191523810809754</v>
      </c>
      <c r="G182" s="122">
        <v>1.1186160756486254</v>
      </c>
      <c r="H182" s="163">
        <v>1</v>
      </c>
      <c r="I182" s="12">
        <v>3.0225716342158895E-2</v>
      </c>
      <c r="J182" s="115">
        <v>4.5644815194638921E-2</v>
      </c>
      <c r="K182" s="115">
        <v>1.4617802344579853E-2</v>
      </c>
      <c r="L182" s="115">
        <v>2.1289256720997213E-2</v>
      </c>
      <c r="P182" s="108">
        <v>0.18244426975621383</v>
      </c>
      <c r="Q182" s="108">
        <v>3.6488853951242763</v>
      </c>
      <c r="R182" s="49">
        <v>160493577.03931046</v>
      </c>
    </row>
    <row r="183" spans="1:18" x14ac:dyDescent="0.25">
      <c r="A183">
        <f t="shared" si="5"/>
        <v>171</v>
      </c>
      <c r="B183" s="168">
        <v>0.99760587327428751</v>
      </c>
      <c r="C183" s="122">
        <v>0.92541697408569734</v>
      </c>
      <c r="D183" s="122">
        <v>0.8891702802720125</v>
      </c>
      <c r="E183" s="122">
        <v>2.107055053299304</v>
      </c>
      <c r="F183" s="122">
        <v>6.280666085678777</v>
      </c>
      <c r="G183" s="122">
        <v>1.1045506235922211</v>
      </c>
      <c r="H183" s="163">
        <v>1</v>
      </c>
      <c r="I183" s="12">
        <v>3.6803660121215116E-2</v>
      </c>
      <c r="J183" s="115">
        <v>6.5693025366496308E-2</v>
      </c>
      <c r="K183" s="115">
        <v>1.8860070033311894E-3</v>
      </c>
      <c r="L183" s="115">
        <v>2.3272644221745027E-2</v>
      </c>
      <c r="P183" s="108">
        <v>0.16411949515611085</v>
      </c>
      <c r="Q183" s="108">
        <v>3.2823899031222163</v>
      </c>
      <c r="R183" s="49">
        <v>144373538.69587839</v>
      </c>
    </row>
    <row r="184" spans="1:18" x14ac:dyDescent="0.25">
      <c r="A184">
        <f t="shared" si="5"/>
        <v>172</v>
      </c>
      <c r="B184" s="168">
        <v>0.99819285480655784</v>
      </c>
      <c r="C184" s="122">
        <v>0.84896526631928659</v>
      </c>
      <c r="D184" s="122">
        <v>0.91608393166843149</v>
      </c>
      <c r="E184" s="122">
        <v>3.4521243269578585</v>
      </c>
      <c r="F184" s="122">
        <v>5.142795568868058</v>
      </c>
      <c r="G184" s="122">
        <v>1.1334368194693809</v>
      </c>
      <c r="H184" s="163">
        <v>1</v>
      </c>
      <c r="I184" s="12">
        <v>3.9031891504141991E-2</v>
      </c>
      <c r="J184" s="115">
        <v>3.9252644122278996E-2</v>
      </c>
      <c r="K184" s="115">
        <v>3.5392187274167321E-3</v>
      </c>
      <c r="L184" s="115">
        <v>9.2546056068533791E-4</v>
      </c>
      <c r="P184" s="108">
        <v>2.932068572552237E-2</v>
      </c>
      <c r="Q184" s="108">
        <v>0.58641371451044733</v>
      </c>
      <c r="R184" s="49">
        <v>25792981.821914762</v>
      </c>
    </row>
    <row r="185" spans="1:18" x14ac:dyDescent="0.25">
      <c r="A185">
        <f t="shared" si="5"/>
        <v>173</v>
      </c>
      <c r="B185" s="168">
        <v>1.0138521596275274</v>
      </c>
      <c r="C185" s="122">
        <v>0.94508859796709277</v>
      </c>
      <c r="D185" s="122">
        <v>0.90253011341648992</v>
      </c>
      <c r="E185" s="122">
        <v>2.3188510736929548</v>
      </c>
      <c r="F185" s="122">
        <v>3.808077294232362</v>
      </c>
      <c r="G185" s="122">
        <v>1.1009258107815927</v>
      </c>
      <c r="H185" s="163">
        <v>1</v>
      </c>
      <c r="I185" s="12">
        <v>3.8705382235952171E-2</v>
      </c>
      <c r="J185" s="115">
        <v>4.4660742251723708E-2</v>
      </c>
      <c r="K185" s="115">
        <v>4.3915508331849821E-3</v>
      </c>
      <c r="L185" s="115">
        <v>2.7007563200444368E-2</v>
      </c>
      <c r="P185" s="108">
        <v>5.7073040282499092E-2</v>
      </c>
      <c r="Q185" s="108">
        <v>1.1414608056499818</v>
      </c>
      <c r="R185" s="49">
        <v>50206325.469616257</v>
      </c>
    </row>
    <row r="186" spans="1:18" x14ac:dyDescent="0.25">
      <c r="A186">
        <f t="shared" si="5"/>
        <v>174</v>
      </c>
      <c r="B186" s="168">
        <v>1.0079729139537454</v>
      </c>
      <c r="C186" s="122">
        <v>0.87439647875552962</v>
      </c>
      <c r="D186" s="122">
        <v>0.89659991515893922</v>
      </c>
      <c r="E186" s="122">
        <v>4.679306589142973E-2</v>
      </c>
      <c r="F186" s="122">
        <v>5.0170901832786221</v>
      </c>
      <c r="G186" s="122">
        <v>1.0618271041304097</v>
      </c>
      <c r="H186" s="163">
        <v>1</v>
      </c>
      <c r="I186" s="12">
        <v>3.1298878831927793E-2</v>
      </c>
      <c r="J186" s="115">
        <v>4.2769040476265889E-2</v>
      </c>
      <c r="K186" s="115">
        <v>5.4427133542609887E-3</v>
      </c>
      <c r="L186" s="115">
        <v>-9.9721568569104482E-4</v>
      </c>
      <c r="P186" s="108">
        <v>9.3253007887644734E-2</v>
      </c>
      <c r="Q186" s="108">
        <v>1.8650601577528945</v>
      </c>
      <c r="R186" s="49">
        <v>82033318.040417075</v>
      </c>
    </row>
    <row r="187" spans="1:18" x14ac:dyDescent="0.25">
      <c r="A187">
        <f t="shared" si="5"/>
        <v>175</v>
      </c>
      <c r="B187" s="168">
        <v>1.0119112280253293</v>
      </c>
      <c r="C187" s="122">
        <v>0.86369198654141943</v>
      </c>
      <c r="D187" s="122">
        <v>0.90368824757023869</v>
      </c>
      <c r="E187" s="122">
        <v>3.2080845711944095</v>
      </c>
      <c r="F187" s="122">
        <v>3.8876017249405583</v>
      </c>
      <c r="G187" s="122">
        <v>1.1129378716133698</v>
      </c>
      <c r="H187" s="163">
        <v>1</v>
      </c>
      <c r="I187" s="12">
        <v>2.4673639591070641E-2</v>
      </c>
      <c r="J187" s="115">
        <v>8.0142519999721121E-3</v>
      </c>
      <c r="K187" s="115">
        <v>-1.1395837344965864E-3</v>
      </c>
      <c r="L187" s="115">
        <v>2.94034184985019E-2</v>
      </c>
      <c r="P187" s="108">
        <v>-8.5552682922097903E-2</v>
      </c>
      <c r="Q187" s="108">
        <v>-1.7110536584419578</v>
      </c>
      <c r="R187" s="49">
        <v>-75259453.891452089</v>
      </c>
    </row>
    <row r="188" spans="1:18" x14ac:dyDescent="0.25">
      <c r="A188">
        <f t="shared" si="5"/>
        <v>176</v>
      </c>
      <c r="B188" s="168">
        <v>1.0008650449265581</v>
      </c>
      <c r="C188" s="122">
        <v>0.89034213748773283</v>
      </c>
      <c r="D188" s="122">
        <v>0.90717057245921517</v>
      </c>
      <c r="E188" s="122">
        <v>0.34885371965616918</v>
      </c>
      <c r="F188" s="122">
        <v>5.1948849029570905</v>
      </c>
      <c r="G188" s="122">
        <v>1.1077024268558884</v>
      </c>
      <c r="H188" s="163">
        <v>1</v>
      </c>
      <c r="I188" s="12">
        <v>2.3864987221028443E-2</v>
      </c>
      <c r="J188" s="115">
        <v>6.0026399537172814E-2</v>
      </c>
      <c r="K188" s="115">
        <v>-1.2997644244312819E-3</v>
      </c>
      <c r="L188" s="115">
        <v>1.5069308584688247E-2</v>
      </c>
      <c r="P188" s="108">
        <v>0.14193584746816981</v>
      </c>
      <c r="Q188" s="108">
        <v>2.8387169493633957</v>
      </c>
      <c r="R188" s="49">
        <v>124858905.68506975</v>
      </c>
    </row>
    <row r="189" spans="1:18" x14ac:dyDescent="0.25">
      <c r="A189">
        <f t="shared" si="5"/>
        <v>177</v>
      </c>
      <c r="B189" s="168">
        <v>1.0207207331880852</v>
      </c>
      <c r="C189" s="122">
        <v>0.93992176557121432</v>
      </c>
      <c r="D189" s="122">
        <v>0.92746492034959682</v>
      </c>
      <c r="E189" s="122">
        <v>2.5368006421704954</v>
      </c>
      <c r="F189" s="122">
        <v>6.1144091702634213</v>
      </c>
      <c r="G189" s="122">
        <v>1.0838052032288201</v>
      </c>
      <c r="H189" s="163">
        <v>1</v>
      </c>
      <c r="I189" s="12">
        <v>2.1519560686938444E-2</v>
      </c>
      <c r="J189" s="115">
        <v>4.7002271672268697E-2</v>
      </c>
      <c r="K189" s="115">
        <v>1.2343359803061928E-2</v>
      </c>
      <c r="L189" s="115">
        <v>1.3354726286503131E-2</v>
      </c>
      <c r="P189" s="108">
        <v>7.8522306267367656E-2</v>
      </c>
      <c r="Q189" s="108">
        <v>1.570446125347353</v>
      </c>
      <c r="R189" s="49">
        <v>69074933.551300988</v>
      </c>
    </row>
    <row r="190" spans="1:18" x14ac:dyDescent="0.25">
      <c r="A190">
        <f t="shared" si="5"/>
        <v>178</v>
      </c>
      <c r="B190" s="168">
        <v>0.98129314128509881</v>
      </c>
      <c r="C190" s="122">
        <v>0.92885499062876409</v>
      </c>
      <c r="D190" s="122">
        <v>0.90527673956610544</v>
      </c>
      <c r="E190" s="122">
        <v>2.5244679503173315</v>
      </c>
      <c r="F190" s="122">
        <v>5.9954213435752495</v>
      </c>
      <c r="G190" s="122">
        <v>1.0767767743577714</v>
      </c>
      <c r="H190" s="163">
        <v>1</v>
      </c>
      <c r="I190" s="12">
        <v>3.5306704554981735E-2</v>
      </c>
      <c r="J190" s="115">
        <v>4.2937946322837255E-2</v>
      </c>
      <c r="K190" s="115">
        <v>-1.4883991183400934E-3</v>
      </c>
      <c r="L190" s="115">
        <v>2.0780900645911322E-2</v>
      </c>
      <c r="P190" s="108">
        <v>7.9216232440303999E-2</v>
      </c>
      <c r="Q190" s="108">
        <v>1.5843246488060796</v>
      </c>
      <c r="R190" s="49">
        <v>69685370.337529272</v>
      </c>
    </row>
    <row r="191" spans="1:18" x14ac:dyDescent="0.25">
      <c r="A191">
        <f t="shared" si="5"/>
        <v>179</v>
      </c>
      <c r="B191" s="168">
        <v>1.0133259332555786</v>
      </c>
      <c r="C191" s="122">
        <v>0.89922257015192342</v>
      </c>
      <c r="D191" s="122">
        <v>0.90819171242971131</v>
      </c>
      <c r="E191" s="122">
        <v>2.0106136638237748</v>
      </c>
      <c r="F191" s="122">
        <v>7.2394207824274117</v>
      </c>
      <c r="G191" s="122">
        <v>1.0912172804866156</v>
      </c>
      <c r="H191" s="163">
        <v>1</v>
      </c>
      <c r="I191" s="12">
        <v>1.5320819731814081E-2</v>
      </c>
      <c r="J191" s="115">
        <v>3.0589014892950066E-2</v>
      </c>
      <c r="K191" s="115">
        <v>4.7702533041099936E-3</v>
      </c>
      <c r="L191" s="115">
        <v>1.051535518272825E-2</v>
      </c>
      <c r="P191" s="108">
        <v>2.9268407858536859E-2</v>
      </c>
      <c r="Q191" s="108">
        <v>0.58536815717073709</v>
      </c>
      <c r="R191" s="49">
        <v>25746993.740821812</v>
      </c>
    </row>
    <row r="192" spans="1:18" x14ac:dyDescent="0.25">
      <c r="A192">
        <f t="shared" si="5"/>
        <v>180</v>
      </c>
      <c r="B192" s="168">
        <v>1.0037608392704633</v>
      </c>
      <c r="C192" s="122">
        <v>0.91778052627794571</v>
      </c>
      <c r="D192" s="122">
        <v>0.89751821409533039</v>
      </c>
      <c r="E192" s="122">
        <v>2.8762797801850781</v>
      </c>
      <c r="F192" s="122">
        <v>1.4967381458360447</v>
      </c>
      <c r="G192" s="122">
        <v>1.0651957727687564</v>
      </c>
      <c r="H192" s="163">
        <v>1</v>
      </c>
      <c r="I192" s="12">
        <v>3.4296376339942501E-2</v>
      </c>
      <c r="J192" s="115">
        <v>4.0043325419554514E-2</v>
      </c>
      <c r="K192" s="115">
        <v>-6.2961776971228274E-3</v>
      </c>
      <c r="L192" s="115">
        <v>4.2595431862426772E-2</v>
      </c>
      <c r="P192" s="108">
        <v>5.3391631176282405E-3</v>
      </c>
      <c r="Q192" s="108">
        <v>0.1067832623525648</v>
      </c>
      <c r="R192" s="49">
        <v>4696784.3292065114</v>
      </c>
    </row>
    <row r="193" spans="1:18" x14ac:dyDescent="0.25">
      <c r="A193">
        <f t="shared" si="5"/>
        <v>181</v>
      </c>
      <c r="B193" s="168">
        <v>0.98477120580103428</v>
      </c>
      <c r="C193" s="122">
        <v>0.92835262916054428</v>
      </c>
      <c r="D193" s="122">
        <v>0.90217245822002157</v>
      </c>
      <c r="E193" s="122">
        <v>1.8835242809153012</v>
      </c>
      <c r="F193" s="122">
        <v>7.9214363459861952</v>
      </c>
      <c r="G193" s="122">
        <v>1.0968700299101801</v>
      </c>
      <c r="H193" s="163">
        <v>1</v>
      </c>
      <c r="I193" s="12">
        <v>2.6969223653279202E-2</v>
      </c>
      <c r="J193" s="115">
        <v>4.430441564222859E-2</v>
      </c>
      <c r="K193" s="115">
        <v>6.1124435025150213E-3</v>
      </c>
      <c r="L193" s="115">
        <v>2.0526938512262526E-2</v>
      </c>
      <c r="P193" s="108">
        <v>0.10345824823625289</v>
      </c>
      <c r="Q193" s="108">
        <v>2.0691649647250574</v>
      </c>
      <c r="R193" s="49">
        <v>91010719.908300295</v>
      </c>
    </row>
    <row r="194" spans="1:18" x14ac:dyDescent="0.25">
      <c r="A194">
        <f t="shared" si="5"/>
        <v>182</v>
      </c>
      <c r="B194" s="168">
        <v>1.0047116833457284</v>
      </c>
      <c r="C194" s="122">
        <v>0.92067839993120593</v>
      </c>
      <c r="D194" s="122">
        <v>0.8953234545693185</v>
      </c>
      <c r="E194" s="122">
        <v>2.4998618054737483</v>
      </c>
      <c r="F194" s="122">
        <v>5.548702365013547</v>
      </c>
      <c r="G194" s="122">
        <v>1.043700593250326</v>
      </c>
      <c r="H194" s="163">
        <v>1</v>
      </c>
      <c r="I194" s="12">
        <v>1.8314953464348402E-2</v>
      </c>
      <c r="J194" s="115">
        <v>4.3299214747635151E-2</v>
      </c>
      <c r="K194" s="115">
        <v>7.8974079523115408E-5</v>
      </c>
      <c r="L194" s="115">
        <v>-1.0112531377827479E-2</v>
      </c>
      <c r="P194" s="108">
        <v>4.2528601309354652E-2</v>
      </c>
      <c r="Q194" s="108">
        <v>0.85057202618709293</v>
      </c>
      <c r="R194" s="49">
        <v>37411793.528717078</v>
      </c>
    </row>
    <row r="195" spans="1:18" x14ac:dyDescent="0.25">
      <c r="A195">
        <f t="shared" si="5"/>
        <v>183</v>
      </c>
      <c r="B195" s="168">
        <v>1.01248758243329</v>
      </c>
      <c r="C195" s="122">
        <v>0.85914827545397598</v>
      </c>
      <c r="D195" s="122">
        <v>0.90581117769098929</v>
      </c>
      <c r="E195" s="122">
        <v>2.8565771172705468</v>
      </c>
      <c r="F195" s="122">
        <v>4.1221175818147318</v>
      </c>
      <c r="G195" s="122">
        <v>1.0692792852039903</v>
      </c>
      <c r="H195" s="163">
        <v>1</v>
      </c>
      <c r="I195" s="12">
        <v>1.1310336063495855E-2</v>
      </c>
      <c r="J195" s="115">
        <v>2.140336545016806E-2</v>
      </c>
      <c r="K195" s="115">
        <v>2.333617572700012E-3</v>
      </c>
      <c r="L195" s="115">
        <v>3.1950200603697361E-2</v>
      </c>
      <c r="P195" s="108">
        <v>-3.5089077255003563E-2</v>
      </c>
      <c r="Q195" s="108">
        <v>-0.70178154510007107</v>
      </c>
      <c r="R195" s="49">
        <v>-30867352.157397248</v>
      </c>
    </row>
    <row r="196" spans="1:18" x14ac:dyDescent="0.25">
      <c r="A196">
        <f t="shared" si="5"/>
        <v>184</v>
      </c>
      <c r="B196" s="168">
        <v>1.0087191726263105</v>
      </c>
      <c r="C196" s="122">
        <v>0.93320195071846557</v>
      </c>
      <c r="D196" s="122">
        <v>0.90888618061032589</v>
      </c>
      <c r="E196" s="122">
        <v>1.5102007766669883</v>
      </c>
      <c r="F196" s="122">
        <v>3.462283457908403</v>
      </c>
      <c r="G196" s="122">
        <v>1.1225514024569538</v>
      </c>
      <c r="H196" s="163">
        <v>1</v>
      </c>
      <c r="I196" s="12">
        <v>1.7159434142423123E-2</v>
      </c>
      <c r="J196" s="115">
        <v>2.700138996498452E-2</v>
      </c>
      <c r="K196" s="115">
        <v>3.6295073044222415E-3</v>
      </c>
      <c r="L196" s="115">
        <v>8.1624206725033639E-3</v>
      </c>
      <c r="P196" s="108">
        <v>-4.7997188872821957E-2</v>
      </c>
      <c r="Q196" s="108">
        <v>-0.959943777456439</v>
      </c>
      <c r="R196" s="49">
        <v>-42222430.665122174</v>
      </c>
    </row>
    <row r="197" spans="1:18" x14ac:dyDescent="0.25">
      <c r="A197">
        <f t="shared" si="5"/>
        <v>185</v>
      </c>
      <c r="B197" s="168">
        <v>0.98269874901056387</v>
      </c>
      <c r="C197" s="122">
        <v>0.9047921972147509</v>
      </c>
      <c r="D197" s="122">
        <v>0.90079768913339653</v>
      </c>
      <c r="E197" s="122">
        <v>1.284682674267839</v>
      </c>
      <c r="F197" s="122">
        <v>6.3705861610414107</v>
      </c>
      <c r="G197" s="122">
        <v>1.1048037043584888</v>
      </c>
      <c r="H197" s="163">
        <v>1</v>
      </c>
      <c r="I197" s="12">
        <v>2.0685140533278263E-2</v>
      </c>
      <c r="J197" s="115">
        <v>-1.4740606682025509E-2</v>
      </c>
      <c r="K197" s="115">
        <v>1.1029713247109416E-2</v>
      </c>
      <c r="L197" s="115">
        <v>4.2991918145038138E-2</v>
      </c>
      <c r="P197" s="108">
        <v>-0.10381411440863779</v>
      </c>
      <c r="Q197" s="108">
        <v>-2.0762822881727554</v>
      </c>
      <c r="R197" s="49">
        <v>-91323770.216921449</v>
      </c>
    </row>
    <row r="198" spans="1:18" x14ac:dyDescent="0.25">
      <c r="A198">
        <f t="shared" si="5"/>
        <v>186</v>
      </c>
      <c r="B198" s="168">
        <v>0.98909086800976009</v>
      </c>
      <c r="C198" s="122">
        <v>0.9348716958565263</v>
      </c>
      <c r="D198" s="122">
        <v>0.88618751971780951</v>
      </c>
      <c r="E198" s="122">
        <v>2.4853099033995014</v>
      </c>
      <c r="F198" s="122">
        <v>4.4383057342505365</v>
      </c>
      <c r="G198" s="122">
        <v>1.1334735881945119</v>
      </c>
      <c r="H198" s="163">
        <v>1</v>
      </c>
      <c r="I198" s="12">
        <v>4.5861037608163915E-2</v>
      </c>
      <c r="J198" s="115">
        <v>3.2775574126450366E-2</v>
      </c>
      <c r="K198" s="115">
        <v>-1.9274292674346426E-3</v>
      </c>
      <c r="L198" s="115">
        <v>2.0429698761647665E-2</v>
      </c>
      <c r="P198" s="108">
        <v>2.0792285993770983E-2</v>
      </c>
      <c r="Q198" s="108">
        <v>0.41584571987541963</v>
      </c>
      <c r="R198" s="49">
        <v>18290672.315571606</v>
      </c>
    </row>
    <row r="199" spans="1:18" x14ac:dyDescent="0.25">
      <c r="A199">
        <f t="shared" si="5"/>
        <v>187</v>
      </c>
      <c r="B199" s="168">
        <v>0.99433776006319874</v>
      </c>
      <c r="C199" s="122">
        <v>0.87345705483734981</v>
      </c>
      <c r="D199" s="122">
        <v>0.88874076525543322</v>
      </c>
      <c r="E199" s="122">
        <v>1.7287981043596379</v>
      </c>
      <c r="F199" s="122">
        <v>5.3547192387866902</v>
      </c>
      <c r="G199" s="122">
        <v>1.1011378961457396</v>
      </c>
      <c r="H199" s="163">
        <v>1</v>
      </c>
      <c r="I199" s="12">
        <v>2.7503603164297737E-2</v>
      </c>
      <c r="J199" s="115">
        <v>2.3526358555475014E-2</v>
      </c>
      <c r="K199" s="115">
        <v>4.257209371804821E-3</v>
      </c>
      <c r="L199" s="115">
        <v>2.7157494230159236E-2</v>
      </c>
      <c r="P199" s="108">
        <v>4.580547145678516E-3</v>
      </c>
      <c r="Q199" s="108">
        <v>9.1610942913570317E-2</v>
      </c>
      <c r="R199" s="49">
        <v>4029440.8653638158</v>
      </c>
    </row>
    <row r="200" spans="1:18" x14ac:dyDescent="0.25">
      <c r="A200">
        <f t="shared" si="5"/>
        <v>188</v>
      </c>
      <c r="B200" s="168">
        <v>0.99469048328264353</v>
      </c>
      <c r="C200" s="122">
        <v>0.88349398838005255</v>
      </c>
      <c r="D200" s="122">
        <v>0.90257208613496964</v>
      </c>
      <c r="E200" s="122">
        <v>3.2544981347061306</v>
      </c>
      <c r="F200" s="122">
        <v>7.4252109770733377</v>
      </c>
      <c r="G200" s="122">
        <v>1.0957887995248106</v>
      </c>
      <c r="H200" s="163">
        <v>1</v>
      </c>
      <c r="I200" s="12">
        <v>1.9054595749619794E-2</v>
      </c>
      <c r="J200" s="115">
        <v>2.5995837107816194E-2</v>
      </c>
      <c r="K200" s="115">
        <v>7.8145285449649059E-3</v>
      </c>
      <c r="L200" s="115">
        <v>1.2432149426212957E-2</v>
      </c>
      <c r="P200" s="108">
        <v>7.5397905870783497E-3</v>
      </c>
      <c r="Q200" s="108">
        <v>0.15079581174156695</v>
      </c>
      <c r="R200" s="49">
        <v>6632644.385403133</v>
      </c>
    </row>
    <row r="201" spans="1:18" x14ac:dyDescent="0.25">
      <c r="A201">
        <f t="shared" si="5"/>
        <v>189</v>
      </c>
      <c r="B201" s="168">
        <v>1.0153350810775001</v>
      </c>
      <c r="C201" s="122">
        <v>0.87584433450846966</v>
      </c>
      <c r="D201" s="122">
        <v>0.8887213111254495</v>
      </c>
      <c r="E201" s="122">
        <v>2.1330359978793614</v>
      </c>
      <c r="F201" s="122">
        <v>2.883272789925122</v>
      </c>
      <c r="G201" s="122">
        <v>1.1426051388767586</v>
      </c>
      <c r="H201" s="163">
        <v>1</v>
      </c>
      <c r="I201" s="12">
        <v>1.5495313135340848E-2</v>
      </c>
      <c r="J201" s="115">
        <v>1.9083680977531447E-2</v>
      </c>
      <c r="K201" s="115">
        <v>1.2509518319314482E-2</v>
      </c>
      <c r="L201" s="115">
        <v>3.7906922012198828E-3</v>
      </c>
      <c r="P201" s="108">
        <v>-9.7734046169764111E-2</v>
      </c>
      <c r="Q201" s="108">
        <v>-1.9546809233952818</v>
      </c>
      <c r="R201" s="49">
        <v>-85975222.402271837</v>
      </c>
    </row>
    <row r="202" spans="1:18" x14ac:dyDescent="0.25">
      <c r="A202">
        <f t="shared" si="5"/>
        <v>190</v>
      </c>
      <c r="B202" s="168">
        <v>0.99218678959435458</v>
      </c>
      <c r="C202" s="122">
        <v>0.85591017540710268</v>
      </c>
      <c r="D202" s="122">
        <v>0.91050169544396953</v>
      </c>
      <c r="E202" s="122">
        <v>0.97271028013419714</v>
      </c>
      <c r="F202" s="122">
        <v>3.8362217439251856</v>
      </c>
      <c r="G202" s="122">
        <v>1.0990143737709681</v>
      </c>
      <c r="H202" s="163">
        <v>1</v>
      </c>
      <c r="I202" s="12">
        <v>1.2202049498641759E-2</v>
      </c>
      <c r="J202" s="115">
        <v>8.2355525145612021E-2</v>
      </c>
      <c r="K202" s="115">
        <v>4.4010615698118934E-4</v>
      </c>
      <c r="L202" s="115">
        <v>1.288281139014147E-2</v>
      </c>
      <c r="P202" s="108">
        <v>0.15916860268050945</v>
      </c>
      <c r="Q202" s="108">
        <v>3.1833720536101882</v>
      </c>
      <c r="R202" s="49">
        <v>140018310.41708389</v>
      </c>
    </row>
    <row r="203" spans="1:18" x14ac:dyDescent="0.25">
      <c r="A203">
        <f t="shared" si="5"/>
        <v>191</v>
      </c>
      <c r="B203" s="168">
        <v>0.98991653309878758</v>
      </c>
      <c r="C203" s="122">
        <v>0.90631802554356511</v>
      </c>
      <c r="D203" s="122">
        <v>0.90795403721218571</v>
      </c>
      <c r="E203" s="122">
        <v>1.4618996644956206</v>
      </c>
      <c r="F203" s="122">
        <v>5.3962170778851579</v>
      </c>
      <c r="G203" s="122">
        <v>1.0964179457073735</v>
      </c>
      <c r="H203" s="163">
        <v>1</v>
      </c>
      <c r="I203" s="12">
        <v>2.1153178589562199E-2</v>
      </c>
      <c r="J203" s="115">
        <v>7.0093580748683382E-2</v>
      </c>
      <c r="K203" s="115">
        <v>3.6383943264489474E-3</v>
      </c>
      <c r="L203" s="115">
        <v>4.7261922938287657E-3</v>
      </c>
      <c r="P203" s="108">
        <v>0.14819464389941517</v>
      </c>
      <c r="Q203" s="108">
        <v>2.9638928779883029</v>
      </c>
      <c r="R203" s="49">
        <v>130364678.09739967</v>
      </c>
    </row>
    <row r="204" spans="1:18" x14ac:dyDescent="0.25">
      <c r="A204">
        <f t="shared" si="5"/>
        <v>192</v>
      </c>
      <c r="B204" s="168">
        <v>0.99981031271729393</v>
      </c>
      <c r="C204" s="122">
        <v>0.90095108627260845</v>
      </c>
      <c r="D204" s="122">
        <v>0.91424526757258084</v>
      </c>
      <c r="E204" s="122">
        <v>0.7576184447368155</v>
      </c>
      <c r="F204" s="122">
        <v>6.6326291126702444</v>
      </c>
      <c r="G204" s="122">
        <v>1.1168940457937511</v>
      </c>
      <c r="H204" s="163">
        <v>1</v>
      </c>
      <c r="I204" s="12">
        <v>2.1164726599877712E-2</v>
      </c>
      <c r="J204" s="115">
        <v>5.3256521128756479E-2</v>
      </c>
      <c r="K204" s="115">
        <v>-2.50568564080891E-4</v>
      </c>
      <c r="L204" s="115">
        <v>8.4070415454572268E-3</v>
      </c>
      <c r="P204" s="108">
        <v>0.12217621999130915</v>
      </c>
      <c r="Q204" s="108">
        <v>2.4435243998261824</v>
      </c>
      <c r="R204" s="49">
        <v>107476648.08408745</v>
      </c>
    </row>
    <row r="205" spans="1:18" x14ac:dyDescent="0.25">
      <c r="A205">
        <f t="shared" si="5"/>
        <v>193</v>
      </c>
      <c r="B205" s="168">
        <v>0.9896195213041622</v>
      </c>
      <c r="C205" s="122">
        <v>0.9110932996835327</v>
      </c>
      <c r="D205" s="122">
        <v>0.91540635915770174</v>
      </c>
      <c r="E205" s="122">
        <v>0.50603377435196628</v>
      </c>
      <c r="F205" s="122">
        <v>7.6765311632731423</v>
      </c>
      <c r="G205" s="122">
        <v>1.1215483410432681</v>
      </c>
      <c r="H205" s="163">
        <v>1</v>
      </c>
      <c r="I205" s="12">
        <v>2.3240355641619435E-2</v>
      </c>
      <c r="J205" s="115">
        <v>6.4948469178650284E-2</v>
      </c>
      <c r="K205" s="115">
        <v>7.7219168015135965E-3</v>
      </c>
      <c r="L205" s="115">
        <v>3.2304203004482751E-2</v>
      </c>
      <c r="P205" s="108">
        <v>0.20346279920056154</v>
      </c>
      <c r="Q205" s="108">
        <v>4.0692559840112299</v>
      </c>
      <c r="R205" s="49">
        <v>178983272.43581134</v>
      </c>
    </row>
    <row r="206" spans="1:18" x14ac:dyDescent="0.25">
      <c r="A206">
        <f t="shared" si="5"/>
        <v>194</v>
      </c>
      <c r="B206" s="168">
        <v>1.0087487411788822</v>
      </c>
      <c r="C206" s="122">
        <v>0.83655769790923051</v>
      </c>
      <c r="D206" s="122">
        <v>0.89983922142303141</v>
      </c>
      <c r="E206" s="122">
        <v>1.144529658635081</v>
      </c>
      <c r="F206" s="122">
        <v>8.1495910174378903</v>
      </c>
      <c r="G206" s="122">
        <v>1.1154895107307394</v>
      </c>
      <c r="H206" s="163">
        <v>1</v>
      </c>
      <c r="I206" s="12">
        <v>2.2271188867093145E-2</v>
      </c>
      <c r="J206" s="115">
        <v>1.6734188061295591E-2</v>
      </c>
      <c r="K206" s="115">
        <v>1.0771572889358426E-2</v>
      </c>
      <c r="L206" s="115">
        <v>1.484178067653415E-2</v>
      </c>
      <c r="P206" s="108">
        <v>1.1173995056509758E-2</v>
      </c>
      <c r="Q206" s="108">
        <v>0.22347990113019511</v>
      </c>
      <c r="R206" s="49">
        <v>9829601.3288613707</v>
      </c>
    </row>
    <row r="207" spans="1:18" x14ac:dyDescent="0.25">
      <c r="A207">
        <f t="shared" ref="A207:A270" si="6">A206+1</f>
        <v>195</v>
      </c>
      <c r="B207" s="168">
        <v>0.99544459677053787</v>
      </c>
      <c r="C207" s="122">
        <v>0.88397673263889176</v>
      </c>
      <c r="D207" s="122">
        <v>0.89937002808019895</v>
      </c>
      <c r="E207" s="122">
        <v>2.1759782492710276</v>
      </c>
      <c r="F207" s="122">
        <v>4.8679094075522729</v>
      </c>
      <c r="G207" s="122">
        <v>1.077653729608242</v>
      </c>
      <c r="H207" s="163">
        <v>1</v>
      </c>
      <c r="I207" s="12">
        <v>2.1180972023884092E-2</v>
      </c>
      <c r="J207" s="115">
        <v>4.0846332194643176E-2</v>
      </c>
      <c r="K207" s="115">
        <v>-3.4979215326472112E-3</v>
      </c>
      <c r="L207" s="115">
        <v>3.6559430017310678E-2</v>
      </c>
      <c r="P207" s="108">
        <v>5.7352807707547554E-2</v>
      </c>
      <c r="Q207" s="108">
        <v>1.1470561541509507</v>
      </c>
      <c r="R207" s="49">
        <v>50452432.81431444</v>
      </c>
    </row>
    <row r="208" spans="1:18" x14ac:dyDescent="0.25">
      <c r="A208">
        <f t="shared" si="6"/>
        <v>196</v>
      </c>
      <c r="B208" s="168">
        <v>1.007959065443669</v>
      </c>
      <c r="C208" s="122">
        <v>0.89791860005230439</v>
      </c>
      <c r="D208" s="122">
        <v>0.8966296273151233</v>
      </c>
      <c r="E208" s="122">
        <v>2.1460610838337573</v>
      </c>
      <c r="F208" s="122">
        <v>5.2678583086408102</v>
      </c>
      <c r="G208" s="122">
        <v>1.0674614760572174</v>
      </c>
      <c r="H208" s="163">
        <v>1</v>
      </c>
      <c r="I208" s="12">
        <v>3.752970109236374E-2</v>
      </c>
      <c r="J208" s="115">
        <v>4.2642208201158695E-2</v>
      </c>
      <c r="K208" s="115">
        <v>7.5717688434976836E-3</v>
      </c>
      <c r="L208" s="115">
        <v>2.8059879823447251E-2</v>
      </c>
      <c r="P208" s="108">
        <v>8.1846591262180954E-2</v>
      </c>
      <c r="Q208" s="108">
        <v>1.6369318252436187</v>
      </c>
      <c r="R208" s="49">
        <v>71999258.829527572</v>
      </c>
    </row>
    <row r="209" spans="1:18" x14ac:dyDescent="0.25">
      <c r="A209">
        <f t="shared" si="6"/>
        <v>197</v>
      </c>
      <c r="B209" s="168">
        <v>0.98701155104729921</v>
      </c>
      <c r="C209" s="122">
        <v>0.90013992305173485</v>
      </c>
      <c r="D209" s="122">
        <v>0.90651356028408026</v>
      </c>
      <c r="E209" s="122">
        <v>2.1719025338468052</v>
      </c>
      <c r="F209" s="122">
        <v>5.608413165179031</v>
      </c>
      <c r="G209" s="122">
        <v>1.0851984548437683</v>
      </c>
      <c r="H209" s="163">
        <v>1</v>
      </c>
      <c r="I209" s="12">
        <v>2.5593770271375396E-2</v>
      </c>
      <c r="J209" s="115">
        <v>4.2313768532927155E-2</v>
      </c>
      <c r="K209" s="115">
        <v>3.8273873333636581E-3</v>
      </c>
      <c r="L209" s="115">
        <v>4.1748512459029066E-2</v>
      </c>
      <c r="P209" s="108">
        <v>8.1598953995948312E-2</v>
      </c>
      <c r="Q209" s="108">
        <v>1.631979079918966</v>
      </c>
      <c r="R209" s="49">
        <v>71781415.919366464</v>
      </c>
    </row>
    <row r="210" spans="1:18" x14ac:dyDescent="0.25">
      <c r="A210">
        <f t="shared" si="6"/>
        <v>198</v>
      </c>
      <c r="B210" s="168">
        <v>1.0062086148658678</v>
      </c>
      <c r="C210" s="122">
        <v>0.88411249799510927</v>
      </c>
      <c r="D210" s="122">
        <v>0.90762427864171102</v>
      </c>
      <c r="E210" s="122">
        <v>3.2377890280504893</v>
      </c>
      <c r="F210" s="122">
        <v>5.5055062449417873</v>
      </c>
      <c r="G210" s="122">
        <v>1.0484855489914393</v>
      </c>
      <c r="H210" s="163">
        <v>1</v>
      </c>
      <c r="I210" s="12">
        <v>2.6079206843409683E-2</v>
      </c>
      <c r="J210" s="115">
        <v>3.912787605783654E-2</v>
      </c>
      <c r="K210" s="115">
        <v>-1.3283677186119664E-3</v>
      </c>
      <c r="L210" s="115">
        <v>1.8805075128352056E-2</v>
      </c>
      <c r="P210" s="108">
        <v>5.0573733176398135E-2</v>
      </c>
      <c r="Q210" s="108">
        <v>1.0114746635279626</v>
      </c>
      <c r="R210" s="49">
        <v>44488979.306160621</v>
      </c>
    </row>
    <row r="211" spans="1:18" x14ac:dyDescent="0.25">
      <c r="A211">
        <f t="shared" si="6"/>
        <v>199</v>
      </c>
      <c r="B211" s="168">
        <v>0.99163671035076195</v>
      </c>
      <c r="C211" s="122">
        <v>0.89043720776189583</v>
      </c>
      <c r="D211" s="122">
        <v>0.90434373927175238</v>
      </c>
      <c r="E211" s="122">
        <v>2.1842942734441286</v>
      </c>
      <c r="F211" s="122">
        <v>2.8246902153636975</v>
      </c>
      <c r="G211" s="122">
        <v>1.0911391167644788</v>
      </c>
      <c r="H211" s="163">
        <v>1</v>
      </c>
      <c r="I211" s="12">
        <v>3.3242669526373524E-2</v>
      </c>
      <c r="J211" s="115">
        <v>2.7834835141570535E-3</v>
      </c>
      <c r="K211" s="115">
        <v>3.7909527960869557E-3</v>
      </c>
      <c r="L211" s="115">
        <v>2.5891474270753473E-2</v>
      </c>
      <c r="P211" s="108">
        <v>-0.11587518723466378</v>
      </c>
      <c r="Q211" s="108">
        <v>-2.3175037446932754</v>
      </c>
      <c r="R211" s="49">
        <v>-101933720.98910573</v>
      </c>
    </row>
    <row r="212" spans="1:18" x14ac:dyDescent="0.25">
      <c r="A212">
        <f t="shared" si="6"/>
        <v>200</v>
      </c>
      <c r="B212" s="168">
        <v>0.98896290691799726</v>
      </c>
      <c r="C212" s="122">
        <v>0.90838083093280597</v>
      </c>
      <c r="D212" s="122">
        <v>0.90598439836621159</v>
      </c>
      <c r="E212" s="122">
        <v>1.6367497571309371</v>
      </c>
      <c r="F212" s="122">
        <v>1.8420676169571313</v>
      </c>
      <c r="G212" s="122">
        <v>1.1220394816360313</v>
      </c>
      <c r="H212" s="163">
        <v>1</v>
      </c>
      <c r="I212" s="12">
        <v>8.3785226930779451E-3</v>
      </c>
      <c r="J212" s="115">
        <v>3.2411139498126684E-2</v>
      </c>
      <c r="K212" s="115">
        <v>7.0500740242635303E-3</v>
      </c>
      <c r="L212" s="115">
        <v>3.0053549861860963E-3</v>
      </c>
      <c r="P212" s="108">
        <v>-9.3513803627853637E-2</v>
      </c>
      <c r="Q212" s="108">
        <v>-1.8702760725570724</v>
      </c>
      <c r="R212" s="49">
        <v>-82262736.269220158</v>
      </c>
    </row>
    <row r="213" spans="1:18" x14ac:dyDescent="0.25">
      <c r="A213">
        <f t="shared" si="6"/>
        <v>201</v>
      </c>
      <c r="B213" s="168">
        <v>0.9976387149953746</v>
      </c>
      <c r="C213" s="122">
        <v>0.90429502978273801</v>
      </c>
      <c r="D213" s="122">
        <v>0.891267190841736</v>
      </c>
      <c r="E213" s="122">
        <v>0.53007629979204007</v>
      </c>
      <c r="F213" s="122">
        <v>8.0893089481792018</v>
      </c>
      <c r="G213" s="122">
        <v>1.0954479048899517</v>
      </c>
      <c r="H213" s="163">
        <v>1</v>
      </c>
      <c r="I213" s="12">
        <v>3.1916092349589253E-2</v>
      </c>
      <c r="J213" s="115">
        <v>2.3517382294337041E-2</v>
      </c>
      <c r="K213" s="115">
        <v>-4.3229913873250462E-3</v>
      </c>
      <c r="L213" s="115">
        <v>3.001405696997796E-2</v>
      </c>
      <c r="P213" s="108">
        <v>6.9720187661359817E-2</v>
      </c>
      <c r="Q213" s="108">
        <v>1.394403753227196</v>
      </c>
      <c r="R213" s="49">
        <v>61331837.522633553</v>
      </c>
    </row>
    <row r="214" spans="1:18" x14ac:dyDescent="0.25">
      <c r="A214">
        <f t="shared" si="6"/>
        <v>202</v>
      </c>
      <c r="B214" s="168">
        <v>0.98311564732115675</v>
      </c>
      <c r="C214" s="122">
        <v>0.88476917627939666</v>
      </c>
      <c r="D214" s="122">
        <v>0.89222593105015413</v>
      </c>
      <c r="E214" s="122">
        <v>3.2755604511970464</v>
      </c>
      <c r="F214" s="122">
        <v>4.1095750713977228</v>
      </c>
      <c r="G214" s="122">
        <v>1.0908923249040092</v>
      </c>
      <c r="H214" s="163">
        <v>1</v>
      </c>
      <c r="I214" s="12">
        <v>2.3409219353223175E-2</v>
      </c>
      <c r="J214" s="115">
        <v>4.5873959600979619E-2</v>
      </c>
      <c r="K214" s="115">
        <v>-1.0228510829554231E-2</v>
      </c>
      <c r="L214" s="115">
        <v>-2.718559700238252E-2</v>
      </c>
      <c r="P214" s="108">
        <v>9.2926528827179077E-3</v>
      </c>
      <c r="Q214" s="108">
        <v>0.18585305765435811</v>
      </c>
      <c r="R214" s="49">
        <v>8174611.9147776812</v>
      </c>
    </row>
    <row r="215" spans="1:18" x14ac:dyDescent="0.25">
      <c r="A215">
        <f t="shared" si="6"/>
        <v>203</v>
      </c>
      <c r="B215" s="168">
        <v>1.0168295688098081</v>
      </c>
      <c r="C215" s="122">
        <v>0.92666408306908776</v>
      </c>
      <c r="D215" s="122">
        <v>0.89872205182226728</v>
      </c>
      <c r="E215" s="122">
        <v>2.5901037511486025</v>
      </c>
      <c r="F215" s="122">
        <v>6.0731133481019528</v>
      </c>
      <c r="G215" s="122">
        <v>1.1058293617493073</v>
      </c>
      <c r="H215" s="163">
        <v>1</v>
      </c>
      <c r="I215" s="12">
        <v>2.2363405275359162E-2</v>
      </c>
      <c r="J215" s="115">
        <v>2.7771681324678138E-2</v>
      </c>
      <c r="K215" s="115">
        <v>3.3184729220089131E-3</v>
      </c>
      <c r="L215" s="115">
        <v>2.4572040276705641E-2</v>
      </c>
      <c r="P215" s="108">
        <v>1.425415482980559E-2</v>
      </c>
      <c r="Q215" s="108">
        <v>0.28508309659611175</v>
      </c>
      <c r="R215" s="49">
        <v>12539173.191706914</v>
      </c>
    </row>
    <row r="216" spans="1:18" x14ac:dyDescent="0.25">
      <c r="A216">
        <f t="shared" si="6"/>
        <v>204</v>
      </c>
      <c r="B216" s="168">
        <v>0.98537006749266742</v>
      </c>
      <c r="C216" s="122">
        <v>0.95875005795350676</v>
      </c>
      <c r="D216" s="122">
        <v>0.89473800336773324</v>
      </c>
      <c r="E216" s="122">
        <v>2.8532436839711868</v>
      </c>
      <c r="F216" s="122">
        <v>5.7541295896164302</v>
      </c>
      <c r="G216" s="122">
        <v>1.1153923630133007</v>
      </c>
      <c r="H216" s="163">
        <v>1</v>
      </c>
      <c r="I216" s="12">
        <v>2.6446499535995174E-2</v>
      </c>
      <c r="J216" s="115">
        <v>2.1348493791611082E-2</v>
      </c>
      <c r="K216" s="115">
        <v>9.4492908685972453E-3</v>
      </c>
      <c r="L216" s="115">
        <v>2.5072746363540611E-2</v>
      </c>
      <c r="P216" s="108">
        <v>-9.9567184934250368E-3</v>
      </c>
      <c r="Q216" s="108">
        <v>-0.19913436986850069</v>
      </c>
      <c r="R216" s="49">
        <v>-8758780.7976567857</v>
      </c>
    </row>
    <row r="217" spans="1:18" x14ac:dyDescent="0.25">
      <c r="A217">
        <f t="shared" si="6"/>
        <v>205</v>
      </c>
      <c r="B217" s="168">
        <v>1.0036325196084375</v>
      </c>
      <c r="C217" s="122">
        <v>0.90481078556876227</v>
      </c>
      <c r="D217" s="122">
        <v>0.89019889457934887</v>
      </c>
      <c r="E217" s="122">
        <v>2.503552962053579</v>
      </c>
      <c r="F217" s="122">
        <v>9.0240148345532774</v>
      </c>
      <c r="G217" s="122">
        <v>1.1493061461154217</v>
      </c>
      <c r="H217" s="163">
        <v>1</v>
      </c>
      <c r="I217" s="12">
        <v>1.3727545161181402E-2</v>
      </c>
      <c r="J217" s="115">
        <v>5.1919065763196937E-2</v>
      </c>
      <c r="K217" s="115">
        <v>1.2077729461509725E-2</v>
      </c>
      <c r="L217" s="115">
        <v>1.334622629295335E-2</v>
      </c>
      <c r="P217" s="108">
        <v>0.10807277828245988</v>
      </c>
      <c r="Q217" s="108">
        <v>2.1614555656491974</v>
      </c>
      <c r="R217" s="49">
        <v>95070055.038204566</v>
      </c>
    </row>
    <row r="218" spans="1:18" x14ac:dyDescent="0.25">
      <c r="A218">
        <f t="shared" si="6"/>
        <v>206</v>
      </c>
      <c r="B218" s="168">
        <v>1.0137532457717569</v>
      </c>
      <c r="C218" s="122">
        <v>0.90034358588112406</v>
      </c>
      <c r="D218" s="122">
        <v>0.88354478582408014</v>
      </c>
      <c r="E218" s="122">
        <v>2.4810069811533046</v>
      </c>
      <c r="F218" s="122">
        <v>2.8356960711866113</v>
      </c>
      <c r="G218" s="122">
        <v>1.0676690438856669</v>
      </c>
      <c r="H218" s="163">
        <v>1</v>
      </c>
      <c r="I218" s="12">
        <v>3.1236578870675921E-2</v>
      </c>
      <c r="J218" s="115">
        <v>2.3075159994690522E-2</v>
      </c>
      <c r="K218" s="115">
        <v>-2.0837497966509971E-3</v>
      </c>
      <c r="L218" s="115">
        <v>1.8947134872627686E-2</v>
      </c>
      <c r="P218" s="108">
        <v>-4.5747855988804972E-2</v>
      </c>
      <c r="Q218" s="108">
        <v>-0.91495711977609917</v>
      </c>
      <c r="R218" s="49">
        <v>-40243725.162392959</v>
      </c>
    </row>
    <row r="219" spans="1:18" x14ac:dyDescent="0.25">
      <c r="A219">
        <f t="shared" si="6"/>
        <v>207</v>
      </c>
      <c r="B219" s="168">
        <v>1.0231361171046347</v>
      </c>
      <c r="C219" s="122">
        <v>0.91649074809054853</v>
      </c>
      <c r="D219" s="122">
        <v>0.89628125132577074</v>
      </c>
      <c r="E219" s="122">
        <v>2.1733947932108251</v>
      </c>
      <c r="F219" s="122">
        <v>3.943160492544445</v>
      </c>
      <c r="G219" s="122">
        <v>1.0912486783260698</v>
      </c>
      <c r="H219" s="163">
        <v>1</v>
      </c>
      <c r="I219" s="12">
        <v>3.2829120519412856E-2</v>
      </c>
      <c r="J219" s="115">
        <v>4.4954249229165397E-2</v>
      </c>
      <c r="K219" s="115">
        <v>1.2581210321774209E-3</v>
      </c>
      <c r="L219" s="115">
        <v>1.0805196776071543E-2</v>
      </c>
      <c r="P219" s="108">
        <v>4.4684868825329134E-2</v>
      </c>
      <c r="Q219" s="108">
        <v>0.89369737650658254</v>
      </c>
      <c r="R219" s="49">
        <v>39308630.777455196</v>
      </c>
    </row>
    <row r="220" spans="1:18" x14ac:dyDescent="0.25">
      <c r="A220">
        <f t="shared" si="6"/>
        <v>208</v>
      </c>
      <c r="B220" s="168">
        <v>0.9966997419312037</v>
      </c>
      <c r="C220" s="122">
        <v>0.9356074014566943</v>
      </c>
      <c r="D220" s="122">
        <v>0.90302306782888364</v>
      </c>
      <c r="E220" s="122">
        <v>2.1134742121697454</v>
      </c>
      <c r="F220" s="122">
        <v>3.4372498513457783</v>
      </c>
      <c r="G220" s="122">
        <v>1.064738790064377</v>
      </c>
      <c r="H220" s="163">
        <v>1</v>
      </c>
      <c r="I220" s="12">
        <v>2.8283835156219038E-2</v>
      </c>
      <c r="J220" s="115">
        <v>6.2224199232185515E-2</v>
      </c>
      <c r="K220" s="115">
        <v>1.2923171401680237E-3</v>
      </c>
      <c r="L220" s="115">
        <v>7.899739888723117E-3</v>
      </c>
      <c r="P220" s="108">
        <v>9.3065056951377442E-2</v>
      </c>
      <c r="Q220" s="108">
        <v>1.8613011390275485</v>
      </c>
      <c r="R220" s="49">
        <v>81867980.328743622</v>
      </c>
    </row>
    <row r="221" spans="1:18" x14ac:dyDescent="0.25">
      <c r="A221">
        <f t="shared" si="6"/>
        <v>209</v>
      </c>
      <c r="B221" s="168">
        <v>0.99940328201781514</v>
      </c>
      <c r="C221" s="122">
        <v>0.89283772190871247</v>
      </c>
      <c r="D221" s="122">
        <v>0.9034053632667769</v>
      </c>
      <c r="E221" s="122">
        <v>2.408838428514636</v>
      </c>
      <c r="F221" s="122">
        <v>2.9637402606350873</v>
      </c>
      <c r="G221" s="122">
        <v>1.0986573179762431</v>
      </c>
      <c r="H221" s="163">
        <v>1</v>
      </c>
      <c r="I221" s="12">
        <v>1.8861797041635341E-2</v>
      </c>
      <c r="J221" s="115">
        <v>5.0954237248525325E-2</v>
      </c>
      <c r="K221" s="115">
        <v>-1.3686704466818779E-3</v>
      </c>
      <c r="L221" s="115">
        <v>4.9601490714029944E-2</v>
      </c>
      <c r="P221" s="108">
        <v>5.9803139370281068E-2</v>
      </c>
      <c r="Q221" s="108">
        <v>1.1960627874056211</v>
      </c>
      <c r="R221" s="49">
        <v>52607954.026409887</v>
      </c>
    </row>
    <row r="222" spans="1:18" x14ac:dyDescent="0.25">
      <c r="A222">
        <f t="shared" si="6"/>
        <v>210</v>
      </c>
      <c r="B222" s="168">
        <v>0.98521984196784362</v>
      </c>
      <c r="C222" s="122">
        <v>0.8670959487633868</v>
      </c>
      <c r="D222" s="122">
        <v>0.90155706020918114</v>
      </c>
      <c r="E222" s="122">
        <v>2.1851991452115453</v>
      </c>
      <c r="F222" s="122">
        <v>3.0429459686038243</v>
      </c>
      <c r="G222" s="122">
        <v>1.0571534283944499</v>
      </c>
      <c r="H222" s="163">
        <v>1</v>
      </c>
      <c r="I222" s="12">
        <v>9.5036715827283673E-3</v>
      </c>
      <c r="J222" s="115">
        <v>3.7972381060248486E-2</v>
      </c>
      <c r="K222" s="115">
        <v>-5.260297446123898E-3</v>
      </c>
      <c r="L222" s="115">
        <v>-1.2561578365663868E-2</v>
      </c>
      <c r="P222" s="108">
        <v>-3.1611087766551658E-2</v>
      </c>
      <c r="Q222" s="108">
        <v>-0.63222175533103309</v>
      </c>
      <c r="R222" s="49">
        <v>-27807815.266199484</v>
      </c>
    </row>
    <row r="223" spans="1:18" x14ac:dyDescent="0.25">
      <c r="A223">
        <f t="shared" si="6"/>
        <v>211</v>
      </c>
      <c r="B223" s="168">
        <v>0.99931988297048591</v>
      </c>
      <c r="C223" s="122">
        <v>0.91206269451645783</v>
      </c>
      <c r="D223" s="122">
        <v>0.89682069254740782</v>
      </c>
      <c r="E223" s="122">
        <v>1.1951726876555666</v>
      </c>
      <c r="F223" s="122">
        <v>5.8187600372707156</v>
      </c>
      <c r="G223" s="122">
        <v>1.096340136426345</v>
      </c>
      <c r="H223" s="163">
        <v>1</v>
      </c>
      <c r="I223" s="12">
        <v>2.8326453979490102E-2</v>
      </c>
      <c r="J223" s="115">
        <v>4.1347797776179834E-2</v>
      </c>
      <c r="K223" s="115">
        <v>-6.3589803812133814E-3</v>
      </c>
      <c r="L223" s="115">
        <v>2.707251823790106E-2</v>
      </c>
      <c r="P223" s="108">
        <v>8.1354917542884389E-2</v>
      </c>
      <c r="Q223" s="108">
        <v>1.6270983508576875</v>
      </c>
      <c r="R223" s="49">
        <v>71566740.592306033</v>
      </c>
    </row>
    <row r="224" spans="1:18" x14ac:dyDescent="0.25">
      <c r="A224">
        <f t="shared" si="6"/>
        <v>212</v>
      </c>
      <c r="B224" s="168">
        <v>0.98617057435630628</v>
      </c>
      <c r="C224" s="122">
        <v>0.88243237407887842</v>
      </c>
      <c r="D224" s="122">
        <v>0.88838336445792387</v>
      </c>
      <c r="E224" s="122">
        <v>0.99122611712409969</v>
      </c>
      <c r="F224" s="122">
        <v>7.1713130475520259</v>
      </c>
      <c r="G224" s="122">
        <v>1.1145052345590334</v>
      </c>
      <c r="H224" s="163">
        <v>1</v>
      </c>
      <c r="I224" s="12">
        <v>4.0844912234122753E-2</v>
      </c>
      <c r="J224" s="115">
        <v>6.8895517234186965E-2</v>
      </c>
      <c r="K224" s="115">
        <v>-1.2199501949677633E-3</v>
      </c>
      <c r="L224" s="115">
        <v>2.5831054444199204E-2</v>
      </c>
      <c r="P224" s="108">
        <v>0.20723389797145642</v>
      </c>
      <c r="Q224" s="108">
        <v>4.1446779594291279</v>
      </c>
      <c r="R224" s="49">
        <v>182300653.3100816</v>
      </c>
    </row>
    <row r="225" spans="1:18" x14ac:dyDescent="0.25">
      <c r="A225">
        <f t="shared" si="6"/>
        <v>213</v>
      </c>
      <c r="B225" s="168">
        <v>1.0130949830909299</v>
      </c>
      <c r="C225" s="122">
        <v>0.84783764074891244</v>
      </c>
      <c r="D225" s="122">
        <v>0.90728689116639472</v>
      </c>
      <c r="E225" s="122">
        <v>1.7593063591406966</v>
      </c>
      <c r="F225" s="122">
        <v>3.3567546498891616</v>
      </c>
      <c r="G225" s="122">
        <v>1.0980202680754112</v>
      </c>
      <c r="H225" s="163">
        <v>1</v>
      </c>
      <c r="I225" s="12">
        <v>2.5350413607073692E-2</v>
      </c>
      <c r="J225" s="115">
        <v>3.8314262328187999E-2</v>
      </c>
      <c r="K225" s="115">
        <v>-4.1757317552297817E-4</v>
      </c>
      <c r="L225" s="115">
        <v>5.1324728210654952E-2</v>
      </c>
      <c r="P225" s="108">
        <v>3.0720652726550734E-2</v>
      </c>
      <c r="Q225" s="108">
        <v>0.61441305453101458</v>
      </c>
      <c r="R225" s="49">
        <v>27024512.480741501</v>
      </c>
    </row>
    <row r="226" spans="1:18" x14ac:dyDescent="0.25">
      <c r="A226">
        <f t="shared" si="6"/>
        <v>214</v>
      </c>
      <c r="B226" s="168">
        <v>0.99711851843145916</v>
      </c>
      <c r="C226" s="122">
        <v>0.91673472981351511</v>
      </c>
      <c r="D226" s="122">
        <v>0.8929699435621451</v>
      </c>
      <c r="E226" s="122">
        <v>1.4352829401432849</v>
      </c>
      <c r="F226" s="122">
        <v>5.2865878762674052</v>
      </c>
      <c r="G226" s="122">
        <v>1.1078771784116397</v>
      </c>
      <c r="H226" s="163">
        <v>1</v>
      </c>
      <c r="I226" s="12">
        <v>4.5403130960949917E-2</v>
      </c>
      <c r="J226" s="115">
        <v>9.2842700377728668E-2</v>
      </c>
      <c r="K226" s="115">
        <v>-1.3409520491120611E-3</v>
      </c>
      <c r="L226" s="115">
        <v>2.4188286261620149E-2</v>
      </c>
      <c r="P226" s="108">
        <v>0.25562927688495907</v>
      </c>
      <c r="Q226" s="108">
        <v>5.1125855376991813</v>
      </c>
      <c r="R226" s="49">
        <v>224873365.97669208</v>
      </c>
    </row>
    <row r="227" spans="1:18" x14ac:dyDescent="0.25">
      <c r="A227">
        <f t="shared" si="6"/>
        <v>215</v>
      </c>
      <c r="B227" s="168">
        <v>1.0318918398593868</v>
      </c>
      <c r="C227" s="122">
        <v>0.87388980580028874</v>
      </c>
      <c r="D227" s="122">
        <v>0.9059117172733826</v>
      </c>
      <c r="E227" s="122">
        <v>3.5839102029847982</v>
      </c>
      <c r="F227" s="122">
        <v>1.71009739426824</v>
      </c>
      <c r="G227" s="122">
        <v>1.1284782545631509</v>
      </c>
      <c r="H227" s="163">
        <v>1</v>
      </c>
      <c r="I227" s="12">
        <v>3.0711479895293877E-2</v>
      </c>
      <c r="J227" s="115">
        <v>3.6949162457506735E-2</v>
      </c>
      <c r="K227" s="115">
        <v>1.6619405822126163E-2</v>
      </c>
      <c r="L227" s="115">
        <v>4.8254727522781898E-2</v>
      </c>
      <c r="P227" s="108">
        <v>-7.7371938301088123E-4</v>
      </c>
      <c r="Q227" s="108">
        <v>-1.5474387660217621E-2</v>
      </c>
      <c r="R227" s="49">
        <v>-680629.71541936696</v>
      </c>
    </row>
    <row r="228" spans="1:18" x14ac:dyDescent="0.25">
      <c r="A228">
        <f t="shared" si="6"/>
        <v>216</v>
      </c>
      <c r="B228" s="168">
        <v>1.0023916870868939</v>
      </c>
      <c r="C228" s="122">
        <v>0.86993438393675881</v>
      </c>
      <c r="D228" s="122">
        <v>0.89095658738970773</v>
      </c>
      <c r="E228" s="122">
        <v>1.4117366258678441</v>
      </c>
      <c r="F228" s="122">
        <v>6.8307357405499634</v>
      </c>
      <c r="G228" s="122">
        <v>1.0912476499691883</v>
      </c>
      <c r="H228" s="163">
        <v>1</v>
      </c>
      <c r="I228" s="12">
        <v>2.2061553586350216E-2</v>
      </c>
      <c r="J228" s="115">
        <v>4.6732466006125684E-2</v>
      </c>
      <c r="K228" s="115">
        <v>1.5542796273776637E-3</v>
      </c>
      <c r="L228" s="115">
        <v>1.4730108794318585E-2</v>
      </c>
      <c r="P228" s="108">
        <v>9.7993335147983321E-2</v>
      </c>
      <c r="Q228" s="108">
        <v>1.9598667029596661</v>
      </c>
      <c r="R228" s="49">
        <v>86203315.154414058</v>
      </c>
    </row>
    <row r="229" spans="1:18" x14ac:dyDescent="0.25">
      <c r="A229">
        <f t="shared" si="6"/>
        <v>217</v>
      </c>
      <c r="B229" s="168">
        <v>0.99897179133752489</v>
      </c>
      <c r="C229" s="122">
        <v>0.87711443618516127</v>
      </c>
      <c r="D229" s="122">
        <v>0.90209326239982135</v>
      </c>
      <c r="E229" s="122">
        <v>2.31374952947152</v>
      </c>
      <c r="F229" s="122">
        <v>4.076875420817224</v>
      </c>
      <c r="G229" s="122">
        <v>1.0736273116267423</v>
      </c>
      <c r="H229" s="163">
        <v>1</v>
      </c>
      <c r="I229" s="12">
        <v>4.042492901865824E-2</v>
      </c>
      <c r="J229" s="115">
        <v>4.7455690106622851E-2</v>
      </c>
      <c r="K229" s="115">
        <v>1.2860478808135862E-2</v>
      </c>
      <c r="L229" s="115">
        <v>3.0294036091353387E-2</v>
      </c>
      <c r="P229" s="108">
        <v>8.2139867509365763E-2</v>
      </c>
      <c r="Q229" s="108">
        <v>1.642797350187315</v>
      </c>
      <c r="R229" s="49">
        <v>72257249.689061046</v>
      </c>
    </row>
    <row r="230" spans="1:18" x14ac:dyDescent="0.25">
      <c r="A230">
        <f t="shared" si="6"/>
        <v>218</v>
      </c>
      <c r="B230" s="168">
        <v>1.0022360055275319</v>
      </c>
      <c r="C230" s="122">
        <v>0.88962388559055161</v>
      </c>
      <c r="D230" s="122">
        <v>0.90076132581670454</v>
      </c>
      <c r="E230" s="122">
        <v>1.8548313353039869</v>
      </c>
      <c r="F230" s="122">
        <v>2.5473415638568491</v>
      </c>
      <c r="G230" s="122">
        <v>1.1150593513021994</v>
      </c>
      <c r="H230" s="163">
        <v>1</v>
      </c>
      <c r="I230" s="12">
        <v>3.0151513523202854E-2</v>
      </c>
      <c r="J230" s="115">
        <v>5.3745736821655843E-2</v>
      </c>
      <c r="K230" s="115">
        <v>8.1647493921952977E-3</v>
      </c>
      <c r="L230" s="115">
        <v>2.3907798515484798E-2</v>
      </c>
      <c r="P230" s="108">
        <v>4.4679808034299287E-2</v>
      </c>
      <c r="Q230" s="108">
        <v>0.89359616068598557</v>
      </c>
      <c r="R230" s="49">
        <v>39304178.873012714</v>
      </c>
    </row>
    <row r="231" spans="1:18" x14ac:dyDescent="0.25">
      <c r="A231">
        <f t="shared" si="6"/>
        <v>219</v>
      </c>
      <c r="B231" s="168">
        <v>1.011248229902272</v>
      </c>
      <c r="C231" s="122">
        <v>0.92480672466942349</v>
      </c>
      <c r="D231" s="122">
        <v>0.88844030234682014</v>
      </c>
      <c r="E231" s="122">
        <v>2.0049688235156404</v>
      </c>
      <c r="F231" s="122">
        <v>1.1313007748905419</v>
      </c>
      <c r="G231" s="122">
        <v>1.1134492990848921</v>
      </c>
      <c r="H231" s="163">
        <v>1</v>
      </c>
      <c r="I231" s="12">
        <v>1.9748709505464739E-2</v>
      </c>
      <c r="J231" s="115">
        <v>5.3980778168910337E-2</v>
      </c>
      <c r="K231" s="115">
        <v>1.4080833842165023E-2</v>
      </c>
      <c r="L231" s="115">
        <v>1.6137126571602628E-2</v>
      </c>
      <c r="P231" s="108">
        <v>-1.5839196567478928E-2</v>
      </c>
      <c r="Q231" s="108">
        <v>-0.31678393134957855</v>
      </c>
      <c r="R231" s="49">
        <v>-13933511.411129866</v>
      </c>
    </row>
    <row r="232" spans="1:18" x14ac:dyDescent="0.25">
      <c r="A232">
        <f t="shared" si="6"/>
        <v>220</v>
      </c>
      <c r="B232" s="168">
        <v>1.0069119051169317</v>
      </c>
      <c r="C232" s="122">
        <v>0.87459340335524316</v>
      </c>
      <c r="D232" s="122">
        <v>0.9207692633670419</v>
      </c>
      <c r="E232" s="122">
        <v>6.5063341577846323E-2</v>
      </c>
      <c r="F232" s="122">
        <v>7.0629265230037834</v>
      </c>
      <c r="G232" s="122">
        <v>1.1025759704522693</v>
      </c>
      <c r="H232" s="163">
        <v>1</v>
      </c>
      <c r="I232" s="12">
        <v>2.3653782056646672E-2</v>
      </c>
      <c r="J232" s="115">
        <v>4.3109545979373248E-2</v>
      </c>
      <c r="K232" s="115">
        <v>5.8491507764204947E-3</v>
      </c>
      <c r="L232" s="115">
        <v>2.6648833224140203E-2</v>
      </c>
      <c r="P232" s="108">
        <v>0.13513745240458711</v>
      </c>
      <c r="Q232" s="108">
        <v>2.7027490480917415</v>
      </c>
      <c r="R232" s="49">
        <v>118878456.184854</v>
      </c>
    </row>
    <row r="233" spans="1:18" x14ac:dyDescent="0.25">
      <c r="A233">
        <f t="shared" si="6"/>
        <v>221</v>
      </c>
      <c r="B233" s="168">
        <v>1.0122006938169605</v>
      </c>
      <c r="C233" s="122">
        <v>0.89120743036779504</v>
      </c>
      <c r="D233" s="122">
        <v>0.89386977348672991</v>
      </c>
      <c r="E233" s="122">
        <v>3.4456443673626129</v>
      </c>
      <c r="F233" s="122">
        <v>6.6771238896666878</v>
      </c>
      <c r="G233" s="122">
        <v>1.0836471280980498</v>
      </c>
      <c r="H233" s="163">
        <v>1</v>
      </c>
      <c r="I233" s="12">
        <v>4.8621714873567153E-2</v>
      </c>
      <c r="J233" s="115">
        <v>5.5376305068765938E-2</v>
      </c>
      <c r="K233" s="115">
        <v>-2.2040301233341025E-3</v>
      </c>
      <c r="L233" s="115">
        <v>1.9215393055476825E-2</v>
      </c>
      <c r="P233" s="108">
        <v>0.13169838344426105</v>
      </c>
      <c r="Q233" s="108">
        <v>2.6339676688852203</v>
      </c>
      <c r="R233" s="49">
        <v>115853157.11755462</v>
      </c>
    </row>
    <row r="234" spans="1:18" x14ac:dyDescent="0.25">
      <c r="A234">
        <f t="shared" si="6"/>
        <v>222</v>
      </c>
      <c r="B234" s="168">
        <v>1.0135202218330972</v>
      </c>
      <c r="C234" s="122">
        <v>0.88963714846635</v>
      </c>
      <c r="D234" s="122">
        <v>0.9086334868343372</v>
      </c>
      <c r="E234" s="122">
        <v>2.4526509651561574</v>
      </c>
      <c r="F234" s="122">
        <v>6.0030659153134902</v>
      </c>
      <c r="G234" s="122">
        <v>1.0734473508773894</v>
      </c>
      <c r="H234" s="163">
        <v>1</v>
      </c>
      <c r="I234" s="12">
        <v>1.8694793591443885E-2</v>
      </c>
      <c r="J234" s="115">
        <v>4.7151533041358704E-2</v>
      </c>
      <c r="K234" s="115">
        <v>8.5262950926650038E-3</v>
      </c>
      <c r="L234" s="115">
        <v>3.1865883972402413E-2</v>
      </c>
      <c r="P234" s="108">
        <v>9.0522537524671154E-2</v>
      </c>
      <c r="Q234" s="108">
        <v>1.8104507504934226</v>
      </c>
      <c r="R234" s="49">
        <v>79631362.878224149</v>
      </c>
    </row>
    <row r="235" spans="1:18" x14ac:dyDescent="0.25">
      <c r="A235">
        <f t="shared" si="6"/>
        <v>223</v>
      </c>
      <c r="B235" s="168">
        <v>1.0192033113117445</v>
      </c>
      <c r="C235" s="122">
        <v>0.91358334631918869</v>
      </c>
      <c r="D235" s="122">
        <v>0.91113104255837052</v>
      </c>
      <c r="E235" s="122">
        <v>1.1386601189653653</v>
      </c>
      <c r="F235" s="122">
        <v>6.5733560894073202</v>
      </c>
      <c r="G235" s="122">
        <v>1.0934828808597032</v>
      </c>
      <c r="H235" s="163">
        <v>1</v>
      </c>
      <c r="I235" s="12">
        <v>2.3468885410557236E-2</v>
      </c>
      <c r="J235" s="115">
        <v>4.6742124712438764E-2</v>
      </c>
      <c r="K235" s="115">
        <v>9.5703641038108224E-3</v>
      </c>
      <c r="L235" s="115">
        <v>-6.2010926884063546E-3</v>
      </c>
      <c r="P235" s="108">
        <v>8.6412670469945774E-2</v>
      </c>
      <c r="Q235" s="108">
        <v>1.728253409398915</v>
      </c>
      <c r="R235" s="49">
        <v>76015972.459822565</v>
      </c>
    </row>
    <row r="236" spans="1:18" x14ac:dyDescent="0.25">
      <c r="A236">
        <f t="shared" si="6"/>
        <v>224</v>
      </c>
      <c r="B236" s="168">
        <v>1.0031605141519508</v>
      </c>
      <c r="C236" s="122">
        <v>0.86096316524506988</v>
      </c>
      <c r="D236" s="122">
        <v>0.90250177708030577</v>
      </c>
      <c r="E236" s="122">
        <v>2.2668834198913461</v>
      </c>
      <c r="F236" s="122">
        <v>1.2253152457663816</v>
      </c>
      <c r="G236" s="122">
        <v>1.1203212772924969</v>
      </c>
      <c r="H236" s="163">
        <v>1</v>
      </c>
      <c r="I236" s="12">
        <v>1.9605334784544442E-2</v>
      </c>
      <c r="J236" s="115">
        <v>3.2521687516607931E-2</v>
      </c>
      <c r="K236" s="115">
        <v>2.3117277090939897E-3</v>
      </c>
      <c r="L236" s="115">
        <v>1.9422046668770808E-2</v>
      </c>
      <c r="P236" s="108">
        <v>-8.171612856803348E-2</v>
      </c>
      <c r="Q236" s="108">
        <v>-1.6343225713606693</v>
      </c>
      <c r="R236" s="49">
        <v>-71884492.690355927</v>
      </c>
    </row>
    <row r="237" spans="1:18" x14ac:dyDescent="0.25">
      <c r="A237">
        <f t="shared" si="6"/>
        <v>225</v>
      </c>
      <c r="B237" s="168">
        <v>1.0106747420335425</v>
      </c>
      <c r="C237" s="122">
        <v>0.94646627686109241</v>
      </c>
      <c r="D237" s="122">
        <v>0.89327599479693665</v>
      </c>
      <c r="E237" s="122">
        <v>2.8755117507191312</v>
      </c>
      <c r="F237" s="122">
        <v>4.5126465278751953</v>
      </c>
      <c r="G237" s="122">
        <v>1.0945254909976727</v>
      </c>
      <c r="H237" s="163">
        <v>1</v>
      </c>
      <c r="I237" s="12">
        <v>3.5386715966925622E-2</v>
      </c>
      <c r="J237" s="115">
        <v>4.1282505829176509E-2</v>
      </c>
      <c r="K237" s="115">
        <v>1.2769534021533677E-2</v>
      </c>
      <c r="L237" s="115">
        <v>7.6919595324474958E-3</v>
      </c>
      <c r="P237" s="108">
        <v>4.1644351213593403E-2</v>
      </c>
      <c r="Q237" s="108">
        <v>0.832887024271868</v>
      </c>
      <c r="R237" s="49">
        <v>36633931.548969999</v>
      </c>
    </row>
    <row r="238" spans="1:18" x14ac:dyDescent="0.25">
      <c r="A238">
        <f t="shared" si="6"/>
        <v>226</v>
      </c>
      <c r="B238" s="168">
        <v>0.99301705694074782</v>
      </c>
      <c r="C238" s="122">
        <v>0.90996827355304488</v>
      </c>
      <c r="D238" s="122">
        <v>0.90142628349204801</v>
      </c>
      <c r="E238" s="122">
        <v>2.7181272186564911</v>
      </c>
      <c r="F238" s="122">
        <v>6.3470211763410589</v>
      </c>
      <c r="G238" s="122">
        <v>1.1330836103932129</v>
      </c>
      <c r="H238" s="163">
        <v>1</v>
      </c>
      <c r="I238" s="12">
        <v>2.5448550733873709E-2</v>
      </c>
      <c r="J238" s="115">
        <v>3.7271346261503448E-2</v>
      </c>
      <c r="K238" s="115">
        <v>1.3828813471901094E-3</v>
      </c>
      <c r="L238" s="115">
        <v>4.9381931968068879E-2</v>
      </c>
      <c r="P238" s="108">
        <v>6.5873494363163684E-2</v>
      </c>
      <c r="Q238" s="108">
        <v>1.3174698872632735</v>
      </c>
      <c r="R238" s="49">
        <v>57947957.239489637</v>
      </c>
    </row>
    <row r="239" spans="1:18" x14ac:dyDescent="0.25">
      <c r="A239">
        <f t="shared" si="6"/>
        <v>227</v>
      </c>
      <c r="B239" s="168">
        <v>0.99990174610331772</v>
      </c>
      <c r="C239" s="122">
        <v>0.84451564972394955</v>
      </c>
      <c r="D239" s="122">
        <v>0.89596465421124949</v>
      </c>
      <c r="E239" s="122">
        <v>2.042973135815545</v>
      </c>
      <c r="F239" s="122">
        <v>6.4924285175781291</v>
      </c>
      <c r="G239" s="122">
        <v>1.1044425729940643</v>
      </c>
      <c r="H239" s="163">
        <v>1</v>
      </c>
      <c r="I239" s="12">
        <v>3.0372996333723909E-2</v>
      </c>
      <c r="J239" s="115">
        <v>5.2923990121993086E-2</v>
      </c>
      <c r="K239" s="115">
        <v>6.1592456038265025E-3</v>
      </c>
      <c r="L239" s="115">
        <v>1.6429496902605988E-2</v>
      </c>
      <c r="P239" s="108">
        <v>0.11338203557136656</v>
      </c>
      <c r="Q239" s="108">
        <v>2.2676407114273309</v>
      </c>
      <c r="R239" s="49">
        <v>99740531.643785328</v>
      </c>
    </row>
    <row r="240" spans="1:18" x14ac:dyDescent="0.25">
      <c r="A240">
        <f t="shared" si="6"/>
        <v>228</v>
      </c>
      <c r="B240" s="168">
        <v>0.99485543054398329</v>
      </c>
      <c r="C240" s="122">
        <v>0.90895758148503059</v>
      </c>
      <c r="D240" s="122">
        <v>0.91091146997025974</v>
      </c>
      <c r="E240" s="122">
        <v>1.9165910148057885</v>
      </c>
      <c r="F240" s="122">
        <v>4.754600408894043</v>
      </c>
      <c r="G240" s="122">
        <v>1.044367543224096</v>
      </c>
      <c r="H240" s="163">
        <v>1</v>
      </c>
      <c r="I240" s="12">
        <v>1.3945515525662602E-2</v>
      </c>
      <c r="J240" s="115">
        <v>3.5123741672427267E-2</v>
      </c>
      <c r="K240" s="115">
        <v>3.0332270056629348E-3</v>
      </c>
      <c r="L240" s="115">
        <v>1.927987906066083E-2</v>
      </c>
      <c r="P240" s="108">
        <v>2.5423914839001017E-2</v>
      </c>
      <c r="Q240" s="108">
        <v>0.50847829678002021</v>
      </c>
      <c r="R240" s="49">
        <v>22365049.010891743</v>
      </c>
    </row>
    <row r="241" spans="1:18" x14ac:dyDescent="0.25">
      <c r="A241">
        <f t="shared" si="6"/>
        <v>229</v>
      </c>
      <c r="B241" s="168">
        <v>1.0157546748696131</v>
      </c>
      <c r="C241" s="122">
        <v>0.85398823876149155</v>
      </c>
      <c r="D241" s="122">
        <v>0.89940677639531852</v>
      </c>
      <c r="E241" s="122">
        <v>3.1646362052048733</v>
      </c>
      <c r="F241" s="122">
        <v>4.6696213024193698</v>
      </c>
      <c r="G241" s="122">
        <v>1.1439657469099456</v>
      </c>
      <c r="H241" s="163">
        <v>1</v>
      </c>
      <c r="I241" s="12">
        <v>2.9711330772516691E-2</v>
      </c>
      <c r="J241" s="115">
        <v>3.0408575355470785E-2</v>
      </c>
      <c r="K241" s="115">
        <v>7.320370553076154E-3</v>
      </c>
      <c r="L241" s="115">
        <v>1.4008988389683867E-2</v>
      </c>
      <c r="P241" s="108">
        <v>-6.0657227098261319E-3</v>
      </c>
      <c r="Q241" s="108">
        <v>-0.12131445419652262</v>
      </c>
      <c r="R241" s="49">
        <v>-5335928.2608842757</v>
      </c>
    </row>
    <row r="242" spans="1:18" x14ac:dyDescent="0.25">
      <c r="A242">
        <f t="shared" si="6"/>
        <v>230</v>
      </c>
      <c r="B242" s="168">
        <v>1.0009602803978896</v>
      </c>
      <c r="C242" s="122">
        <v>0.90131635159078693</v>
      </c>
      <c r="D242" s="122">
        <v>0.89961613469731905</v>
      </c>
      <c r="E242" s="122">
        <v>2.0888901858945266</v>
      </c>
      <c r="F242" s="122">
        <v>8.1006736765657905</v>
      </c>
      <c r="G242" s="122">
        <v>1.090089381550357</v>
      </c>
      <c r="H242" s="163">
        <v>1</v>
      </c>
      <c r="I242" s="12">
        <v>4.0952736924475888E-2</v>
      </c>
      <c r="J242" s="115">
        <v>3.768378034997618E-2</v>
      </c>
      <c r="K242" s="115">
        <v>1.9376057056425429E-3</v>
      </c>
      <c r="L242" s="115">
        <v>2.0447020613076843E-2</v>
      </c>
      <c r="P242" s="108">
        <v>9.1154950626200021E-2</v>
      </c>
      <c r="Q242" s="108">
        <v>1.8230990125240001</v>
      </c>
      <c r="R242" s="49">
        <v>80187687.508022174</v>
      </c>
    </row>
    <row r="243" spans="1:18" x14ac:dyDescent="0.25">
      <c r="A243">
        <f t="shared" si="6"/>
        <v>231</v>
      </c>
      <c r="B243" s="168">
        <v>1.0033288508561773</v>
      </c>
      <c r="C243" s="122">
        <v>0.90801196198192025</v>
      </c>
      <c r="D243" s="122">
        <v>0.89923236276373175</v>
      </c>
      <c r="E243" s="122">
        <v>4.4393484871376643</v>
      </c>
      <c r="F243" s="122">
        <v>8.8691786917194797</v>
      </c>
      <c r="G243" s="122">
        <v>1.0828401957824425</v>
      </c>
      <c r="H243" s="163">
        <v>1</v>
      </c>
      <c r="I243" s="12">
        <v>4.8075843373928603E-3</v>
      </c>
      <c r="J243" s="115">
        <v>5.8002016250953359E-2</v>
      </c>
      <c r="K243" s="115">
        <v>5.8755480850088311E-3</v>
      </c>
      <c r="L243" s="115">
        <v>9.3196908470229278E-3</v>
      </c>
      <c r="P243" s="108">
        <v>0.10958117626226981</v>
      </c>
      <c r="Q243" s="108">
        <v>2.1916235252453959</v>
      </c>
      <c r="R243" s="49">
        <v>96396970.855851531</v>
      </c>
    </row>
    <row r="244" spans="1:18" x14ac:dyDescent="0.25">
      <c r="A244">
        <f t="shared" si="6"/>
        <v>232</v>
      </c>
      <c r="B244" s="168">
        <v>0.97835252264013994</v>
      </c>
      <c r="C244" s="122">
        <v>0.88054405135716229</v>
      </c>
      <c r="D244" s="122">
        <v>0.88602797097512431</v>
      </c>
      <c r="E244" s="122">
        <v>2.0751275781632192</v>
      </c>
      <c r="F244" s="122">
        <v>3.6029204783243975</v>
      </c>
      <c r="G244" s="122">
        <v>1.1147694096926593</v>
      </c>
      <c r="H244" s="163">
        <v>1</v>
      </c>
      <c r="I244" s="12">
        <v>1.2476442568694476E-2</v>
      </c>
      <c r="J244" s="115">
        <v>3.3803374891554501E-2</v>
      </c>
      <c r="K244" s="115">
        <v>1.3377720761699647E-2</v>
      </c>
      <c r="L244" s="115">
        <v>-1.1867930045609751E-3</v>
      </c>
      <c r="P244" s="108">
        <v>-2.925140480852868E-2</v>
      </c>
      <c r="Q244" s="108">
        <v>-0.5850280961705735</v>
      </c>
      <c r="R244" s="49">
        <v>-25732036.404425129</v>
      </c>
    </row>
    <row r="245" spans="1:18" x14ac:dyDescent="0.25">
      <c r="A245">
        <f t="shared" si="6"/>
        <v>233</v>
      </c>
      <c r="B245" s="168">
        <v>0.99216357779804676</v>
      </c>
      <c r="C245" s="122">
        <v>0.96827818199632365</v>
      </c>
      <c r="D245" s="122">
        <v>0.90276478584861941</v>
      </c>
      <c r="E245" s="122">
        <v>2.569368426290124</v>
      </c>
      <c r="F245" s="122">
        <v>4.2106407690838559</v>
      </c>
      <c r="G245" s="122">
        <v>1.1009263623645869</v>
      </c>
      <c r="H245" s="163">
        <v>1</v>
      </c>
      <c r="I245" s="12">
        <v>2.7276616215755996E-2</v>
      </c>
      <c r="J245" s="115">
        <v>5.9700774006438792E-2</v>
      </c>
      <c r="K245" s="115">
        <v>1.3436729160517424E-2</v>
      </c>
      <c r="L245" s="115">
        <v>4.4469693248427172E-2</v>
      </c>
      <c r="P245" s="108">
        <v>0.12098033309492151</v>
      </c>
      <c r="Q245" s="108">
        <v>2.4196066618984298</v>
      </c>
      <c r="R245" s="49">
        <v>106424643.73233581</v>
      </c>
    </row>
    <row r="246" spans="1:18" x14ac:dyDescent="0.25">
      <c r="A246">
        <f t="shared" si="6"/>
        <v>234</v>
      </c>
      <c r="B246" s="168">
        <v>0.99416378030026875</v>
      </c>
      <c r="C246" s="122">
        <v>0.8978210338656879</v>
      </c>
      <c r="D246" s="122">
        <v>0.89153796967293319</v>
      </c>
      <c r="E246" s="122">
        <v>3.0695065800845427</v>
      </c>
      <c r="F246" s="122">
        <v>6.6074848799387738</v>
      </c>
      <c r="G246" s="122">
        <v>1.0950897702964564</v>
      </c>
      <c r="H246" s="163">
        <v>1</v>
      </c>
      <c r="I246" s="12">
        <v>2.7716599822348899E-2</v>
      </c>
      <c r="J246" s="115">
        <v>3.1261952501566673E-2</v>
      </c>
      <c r="K246" s="115">
        <v>4.6462357158869117E-3</v>
      </c>
      <c r="L246" s="115">
        <v>5.9224417145884098E-2</v>
      </c>
      <c r="P246" s="108">
        <v>6.1273039975959842E-2</v>
      </c>
      <c r="Q246" s="108">
        <v>1.2254607995191966</v>
      </c>
      <c r="R246" s="49">
        <v>53901004.262588114</v>
      </c>
    </row>
    <row r="247" spans="1:18" x14ac:dyDescent="0.25">
      <c r="A247">
        <f t="shared" si="6"/>
        <v>235</v>
      </c>
      <c r="B247" s="168">
        <v>0.9911207265533325</v>
      </c>
      <c r="C247" s="122">
        <v>0.91710981705447603</v>
      </c>
      <c r="D247" s="122">
        <v>0.89760017046234786</v>
      </c>
      <c r="E247" s="122">
        <v>1.884037735731585</v>
      </c>
      <c r="F247" s="122">
        <v>5.7989694759610071</v>
      </c>
      <c r="G247" s="122">
        <v>1.0841917976787634</v>
      </c>
      <c r="H247" s="163">
        <v>1</v>
      </c>
      <c r="I247" s="12">
        <v>4.2172178689079035E-2</v>
      </c>
      <c r="J247" s="115">
        <v>1.07705419996969E-2</v>
      </c>
      <c r="K247" s="115">
        <v>1.5131551783155336E-2</v>
      </c>
      <c r="L247" s="115">
        <v>1.2538509468837536E-2</v>
      </c>
      <c r="P247" s="108">
        <v>-2.8368537698486747E-2</v>
      </c>
      <c r="Q247" s="108">
        <v>-0.56737075396973491</v>
      </c>
      <c r="R247" s="49">
        <v>-24955391.017149769</v>
      </c>
    </row>
    <row r="248" spans="1:18" x14ac:dyDescent="0.25">
      <c r="A248">
        <f t="shared" si="6"/>
        <v>236</v>
      </c>
      <c r="B248" s="168">
        <v>1.0118717187975486</v>
      </c>
      <c r="C248" s="122">
        <v>0.8804012373563439</v>
      </c>
      <c r="D248" s="122">
        <v>0.8863807257592945</v>
      </c>
      <c r="E248" s="122">
        <v>2.8246515564142407</v>
      </c>
      <c r="F248" s="122">
        <v>2.5851126080145366</v>
      </c>
      <c r="G248" s="122">
        <v>1.0870855317329111</v>
      </c>
      <c r="H248" s="163">
        <v>1</v>
      </c>
      <c r="I248" s="12">
        <v>2.4743242113939093E-2</v>
      </c>
      <c r="J248" s="115">
        <v>5.6479261892037169E-2</v>
      </c>
      <c r="K248" s="115">
        <v>-1.5728316620359185E-3</v>
      </c>
      <c r="L248" s="115">
        <v>4.2201004015871603E-2</v>
      </c>
      <c r="P248" s="108">
        <v>7.4447927689016577E-2</v>
      </c>
      <c r="Q248" s="108">
        <v>1.4889585537803314</v>
      </c>
      <c r="R248" s="49">
        <v>65490761.830667175</v>
      </c>
    </row>
    <row r="249" spans="1:18" x14ac:dyDescent="0.25">
      <c r="A249">
        <f t="shared" si="6"/>
        <v>237</v>
      </c>
      <c r="B249" s="168">
        <v>0.99662682362708699</v>
      </c>
      <c r="C249" s="122">
        <v>0.86623021592409244</v>
      </c>
      <c r="D249" s="122">
        <v>0.90301770605182141</v>
      </c>
      <c r="E249" s="122">
        <v>1.0604058968791403</v>
      </c>
      <c r="F249" s="122">
        <v>6.1093831052042988</v>
      </c>
      <c r="G249" s="122">
        <v>1.1111318812610835</v>
      </c>
      <c r="H249" s="163">
        <v>1</v>
      </c>
      <c r="I249" s="12">
        <v>3.3687082970224463E-2</v>
      </c>
      <c r="J249" s="115">
        <v>5.9026091236515213E-2</v>
      </c>
      <c r="K249" s="115">
        <v>4.6558233431692022E-3</v>
      </c>
      <c r="L249" s="115">
        <v>1.9753387641033144E-2</v>
      </c>
      <c r="P249" s="108">
        <v>0.14828987678298533</v>
      </c>
      <c r="Q249" s="108">
        <v>2.9657975356597057</v>
      </c>
      <c r="R249" s="49">
        <v>130448453.08335216</v>
      </c>
    </row>
    <row r="250" spans="1:18" x14ac:dyDescent="0.25">
      <c r="A250">
        <f t="shared" si="6"/>
        <v>238</v>
      </c>
      <c r="B250" s="168">
        <v>0.98433187682964718</v>
      </c>
      <c r="C250" s="122">
        <v>0.91901930423936451</v>
      </c>
      <c r="D250" s="122">
        <v>0.92166530435085792</v>
      </c>
      <c r="E250" s="122">
        <v>0.94968823834855853</v>
      </c>
      <c r="F250" s="122">
        <v>4.2722302465737396</v>
      </c>
      <c r="G250" s="122">
        <v>1.0686275075118745</v>
      </c>
      <c r="H250" s="163">
        <v>1</v>
      </c>
      <c r="I250" s="12">
        <v>2.0418486693979165E-2</v>
      </c>
      <c r="J250" s="115">
        <v>4.7042640404219307E-2</v>
      </c>
      <c r="K250" s="115">
        <v>-2.6416074257876237E-3</v>
      </c>
      <c r="L250" s="115">
        <v>1.6254398975758234E-2</v>
      </c>
      <c r="P250" s="108">
        <v>6.525103988826228E-2</v>
      </c>
      <c r="Q250" s="108">
        <v>1.3050207977652453</v>
      </c>
      <c r="R250" s="49">
        <v>57400393.069047123</v>
      </c>
    </row>
    <row r="251" spans="1:18" x14ac:dyDescent="0.25">
      <c r="A251">
        <f t="shared" si="6"/>
        <v>239</v>
      </c>
      <c r="B251" s="168">
        <v>0.99882097998961539</v>
      </c>
      <c r="C251" s="122">
        <v>0.87129689642050767</v>
      </c>
      <c r="D251" s="122">
        <v>0.93093151460610424</v>
      </c>
      <c r="E251" s="122">
        <v>3.5877445593840411</v>
      </c>
      <c r="F251" s="122">
        <v>5.9669262209979461</v>
      </c>
      <c r="G251" s="122">
        <v>1.0927749299209355</v>
      </c>
      <c r="H251" s="163">
        <v>1</v>
      </c>
      <c r="I251" s="12">
        <v>1.7542450122661063E-2</v>
      </c>
      <c r="J251" s="115">
        <v>6.6265835293078015E-2</v>
      </c>
      <c r="K251" s="115">
        <v>1.4208475893924648E-3</v>
      </c>
      <c r="L251" s="115">
        <v>3.9196960632372248E-3</v>
      </c>
      <c r="P251" s="108">
        <v>0.12182911982051405</v>
      </c>
      <c r="Q251" s="108">
        <v>2.4365823964102806</v>
      </c>
      <c r="R251" s="49">
        <v>107171309.09987986</v>
      </c>
    </row>
    <row r="252" spans="1:18" x14ac:dyDescent="0.25">
      <c r="A252">
        <f t="shared" si="6"/>
        <v>240</v>
      </c>
      <c r="B252" s="168">
        <v>0.99820335307774577</v>
      </c>
      <c r="C252" s="122">
        <v>0.91125903180236434</v>
      </c>
      <c r="D252" s="122">
        <v>0.91266016842014686</v>
      </c>
      <c r="E252" s="122">
        <v>3.8054792421332944</v>
      </c>
      <c r="F252" s="122">
        <v>4.2210462839936431</v>
      </c>
      <c r="G252" s="122">
        <v>1.0862414108211833</v>
      </c>
      <c r="H252" s="163">
        <v>1</v>
      </c>
      <c r="I252" s="12">
        <v>2.4947985533324255E-2</v>
      </c>
      <c r="J252" s="115">
        <v>2.9081323563805484E-2</v>
      </c>
      <c r="K252" s="115">
        <v>-4.066619284151053E-3</v>
      </c>
      <c r="L252" s="115">
        <v>3.3568958396748172E-2</v>
      </c>
      <c r="P252" s="108">
        <v>1.4272232778397647E-3</v>
      </c>
      <c r="Q252" s="108">
        <v>2.8544465556795288E-2</v>
      </c>
      <c r="R252" s="49">
        <v>1255507.6100792158</v>
      </c>
    </row>
    <row r="253" spans="1:18" x14ac:dyDescent="0.25">
      <c r="A253">
        <f t="shared" si="6"/>
        <v>241</v>
      </c>
      <c r="B253" s="168">
        <v>1.002853730000391</v>
      </c>
      <c r="C253" s="122">
        <v>0.90680252744261414</v>
      </c>
      <c r="D253" s="122">
        <v>0.90560244697960612</v>
      </c>
      <c r="E253" s="122">
        <v>2.2346091233649115</v>
      </c>
      <c r="F253" s="122">
        <v>6.7240632646120657</v>
      </c>
      <c r="G253" s="122">
        <v>1.0890196991020431</v>
      </c>
      <c r="H253" s="163">
        <v>1</v>
      </c>
      <c r="I253" s="12">
        <v>5.0653672409396479E-3</v>
      </c>
      <c r="J253" s="115">
        <v>3.7808117759402141E-2</v>
      </c>
      <c r="K253" s="115">
        <v>8.6259858297601279E-3</v>
      </c>
      <c r="L253" s="115">
        <v>2.0412191594767058E-2</v>
      </c>
      <c r="P253" s="108">
        <v>4.6022085656225814E-2</v>
      </c>
      <c r="Q253" s="108">
        <v>0.92044171312451606</v>
      </c>
      <c r="R253" s="49">
        <v>40484961.022052914</v>
      </c>
    </row>
    <row r="254" spans="1:18" x14ac:dyDescent="0.25">
      <c r="A254">
        <f t="shared" si="6"/>
        <v>242</v>
      </c>
      <c r="B254" s="168">
        <v>1.0052897082910912</v>
      </c>
      <c r="C254" s="122">
        <v>0.9105558853813589</v>
      </c>
      <c r="D254" s="122">
        <v>0.9034942817796987</v>
      </c>
      <c r="E254" s="122">
        <v>2.571718080591527</v>
      </c>
      <c r="F254" s="122">
        <v>7.3273557093352952</v>
      </c>
      <c r="G254" s="122">
        <v>1.1056228965238433</v>
      </c>
      <c r="H254" s="163">
        <v>1</v>
      </c>
      <c r="I254" s="12">
        <v>9.2676054532913679E-3</v>
      </c>
      <c r="J254" s="115">
        <v>2.7237303485769852E-2</v>
      </c>
      <c r="K254" s="115">
        <v>-5.57595076077651E-3</v>
      </c>
      <c r="L254" s="115">
        <v>3.2361778020672471E-2</v>
      </c>
      <c r="P254" s="108">
        <v>1.8942795275536446E-2</v>
      </c>
      <c r="Q254" s="108">
        <v>0.37885590551072884</v>
      </c>
      <c r="R254" s="49">
        <v>16663702.164812153</v>
      </c>
    </row>
    <row r="255" spans="1:18" x14ac:dyDescent="0.25">
      <c r="A255">
        <f t="shared" si="6"/>
        <v>243</v>
      </c>
      <c r="B255" s="168">
        <v>0.99239207120886785</v>
      </c>
      <c r="C255" s="122">
        <v>0.89981894369832449</v>
      </c>
      <c r="D255" s="122">
        <v>0.88992573367605876</v>
      </c>
      <c r="E255" s="122">
        <v>0.82087317845112895</v>
      </c>
      <c r="F255" s="122">
        <v>1.1254464955321897</v>
      </c>
      <c r="G255" s="122">
        <v>1.1070439123092293</v>
      </c>
      <c r="H255" s="163">
        <v>1</v>
      </c>
      <c r="I255" s="12">
        <v>4.2657419483338399E-2</v>
      </c>
      <c r="J255" s="115">
        <v>7.2493044423772857E-2</v>
      </c>
      <c r="K255" s="115">
        <v>-5.1021136474516202E-4</v>
      </c>
      <c r="L255" s="115">
        <v>3.5288377284518391E-2</v>
      </c>
      <c r="P255" s="108">
        <v>1.8463951719522555E-2</v>
      </c>
      <c r="Q255" s="108">
        <v>0.36927903439045107</v>
      </c>
      <c r="R255" s="49">
        <v>16242470.436078876</v>
      </c>
    </row>
    <row r="256" spans="1:18" x14ac:dyDescent="0.25">
      <c r="A256">
        <f t="shared" si="6"/>
        <v>244</v>
      </c>
      <c r="B256" s="168">
        <v>0.99955860151892506</v>
      </c>
      <c r="C256" s="122">
        <v>0.9393346093134276</v>
      </c>
      <c r="D256" s="122">
        <v>0.89907730439126554</v>
      </c>
      <c r="E256" s="122">
        <v>3.0371813102624516</v>
      </c>
      <c r="F256" s="122">
        <v>7.6673288530631449</v>
      </c>
      <c r="G256" s="122">
        <v>1.0913403743536307</v>
      </c>
      <c r="H256" s="163">
        <v>1</v>
      </c>
      <c r="I256" s="12">
        <v>3.0628721209921203E-2</v>
      </c>
      <c r="J256" s="115">
        <v>4.5208693017180265E-2</v>
      </c>
      <c r="K256" s="115">
        <v>-2.6379787443928816E-3</v>
      </c>
      <c r="L256" s="115">
        <v>4.1540258749649082E-3</v>
      </c>
      <c r="P256" s="108">
        <v>8.1189161765964427E-2</v>
      </c>
      <c r="Q256" s="108">
        <v>1.6237832353192883</v>
      </c>
      <c r="R256" s="49">
        <v>71420927.640283152</v>
      </c>
    </row>
    <row r="257" spans="1:18" x14ac:dyDescent="0.25">
      <c r="A257">
        <f t="shared" si="6"/>
        <v>245</v>
      </c>
      <c r="B257" s="168">
        <v>1.0026992035776863</v>
      </c>
      <c r="C257" s="122">
        <v>0.94636203649588557</v>
      </c>
      <c r="D257" s="122">
        <v>0.88560197442586575</v>
      </c>
      <c r="E257" s="122">
        <v>2.9917357155333271</v>
      </c>
      <c r="F257" s="122">
        <v>7.1566912824368289</v>
      </c>
      <c r="G257" s="122">
        <v>1.0897875361358063</v>
      </c>
      <c r="H257" s="163">
        <v>1</v>
      </c>
      <c r="I257" s="12">
        <v>3.4893619610430519E-2</v>
      </c>
      <c r="J257" s="115">
        <v>4.671382688596739E-2</v>
      </c>
      <c r="K257" s="115">
        <v>-6.0828732129029122E-3</v>
      </c>
      <c r="L257" s="115">
        <v>8.6222726969381065E-3</v>
      </c>
      <c r="P257" s="108">
        <v>8.8668406567891656E-2</v>
      </c>
      <c r="Q257" s="108">
        <v>1.7733681313578327</v>
      </c>
      <c r="R257" s="49">
        <v>78000310.776941448</v>
      </c>
    </row>
    <row r="258" spans="1:18" x14ac:dyDescent="0.25">
      <c r="A258">
        <f t="shared" si="6"/>
        <v>246</v>
      </c>
      <c r="B258" s="168">
        <v>1.0082756523246328</v>
      </c>
      <c r="C258" s="122">
        <v>0.9240488228025393</v>
      </c>
      <c r="D258" s="122">
        <v>0.89212458527235261</v>
      </c>
      <c r="E258" s="122">
        <v>2.7859361510885341</v>
      </c>
      <c r="F258" s="122">
        <v>6.0107766758667323</v>
      </c>
      <c r="G258" s="122">
        <v>1.1022740743217332</v>
      </c>
      <c r="H258" s="163">
        <v>1</v>
      </c>
      <c r="I258" s="12">
        <v>1.4344481553224989E-2</v>
      </c>
      <c r="J258" s="115">
        <v>4.0179986440361644E-2</v>
      </c>
      <c r="K258" s="115">
        <v>-3.3860763028027343E-3</v>
      </c>
      <c r="L258" s="115">
        <v>2.6871986559954975E-2</v>
      </c>
      <c r="P258" s="108">
        <v>4.9481073199630979E-2</v>
      </c>
      <c r="Q258" s="108">
        <v>0.98962146399261941</v>
      </c>
      <c r="R258" s="49">
        <v>43527782.177890293</v>
      </c>
    </row>
    <row r="259" spans="1:18" x14ac:dyDescent="0.25">
      <c r="A259">
        <f t="shared" si="6"/>
        <v>247</v>
      </c>
      <c r="B259" s="168">
        <v>0.99499164573071297</v>
      </c>
      <c r="C259" s="122">
        <v>0.90812930159244554</v>
      </c>
      <c r="D259" s="122">
        <v>0.89371257802485171</v>
      </c>
      <c r="E259" s="122">
        <v>1.5784276510040542</v>
      </c>
      <c r="F259" s="122">
        <v>1.6239173316285638</v>
      </c>
      <c r="G259" s="122">
        <v>1.0930836125020651</v>
      </c>
      <c r="H259" s="163">
        <v>1</v>
      </c>
      <c r="I259" s="12">
        <v>1.1956737093644667E-2</v>
      </c>
      <c r="J259" s="115">
        <v>4.0625940182160716E-2</v>
      </c>
      <c r="K259" s="115">
        <v>6.9044534422837501E-3</v>
      </c>
      <c r="L259" s="115">
        <v>-2.8627882882075E-2</v>
      </c>
      <c r="P259" s="108">
        <v>-9.0232822479829194E-2</v>
      </c>
      <c r="Q259" s="108">
        <v>-1.8046564495965836</v>
      </c>
      <c r="R259" s="49">
        <v>-79376504.756722584</v>
      </c>
    </row>
    <row r="260" spans="1:18" x14ac:dyDescent="0.25">
      <c r="A260">
        <f t="shared" si="6"/>
        <v>248</v>
      </c>
      <c r="B260" s="168">
        <v>0.99408371275198237</v>
      </c>
      <c r="C260" s="122">
        <v>0.89320291760628057</v>
      </c>
      <c r="D260" s="122">
        <v>0.91099836672832568</v>
      </c>
      <c r="E260" s="122">
        <v>2.1728266073294105</v>
      </c>
      <c r="F260" s="122">
        <v>3.0783809346459359</v>
      </c>
      <c r="G260" s="122">
        <v>1.0761030827886982</v>
      </c>
      <c r="H260" s="163">
        <v>1</v>
      </c>
      <c r="I260" s="12">
        <v>2.5583557983020762E-2</v>
      </c>
      <c r="J260" s="115">
        <v>4.179270176888724E-2</v>
      </c>
      <c r="K260" s="115">
        <v>1.0732483994367222E-2</v>
      </c>
      <c r="L260" s="115">
        <v>1.1632406833129586E-2</v>
      </c>
      <c r="P260" s="108">
        <v>1.4591622913174562E-2</v>
      </c>
      <c r="Q260" s="108">
        <v>0.29183245826349119</v>
      </c>
      <c r="R260" s="49">
        <v>12836038.968356736</v>
      </c>
    </row>
    <row r="261" spans="1:18" x14ac:dyDescent="0.25">
      <c r="A261">
        <f t="shared" si="6"/>
        <v>249</v>
      </c>
      <c r="B261" s="168">
        <v>0.99369734327622972</v>
      </c>
      <c r="C261" s="122">
        <v>0.90296302147489083</v>
      </c>
      <c r="D261" s="122">
        <v>0.91263171173716406</v>
      </c>
      <c r="E261" s="122">
        <v>3.8374844940624793</v>
      </c>
      <c r="F261" s="122">
        <v>5.0749208810099962</v>
      </c>
      <c r="G261" s="122">
        <v>1.0923956686242322</v>
      </c>
      <c r="H261" s="163">
        <v>1</v>
      </c>
      <c r="I261" s="12">
        <v>3.1621928997478711E-2</v>
      </c>
      <c r="J261" s="115">
        <v>4.5694236830198735E-2</v>
      </c>
      <c r="K261" s="115">
        <v>1.4533030473696282E-2</v>
      </c>
      <c r="L261" s="115">
        <v>1.7570244360425032E-2</v>
      </c>
      <c r="P261" s="108">
        <v>6.6131227808836859E-2</v>
      </c>
      <c r="Q261" s="108">
        <v>1.3226245561767369</v>
      </c>
      <c r="R261" s="49">
        <v>58174681.612220161</v>
      </c>
    </row>
    <row r="262" spans="1:18" x14ac:dyDescent="0.25">
      <c r="A262">
        <f t="shared" si="6"/>
        <v>250</v>
      </c>
      <c r="B262" s="168">
        <v>0.98800459627997883</v>
      </c>
      <c r="C262" s="122">
        <v>0.9248813538198104</v>
      </c>
      <c r="D262" s="122">
        <v>0.88857871716968206</v>
      </c>
      <c r="E262" s="122">
        <v>1.8058511801391699</v>
      </c>
      <c r="F262" s="122">
        <v>3.2877413907124486</v>
      </c>
      <c r="G262" s="122">
        <v>1.0713752148593694</v>
      </c>
      <c r="H262" s="163">
        <v>1</v>
      </c>
      <c r="I262" s="12">
        <v>2.9384451032609993E-2</v>
      </c>
      <c r="J262" s="115">
        <v>4.1545295163111909E-2</v>
      </c>
      <c r="K262" s="115">
        <v>-6.1685565732555467E-3</v>
      </c>
      <c r="L262" s="115">
        <v>3.1646854630629176E-2</v>
      </c>
      <c r="P262" s="108">
        <v>3.435692627139425E-2</v>
      </c>
      <c r="Q262" s="108">
        <v>0.68713852542788489</v>
      </c>
      <c r="R262" s="49">
        <v>30223289.559819788</v>
      </c>
    </row>
    <row r="263" spans="1:18" x14ac:dyDescent="0.25">
      <c r="A263">
        <f t="shared" si="6"/>
        <v>251</v>
      </c>
      <c r="B263" s="168">
        <v>0.99947018188430659</v>
      </c>
      <c r="C263" s="122">
        <v>0.92058775507216961</v>
      </c>
      <c r="D263" s="122">
        <v>0.9111876502289139</v>
      </c>
      <c r="E263" s="122">
        <v>2.0242752984049632</v>
      </c>
      <c r="F263" s="122">
        <v>2.7859073035874267</v>
      </c>
      <c r="G263" s="122">
        <v>1.1323778607559154</v>
      </c>
      <c r="H263" s="163">
        <v>1</v>
      </c>
      <c r="I263" s="12">
        <v>2.6284445999270763E-2</v>
      </c>
      <c r="J263" s="115">
        <v>2.4780070220464818E-2</v>
      </c>
      <c r="K263" s="115">
        <v>7.8581593053336143E-3</v>
      </c>
      <c r="L263" s="115">
        <v>7.9990376794620323E-3</v>
      </c>
      <c r="P263" s="108">
        <v>-6.666157573369523E-2</v>
      </c>
      <c r="Q263" s="108">
        <v>-1.3332315146739044</v>
      </c>
      <c r="R263" s="49">
        <v>-58641220.986954324</v>
      </c>
    </row>
    <row r="264" spans="1:18" x14ac:dyDescent="0.25">
      <c r="A264">
        <f t="shared" si="6"/>
        <v>252</v>
      </c>
      <c r="B264" s="168">
        <v>1.0190299068145614</v>
      </c>
      <c r="C264" s="122">
        <v>0.86805089137265257</v>
      </c>
      <c r="D264" s="122">
        <v>0.89185546200313526</v>
      </c>
      <c r="E264" s="122">
        <v>3.4674706610829533</v>
      </c>
      <c r="F264" s="122">
        <v>6.8971188939737207</v>
      </c>
      <c r="G264" s="122">
        <v>1.0767730019637516</v>
      </c>
      <c r="H264" s="163">
        <v>1</v>
      </c>
      <c r="I264" s="12">
        <v>3.4390003239556773E-2</v>
      </c>
      <c r="J264" s="115">
        <v>5.7452504374729887E-2</v>
      </c>
      <c r="K264" s="115">
        <v>1.2243252997798906E-2</v>
      </c>
      <c r="L264" s="115">
        <v>1.7221302193656016E-2</v>
      </c>
      <c r="P264" s="108">
        <v>0.13117092553083795</v>
      </c>
      <c r="Q264" s="108">
        <v>2.6234185106167582</v>
      </c>
      <c r="R264" s="49">
        <v>115389160.04394917</v>
      </c>
    </row>
    <row r="265" spans="1:18" x14ac:dyDescent="0.25">
      <c r="A265">
        <f t="shared" si="6"/>
        <v>253</v>
      </c>
      <c r="B265" s="168">
        <v>1.0039580329322633</v>
      </c>
      <c r="C265" s="122">
        <v>0.96068293352960832</v>
      </c>
      <c r="D265" s="122">
        <v>0.90081022058074078</v>
      </c>
      <c r="E265" s="122">
        <v>2.2626818251530483</v>
      </c>
      <c r="F265" s="122">
        <v>2.7910835038589341</v>
      </c>
      <c r="G265" s="122">
        <v>1.0784086276802989</v>
      </c>
      <c r="H265" s="163">
        <v>1</v>
      </c>
      <c r="I265" s="12">
        <v>2.6215070854779199E-2</v>
      </c>
      <c r="J265" s="115">
        <v>3.5326535903475342E-2</v>
      </c>
      <c r="K265" s="115">
        <v>8.5180850456895232E-3</v>
      </c>
      <c r="L265" s="115">
        <v>4.3729800204523425E-2</v>
      </c>
      <c r="P265" s="108">
        <v>9.7540598413930583E-3</v>
      </c>
      <c r="Q265" s="108">
        <v>0.19508119682786115</v>
      </c>
      <c r="R265" s="49">
        <v>8580504.9218178615</v>
      </c>
    </row>
    <row r="266" spans="1:18" x14ac:dyDescent="0.25">
      <c r="A266">
        <f t="shared" si="6"/>
        <v>254</v>
      </c>
      <c r="B266" s="168">
        <v>1.0251554452480647</v>
      </c>
      <c r="C266" s="122">
        <v>0.93856828840647077</v>
      </c>
      <c r="D266" s="122">
        <v>0.89298445361974577</v>
      </c>
      <c r="E266" s="122">
        <v>1.9504485345601568</v>
      </c>
      <c r="F266" s="122">
        <v>5.5367896842996913</v>
      </c>
      <c r="G266" s="122">
        <v>1.1028394679995419</v>
      </c>
      <c r="H266" s="163">
        <v>1</v>
      </c>
      <c r="I266" s="12">
        <v>3.7898901624000801E-2</v>
      </c>
      <c r="J266" s="115">
        <v>5.8684546910976673E-2</v>
      </c>
      <c r="K266" s="115">
        <v>1.6064520784122453E-2</v>
      </c>
      <c r="L266" s="115">
        <v>-2.4449871427944386E-3</v>
      </c>
      <c r="P266" s="108">
        <v>0.11618634936232392</v>
      </c>
      <c r="Q266" s="108">
        <v>2.3237269872464781</v>
      </c>
      <c r="R266" s="49">
        <v>102207445.79818884</v>
      </c>
    </row>
    <row r="267" spans="1:18" x14ac:dyDescent="0.25">
      <c r="A267">
        <f t="shared" si="6"/>
        <v>255</v>
      </c>
      <c r="B267" s="168">
        <v>1.0042719768335688</v>
      </c>
      <c r="C267" s="122">
        <v>0.89908899989836377</v>
      </c>
      <c r="D267" s="122">
        <v>0.90473070337528338</v>
      </c>
      <c r="E267" s="122">
        <v>1.236136270191686</v>
      </c>
      <c r="F267" s="122">
        <v>3.9433722764751473</v>
      </c>
      <c r="G267" s="122">
        <v>1.1282679686435511</v>
      </c>
      <c r="H267" s="163">
        <v>1</v>
      </c>
      <c r="I267" s="12">
        <v>4.108070506789184E-2</v>
      </c>
      <c r="J267" s="115">
        <v>8.780991391771388E-2</v>
      </c>
      <c r="K267" s="115">
        <v>9.2178929969784149E-3</v>
      </c>
      <c r="L267" s="115">
        <v>-1.1438264650502784E-2</v>
      </c>
      <c r="P267" s="108">
        <v>0.18031286683697509</v>
      </c>
      <c r="Q267" s="108">
        <v>3.6062573367395014</v>
      </c>
      <c r="R267" s="49">
        <v>158618612.81556287</v>
      </c>
    </row>
    <row r="268" spans="1:18" x14ac:dyDescent="0.25">
      <c r="A268">
        <f t="shared" si="6"/>
        <v>256</v>
      </c>
      <c r="B268" s="168">
        <v>1.0089782838456356</v>
      </c>
      <c r="C268" s="122">
        <v>0.89768131680774432</v>
      </c>
      <c r="D268" s="122">
        <v>0.88536955547024332</v>
      </c>
      <c r="E268" s="122">
        <v>1.7780319176601511</v>
      </c>
      <c r="F268" s="122">
        <v>7.6510471348377349</v>
      </c>
      <c r="G268" s="122">
        <v>1.1060747616304294</v>
      </c>
      <c r="H268" s="163">
        <v>1</v>
      </c>
      <c r="I268" s="12">
        <v>3.7460192201004772E-2</v>
      </c>
      <c r="J268" s="115">
        <v>4.9725762361076078E-2</v>
      </c>
      <c r="K268" s="115">
        <v>-2.7355717101164492E-3</v>
      </c>
      <c r="L268" s="115">
        <v>4.2807637531965134E-2</v>
      </c>
      <c r="P268" s="108">
        <v>0.14309587475203162</v>
      </c>
      <c r="Q268" s="108">
        <v>2.8619174950406316</v>
      </c>
      <c r="R268" s="49">
        <v>125879364.85596585</v>
      </c>
    </row>
    <row r="269" spans="1:18" x14ac:dyDescent="0.25">
      <c r="A269">
        <f t="shared" si="6"/>
        <v>257</v>
      </c>
      <c r="B269" s="168">
        <v>0.99814169932388597</v>
      </c>
      <c r="C269" s="122">
        <v>0.86742369246695139</v>
      </c>
      <c r="D269" s="122">
        <v>0.9139651222387799</v>
      </c>
      <c r="E269" s="122">
        <v>1.8380871496790534</v>
      </c>
      <c r="F269" s="122">
        <v>5.0159218434917712</v>
      </c>
      <c r="G269" s="122">
        <v>1.1251193761551421</v>
      </c>
      <c r="H269" s="163">
        <v>1</v>
      </c>
      <c r="I269" s="12">
        <v>3.4135739606412738E-2</v>
      </c>
      <c r="J269" s="115">
        <v>5.9480200445436268E-2</v>
      </c>
      <c r="K269" s="115">
        <v>7.8782165501112226E-3</v>
      </c>
      <c r="L269" s="115">
        <v>-7.9364746792499538E-4</v>
      </c>
      <c r="P269" s="108">
        <v>0.10364530092152913</v>
      </c>
      <c r="Q269" s="108">
        <v>2.0729060184305821</v>
      </c>
      <c r="R269" s="49">
        <v>91175267.441609547</v>
      </c>
    </row>
    <row r="270" spans="1:18" x14ac:dyDescent="0.25">
      <c r="A270">
        <f t="shared" si="6"/>
        <v>258</v>
      </c>
      <c r="B270" s="168">
        <v>1.0076877638000634</v>
      </c>
      <c r="C270" s="122">
        <v>0.88390574258272059</v>
      </c>
      <c r="D270" s="122">
        <v>0.89048762412044924</v>
      </c>
      <c r="E270" s="122">
        <v>1.6302752799932274</v>
      </c>
      <c r="F270" s="122">
        <v>5.8559341343552056</v>
      </c>
      <c r="G270" s="122">
        <v>1.0957265309140272</v>
      </c>
      <c r="H270" s="163">
        <v>1</v>
      </c>
      <c r="I270" s="12">
        <v>4.120807860590165E-2</v>
      </c>
      <c r="J270" s="115">
        <v>4.4667938338929236E-2</v>
      </c>
      <c r="K270" s="115">
        <v>9.4008453532022068E-3</v>
      </c>
      <c r="L270" s="115">
        <v>8.9258946360178202E-3</v>
      </c>
      <c r="P270" s="108">
        <v>8.7395628404957404E-2</v>
      </c>
      <c r="Q270" s="108">
        <v>1.7479125680991479</v>
      </c>
      <c r="R270" s="49">
        <v>76880666.29361625</v>
      </c>
    </row>
    <row r="271" spans="1:18" x14ac:dyDescent="0.25">
      <c r="A271">
        <f t="shared" ref="A271:A334" si="7">A270+1</f>
        <v>259</v>
      </c>
      <c r="B271" s="168">
        <v>0.99931690657145877</v>
      </c>
      <c r="C271" s="122">
        <v>0.91290675654436004</v>
      </c>
      <c r="D271" s="122">
        <v>0.91244844990617069</v>
      </c>
      <c r="E271" s="122">
        <v>1.850861758184051</v>
      </c>
      <c r="F271" s="122">
        <v>6.7678029401659092</v>
      </c>
      <c r="G271" s="122">
        <v>1.0898866146298245</v>
      </c>
      <c r="H271" s="163">
        <v>1</v>
      </c>
      <c r="I271" s="12">
        <v>3.9411627634098417E-2</v>
      </c>
      <c r="J271" s="115">
        <v>2.3995101895521481E-2</v>
      </c>
      <c r="K271" s="115">
        <v>4.4264952213925613E-3</v>
      </c>
      <c r="L271" s="115">
        <v>2.8601817374379536E-2</v>
      </c>
      <c r="P271" s="108">
        <v>3.7619561168396182E-2</v>
      </c>
      <c r="Q271" s="108">
        <v>0.75239122336792352</v>
      </c>
      <c r="R271" s="49">
        <v>33093382.141476687</v>
      </c>
    </row>
    <row r="272" spans="1:18" x14ac:dyDescent="0.25">
      <c r="A272">
        <f t="shared" si="7"/>
        <v>260</v>
      </c>
      <c r="B272" s="168">
        <v>1.000095568704801</v>
      </c>
      <c r="C272" s="122">
        <v>0.89789189909583245</v>
      </c>
      <c r="D272" s="122">
        <v>0.89601624116495615</v>
      </c>
      <c r="E272" s="122">
        <v>2.2278678692005376</v>
      </c>
      <c r="F272" s="122">
        <v>5.59819516845503</v>
      </c>
      <c r="G272" s="122">
        <v>1.0736068569253472</v>
      </c>
      <c r="H272" s="163">
        <v>1</v>
      </c>
      <c r="I272" s="12">
        <v>4.616105964494293E-2</v>
      </c>
      <c r="J272" s="115">
        <v>5.2447601497068126E-2</v>
      </c>
      <c r="K272" s="115">
        <v>7.402673830171607E-3</v>
      </c>
      <c r="L272" s="115">
        <v>1.8921734470094875E-2</v>
      </c>
      <c r="P272" s="108">
        <v>0.11930435193226743</v>
      </c>
      <c r="Q272" s="108">
        <v>2.3860870386453481</v>
      </c>
      <c r="R272" s="49">
        <v>104950307.42018813</v>
      </c>
    </row>
    <row r="273" spans="1:18" x14ac:dyDescent="0.25">
      <c r="A273">
        <f t="shared" si="7"/>
        <v>261</v>
      </c>
      <c r="B273" s="168">
        <v>1.0066902075494304</v>
      </c>
      <c r="C273" s="122">
        <v>0.87296688006072198</v>
      </c>
      <c r="D273" s="122">
        <v>0.89708373094728866</v>
      </c>
      <c r="E273" s="122">
        <v>1.5683403278080776</v>
      </c>
      <c r="F273" s="122">
        <v>1.2190501334039721</v>
      </c>
      <c r="G273" s="122">
        <v>1.1443298830489292</v>
      </c>
      <c r="H273" s="163">
        <v>1</v>
      </c>
      <c r="I273" s="12">
        <v>3.3320969556301802E-2</v>
      </c>
      <c r="J273" s="115">
        <v>5.3366614816854521E-2</v>
      </c>
      <c r="K273" s="115">
        <v>4.8979018084386984E-3</v>
      </c>
      <c r="L273" s="115">
        <v>4.2202954669994623E-2</v>
      </c>
      <c r="P273" s="108">
        <v>-8.3702831164445702E-3</v>
      </c>
      <c r="Q273" s="108">
        <v>-0.16740566232889137</v>
      </c>
      <c r="R273" s="49">
        <v>-7363216.6139555229</v>
      </c>
    </row>
    <row r="274" spans="1:18" x14ac:dyDescent="0.25">
      <c r="A274">
        <f t="shared" si="7"/>
        <v>262</v>
      </c>
      <c r="B274" s="168">
        <v>1.0129208243556826</v>
      </c>
      <c r="C274" s="122">
        <v>0.87002468424239909</v>
      </c>
      <c r="D274" s="122">
        <v>0.89564544192786699</v>
      </c>
      <c r="E274" s="122">
        <v>3.5268407564388333</v>
      </c>
      <c r="F274" s="122">
        <v>2.0663259245815238</v>
      </c>
      <c r="G274" s="122">
        <v>1.118507826030839</v>
      </c>
      <c r="H274" s="163">
        <v>1</v>
      </c>
      <c r="I274" s="12">
        <v>3.5891988793216312E-2</v>
      </c>
      <c r="J274" s="115">
        <v>1.7579803325182431E-2</v>
      </c>
      <c r="K274" s="115">
        <v>-2.7106729672682975E-3</v>
      </c>
      <c r="L274" s="115">
        <v>1.2800770091460746E-2</v>
      </c>
      <c r="P274" s="108">
        <v>-8.5737029718299801E-2</v>
      </c>
      <c r="Q274" s="108">
        <v>-1.7147405943659957</v>
      </c>
      <c r="R274" s="49">
        <v>-75421621.093402103</v>
      </c>
    </row>
    <row r="275" spans="1:18" x14ac:dyDescent="0.25">
      <c r="A275">
        <f t="shared" si="7"/>
        <v>263</v>
      </c>
      <c r="B275" s="168">
        <v>0.98285598106543204</v>
      </c>
      <c r="C275" s="122">
        <v>0.90184255174723327</v>
      </c>
      <c r="D275" s="122">
        <v>0.91358587717532391</v>
      </c>
      <c r="E275" s="122">
        <v>1.424814782063351</v>
      </c>
      <c r="F275" s="122">
        <v>5.3492556628333103</v>
      </c>
      <c r="G275" s="122">
        <v>1.0889480538448242</v>
      </c>
      <c r="H275" s="163">
        <v>1</v>
      </c>
      <c r="I275" s="12">
        <v>3.1362320937717604E-2</v>
      </c>
      <c r="J275" s="115">
        <v>1.8619458445706519E-2</v>
      </c>
      <c r="K275" s="115">
        <v>6.3980586589313798E-3</v>
      </c>
      <c r="L275" s="115">
        <v>7.8711448301916429E-3</v>
      </c>
      <c r="P275" s="108">
        <v>-1.7591040688995925E-2</v>
      </c>
      <c r="Q275" s="108">
        <v>-0.35182081377991842</v>
      </c>
      <c r="R275" s="49">
        <v>-15474583.267501369</v>
      </c>
    </row>
    <row r="276" spans="1:18" x14ac:dyDescent="0.25">
      <c r="A276">
        <f t="shared" si="7"/>
        <v>264</v>
      </c>
      <c r="B276" s="168">
        <v>1.0054002246362939</v>
      </c>
      <c r="C276" s="122">
        <v>0.92704246537458168</v>
      </c>
      <c r="D276" s="122">
        <v>0.91710409800356563</v>
      </c>
      <c r="E276" s="122">
        <v>2.3655479864104598</v>
      </c>
      <c r="F276" s="122">
        <v>4.1638786241557595</v>
      </c>
      <c r="G276" s="122">
        <v>1.0988828274999509</v>
      </c>
      <c r="H276" s="163">
        <v>1</v>
      </c>
      <c r="I276" s="12">
        <v>3.9621799040853833E-2</v>
      </c>
      <c r="J276" s="115">
        <v>4.1549136980953048E-2</v>
      </c>
      <c r="K276" s="115">
        <v>3.8377473040110978E-3</v>
      </c>
      <c r="L276" s="115">
        <v>2.252778842997619E-2</v>
      </c>
      <c r="P276" s="108">
        <v>5.0286760293800976E-2</v>
      </c>
      <c r="Q276" s="108">
        <v>1.0057352058760194</v>
      </c>
      <c r="R276" s="49">
        <v>44236533.425000086</v>
      </c>
    </row>
    <row r="277" spans="1:18" x14ac:dyDescent="0.25">
      <c r="A277">
        <f t="shared" si="7"/>
        <v>265</v>
      </c>
      <c r="B277" s="168">
        <v>0.99695358122711986</v>
      </c>
      <c r="C277" s="122">
        <v>0.88650296454428856</v>
      </c>
      <c r="D277" s="122">
        <v>0.89430094516794267</v>
      </c>
      <c r="E277" s="122">
        <v>2.0734865364998667</v>
      </c>
      <c r="F277" s="122">
        <v>7.8990370414415283</v>
      </c>
      <c r="G277" s="122">
        <v>1.1173981124658956</v>
      </c>
      <c r="H277" s="163">
        <v>1</v>
      </c>
      <c r="I277" s="12">
        <v>2.5006955411092966E-2</v>
      </c>
      <c r="J277" s="115">
        <v>3.0718536503933292E-2</v>
      </c>
      <c r="K277" s="115">
        <v>-1.0335799774621249E-3</v>
      </c>
      <c r="L277" s="115">
        <v>2.4100039673909807E-4</v>
      </c>
      <c r="P277" s="108">
        <v>3.1302190903546391E-2</v>
      </c>
      <c r="Q277" s="108">
        <v>0.62604381807092768</v>
      </c>
      <c r="R277" s="49">
        <v>27536083.177566726</v>
      </c>
    </row>
    <row r="278" spans="1:18" x14ac:dyDescent="0.25">
      <c r="A278">
        <f t="shared" si="7"/>
        <v>266</v>
      </c>
      <c r="B278" s="168">
        <v>1.0234715663274445</v>
      </c>
      <c r="C278" s="122">
        <v>0.89522594639708886</v>
      </c>
      <c r="D278" s="122">
        <v>0.88820209125052196</v>
      </c>
      <c r="E278" s="122">
        <v>1.5642070190506479</v>
      </c>
      <c r="F278" s="122">
        <v>7.4330026361621275</v>
      </c>
      <c r="G278" s="122">
        <v>1.13374433963326</v>
      </c>
      <c r="H278" s="163">
        <v>1</v>
      </c>
      <c r="I278" s="12">
        <v>3.9037755266268369E-2</v>
      </c>
      <c r="J278" s="115">
        <v>4.22029351792991E-2</v>
      </c>
      <c r="K278" s="115">
        <v>1.635378810178003E-2</v>
      </c>
      <c r="L278" s="115">
        <v>1.51139681963001E-2</v>
      </c>
      <c r="P278" s="108">
        <v>9.8554117121843546E-2</v>
      </c>
      <c r="Q278" s="108">
        <v>1.9710823424368706</v>
      </c>
      <c r="R278" s="49">
        <v>86696626.920490623</v>
      </c>
    </row>
    <row r="279" spans="1:18" x14ac:dyDescent="0.25">
      <c r="A279">
        <f t="shared" si="7"/>
        <v>267</v>
      </c>
      <c r="B279" s="168">
        <v>1.003077629069586</v>
      </c>
      <c r="C279" s="122">
        <v>0.82470764788568363</v>
      </c>
      <c r="D279" s="122">
        <v>0.89788194594292725</v>
      </c>
      <c r="E279" s="122">
        <v>1.6270220533932012</v>
      </c>
      <c r="F279" s="122">
        <v>3.3446518957665079</v>
      </c>
      <c r="G279" s="122">
        <v>1.1319244735551666</v>
      </c>
      <c r="H279" s="163">
        <v>1</v>
      </c>
      <c r="I279" s="12">
        <v>1.3656331197120179E-2</v>
      </c>
      <c r="J279" s="115">
        <v>4.6787749962274285E-2</v>
      </c>
      <c r="K279" s="115">
        <v>-1.7394338929166489E-3</v>
      </c>
      <c r="L279" s="115">
        <v>3.2576956389648859E-3</v>
      </c>
      <c r="P279" s="108">
        <v>6.9732926284645407E-3</v>
      </c>
      <c r="Q279" s="108">
        <v>0.13946585256929078</v>
      </c>
      <c r="R279" s="49">
        <v>6134304.3504714575</v>
      </c>
    </row>
    <row r="280" spans="1:18" x14ac:dyDescent="0.25">
      <c r="A280">
        <f t="shared" si="7"/>
        <v>268</v>
      </c>
      <c r="B280" s="168">
        <v>0.99169864465173885</v>
      </c>
      <c r="C280" s="122">
        <v>0.96140753926651235</v>
      </c>
      <c r="D280" s="122">
        <v>0.90558244847519775</v>
      </c>
      <c r="E280" s="122">
        <v>0.15551740559710359</v>
      </c>
      <c r="F280" s="122">
        <v>1.2505124744236866</v>
      </c>
      <c r="G280" s="122">
        <v>1.0821906646268369</v>
      </c>
      <c r="H280" s="163">
        <v>1</v>
      </c>
      <c r="I280" s="12">
        <v>1.6242921372104729E-2</v>
      </c>
      <c r="J280" s="115">
        <v>3.1848766032554564E-2</v>
      </c>
      <c r="K280" s="115">
        <v>1.4132116988154649E-2</v>
      </c>
      <c r="L280" s="115">
        <v>3.5624502401918119E-2</v>
      </c>
      <c r="P280" s="108">
        <v>-0.18451684784750114</v>
      </c>
      <c r="Q280" s="108">
        <v>-3.6903369569500222</v>
      </c>
      <c r="R280" s="49">
        <v>-162316793.91539258</v>
      </c>
    </row>
    <row r="281" spans="1:18" x14ac:dyDescent="0.25">
      <c r="A281">
        <f t="shared" si="7"/>
        <v>269</v>
      </c>
      <c r="B281" s="168">
        <v>0.99370229871616789</v>
      </c>
      <c r="C281" s="122">
        <v>0.89602553371678628</v>
      </c>
      <c r="D281" s="122">
        <v>0.9018407038049675</v>
      </c>
      <c r="E281" s="122">
        <v>2.4334531759144853</v>
      </c>
      <c r="F281" s="122">
        <v>5.347118958165793</v>
      </c>
      <c r="G281" s="122">
        <v>1.0961455805417377</v>
      </c>
      <c r="H281" s="163">
        <v>1</v>
      </c>
      <c r="I281" s="12">
        <v>3.3607858756365919E-2</v>
      </c>
      <c r="J281" s="115">
        <v>3.4909770017429426E-2</v>
      </c>
      <c r="K281" s="115">
        <v>-5.3644009614742449E-3</v>
      </c>
      <c r="L281" s="115">
        <v>4.3497064890992289E-2</v>
      </c>
      <c r="P281" s="108">
        <v>5.4464763816975639E-2</v>
      </c>
      <c r="Q281" s="108">
        <v>1.0892952763395127</v>
      </c>
      <c r="R281" s="49">
        <v>47911862.506111458</v>
      </c>
    </row>
    <row r="282" spans="1:18" x14ac:dyDescent="0.25">
      <c r="A282">
        <f t="shared" si="7"/>
        <v>270</v>
      </c>
      <c r="B282" s="168">
        <v>0.99538692032710674</v>
      </c>
      <c r="C282" s="122">
        <v>0.91592133208672877</v>
      </c>
      <c r="D282" s="122">
        <v>0.91375461763413712</v>
      </c>
      <c r="E282" s="122">
        <v>2.5534425824888141</v>
      </c>
      <c r="F282" s="122">
        <v>7.4830840626421873</v>
      </c>
      <c r="G282" s="122">
        <v>1.0412831079807672</v>
      </c>
      <c r="H282" s="163">
        <v>1</v>
      </c>
      <c r="I282" s="12">
        <v>2.9760091030136007E-2</v>
      </c>
      <c r="J282" s="115">
        <v>3.1901235216205068E-2</v>
      </c>
      <c r="K282" s="115">
        <v>1.1261334240675692E-2</v>
      </c>
      <c r="L282" s="115">
        <v>9.1585902626343599E-3</v>
      </c>
      <c r="P282" s="108">
        <v>5.1000018205370937E-2</v>
      </c>
      <c r="Q282" s="108">
        <v>1.0200003641074185</v>
      </c>
      <c r="R282" s="49">
        <v>44863976.061222151</v>
      </c>
    </row>
    <row r="283" spans="1:18" x14ac:dyDescent="0.25">
      <c r="A283">
        <f t="shared" si="7"/>
        <v>271</v>
      </c>
      <c r="B283" s="168">
        <v>0.97992411082743114</v>
      </c>
      <c r="C283" s="122">
        <v>0.88083314824511594</v>
      </c>
      <c r="D283" s="122">
        <v>0.93079216072617998</v>
      </c>
      <c r="E283" s="122">
        <v>2.8124506616557072</v>
      </c>
      <c r="F283" s="122">
        <v>1.9348237224074447</v>
      </c>
      <c r="G283" s="122">
        <v>1.0895633328570986</v>
      </c>
      <c r="H283" s="163">
        <v>1</v>
      </c>
      <c r="I283" s="12">
        <v>3.7842013464803329E-2</v>
      </c>
      <c r="J283" s="115">
        <v>7.6349932159213693E-2</v>
      </c>
      <c r="K283" s="115">
        <v>3.9107075037548601E-4</v>
      </c>
      <c r="L283" s="115">
        <v>2.6161127215604062E-2</v>
      </c>
      <c r="P283" s="108">
        <v>0.12632159449973571</v>
      </c>
      <c r="Q283" s="108">
        <v>2.5264318899947136</v>
      </c>
      <c r="R283" s="49">
        <v>111123273.89433599</v>
      </c>
    </row>
    <row r="284" spans="1:18" x14ac:dyDescent="0.25">
      <c r="A284">
        <f t="shared" si="7"/>
        <v>272</v>
      </c>
      <c r="B284" s="168">
        <v>1.0188214699513158</v>
      </c>
      <c r="C284" s="122">
        <v>0.92866365903289583</v>
      </c>
      <c r="D284" s="122">
        <v>0.89735726106916625</v>
      </c>
      <c r="E284" s="122">
        <v>-0.24238834592440428</v>
      </c>
      <c r="F284" s="122">
        <v>3.6534796306712103</v>
      </c>
      <c r="G284" s="122">
        <v>1.0871409145365625</v>
      </c>
      <c r="H284" s="163">
        <v>1</v>
      </c>
      <c r="I284" s="12">
        <v>2.0585565689329524E-2</v>
      </c>
      <c r="J284" s="115">
        <v>4.005809853746492E-2</v>
      </c>
      <c r="K284" s="115">
        <v>-3.823993746754047E-4</v>
      </c>
      <c r="L284" s="115">
        <v>-8.0659455487910835E-3</v>
      </c>
      <c r="P284" s="108">
        <v>4.4611607949045069E-2</v>
      </c>
      <c r="Q284" s="108">
        <v>0.89223215898090114</v>
      </c>
      <c r="R284" s="49">
        <v>39244184.247522645</v>
      </c>
    </row>
    <row r="285" spans="1:18" x14ac:dyDescent="0.25">
      <c r="A285">
        <f t="shared" si="7"/>
        <v>273</v>
      </c>
      <c r="B285" s="168">
        <v>1.0031323731673136</v>
      </c>
      <c r="C285" s="122">
        <v>0.88226662354153951</v>
      </c>
      <c r="D285" s="122">
        <v>0.88798256196204794</v>
      </c>
      <c r="E285" s="122">
        <v>1.4703604143465521</v>
      </c>
      <c r="F285" s="122">
        <v>5.2369837970286595</v>
      </c>
      <c r="G285" s="122">
        <v>1.1154584017112361</v>
      </c>
      <c r="H285" s="163">
        <v>1</v>
      </c>
      <c r="I285" s="12">
        <v>3.1868133933305121E-2</v>
      </c>
      <c r="J285" s="115">
        <v>3.3259387362456101E-2</v>
      </c>
      <c r="K285" s="115">
        <v>6.6931086859524525E-3</v>
      </c>
      <c r="L285" s="115">
        <v>5.4333343495882466E-2</v>
      </c>
      <c r="P285" s="108">
        <v>6.1816939768662899E-2</v>
      </c>
      <c r="Q285" s="108">
        <v>1.2363387953732579</v>
      </c>
      <c r="R285" s="49">
        <v>54379465.01884257</v>
      </c>
    </row>
    <row r="286" spans="1:18" x14ac:dyDescent="0.25">
      <c r="A286">
        <f t="shared" si="7"/>
        <v>274</v>
      </c>
      <c r="B286" s="168">
        <v>0.98559630718369029</v>
      </c>
      <c r="C286" s="122">
        <v>0.92906433998970506</v>
      </c>
      <c r="D286" s="122">
        <v>0.89867470670781613</v>
      </c>
      <c r="E286" s="122">
        <v>1.2998816832112301</v>
      </c>
      <c r="F286" s="122">
        <v>3.8054628320978745</v>
      </c>
      <c r="G286" s="122">
        <v>1.081705477488641</v>
      </c>
      <c r="H286" s="163">
        <v>1</v>
      </c>
      <c r="I286" s="12">
        <v>2.6531202260738095E-2</v>
      </c>
      <c r="J286" s="115">
        <v>2.8665696880256046E-2</v>
      </c>
      <c r="K286" s="115">
        <v>1.7418485195076598E-4</v>
      </c>
      <c r="L286" s="115">
        <v>-4.7584106921276619E-3</v>
      </c>
      <c r="P286" s="108">
        <v>-2.6458481898018357E-2</v>
      </c>
      <c r="Q286" s="108">
        <v>-0.52916963796036698</v>
      </c>
      <c r="R286" s="49">
        <v>-23275142.642281756</v>
      </c>
    </row>
    <row r="287" spans="1:18" x14ac:dyDescent="0.25">
      <c r="A287">
        <f t="shared" si="7"/>
        <v>275</v>
      </c>
      <c r="B287" s="168">
        <v>0.99599765255150197</v>
      </c>
      <c r="C287" s="122">
        <v>0.90817904389611381</v>
      </c>
      <c r="D287" s="122">
        <v>0.8996012661009416</v>
      </c>
      <c r="E287" s="122">
        <v>2.1191725435696727</v>
      </c>
      <c r="F287" s="122">
        <v>8.9429762905520711</v>
      </c>
      <c r="G287" s="122">
        <v>1.1471107477062148</v>
      </c>
      <c r="H287" s="163">
        <v>1</v>
      </c>
      <c r="I287" s="12">
        <v>5.0161245917507861E-2</v>
      </c>
      <c r="J287" s="115">
        <v>5.4175905905326227E-2</v>
      </c>
      <c r="K287" s="115">
        <v>9.0510188402122289E-3</v>
      </c>
      <c r="L287" s="115">
        <v>2.494109644429697E-2</v>
      </c>
      <c r="P287" s="108">
        <v>0.15978336936657073</v>
      </c>
      <c r="Q287" s="108">
        <v>3.1956673873314143</v>
      </c>
      <c r="R287" s="49">
        <v>140559111.75122505</v>
      </c>
    </row>
    <row r="288" spans="1:18" x14ac:dyDescent="0.25">
      <c r="A288">
        <f t="shared" si="7"/>
        <v>276</v>
      </c>
      <c r="B288" s="168">
        <v>0.99068700025857459</v>
      </c>
      <c r="C288" s="122">
        <v>0.90195585923306287</v>
      </c>
      <c r="D288" s="122">
        <v>0.90285809757223168</v>
      </c>
      <c r="E288" s="122">
        <v>1.8411953678926947</v>
      </c>
      <c r="F288" s="122">
        <v>8.1949078982019543</v>
      </c>
      <c r="G288" s="122">
        <v>1.0925374004653896</v>
      </c>
      <c r="H288" s="163">
        <v>1</v>
      </c>
      <c r="I288" s="12">
        <v>2.1144199708386945E-2</v>
      </c>
      <c r="J288" s="115">
        <v>6.2428256431022802E-2</v>
      </c>
      <c r="K288" s="115">
        <v>6.091913486989238E-3</v>
      </c>
      <c r="L288" s="115">
        <v>2.9524594053021384E-2</v>
      </c>
      <c r="P288" s="108">
        <v>0.17133205509753938</v>
      </c>
      <c r="Q288" s="108">
        <v>3.426641101950787</v>
      </c>
      <c r="R288" s="49">
        <v>150718323.03005934</v>
      </c>
    </row>
    <row r="289" spans="1:18" x14ac:dyDescent="0.25">
      <c r="A289">
        <f t="shared" si="7"/>
        <v>277</v>
      </c>
      <c r="B289" s="168">
        <v>0.98849554495516978</v>
      </c>
      <c r="C289" s="122">
        <v>0.83257060873600908</v>
      </c>
      <c r="D289" s="122">
        <v>0.88977626269859722</v>
      </c>
      <c r="E289" s="122">
        <v>2.5455855957735598</v>
      </c>
      <c r="F289" s="122">
        <v>2.5912061495437206</v>
      </c>
      <c r="G289" s="122">
        <v>1.1036515748799753</v>
      </c>
      <c r="H289" s="163">
        <v>1</v>
      </c>
      <c r="I289" s="12">
        <v>3.043256972749879E-2</v>
      </c>
      <c r="J289" s="115">
        <v>4.1947809170607905E-2</v>
      </c>
      <c r="K289" s="115">
        <v>9.2126835649841837E-3</v>
      </c>
      <c r="L289" s="115">
        <v>1.2333033779822663E-2</v>
      </c>
      <c r="P289" s="108">
        <v>4.034932161060021E-3</v>
      </c>
      <c r="Q289" s="108">
        <v>8.0698643221200406E-2</v>
      </c>
      <c r="R289" s="49">
        <v>3549471.2796668876</v>
      </c>
    </row>
    <row r="290" spans="1:18" x14ac:dyDescent="0.25">
      <c r="A290">
        <f t="shared" si="7"/>
        <v>278</v>
      </c>
      <c r="B290" s="168">
        <v>1.0064963200414412</v>
      </c>
      <c r="C290" s="122">
        <v>0.88072152964386818</v>
      </c>
      <c r="D290" s="122">
        <v>0.89102055787430756</v>
      </c>
      <c r="E290" s="122">
        <v>2.0502952475430178</v>
      </c>
      <c r="F290" s="122">
        <v>3.8966572808115063</v>
      </c>
      <c r="G290" s="122">
        <v>1.0966157971635146</v>
      </c>
      <c r="H290" s="163">
        <v>1</v>
      </c>
      <c r="I290" s="12">
        <v>1.3521988699179577E-2</v>
      </c>
      <c r="J290" s="115">
        <v>4.4666466110981587E-2</v>
      </c>
      <c r="K290" s="115">
        <v>1.3710331369686511E-3</v>
      </c>
      <c r="L290" s="115">
        <v>3.5936308092439931E-2</v>
      </c>
      <c r="P290" s="108">
        <v>4.4157697349114296E-2</v>
      </c>
      <c r="Q290" s="108">
        <v>0.88315394698228578</v>
      </c>
      <c r="R290" s="49">
        <v>38844885.67850595</v>
      </c>
    </row>
    <row r="291" spans="1:18" x14ac:dyDescent="0.25">
      <c r="A291">
        <f t="shared" si="7"/>
        <v>279</v>
      </c>
      <c r="B291" s="168">
        <v>1.0072776455426375</v>
      </c>
      <c r="C291" s="122">
        <v>0.90567022148802778</v>
      </c>
      <c r="D291" s="122">
        <v>0.89887043666206501</v>
      </c>
      <c r="E291" s="122">
        <v>2.879838972910858</v>
      </c>
      <c r="F291" s="122">
        <v>7.7985643319028366</v>
      </c>
      <c r="G291" s="122">
        <v>1.0851752303466857</v>
      </c>
      <c r="H291" s="163">
        <v>1</v>
      </c>
      <c r="I291" s="12">
        <v>2.1999000759856301E-2</v>
      </c>
      <c r="J291" s="115">
        <v>2.5886081517101721E-2</v>
      </c>
      <c r="K291" s="115">
        <v>4.4814845407652659E-3</v>
      </c>
      <c r="L291" s="115">
        <v>1.3286372797246647E-2</v>
      </c>
      <c r="P291" s="108">
        <v>1.7893546293108884E-2</v>
      </c>
      <c r="Q291" s="108">
        <v>0.35787092586217761</v>
      </c>
      <c r="R291" s="49">
        <v>15740693.058416698</v>
      </c>
    </row>
    <row r="292" spans="1:18" x14ac:dyDescent="0.25">
      <c r="A292">
        <f t="shared" si="7"/>
        <v>280</v>
      </c>
      <c r="B292" s="168">
        <v>1.0004690918234007</v>
      </c>
      <c r="C292" s="122">
        <v>0.9317724007890914</v>
      </c>
      <c r="D292" s="122">
        <v>0.90316506338554847</v>
      </c>
      <c r="E292" s="122">
        <v>2.0164813068026777</v>
      </c>
      <c r="F292" s="122">
        <v>2.15021513204558</v>
      </c>
      <c r="G292" s="122">
        <v>1.0994160025545083</v>
      </c>
      <c r="H292" s="163">
        <v>1</v>
      </c>
      <c r="I292" s="12">
        <v>2.0320101576413136E-2</v>
      </c>
      <c r="J292" s="115">
        <v>4.6968597907024408E-2</v>
      </c>
      <c r="K292" s="115">
        <v>5.7701308976892971E-3</v>
      </c>
      <c r="L292" s="115">
        <v>4.6857620112450121E-2</v>
      </c>
      <c r="P292" s="108">
        <v>2.242346441129061E-2</v>
      </c>
      <c r="Q292" s="108">
        <v>0.44846928822581217</v>
      </c>
      <c r="R292" s="49">
        <v>19725596.302862961</v>
      </c>
    </row>
    <row r="293" spans="1:18" x14ac:dyDescent="0.25">
      <c r="A293">
        <f t="shared" si="7"/>
        <v>281</v>
      </c>
      <c r="B293" s="168">
        <v>1.0077938297272087</v>
      </c>
      <c r="C293" s="122">
        <v>0.88966352938886506</v>
      </c>
      <c r="D293" s="122">
        <v>0.88484762992972033</v>
      </c>
      <c r="E293" s="122">
        <v>2.6499628049202215</v>
      </c>
      <c r="F293" s="122">
        <v>5.2091912053096889</v>
      </c>
      <c r="G293" s="122">
        <v>1.0624924873573591</v>
      </c>
      <c r="H293" s="163">
        <v>1</v>
      </c>
      <c r="I293" s="12">
        <v>1.6752229674950929E-2</v>
      </c>
      <c r="J293" s="115">
        <v>7.9127990954507274E-2</v>
      </c>
      <c r="K293" s="115">
        <v>3.9114555739094533E-4</v>
      </c>
      <c r="L293" s="115">
        <v>3.1716026048470645E-2</v>
      </c>
      <c r="P293" s="108">
        <v>0.18698345341194392</v>
      </c>
      <c r="Q293" s="108">
        <v>3.7396690682388778</v>
      </c>
      <c r="R293" s="49">
        <v>164486631.0427053</v>
      </c>
    </row>
    <row r="294" spans="1:18" x14ac:dyDescent="0.25">
      <c r="A294">
        <f t="shared" si="7"/>
        <v>282</v>
      </c>
      <c r="B294" s="168">
        <v>0.99992490686957758</v>
      </c>
      <c r="C294" s="122">
        <v>0.89166434010942264</v>
      </c>
      <c r="D294" s="122">
        <v>0.89692924161920351</v>
      </c>
      <c r="E294" s="122">
        <v>2.0024948316340248</v>
      </c>
      <c r="F294" s="122">
        <v>6.0117841471519196</v>
      </c>
      <c r="G294" s="122">
        <v>1.1050737607257759</v>
      </c>
      <c r="H294" s="163">
        <v>1</v>
      </c>
      <c r="I294" s="12">
        <v>2.3302643013622119E-2</v>
      </c>
      <c r="J294" s="115">
        <v>4.0153929838136981E-2</v>
      </c>
      <c r="K294" s="115">
        <v>6.9703284294046104E-3</v>
      </c>
      <c r="L294" s="115">
        <v>-5.7761937104851974E-3</v>
      </c>
      <c r="P294" s="108">
        <v>4.0890602710611873E-2</v>
      </c>
      <c r="Q294" s="108">
        <v>0.81781205421223735</v>
      </c>
      <c r="R294" s="49">
        <v>35970869.926956996</v>
      </c>
    </row>
    <row r="295" spans="1:18" x14ac:dyDescent="0.25">
      <c r="A295">
        <f t="shared" si="7"/>
        <v>283</v>
      </c>
      <c r="B295" s="168">
        <v>1.0082707906688477</v>
      </c>
      <c r="C295" s="122">
        <v>0.88231679435204613</v>
      </c>
      <c r="D295" s="122">
        <v>0.89896396328402306</v>
      </c>
      <c r="E295" s="122">
        <v>2.3016652672598199</v>
      </c>
      <c r="F295" s="122">
        <v>5.7212095669697645</v>
      </c>
      <c r="G295" s="122">
        <v>1.091022268644477</v>
      </c>
      <c r="H295" s="163">
        <v>1</v>
      </c>
      <c r="I295" s="12">
        <v>3.6844788080974647E-2</v>
      </c>
      <c r="J295" s="115">
        <v>3.9007383346735862E-2</v>
      </c>
      <c r="K295" s="115">
        <v>1.3919623379522069E-2</v>
      </c>
      <c r="L295" s="115">
        <v>1.0242148768630128E-2</v>
      </c>
      <c r="P295" s="108">
        <v>5.7609418393831199E-2</v>
      </c>
      <c r="Q295" s="108">
        <v>1.1521883678766238</v>
      </c>
      <c r="R295" s="49">
        <v>50678169.511900008</v>
      </c>
    </row>
    <row r="296" spans="1:18" x14ac:dyDescent="0.25">
      <c r="A296">
        <f t="shared" si="7"/>
        <v>284</v>
      </c>
      <c r="B296" s="168">
        <v>1.0131903752576548</v>
      </c>
      <c r="C296" s="122">
        <v>0.92696552196161675</v>
      </c>
      <c r="D296" s="122">
        <v>0.88345763417408252</v>
      </c>
      <c r="E296" s="122">
        <v>2.663263758208287</v>
      </c>
      <c r="F296" s="122">
        <v>3.0672328886324536</v>
      </c>
      <c r="G296" s="122">
        <v>1.0976812451872804</v>
      </c>
      <c r="H296" s="163">
        <v>1</v>
      </c>
      <c r="I296" s="12">
        <v>3.0784863700527923E-2</v>
      </c>
      <c r="J296" s="115">
        <v>5.459785867336326E-2</v>
      </c>
      <c r="K296" s="115">
        <v>-3.6489068751701893E-3</v>
      </c>
      <c r="L296" s="115">
        <v>1.3406699752492531E-2</v>
      </c>
      <c r="P296" s="108">
        <v>5.8834468772269354E-2</v>
      </c>
      <c r="Q296" s="108">
        <v>1.1766893754453869</v>
      </c>
      <c r="R296" s="49">
        <v>51755828.555681542</v>
      </c>
    </row>
    <row r="297" spans="1:18" x14ac:dyDescent="0.25">
      <c r="A297">
        <f t="shared" si="7"/>
        <v>285</v>
      </c>
      <c r="B297" s="168">
        <v>1.0053044086901908</v>
      </c>
      <c r="C297" s="122">
        <v>0.9486602587990709</v>
      </c>
      <c r="D297" s="122">
        <v>0.90920581824124624</v>
      </c>
      <c r="E297" s="122">
        <v>2.5793435625342314</v>
      </c>
      <c r="F297" s="122">
        <v>5.315440727370139</v>
      </c>
      <c r="G297" s="122">
        <v>1.1053025420458713</v>
      </c>
      <c r="H297" s="163">
        <v>1</v>
      </c>
      <c r="I297" s="12">
        <v>3.4474299970169063E-2</v>
      </c>
      <c r="J297" s="115">
        <v>2.0734009283657553E-2</v>
      </c>
      <c r="K297" s="115">
        <v>2.7968777059750967E-3</v>
      </c>
      <c r="L297" s="115">
        <v>9.5693288880013393E-3</v>
      </c>
      <c r="P297" s="108">
        <v>-2.0843197767262702E-2</v>
      </c>
      <c r="Q297" s="108">
        <v>-0.41686395534525394</v>
      </c>
      <c r="R297" s="49">
        <v>-18335458.664038565</v>
      </c>
    </row>
    <row r="298" spans="1:18" x14ac:dyDescent="0.25">
      <c r="A298">
        <f t="shared" si="7"/>
        <v>286</v>
      </c>
      <c r="B298" s="168">
        <v>0.99002032268432616</v>
      </c>
      <c r="C298" s="122">
        <v>0.89350079328944543</v>
      </c>
      <c r="D298" s="122">
        <v>0.89310976662863351</v>
      </c>
      <c r="E298" s="122">
        <v>1.4495422852574316</v>
      </c>
      <c r="F298" s="122">
        <v>6.1736287303623039</v>
      </c>
      <c r="G298" s="122">
        <v>1.1081395592158396</v>
      </c>
      <c r="H298" s="163">
        <v>1</v>
      </c>
      <c r="I298" s="12">
        <v>2.0129518181856872E-2</v>
      </c>
      <c r="J298" s="115">
        <v>2.1453122009681694E-2</v>
      </c>
      <c r="K298" s="115">
        <v>7.9405218544377418E-3</v>
      </c>
      <c r="L298" s="115">
        <v>2.0548720195623302E-2</v>
      </c>
      <c r="P298" s="108">
        <v>1.8868556446120228E-3</v>
      </c>
      <c r="Q298" s="108">
        <v>3.7737112892240451E-2</v>
      </c>
      <c r="R298" s="49">
        <v>1659839.5343698189</v>
      </c>
    </row>
    <row r="299" spans="1:18" x14ac:dyDescent="0.25">
      <c r="A299">
        <f t="shared" si="7"/>
        <v>287</v>
      </c>
      <c r="B299" s="168">
        <v>0.99397705510147338</v>
      </c>
      <c r="C299" s="122">
        <v>0.87246932065939753</v>
      </c>
      <c r="D299" s="122">
        <v>0.89147499982330036</v>
      </c>
      <c r="E299" s="122">
        <v>2.1413663548201733</v>
      </c>
      <c r="F299" s="122">
        <v>4.7747680166475153</v>
      </c>
      <c r="G299" s="122">
        <v>1.1122913810268218</v>
      </c>
      <c r="H299" s="163">
        <v>1</v>
      </c>
      <c r="I299" s="12">
        <v>2.8382549171668117E-2</v>
      </c>
      <c r="J299" s="115">
        <v>6.7630993331221245E-2</v>
      </c>
      <c r="K299" s="115">
        <v>1.3431986893021803E-3</v>
      </c>
      <c r="L299" s="115">
        <v>9.0888550255278228E-4</v>
      </c>
      <c r="P299" s="108">
        <v>0.1225260136204578</v>
      </c>
      <c r="Q299" s="108">
        <v>2.4505202724091553</v>
      </c>
      <c r="R299" s="49">
        <v>107784356.46452957</v>
      </c>
    </row>
    <row r="300" spans="1:18" x14ac:dyDescent="0.25">
      <c r="A300">
        <f t="shared" si="7"/>
        <v>288</v>
      </c>
      <c r="B300" s="168">
        <v>0.97841526079891417</v>
      </c>
      <c r="C300" s="122">
        <v>0.90420758851622718</v>
      </c>
      <c r="D300" s="122">
        <v>0.8792634364423606</v>
      </c>
      <c r="E300" s="122">
        <v>2.4657901848564707</v>
      </c>
      <c r="F300" s="122">
        <v>3.7384822329101843</v>
      </c>
      <c r="G300" s="122">
        <v>1.0909311030521498</v>
      </c>
      <c r="H300" s="163">
        <v>1</v>
      </c>
      <c r="I300" s="12">
        <v>3.030033979102709E-2</v>
      </c>
      <c r="J300" s="115">
        <v>6.0885854397080219E-2</v>
      </c>
      <c r="K300" s="115">
        <v>8.5153095875603879E-3</v>
      </c>
      <c r="L300" s="115">
        <v>3.6254594903365238E-2</v>
      </c>
      <c r="P300" s="108">
        <v>0.11405437250587978</v>
      </c>
      <c r="Q300" s="108">
        <v>2.2810874501175955</v>
      </c>
      <c r="R300" s="49">
        <v>100331976.69020888</v>
      </c>
    </row>
    <row r="301" spans="1:18" x14ac:dyDescent="0.25">
      <c r="A301">
        <f t="shared" si="7"/>
        <v>289</v>
      </c>
      <c r="B301" s="168">
        <v>1.0003658839890548</v>
      </c>
      <c r="C301" s="122">
        <v>0.90313642333293509</v>
      </c>
      <c r="D301" s="122">
        <v>0.91259953755449408</v>
      </c>
      <c r="E301" s="122">
        <v>2.0425532479416182</v>
      </c>
      <c r="F301" s="122">
        <v>3.0366153446720419</v>
      </c>
      <c r="G301" s="122">
        <v>1.1068921886803234</v>
      </c>
      <c r="H301" s="163">
        <v>1</v>
      </c>
      <c r="I301" s="12">
        <v>4.1228896923971005E-2</v>
      </c>
      <c r="J301" s="115">
        <v>4.0814609132581219E-2</v>
      </c>
      <c r="K301" s="115">
        <v>4.1532848174187509E-3</v>
      </c>
      <c r="L301" s="115">
        <v>4.3570814180982197E-3</v>
      </c>
      <c r="P301" s="108">
        <v>1.0283013872320522E-2</v>
      </c>
      <c r="Q301" s="108">
        <v>0.20566027744641038</v>
      </c>
      <c r="R301" s="49">
        <v>9045818.1082848907</v>
      </c>
    </row>
    <row r="302" spans="1:18" x14ac:dyDescent="0.25">
      <c r="A302">
        <f t="shared" si="7"/>
        <v>290</v>
      </c>
      <c r="B302" s="168">
        <v>1.0072681475639125</v>
      </c>
      <c r="C302" s="122">
        <v>0.91604870318137255</v>
      </c>
      <c r="D302" s="122">
        <v>0.89605773539156752</v>
      </c>
      <c r="E302" s="122">
        <v>1.2746171020494614</v>
      </c>
      <c r="F302" s="122">
        <v>5.1580772194650573</v>
      </c>
      <c r="G302" s="122">
        <v>1.0798911075221473</v>
      </c>
      <c r="H302" s="163">
        <v>1</v>
      </c>
      <c r="I302" s="12">
        <v>2.5831499685415784E-2</v>
      </c>
      <c r="J302" s="115">
        <v>3.0967353129677529E-2</v>
      </c>
      <c r="K302" s="115">
        <v>7.0731627662920914E-3</v>
      </c>
      <c r="L302" s="115">
        <v>2.2322369980755083E-2</v>
      </c>
      <c r="P302" s="108">
        <v>3.2385776457260561E-2</v>
      </c>
      <c r="Q302" s="108">
        <v>0.64771552914521113</v>
      </c>
      <c r="R302" s="49">
        <v>28489297.667537216</v>
      </c>
    </row>
    <row r="303" spans="1:18" x14ac:dyDescent="0.25">
      <c r="A303">
        <f t="shared" si="7"/>
        <v>291</v>
      </c>
      <c r="B303" s="168">
        <v>1.0064515797398366</v>
      </c>
      <c r="C303" s="122">
        <v>0.92252044475071815</v>
      </c>
      <c r="D303" s="122">
        <v>0.90626604678721678</v>
      </c>
      <c r="E303" s="122">
        <v>2.420824463547572</v>
      </c>
      <c r="F303" s="122">
        <v>5.4096184966571421</v>
      </c>
      <c r="G303" s="122">
        <v>1.090254488291545</v>
      </c>
      <c r="H303" s="163">
        <v>1</v>
      </c>
      <c r="I303" s="12">
        <v>1.8954718458475413E-2</v>
      </c>
      <c r="J303" s="115">
        <v>3.749783021543994E-2</v>
      </c>
      <c r="K303" s="115">
        <v>6.2975948179070217E-3</v>
      </c>
      <c r="L303" s="115">
        <v>2.6741194251680703E-2</v>
      </c>
      <c r="P303" s="108">
        <v>4.2871003071504321E-2</v>
      </c>
      <c r="Q303" s="108">
        <v>0.85742006143008631</v>
      </c>
      <c r="R303" s="49">
        <v>37712999.391007997</v>
      </c>
    </row>
    <row r="304" spans="1:18" x14ac:dyDescent="0.25">
      <c r="A304">
        <f t="shared" si="7"/>
        <v>292</v>
      </c>
      <c r="B304" s="168">
        <v>0.992434049170411</v>
      </c>
      <c r="C304" s="122">
        <v>0.91101754103403076</v>
      </c>
      <c r="D304" s="122">
        <v>0.90968725751583823</v>
      </c>
      <c r="E304" s="122">
        <v>1.4408391260599229</v>
      </c>
      <c r="F304" s="122">
        <v>7.1827313969719171</v>
      </c>
      <c r="G304" s="122">
        <v>1.11058846157517</v>
      </c>
      <c r="H304" s="163">
        <v>1</v>
      </c>
      <c r="I304" s="12">
        <v>2.6856452335574061E-2</v>
      </c>
      <c r="J304" s="115">
        <v>4.8302744494230387E-2</v>
      </c>
      <c r="K304" s="115">
        <v>1.5549650425978729E-3</v>
      </c>
      <c r="L304" s="115">
        <v>4.7966961922384005E-2</v>
      </c>
      <c r="P304" s="108">
        <v>0.13338528499013297</v>
      </c>
      <c r="Q304" s="108">
        <v>2.6677056998026587</v>
      </c>
      <c r="R304" s="49">
        <v>117337099.93237631</v>
      </c>
    </row>
    <row r="305" spans="1:18" x14ac:dyDescent="0.25">
      <c r="A305">
        <f t="shared" si="7"/>
        <v>293</v>
      </c>
      <c r="B305" s="168">
        <v>0.99608145501197021</v>
      </c>
      <c r="C305" s="122">
        <v>0.89696178174790964</v>
      </c>
      <c r="D305" s="122">
        <v>0.90418163102969318</v>
      </c>
      <c r="E305" s="122">
        <v>0.78934517799783288</v>
      </c>
      <c r="F305" s="122">
        <v>5.2330867072186216</v>
      </c>
      <c r="G305" s="122">
        <v>1.1119119854611994</v>
      </c>
      <c r="H305" s="163">
        <v>1</v>
      </c>
      <c r="I305" s="12">
        <v>3.248114367447448E-2</v>
      </c>
      <c r="J305" s="115">
        <v>3.3389172586308885E-2</v>
      </c>
      <c r="K305" s="115">
        <v>1.5727590681279837E-3</v>
      </c>
      <c r="L305" s="115">
        <v>1.4866020030321978E-2</v>
      </c>
      <c r="P305" s="108">
        <v>4.5071789898742685E-2</v>
      </c>
      <c r="Q305" s="108">
        <v>0.90143579797485351</v>
      </c>
      <c r="R305" s="49">
        <v>39648999.631938837</v>
      </c>
    </row>
    <row r="306" spans="1:18" x14ac:dyDescent="0.25">
      <c r="A306">
        <f t="shared" si="7"/>
        <v>294</v>
      </c>
      <c r="B306" s="168">
        <v>1.0141065340015403</v>
      </c>
      <c r="C306" s="122">
        <v>0.85485876452985188</v>
      </c>
      <c r="D306" s="122">
        <v>0.9028354610253766</v>
      </c>
      <c r="E306" s="122">
        <v>1.4280812272862617</v>
      </c>
      <c r="F306" s="122">
        <v>7.2384770706129462</v>
      </c>
      <c r="G306" s="122">
        <v>1.0622877628066578</v>
      </c>
      <c r="H306" s="163">
        <v>1</v>
      </c>
      <c r="I306" s="12">
        <v>1.6427985316719046E-2</v>
      </c>
      <c r="J306" s="115">
        <v>7.0528438710934227E-2</v>
      </c>
      <c r="K306" s="115">
        <v>2.9951609602123152E-3</v>
      </c>
      <c r="L306" s="115">
        <v>-7.7194151115039453E-4</v>
      </c>
      <c r="P306" s="108">
        <v>0.1720626548532482</v>
      </c>
      <c r="Q306" s="108">
        <v>3.4412530970649637</v>
      </c>
      <c r="R306" s="49">
        <v>151361021.03495935</v>
      </c>
    </row>
    <row r="307" spans="1:18" x14ac:dyDescent="0.25">
      <c r="A307">
        <f t="shared" si="7"/>
        <v>295</v>
      </c>
      <c r="B307" s="168">
        <v>0.99109358001002779</v>
      </c>
      <c r="C307" s="122">
        <v>0.85534721368098188</v>
      </c>
      <c r="D307" s="122">
        <v>0.91585301721704238</v>
      </c>
      <c r="E307" s="122">
        <v>1.4477648674571493</v>
      </c>
      <c r="F307" s="122">
        <v>1.4510631577521997</v>
      </c>
      <c r="G307" s="122">
        <v>1.0787422696295923</v>
      </c>
      <c r="H307" s="163">
        <v>1</v>
      </c>
      <c r="I307" s="12">
        <v>4.5118736498624863E-3</v>
      </c>
      <c r="J307" s="115">
        <v>4.1282974845325018E-2</v>
      </c>
      <c r="K307" s="115">
        <v>7.4599127364480215E-3</v>
      </c>
      <c r="L307" s="115">
        <v>2.1056689349131009E-2</v>
      </c>
      <c r="P307" s="108">
        <v>-6.626826914260435E-2</v>
      </c>
      <c r="Q307" s="108">
        <v>-1.3253653828520868</v>
      </c>
      <c r="R307" s="49">
        <v>-58295234.885216758</v>
      </c>
    </row>
    <row r="308" spans="1:18" x14ac:dyDescent="0.25">
      <c r="A308">
        <f t="shared" si="7"/>
        <v>296</v>
      </c>
      <c r="B308" s="168">
        <v>1.0031712442559877</v>
      </c>
      <c r="C308" s="122">
        <v>0.93056440403152807</v>
      </c>
      <c r="D308" s="122">
        <v>0.88850255368371156</v>
      </c>
      <c r="E308" s="122">
        <v>2.0475482891319072</v>
      </c>
      <c r="F308" s="122">
        <v>5.9083752856686154</v>
      </c>
      <c r="G308" s="122">
        <v>1.0991503883471088</v>
      </c>
      <c r="H308" s="163">
        <v>1</v>
      </c>
      <c r="I308" s="12">
        <v>8.7906915455005612E-3</v>
      </c>
      <c r="J308" s="115">
        <v>6.9413819804485993E-2</v>
      </c>
      <c r="K308" s="115">
        <v>8.0856073410565067E-4</v>
      </c>
      <c r="L308" s="115">
        <v>1.7625098758887812E-2</v>
      </c>
      <c r="P308" s="108">
        <v>0.14501774829454972</v>
      </c>
      <c r="Q308" s="108">
        <v>2.900354965890994</v>
      </c>
      <c r="R308" s="49">
        <v>127570009.12705259</v>
      </c>
    </row>
    <row r="309" spans="1:18" x14ac:dyDescent="0.25">
      <c r="A309">
        <f t="shared" si="7"/>
        <v>297</v>
      </c>
      <c r="B309" s="168">
        <v>1.0004377361144448</v>
      </c>
      <c r="C309" s="122">
        <v>0.88516006822542503</v>
      </c>
      <c r="D309" s="122">
        <v>0.90411639429577695</v>
      </c>
      <c r="E309" s="122">
        <v>2.7749055939621781</v>
      </c>
      <c r="F309" s="122">
        <v>8.1713416133735315</v>
      </c>
      <c r="G309" s="122">
        <v>1.076205492150518</v>
      </c>
      <c r="H309" s="163">
        <v>1</v>
      </c>
      <c r="I309" s="12">
        <v>2.8213524299683743E-2</v>
      </c>
      <c r="J309" s="115">
        <v>5.1961584357162215E-2</v>
      </c>
      <c r="K309" s="115">
        <v>1.5668236862169753E-3</v>
      </c>
      <c r="L309" s="115">
        <v>1.2371588863529605E-2</v>
      </c>
      <c r="P309" s="108">
        <v>0.11836894895972302</v>
      </c>
      <c r="Q309" s="108">
        <v>2.3673789791944602</v>
      </c>
      <c r="R309" s="49">
        <v>104127446.99690674</v>
      </c>
    </row>
    <row r="310" spans="1:18" x14ac:dyDescent="0.25">
      <c r="A310">
        <f t="shared" si="7"/>
        <v>298</v>
      </c>
      <c r="B310" s="168">
        <v>1.0103528166457789</v>
      </c>
      <c r="C310" s="122">
        <v>0.90747764246071505</v>
      </c>
      <c r="D310" s="122">
        <v>0.89706987113399428</v>
      </c>
      <c r="E310" s="122">
        <v>3.0907087940147586</v>
      </c>
      <c r="F310" s="122">
        <v>5.3432686152447415</v>
      </c>
      <c r="G310" s="122">
        <v>1.0490519100254243</v>
      </c>
      <c r="H310" s="163">
        <v>1</v>
      </c>
      <c r="I310" s="12">
        <v>2.6329197370147821E-2</v>
      </c>
      <c r="J310" s="115">
        <v>3.8441525269322332E-2</v>
      </c>
      <c r="K310" s="115">
        <v>-4.0171361844424372E-3</v>
      </c>
      <c r="L310" s="115">
        <v>3.2633264346106861E-2</v>
      </c>
      <c r="P310" s="108">
        <v>5.7061130883911133E-2</v>
      </c>
      <c r="Q310" s="108">
        <v>1.1412226176782225</v>
      </c>
      <c r="R310" s="49">
        <v>50195848.944470674</v>
      </c>
    </row>
    <row r="311" spans="1:18" x14ac:dyDescent="0.25">
      <c r="A311">
        <f t="shared" si="7"/>
        <v>299</v>
      </c>
      <c r="B311" s="168">
        <v>1.0151129516089894</v>
      </c>
      <c r="C311" s="122">
        <v>0.90752260551160679</v>
      </c>
      <c r="D311" s="122">
        <v>0.908070611839636</v>
      </c>
      <c r="E311" s="122">
        <v>1.0890842384335204</v>
      </c>
      <c r="F311" s="122">
        <v>1.3086600492734997</v>
      </c>
      <c r="G311" s="122">
        <v>1.1012447176118316</v>
      </c>
      <c r="H311" s="163">
        <v>1</v>
      </c>
      <c r="I311" s="12">
        <v>3.4505606957805572E-2</v>
      </c>
      <c r="J311" s="115">
        <v>4.8155380380177588E-2</v>
      </c>
      <c r="K311" s="115">
        <v>1.1346777304696697E-2</v>
      </c>
      <c r="L311" s="115">
        <v>1.7405938645847087E-2</v>
      </c>
      <c r="P311" s="108">
        <v>-4.7498567665165567E-2</v>
      </c>
      <c r="Q311" s="108">
        <v>-0.94997135330331117</v>
      </c>
      <c r="R311" s="49">
        <v>-41783800.823190898</v>
      </c>
    </row>
    <row r="312" spans="1:18" x14ac:dyDescent="0.25">
      <c r="A312">
        <f t="shared" si="7"/>
        <v>300</v>
      </c>
      <c r="B312" s="168">
        <v>1.0058345559067636</v>
      </c>
      <c r="C312" s="122">
        <v>0.873335440351651</v>
      </c>
      <c r="D312" s="122">
        <v>0.90130803935060999</v>
      </c>
      <c r="E312" s="122">
        <v>1.2820440758512026</v>
      </c>
      <c r="F312" s="122">
        <v>1.7177591482447241</v>
      </c>
      <c r="G312" s="122">
        <v>1.0857507133480433</v>
      </c>
      <c r="H312" s="163">
        <v>1</v>
      </c>
      <c r="I312" s="12">
        <v>1.5853182433531364E-2</v>
      </c>
      <c r="J312" s="115">
        <v>4.3291913096403151E-2</v>
      </c>
      <c r="K312" s="115">
        <v>6.9422809449995702E-3</v>
      </c>
      <c r="L312" s="115">
        <v>2.5635806042704438E-2</v>
      </c>
      <c r="P312" s="108">
        <v>-3.8781912456896508E-2</v>
      </c>
      <c r="Q312" s="108">
        <v>-0.77563824913793</v>
      </c>
      <c r="R312" s="49">
        <v>-34115885.705534592</v>
      </c>
    </row>
    <row r="313" spans="1:18" x14ac:dyDescent="0.25">
      <c r="A313">
        <f t="shared" si="7"/>
        <v>301</v>
      </c>
      <c r="B313" s="168">
        <v>1.0127775139363431</v>
      </c>
      <c r="C313" s="122">
        <v>0.89973046395719858</v>
      </c>
      <c r="D313" s="122">
        <v>0.91316269865690936</v>
      </c>
      <c r="E313" s="122">
        <v>1.6598540231820569</v>
      </c>
      <c r="F313" s="122">
        <v>6.456965022738979</v>
      </c>
      <c r="G313" s="122">
        <v>1.1269109921078815</v>
      </c>
      <c r="H313" s="163">
        <v>1</v>
      </c>
      <c r="I313" s="12">
        <v>3.7271687386584818E-2</v>
      </c>
      <c r="J313" s="115">
        <v>8.0210293645848169E-2</v>
      </c>
      <c r="K313" s="115">
        <v>3.1472593787677718E-3</v>
      </c>
      <c r="L313" s="115">
        <v>-1.0252244263115225E-3</v>
      </c>
      <c r="P313" s="108">
        <v>0.19943186569608382</v>
      </c>
      <c r="Q313" s="108">
        <v>3.9886373139216755</v>
      </c>
      <c r="R313" s="49">
        <v>175437318.71632382</v>
      </c>
    </row>
    <row r="314" spans="1:18" x14ac:dyDescent="0.25">
      <c r="A314">
        <f t="shared" si="7"/>
        <v>302</v>
      </c>
      <c r="B314" s="168">
        <v>0.99250100912661454</v>
      </c>
      <c r="C314" s="122">
        <v>0.91396919427839285</v>
      </c>
      <c r="D314" s="122">
        <v>0.89707360359833221</v>
      </c>
      <c r="E314" s="122">
        <v>0.81334524390836882</v>
      </c>
      <c r="F314" s="122">
        <v>7.1314227836067436</v>
      </c>
      <c r="G314" s="122">
        <v>1.0598779412784216</v>
      </c>
      <c r="H314" s="163">
        <v>1</v>
      </c>
      <c r="I314" s="12">
        <v>2.3711598817193376E-2</v>
      </c>
      <c r="J314" s="115">
        <v>3.3590153213982919E-2</v>
      </c>
      <c r="K314" s="115">
        <v>6.6942883616765148E-3</v>
      </c>
      <c r="L314" s="115">
        <v>3.7282667274241725E-2</v>
      </c>
      <c r="P314" s="108">
        <v>9.2293091389454227E-2</v>
      </c>
      <c r="Q314" s="108">
        <v>1.8458618277890841</v>
      </c>
      <c r="R314" s="49">
        <v>81188893.424289078</v>
      </c>
    </row>
    <row r="315" spans="1:18" x14ac:dyDescent="0.25">
      <c r="A315">
        <f t="shared" si="7"/>
        <v>303</v>
      </c>
      <c r="B315" s="168">
        <v>0.99457061147426362</v>
      </c>
      <c r="C315" s="122">
        <v>0.89263995002927699</v>
      </c>
      <c r="D315" s="122">
        <v>0.89983722341790384</v>
      </c>
      <c r="E315" s="122">
        <v>2.8674826784466902</v>
      </c>
      <c r="F315" s="122">
        <v>2.2053427913270367</v>
      </c>
      <c r="G315" s="122">
        <v>1.0940611399634366</v>
      </c>
      <c r="H315" s="163">
        <v>1</v>
      </c>
      <c r="I315" s="12">
        <v>2.9518360850832807E-2</v>
      </c>
      <c r="J315" s="115">
        <v>3.8413411589126402E-2</v>
      </c>
      <c r="K315" s="115">
        <v>6.3138595835861167E-3</v>
      </c>
      <c r="L315" s="115">
        <v>2.6823920595115985E-2</v>
      </c>
      <c r="P315" s="108">
        <v>-2.8508047166759197E-3</v>
      </c>
      <c r="Q315" s="108">
        <v>-5.7016094333518383E-2</v>
      </c>
      <c r="R315" s="49">
        <v>-2507811.5472260453</v>
      </c>
    </row>
    <row r="316" spans="1:18" x14ac:dyDescent="0.25">
      <c r="A316">
        <f t="shared" si="7"/>
        <v>304</v>
      </c>
      <c r="B316" s="168">
        <v>1.0046020784995306</v>
      </c>
      <c r="C316" s="122">
        <v>0.90376656869149463</v>
      </c>
      <c r="D316" s="122">
        <v>0.89727153872582588</v>
      </c>
      <c r="E316" s="122">
        <v>1.9082937620160227</v>
      </c>
      <c r="F316" s="122">
        <v>6.2409645860059468</v>
      </c>
      <c r="G316" s="122">
        <v>1.1024738435335855</v>
      </c>
      <c r="H316" s="163">
        <v>1</v>
      </c>
      <c r="I316" s="12">
        <v>2.9117478069536046E-2</v>
      </c>
      <c r="J316" s="115">
        <v>3.3059869954275865E-2</v>
      </c>
      <c r="K316" s="115">
        <v>1.5271797209265098E-2</v>
      </c>
      <c r="L316" s="115">
        <v>1.667459091969814E-2</v>
      </c>
      <c r="P316" s="108">
        <v>4.4563794815831524E-2</v>
      </c>
      <c r="Q316" s="108">
        <v>0.8912758963166304</v>
      </c>
      <c r="R316" s="49">
        <v>39202123.727950543</v>
      </c>
    </row>
    <row r="317" spans="1:18" x14ac:dyDescent="0.25">
      <c r="A317">
        <f t="shared" si="7"/>
        <v>305</v>
      </c>
      <c r="B317" s="168">
        <v>0.98628893614658963</v>
      </c>
      <c r="C317" s="122">
        <v>0.94206972897717622</v>
      </c>
      <c r="D317" s="122">
        <v>0.90803147548680663</v>
      </c>
      <c r="E317" s="122">
        <v>1.4903739127674551</v>
      </c>
      <c r="F317" s="122">
        <v>6.2258332423133167</v>
      </c>
      <c r="G317" s="122">
        <v>1.1412060866012168</v>
      </c>
      <c r="H317" s="163">
        <v>1</v>
      </c>
      <c r="I317" s="12">
        <v>7.4722458772136062E-3</v>
      </c>
      <c r="J317" s="115">
        <v>5.8545435628232639E-2</v>
      </c>
      <c r="K317" s="115">
        <v>3.4448035465036494E-3</v>
      </c>
      <c r="L317" s="115">
        <v>-5.8455385551513181E-3</v>
      </c>
      <c r="P317" s="108">
        <v>9.4285803881265701E-2</v>
      </c>
      <c r="Q317" s="108">
        <v>1.8857160776253137</v>
      </c>
      <c r="R317" s="49">
        <v>82941853.691274121</v>
      </c>
    </row>
    <row r="318" spans="1:18" x14ac:dyDescent="0.25">
      <c r="A318">
        <f t="shared" si="7"/>
        <v>306</v>
      </c>
      <c r="B318" s="168">
        <v>0.99431949105980622</v>
      </c>
      <c r="C318" s="122">
        <v>0.85991379565314352</v>
      </c>
      <c r="D318" s="122">
        <v>0.90986376573512473</v>
      </c>
      <c r="E318" s="122">
        <v>1.9554871024860623</v>
      </c>
      <c r="F318" s="122">
        <v>6.4924439038350457</v>
      </c>
      <c r="G318" s="122">
        <v>1.1280122751117021</v>
      </c>
      <c r="H318" s="163">
        <v>1</v>
      </c>
      <c r="I318" s="12">
        <v>3.2533450868628307E-2</v>
      </c>
      <c r="J318" s="115">
        <v>2.8655362863903036E-2</v>
      </c>
      <c r="K318" s="115">
        <v>8.8373321625037672E-3</v>
      </c>
      <c r="L318" s="115">
        <v>2.1071146314471365E-2</v>
      </c>
      <c r="P318" s="108">
        <v>3.2243570026680449E-2</v>
      </c>
      <c r="Q318" s="108">
        <v>0.64487140053360881</v>
      </c>
      <c r="R318" s="49">
        <v>28364200.733814441</v>
      </c>
    </row>
    <row r="319" spans="1:18" x14ac:dyDescent="0.25">
      <c r="A319">
        <f t="shared" si="7"/>
        <v>307</v>
      </c>
      <c r="B319" s="168">
        <v>1.0050739739688925</v>
      </c>
      <c r="C319" s="122">
        <v>0.93390688584740078</v>
      </c>
      <c r="D319" s="122">
        <v>0.92423683539284518</v>
      </c>
      <c r="E319" s="122">
        <v>2.3787605783372618</v>
      </c>
      <c r="F319" s="122">
        <v>5.3599267272749209</v>
      </c>
      <c r="G319" s="122">
        <v>1.1171599557971488</v>
      </c>
      <c r="H319" s="163">
        <v>1</v>
      </c>
      <c r="I319" s="12">
        <v>2.6413321183261208E-2</v>
      </c>
      <c r="J319" s="115">
        <v>1.8972398046925586E-2</v>
      </c>
      <c r="K319" s="115">
        <v>2.4278000815226774E-3</v>
      </c>
      <c r="L319" s="115">
        <v>-6.9864474896231335E-3</v>
      </c>
      <c r="P319" s="108">
        <v>-4.7069968523610131E-2</v>
      </c>
      <c r="Q319" s="108">
        <v>-0.94139937047220246</v>
      </c>
      <c r="R319" s="49">
        <v>-41406768.37686564</v>
      </c>
    </row>
    <row r="320" spans="1:18" x14ac:dyDescent="0.25">
      <c r="A320">
        <f t="shared" si="7"/>
        <v>308</v>
      </c>
      <c r="B320" s="168">
        <v>1.0058400471256483</v>
      </c>
      <c r="C320" s="122">
        <v>0.87064174849364329</v>
      </c>
      <c r="D320" s="122">
        <v>0.89360231595769646</v>
      </c>
      <c r="E320" s="122">
        <v>2.4325913463858289</v>
      </c>
      <c r="F320" s="122">
        <v>4.6154145967117755</v>
      </c>
      <c r="G320" s="122">
        <v>1.1222822495360374</v>
      </c>
      <c r="H320" s="163">
        <v>1</v>
      </c>
      <c r="I320" s="12">
        <v>2.8013324423514164E-2</v>
      </c>
      <c r="J320" s="115">
        <v>5.4949470956727517E-2</v>
      </c>
      <c r="K320" s="115">
        <v>2.247646138682443E-3</v>
      </c>
      <c r="L320" s="115">
        <v>3.687370951429525E-2</v>
      </c>
      <c r="P320" s="108">
        <v>9.975079065938583E-2</v>
      </c>
      <c r="Q320" s="108">
        <v>1.9950158131877163</v>
      </c>
      <c r="R320" s="49">
        <v>87749323.269052699</v>
      </c>
    </row>
    <row r="321" spans="1:18" x14ac:dyDescent="0.25">
      <c r="A321">
        <f t="shared" si="7"/>
        <v>309</v>
      </c>
      <c r="B321" s="168">
        <v>1.0126315734936038</v>
      </c>
      <c r="C321" s="122">
        <v>0.91356778288034457</v>
      </c>
      <c r="D321" s="122">
        <v>0.8903181955340761</v>
      </c>
      <c r="E321" s="122">
        <v>2.2363030504561685</v>
      </c>
      <c r="F321" s="122">
        <v>2.2735457735893672</v>
      </c>
      <c r="G321" s="122">
        <v>1.1154612790443241</v>
      </c>
      <c r="H321" s="163">
        <v>1</v>
      </c>
      <c r="I321" s="12">
        <v>8.8790270041403871E-4</v>
      </c>
      <c r="J321" s="115">
        <v>2.2080130964704264E-2</v>
      </c>
      <c r="K321" s="115">
        <v>7.0796649778855176E-3</v>
      </c>
      <c r="L321" s="115">
        <v>9.2669964229817603E-4</v>
      </c>
      <c r="P321" s="108">
        <v>-0.11296342363838445</v>
      </c>
      <c r="Q321" s="108">
        <v>-2.2592684727676886</v>
      </c>
      <c r="R321" s="49">
        <v>-99372284.799938664</v>
      </c>
    </row>
    <row r="322" spans="1:18" x14ac:dyDescent="0.25">
      <c r="A322">
        <f t="shared" si="7"/>
        <v>310</v>
      </c>
      <c r="B322" s="168">
        <v>1.0061823938444308</v>
      </c>
      <c r="C322" s="122">
        <v>0.87456352260438242</v>
      </c>
      <c r="D322" s="122">
        <v>0.90787223282621432</v>
      </c>
      <c r="E322" s="122">
        <v>1.9167810933986611</v>
      </c>
      <c r="F322" s="122">
        <v>5.2319871164257519</v>
      </c>
      <c r="G322" s="122">
        <v>1.0816349309206303</v>
      </c>
      <c r="H322" s="163">
        <v>1</v>
      </c>
      <c r="I322" s="12">
        <v>2.4905224500056816E-2</v>
      </c>
      <c r="J322" s="115">
        <v>2.8597973507554275E-2</v>
      </c>
      <c r="K322" s="115">
        <v>6.7278176995614874E-3</v>
      </c>
      <c r="L322" s="115">
        <v>1.4444726908553928E-2</v>
      </c>
      <c r="P322" s="108">
        <v>1.030576913356796E-2</v>
      </c>
      <c r="Q322" s="108">
        <v>0.20611538267135918</v>
      </c>
      <c r="R322" s="49">
        <v>9065835.5814504959</v>
      </c>
    </row>
    <row r="323" spans="1:18" x14ac:dyDescent="0.25">
      <c r="A323">
        <f t="shared" si="7"/>
        <v>311</v>
      </c>
      <c r="B323" s="168">
        <v>1.0061566159724613</v>
      </c>
      <c r="C323" s="122">
        <v>0.87867315142468716</v>
      </c>
      <c r="D323" s="122">
        <v>0.89956142786047988</v>
      </c>
      <c r="E323" s="122">
        <v>1.8273578487771942</v>
      </c>
      <c r="F323" s="122">
        <v>4.5225066891798349</v>
      </c>
      <c r="G323" s="122">
        <v>1.1073983487101671</v>
      </c>
      <c r="H323" s="163">
        <v>1</v>
      </c>
      <c r="I323" s="12">
        <v>1.5457323792645722E-2</v>
      </c>
      <c r="J323" s="115">
        <v>6.2222095189694779E-2</v>
      </c>
      <c r="K323" s="115">
        <v>1.3355540800133677E-2</v>
      </c>
      <c r="L323" s="115">
        <v>1.6261692596194841E-2</v>
      </c>
      <c r="P323" s="108">
        <v>0.10557124391698834</v>
      </c>
      <c r="Q323" s="108">
        <v>2.1114248783397662</v>
      </c>
      <c r="R323" s="49">
        <v>92869491.551405281</v>
      </c>
    </row>
    <row r="324" spans="1:18" x14ac:dyDescent="0.25">
      <c r="A324">
        <f t="shared" si="7"/>
        <v>312</v>
      </c>
      <c r="B324" s="168">
        <v>1.007073356028624</v>
      </c>
      <c r="C324" s="122">
        <v>0.93682760299451973</v>
      </c>
      <c r="D324" s="122">
        <v>0.87959914762412195</v>
      </c>
      <c r="E324" s="122">
        <v>3.4334381488252594</v>
      </c>
      <c r="F324" s="122">
        <v>4.0857204981607786</v>
      </c>
      <c r="G324" s="122">
        <v>1.0478122975195703</v>
      </c>
      <c r="H324" s="163">
        <v>1</v>
      </c>
      <c r="I324" s="12">
        <v>1.3108710916997448E-2</v>
      </c>
      <c r="J324" s="115">
        <v>3.120049266840412E-2</v>
      </c>
      <c r="K324" s="115">
        <v>6.7508753702371109E-3</v>
      </c>
      <c r="L324" s="115">
        <v>-1.0556393894549525E-2</v>
      </c>
      <c r="P324" s="108">
        <v>-2.6593105026360975E-2</v>
      </c>
      <c r="Q324" s="108">
        <v>-0.53186210052721938</v>
      </c>
      <c r="R324" s="49">
        <v>-23393568.655051589</v>
      </c>
    </row>
    <row r="325" spans="1:18" x14ac:dyDescent="0.25">
      <c r="A325">
        <f t="shared" si="7"/>
        <v>313</v>
      </c>
      <c r="B325" s="168">
        <v>0.98338091220463808</v>
      </c>
      <c r="C325" s="122">
        <v>0.88003202890009402</v>
      </c>
      <c r="D325" s="122">
        <v>0.90900462269079041</v>
      </c>
      <c r="E325" s="122">
        <v>2.0849451429914692</v>
      </c>
      <c r="F325" s="122">
        <v>5.0289184646604559</v>
      </c>
      <c r="G325" s="122">
        <v>1.0957411893918862</v>
      </c>
      <c r="H325" s="163">
        <v>1</v>
      </c>
      <c r="I325" s="12">
        <v>1.8685820683388889E-2</v>
      </c>
      <c r="J325" s="115">
        <v>3.4873429369346592E-2</v>
      </c>
      <c r="K325" s="115">
        <v>3.5546683739147767E-3</v>
      </c>
      <c r="L325" s="115">
        <v>9.663565319811853E-3</v>
      </c>
      <c r="P325" s="108">
        <v>1.578818347844519E-2</v>
      </c>
      <c r="Q325" s="108">
        <v>0.31576366956890378</v>
      </c>
      <c r="R325" s="49">
        <v>13888635.936850574</v>
      </c>
    </row>
    <row r="326" spans="1:18" x14ac:dyDescent="0.25">
      <c r="A326">
        <f t="shared" si="7"/>
        <v>314</v>
      </c>
      <c r="B326" s="168">
        <v>1.0074122630394906</v>
      </c>
      <c r="C326" s="122">
        <v>0.86778291549655895</v>
      </c>
      <c r="D326" s="122">
        <v>0.89313904120905907</v>
      </c>
      <c r="E326" s="122">
        <v>1.7855413114201086</v>
      </c>
      <c r="F326" s="122">
        <v>4.9400601581630781</v>
      </c>
      <c r="G326" s="122">
        <v>1.1012268971061672</v>
      </c>
      <c r="H326" s="163">
        <v>1</v>
      </c>
      <c r="I326" s="12">
        <v>3.2582046682874601E-2</v>
      </c>
      <c r="J326" s="115">
        <v>3.120857579587738E-2</v>
      </c>
      <c r="K326" s="115">
        <v>5.3533251663524248E-3</v>
      </c>
      <c r="L326" s="115">
        <v>2.3292279430125368E-2</v>
      </c>
      <c r="P326" s="108">
        <v>2.5567031272109113E-2</v>
      </c>
      <c r="Q326" s="108">
        <v>0.51134062544218217</v>
      </c>
      <c r="R326" s="49">
        <v>22490946.460635267</v>
      </c>
    </row>
    <row r="327" spans="1:18" x14ac:dyDescent="0.25">
      <c r="A327">
        <f t="shared" si="7"/>
        <v>315</v>
      </c>
      <c r="B327" s="168">
        <v>1.0026410118834066</v>
      </c>
      <c r="C327" s="122">
        <v>0.92957971270831075</v>
      </c>
      <c r="D327" s="122">
        <v>0.89088262688778941</v>
      </c>
      <c r="E327" s="122">
        <v>2.4093230052320798</v>
      </c>
      <c r="F327" s="122">
        <v>6.3669297282794464</v>
      </c>
      <c r="G327" s="122">
        <v>1.1129906156581699</v>
      </c>
      <c r="H327" s="163">
        <v>1</v>
      </c>
      <c r="I327" s="12">
        <v>2.9988880106641518E-2</v>
      </c>
      <c r="J327" s="115">
        <v>5.7075642955808206E-2</v>
      </c>
      <c r="K327" s="115">
        <v>1.3758718652305962E-2</v>
      </c>
      <c r="L327" s="115">
        <v>3.7471852725203966E-2</v>
      </c>
      <c r="P327" s="108">
        <v>0.13852404986416386</v>
      </c>
      <c r="Q327" s="108">
        <v>2.7704809972832769</v>
      </c>
      <c r="R327" s="49">
        <v>121857596.83424786</v>
      </c>
    </row>
    <row r="328" spans="1:18" x14ac:dyDescent="0.25">
      <c r="A328">
        <f t="shared" si="7"/>
        <v>316</v>
      </c>
      <c r="B328" s="168">
        <v>0.99907104099479394</v>
      </c>
      <c r="C328" s="122">
        <v>0.86177185150293756</v>
      </c>
      <c r="D328" s="122">
        <v>0.90738734227258433</v>
      </c>
      <c r="E328" s="122">
        <v>3.4608385642625681</v>
      </c>
      <c r="F328" s="122">
        <v>4.7299395901852481</v>
      </c>
      <c r="G328" s="122">
        <v>1.0976931450124712</v>
      </c>
      <c r="H328" s="163">
        <v>1</v>
      </c>
      <c r="I328" s="12">
        <v>1.6456596957858494E-2</v>
      </c>
      <c r="J328" s="115">
        <v>8.9998483971003504E-3</v>
      </c>
      <c r="K328" s="115">
        <v>8.1584623502717378E-4</v>
      </c>
      <c r="L328" s="115">
        <v>4.3968582607514031E-2</v>
      </c>
      <c r="P328" s="108">
        <v>-6.3786653567873164E-2</v>
      </c>
      <c r="Q328" s="108">
        <v>-1.2757330713574631</v>
      </c>
      <c r="R328" s="49">
        <v>-56112193.669632018</v>
      </c>
    </row>
    <row r="329" spans="1:18" x14ac:dyDescent="0.25">
      <c r="A329">
        <f t="shared" si="7"/>
        <v>317</v>
      </c>
      <c r="B329" s="168">
        <v>0.9797981046807267</v>
      </c>
      <c r="C329" s="122">
        <v>0.90722879294960168</v>
      </c>
      <c r="D329" s="122">
        <v>0.91581873003253322</v>
      </c>
      <c r="E329" s="122">
        <v>2.6885722684199367</v>
      </c>
      <c r="F329" s="122">
        <v>5.1388410605704546</v>
      </c>
      <c r="G329" s="122">
        <v>1.0897856153031293</v>
      </c>
      <c r="H329" s="163">
        <v>1</v>
      </c>
      <c r="I329" s="12">
        <v>2.251035046195091E-2</v>
      </c>
      <c r="J329" s="115">
        <v>2.7658575192360112E-2</v>
      </c>
      <c r="K329" s="115">
        <v>-8.2089063004967509E-3</v>
      </c>
      <c r="L329" s="115">
        <v>2.4212890372881279E-2</v>
      </c>
      <c r="P329" s="108">
        <v>1.2680518221084276E-3</v>
      </c>
      <c r="Q329" s="108">
        <v>2.5361036442168545E-2</v>
      </c>
      <c r="R329" s="49">
        <v>1115486.7898747157</v>
      </c>
    </row>
    <row r="330" spans="1:18" x14ac:dyDescent="0.25">
      <c r="A330">
        <f t="shared" si="7"/>
        <v>318</v>
      </c>
      <c r="B330" s="168">
        <v>1.0025895223918388</v>
      </c>
      <c r="C330" s="122">
        <v>0.90207818447958987</v>
      </c>
      <c r="D330" s="122">
        <v>0.90179182483336884</v>
      </c>
      <c r="E330" s="122">
        <v>2.6024305274075976</v>
      </c>
      <c r="F330" s="122">
        <v>6.8203549399482997</v>
      </c>
      <c r="G330" s="122">
        <v>1.0801039773315853</v>
      </c>
      <c r="H330" s="163">
        <v>1</v>
      </c>
      <c r="I330" s="12">
        <v>2.564237240955064E-2</v>
      </c>
      <c r="J330" s="115">
        <v>4.2733112128085553E-2</v>
      </c>
      <c r="K330" s="115">
        <v>6.6853606167583037E-3</v>
      </c>
      <c r="L330" s="115">
        <v>1.5984866983493086E-2</v>
      </c>
      <c r="P330" s="108">
        <v>7.6181204805081365E-2</v>
      </c>
      <c r="Q330" s="108">
        <v>1.5236240961016272</v>
      </c>
      <c r="R330" s="49">
        <v>67015500.561729155</v>
      </c>
    </row>
    <row r="331" spans="1:18" x14ac:dyDescent="0.25">
      <c r="A331">
        <f t="shared" si="7"/>
        <v>319</v>
      </c>
      <c r="B331" s="168">
        <v>0.99836905875384185</v>
      </c>
      <c r="C331" s="122">
        <v>0.88447198347554157</v>
      </c>
      <c r="D331" s="122">
        <v>0.88209038986170807</v>
      </c>
      <c r="E331" s="122">
        <v>2.6295550589666949</v>
      </c>
      <c r="F331" s="122">
        <v>3.1981582836831954</v>
      </c>
      <c r="G331" s="122">
        <v>1.0860574919547399</v>
      </c>
      <c r="H331" s="163">
        <v>1</v>
      </c>
      <c r="I331" s="12">
        <v>3.3012291742728225E-2</v>
      </c>
      <c r="J331" s="115">
        <v>7.8110654878455671E-2</v>
      </c>
      <c r="K331" s="115">
        <v>7.5936472622874611E-3</v>
      </c>
      <c r="L331" s="115">
        <v>1.9238011676238353E-2</v>
      </c>
      <c r="P331" s="108">
        <v>0.15223596850826659</v>
      </c>
      <c r="Q331" s="108">
        <v>3.0447193701653315</v>
      </c>
      <c r="R331" s="49">
        <v>133919772.7206413</v>
      </c>
    </row>
    <row r="332" spans="1:18" x14ac:dyDescent="0.25">
      <c r="A332">
        <f t="shared" si="7"/>
        <v>320</v>
      </c>
      <c r="B332" s="168">
        <v>0.98580860257417391</v>
      </c>
      <c r="C332" s="122">
        <v>0.93638935536797718</v>
      </c>
      <c r="D332" s="122">
        <v>0.88854030840538223</v>
      </c>
      <c r="E332" s="122">
        <v>3.1582160112762425</v>
      </c>
      <c r="F332" s="122">
        <v>7.9347618596912959</v>
      </c>
      <c r="G332" s="122">
        <v>1.1038039537507833</v>
      </c>
      <c r="H332" s="163">
        <v>1</v>
      </c>
      <c r="I332" s="12">
        <v>2.6225427313265617E-2</v>
      </c>
      <c r="J332" s="115">
        <v>4.9176705276553032E-2</v>
      </c>
      <c r="K332" s="115">
        <v>-6.5362265241626699E-3</v>
      </c>
      <c r="L332" s="115">
        <v>1.3772955053857391E-2</v>
      </c>
      <c r="P332" s="108">
        <v>9.7171672925160268E-2</v>
      </c>
      <c r="Q332" s="108">
        <v>1.9434334585032049</v>
      </c>
      <c r="R332" s="49">
        <v>85480510.818409652</v>
      </c>
    </row>
    <row r="333" spans="1:18" x14ac:dyDescent="0.25">
      <c r="A333">
        <f t="shared" si="7"/>
        <v>321</v>
      </c>
      <c r="B333" s="168">
        <v>0.99286538189932649</v>
      </c>
      <c r="C333" s="122">
        <v>0.87084814911678443</v>
      </c>
      <c r="D333" s="122">
        <v>0.90269340638781304</v>
      </c>
      <c r="E333" s="122">
        <v>2.3576483275781475</v>
      </c>
      <c r="F333" s="122">
        <v>7.0271441449944385</v>
      </c>
      <c r="G333" s="122">
        <v>1.0865809142866807</v>
      </c>
      <c r="H333" s="163">
        <v>1</v>
      </c>
      <c r="I333" s="12">
        <v>2.0330019242576304E-2</v>
      </c>
      <c r="J333" s="115">
        <v>1.2142509822691518E-2</v>
      </c>
      <c r="K333" s="115">
        <v>1.3316859117208518E-2</v>
      </c>
      <c r="L333" s="115">
        <v>1.4723513147449288E-2</v>
      </c>
      <c r="P333" s="108">
        <v>-3.2145573747453172E-2</v>
      </c>
      <c r="Q333" s="108">
        <v>-0.64291147494906331</v>
      </c>
      <c r="R333" s="49">
        <v>-28277994.828796186</v>
      </c>
    </row>
    <row r="334" spans="1:18" x14ac:dyDescent="0.25">
      <c r="A334">
        <f t="shared" si="7"/>
        <v>322</v>
      </c>
      <c r="B334" s="168">
        <v>1.0077531768353789</v>
      </c>
      <c r="C334" s="122">
        <v>0.86502592428695868</v>
      </c>
      <c r="D334" s="122">
        <v>0.91518947659908767</v>
      </c>
      <c r="E334" s="122">
        <v>3.5589008972660263</v>
      </c>
      <c r="F334" s="122">
        <v>6.1927869949398566</v>
      </c>
      <c r="G334" s="122">
        <v>1.1217741255587195</v>
      </c>
      <c r="H334" s="163">
        <v>1</v>
      </c>
      <c r="I334" s="12">
        <v>4.1624413951799263E-2</v>
      </c>
      <c r="J334" s="115">
        <v>2.9248998446270998E-2</v>
      </c>
      <c r="K334" s="115">
        <v>5.8189174212855393E-3</v>
      </c>
      <c r="L334" s="115">
        <v>3.5702243806000331E-2</v>
      </c>
      <c r="P334" s="108">
        <v>3.6811552176282722E-2</v>
      </c>
      <c r="Q334" s="108">
        <v>0.73623104352565438</v>
      </c>
      <c r="R334" s="49">
        <v>32382588.354434237</v>
      </c>
    </row>
    <row r="335" spans="1:18" x14ac:dyDescent="0.25">
      <c r="A335">
        <f t="shared" ref="A335:A398" si="8">A334+1</f>
        <v>323</v>
      </c>
      <c r="B335" s="168">
        <v>1.008790938549758</v>
      </c>
      <c r="C335" s="122">
        <v>0.88729020237497325</v>
      </c>
      <c r="D335" s="122">
        <v>0.88579790876316677</v>
      </c>
      <c r="E335" s="122">
        <v>1.662616725999182</v>
      </c>
      <c r="F335" s="122">
        <v>5.8196338979139215</v>
      </c>
      <c r="G335" s="122">
        <v>1.1682543565537715</v>
      </c>
      <c r="H335" s="163">
        <v>1</v>
      </c>
      <c r="I335" s="12">
        <v>2.4014751168573781E-2</v>
      </c>
      <c r="J335" s="115">
        <v>3.5401389400794542E-2</v>
      </c>
      <c r="K335" s="115">
        <v>-1.9517733709187085E-3</v>
      </c>
      <c r="L335" s="115">
        <v>1.8718302296091841E-2</v>
      </c>
      <c r="P335" s="108">
        <v>3.2444661639189118E-2</v>
      </c>
      <c r="Q335" s="108">
        <v>0.6488932327837823</v>
      </c>
      <c r="R335" s="49">
        <v>28541098.107720684</v>
      </c>
    </row>
    <row r="336" spans="1:18" x14ac:dyDescent="0.25">
      <c r="A336">
        <f t="shared" si="8"/>
        <v>324</v>
      </c>
      <c r="B336" s="168">
        <v>0.99446892375291918</v>
      </c>
      <c r="C336" s="122">
        <v>0.87768042679364999</v>
      </c>
      <c r="D336" s="122">
        <v>0.90542221077252749</v>
      </c>
      <c r="E336" s="122">
        <v>2.1954196302064997</v>
      </c>
      <c r="F336" s="122">
        <v>6.9563278915909308</v>
      </c>
      <c r="G336" s="122">
        <v>1.1082673658204021</v>
      </c>
      <c r="H336" s="163">
        <v>1</v>
      </c>
      <c r="I336" s="12">
        <v>3.4732707130152779E-2</v>
      </c>
      <c r="J336" s="115">
        <v>5.8696519763372632E-2</v>
      </c>
      <c r="K336" s="115">
        <v>6.595464675511066E-3</v>
      </c>
      <c r="L336" s="115">
        <v>1.8393691061266919E-2</v>
      </c>
      <c r="P336" s="108">
        <v>0.14184041611581744</v>
      </c>
      <c r="Q336" s="108">
        <v>2.8368083223163478</v>
      </c>
      <c r="R336" s="49">
        <v>124774956.10900907</v>
      </c>
    </row>
    <row r="337" spans="1:18" x14ac:dyDescent="0.25">
      <c r="A337">
        <f t="shared" si="8"/>
        <v>325</v>
      </c>
      <c r="B337" s="168">
        <v>1.0052470523781767</v>
      </c>
      <c r="C337" s="122">
        <v>0.84850257671611029</v>
      </c>
      <c r="D337" s="122">
        <v>0.90062618461776811</v>
      </c>
      <c r="E337" s="122">
        <v>1.1589263752636931</v>
      </c>
      <c r="F337" s="122">
        <v>6.7312828696181741</v>
      </c>
      <c r="G337" s="122">
        <v>1.0934374639379145</v>
      </c>
      <c r="H337" s="163">
        <v>1</v>
      </c>
      <c r="I337" s="12">
        <v>2.7019848666720012E-2</v>
      </c>
      <c r="J337" s="115">
        <v>2.3420475047778909E-2</v>
      </c>
      <c r="K337" s="115">
        <v>8.4896358229411481E-3</v>
      </c>
      <c r="L337" s="115">
        <v>2.1040263577995249E-2</v>
      </c>
      <c r="P337" s="108">
        <v>2.9825194596018061E-2</v>
      </c>
      <c r="Q337" s="108">
        <v>0.59650389192036113</v>
      </c>
      <c r="R337" s="49">
        <v>26236790.95542226</v>
      </c>
    </row>
    <row r="338" spans="1:18" x14ac:dyDescent="0.25">
      <c r="A338">
        <f t="shared" si="8"/>
        <v>326</v>
      </c>
      <c r="B338" s="168">
        <v>1.0152060091395225</v>
      </c>
      <c r="C338" s="122">
        <v>0.93596861441784696</v>
      </c>
      <c r="D338" s="122">
        <v>0.90918062967042657</v>
      </c>
      <c r="E338" s="122">
        <v>2.4064609734236058</v>
      </c>
      <c r="F338" s="122">
        <v>5.1321932107472419</v>
      </c>
      <c r="G338" s="122">
        <v>1.1086995391959527</v>
      </c>
      <c r="H338" s="163">
        <v>1</v>
      </c>
      <c r="I338" s="12">
        <v>3.7484135003994362E-2</v>
      </c>
      <c r="J338" s="115">
        <v>1.8986084703784382E-2</v>
      </c>
      <c r="K338" s="115">
        <v>1.298643617548155E-2</v>
      </c>
      <c r="L338" s="115">
        <v>4.3482080908280873E-2</v>
      </c>
      <c r="P338" s="108">
        <v>7.7003275395476779E-4</v>
      </c>
      <c r="Q338" s="108">
        <v>1.5400655079095353E-2</v>
      </c>
      <c r="R338" s="49">
        <v>677386.64132760465</v>
      </c>
    </row>
    <row r="339" spans="1:18" x14ac:dyDescent="0.25">
      <c r="A339">
        <f t="shared" si="8"/>
        <v>327</v>
      </c>
      <c r="B339" s="168">
        <v>0.98783424401499309</v>
      </c>
      <c r="C339" s="122">
        <v>0.89109188887942903</v>
      </c>
      <c r="D339" s="122">
        <v>0.88749312025549887</v>
      </c>
      <c r="E339" s="122">
        <v>1.8374244660148282</v>
      </c>
      <c r="F339" s="122">
        <v>5.7985343727112442</v>
      </c>
      <c r="G339" s="122">
        <v>1.0994405188938869</v>
      </c>
      <c r="H339" s="163">
        <v>1</v>
      </c>
      <c r="I339" s="12">
        <v>1.3817236971498906E-2</v>
      </c>
      <c r="J339" s="115">
        <v>4.3646208818816631E-2</v>
      </c>
      <c r="K339" s="115">
        <v>4.8233560941665964E-3</v>
      </c>
      <c r="L339" s="115">
        <v>1.1435781388361247E-2</v>
      </c>
      <c r="P339" s="108">
        <v>5.7416221000650025E-2</v>
      </c>
      <c r="Q339" s="108">
        <v>1.1483244200130003</v>
      </c>
      <c r="R339" s="49">
        <v>50508216.568199731</v>
      </c>
    </row>
    <row r="340" spans="1:18" x14ac:dyDescent="0.25">
      <c r="A340">
        <f t="shared" si="8"/>
        <v>328</v>
      </c>
      <c r="B340" s="168">
        <v>0.99596405396360999</v>
      </c>
      <c r="C340" s="122">
        <v>0.90429774080047542</v>
      </c>
      <c r="D340" s="122">
        <v>0.88323337562053805</v>
      </c>
      <c r="E340" s="122">
        <v>2.8735784801964166</v>
      </c>
      <c r="F340" s="122">
        <v>8.9131051199245412</v>
      </c>
      <c r="G340" s="122">
        <v>1.1128562002126614</v>
      </c>
      <c r="H340" s="163">
        <v>1</v>
      </c>
      <c r="I340" s="12">
        <v>2.0003375491580707E-2</v>
      </c>
      <c r="J340" s="115">
        <v>1.9005193036600809E-2</v>
      </c>
      <c r="K340" s="115">
        <v>2.1766227066301169E-3</v>
      </c>
      <c r="L340" s="115">
        <v>-2.5314562581897591E-3</v>
      </c>
      <c r="P340" s="108">
        <v>-1.5147253534253892E-2</v>
      </c>
      <c r="Q340" s="108">
        <v>-0.30294507068507781</v>
      </c>
      <c r="R340" s="49">
        <v>-13324819.164132426</v>
      </c>
    </row>
    <row r="341" spans="1:18" x14ac:dyDescent="0.25">
      <c r="A341">
        <f t="shared" si="8"/>
        <v>329</v>
      </c>
      <c r="B341" s="168">
        <v>1.0069517413540132</v>
      </c>
      <c r="C341" s="122">
        <v>0.9328874361225995</v>
      </c>
      <c r="D341" s="122">
        <v>0.90812558510682895</v>
      </c>
      <c r="E341" s="122">
        <v>1.7653447531938504</v>
      </c>
      <c r="F341" s="122">
        <v>3.4347928522574049</v>
      </c>
      <c r="G341" s="122">
        <v>1.0783577900745864</v>
      </c>
      <c r="H341" s="163">
        <v>1</v>
      </c>
      <c r="I341" s="12">
        <v>1.8480123042377811E-2</v>
      </c>
      <c r="J341" s="115">
        <v>3.4608973211521059E-2</v>
      </c>
      <c r="K341" s="115">
        <v>6.7133468624131949E-3</v>
      </c>
      <c r="L341" s="115">
        <v>3.8630103825434949E-2</v>
      </c>
      <c r="P341" s="108">
        <v>1.063378346250388E-2</v>
      </c>
      <c r="Q341" s="108">
        <v>0.21267566925007755</v>
      </c>
      <c r="R341" s="49">
        <v>9354385.027489109</v>
      </c>
    </row>
    <row r="342" spans="1:18" x14ac:dyDescent="0.25">
      <c r="A342">
        <f t="shared" si="8"/>
        <v>330</v>
      </c>
      <c r="B342" s="168">
        <v>0.98551319248102043</v>
      </c>
      <c r="C342" s="122">
        <v>0.96298144902787663</v>
      </c>
      <c r="D342" s="122">
        <v>0.90381142565237926</v>
      </c>
      <c r="E342" s="122">
        <v>2.5626459577604477</v>
      </c>
      <c r="F342" s="122">
        <v>5.0767455332950844</v>
      </c>
      <c r="G342" s="122">
        <v>1.121086718657466</v>
      </c>
      <c r="H342" s="163">
        <v>1</v>
      </c>
      <c r="I342" s="12">
        <v>4.040265050597526E-2</v>
      </c>
      <c r="J342" s="115">
        <v>3.5478943408073685E-2</v>
      </c>
      <c r="K342" s="115">
        <v>8.3767186804370973E-3</v>
      </c>
      <c r="L342" s="115">
        <v>6.4017139610977741E-3</v>
      </c>
      <c r="P342" s="108">
        <v>2.9052734909138497E-2</v>
      </c>
      <c r="Q342" s="108">
        <v>0.58105469818276989</v>
      </c>
      <c r="R342" s="49">
        <v>25557269.37641282</v>
      </c>
    </row>
    <row r="343" spans="1:18" x14ac:dyDescent="0.25">
      <c r="A343">
        <f t="shared" si="8"/>
        <v>331</v>
      </c>
      <c r="B343" s="168">
        <v>0.9975743882376642</v>
      </c>
      <c r="C343" s="122">
        <v>0.91376123777977347</v>
      </c>
      <c r="D343" s="122">
        <v>0.88945413064915735</v>
      </c>
      <c r="E343" s="122">
        <v>3.0931803591224809</v>
      </c>
      <c r="F343" s="122">
        <v>4.2223923841655839</v>
      </c>
      <c r="G343" s="122">
        <v>1.093814128447143</v>
      </c>
      <c r="H343" s="163">
        <v>1</v>
      </c>
      <c r="I343" s="12">
        <v>3.7731723076801477E-2</v>
      </c>
      <c r="J343" s="115">
        <v>1.7252078756334766E-2</v>
      </c>
      <c r="K343" s="115">
        <v>9.2717282025632126E-3</v>
      </c>
      <c r="L343" s="115">
        <v>2.1993535818532452E-2</v>
      </c>
      <c r="P343" s="108">
        <v>-3.5216528199687791E-2</v>
      </c>
      <c r="Q343" s="108">
        <v>-0.70433056399375571</v>
      </c>
      <c r="R343" s="49">
        <v>-30979468.904263243</v>
      </c>
    </row>
    <row r="344" spans="1:18" x14ac:dyDescent="0.25">
      <c r="A344">
        <f t="shared" si="8"/>
        <v>332</v>
      </c>
      <c r="B344" s="168">
        <v>0.99580816995414878</v>
      </c>
      <c r="C344" s="122">
        <v>0.87071485700465323</v>
      </c>
      <c r="D344" s="122">
        <v>0.90367663499065021</v>
      </c>
      <c r="E344" s="122">
        <v>0.68037670595253363</v>
      </c>
      <c r="F344" s="122">
        <v>4.7734480692038197</v>
      </c>
      <c r="G344" s="122">
        <v>1.0739670902882776</v>
      </c>
      <c r="H344" s="163">
        <v>1</v>
      </c>
      <c r="I344" s="12">
        <v>2.5662348921572348E-2</v>
      </c>
      <c r="J344" s="115">
        <v>2.2507232213378289E-2</v>
      </c>
      <c r="K344" s="115">
        <v>2.0719807138459443E-3</v>
      </c>
      <c r="L344" s="115">
        <v>-1.0817116045991435E-2</v>
      </c>
      <c r="P344" s="108">
        <v>-1.9740081919402363E-2</v>
      </c>
      <c r="Q344" s="108">
        <v>-0.39480163838804722</v>
      </c>
      <c r="R344" s="49">
        <v>-17365063.657670721</v>
      </c>
    </row>
    <row r="345" spans="1:18" x14ac:dyDescent="0.25">
      <c r="A345">
        <f t="shared" si="8"/>
        <v>333</v>
      </c>
      <c r="B345" s="168">
        <v>0.99299611205004956</v>
      </c>
      <c r="C345" s="122">
        <v>0.9057303169682378</v>
      </c>
      <c r="D345" s="122">
        <v>0.89909344055624529</v>
      </c>
      <c r="E345" s="122">
        <v>1.9897733615943256</v>
      </c>
      <c r="F345" s="122">
        <v>6.0094863233273204</v>
      </c>
      <c r="G345" s="122">
        <v>1.0780213014087781</v>
      </c>
      <c r="H345" s="163">
        <v>1</v>
      </c>
      <c r="I345" s="12">
        <v>2.9626289120567337E-2</v>
      </c>
      <c r="J345" s="115">
        <v>6.4011127872034002E-2</v>
      </c>
      <c r="K345" s="115">
        <v>8.8863928573738871E-3</v>
      </c>
      <c r="L345" s="115">
        <v>2.3454713464900561E-2</v>
      </c>
      <c r="P345" s="108">
        <v>0.15577894207942278</v>
      </c>
      <c r="Q345" s="108">
        <v>3.1155788415884547</v>
      </c>
      <c r="R345" s="49">
        <v>137036475.16654658</v>
      </c>
    </row>
    <row r="346" spans="1:18" x14ac:dyDescent="0.25">
      <c r="A346">
        <f t="shared" si="8"/>
        <v>334</v>
      </c>
      <c r="B346" s="168">
        <v>0.998070313262714</v>
      </c>
      <c r="C346" s="122">
        <v>0.82886969310679925</v>
      </c>
      <c r="D346" s="122">
        <v>0.90812649757818231</v>
      </c>
      <c r="E346" s="122">
        <v>2.0263994134071535</v>
      </c>
      <c r="F346" s="122">
        <v>5.4684911432479133</v>
      </c>
      <c r="G346" s="122">
        <v>1.1164577986150042</v>
      </c>
      <c r="H346" s="163">
        <v>1</v>
      </c>
      <c r="I346" s="12">
        <v>3.7063880077284214E-2</v>
      </c>
      <c r="J346" s="115">
        <v>8.543242653215842E-3</v>
      </c>
      <c r="K346" s="115">
        <v>5.2395855179983341E-4</v>
      </c>
      <c r="L346" s="115">
        <v>4.3670732585978159E-4</v>
      </c>
      <c r="P346" s="108">
        <v>-6.5515248117033728E-2</v>
      </c>
      <c r="Q346" s="108">
        <v>-1.3103049623406742</v>
      </c>
      <c r="R346" s="49">
        <v>-57632813.21452722</v>
      </c>
    </row>
    <row r="347" spans="1:18" x14ac:dyDescent="0.25">
      <c r="A347">
        <f t="shared" si="8"/>
        <v>335</v>
      </c>
      <c r="B347" s="168">
        <v>1.0074017438564324</v>
      </c>
      <c r="C347" s="122">
        <v>0.90781296156999569</v>
      </c>
      <c r="D347" s="122">
        <v>0.90064843718046805</v>
      </c>
      <c r="E347" s="122">
        <v>2.7558330105179807</v>
      </c>
      <c r="F347" s="122">
        <v>5.7134498245688921</v>
      </c>
      <c r="G347" s="122">
        <v>1.103520972025523</v>
      </c>
      <c r="H347" s="163">
        <v>1</v>
      </c>
      <c r="I347" s="12">
        <v>4.1573049666769078E-2</v>
      </c>
      <c r="J347" s="115">
        <v>1.5925721094831976E-2</v>
      </c>
      <c r="K347" s="115">
        <v>7.9169298818627457E-3</v>
      </c>
      <c r="L347" s="115">
        <v>-1.2893946514167184E-3</v>
      </c>
      <c r="P347" s="108">
        <v>-3.467003039866446E-2</v>
      </c>
      <c r="Q347" s="108">
        <v>-0.69340060797328906</v>
      </c>
      <c r="R347" s="49">
        <v>-30498722.717783645</v>
      </c>
    </row>
    <row r="348" spans="1:18" x14ac:dyDescent="0.25">
      <c r="A348">
        <f t="shared" si="8"/>
        <v>336</v>
      </c>
      <c r="B348" s="168">
        <v>1.0087419799458872</v>
      </c>
      <c r="C348" s="122">
        <v>0.87509338024953953</v>
      </c>
      <c r="D348" s="122">
        <v>0.89079495588346269</v>
      </c>
      <c r="E348" s="122">
        <v>2.2242347289592939</v>
      </c>
      <c r="F348" s="122">
        <v>1.5297639705805963</v>
      </c>
      <c r="G348" s="122">
        <v>1.0867679894942794</v>
      </c>
      <c r="H348" s="163">
        <v>1</v>
      </c>
      <c r="I348" s="12">
        <v>1.0133554837933011E-2</v>
      </c>
      <c r="J348" s="115">
        <v>3.7127830541140931E-2</v>
      </c>
      <c r="K348" s="115">
        <v>2.299947619764227E-3</v>
      </c>
      <c r="L348" s="115">
        <v>1.3651276206232956E-2</v>
      </c>
      <c r="P348" s="108">
        <v>-6.0615285938414865E-2</v>
      </c>
      <c r="Q348" s="108">
        <v>-1.2123057187682971</v>
      </c>
      <c r="R348" s="49">
        <v>-53322387.579045795</v>
      </c>
    </row>
    <row r="349" spans="1:18" x14ac:dyDescent="0.25">
      <c r="A349">
        <f t="shared" si="8"/>
        <v>337</v>
      </c>
      <c r="B349" s="168">
        <v>0.99211111485093406</v>
      </c>
      <c r="C349" s="122">
        <v>0.93289849344604936</v>
      </c>
      <c r="D349" s="122">
        <v>0.8978041501150652</v>
      </c>
      <c r="E349" s="122">
        <v>2.4898846908309111</v>
      </c>
      <c r="F349" s="122">
        <v>4.2090303952251329</v>
      </c>
      <c r="G349" s="122">
        <v>1.1157321263403406</v>
      </c>
      <c r="H349" s="163">
        <v>1</v>
      </c>
      <c r="I349" s="12">
        <v>3.0645546050972618E-2</v>
      </c>
      <c r="J349" s="115">
        <v>4.532819716852296E-2</v>
      </c>
      <c r="K349" s="115">
        <v>-2.3996972700578417E-3</v>
      </c>
      <c r="L349" s="115">
        <v>-1.4150996183595714E-3</v>
      </c>
      <c r="P349" s="108">
        <v>3.387015163604936E-2</v>
      </c>
      <c r="Q349" s="108">
        <v>0.67740303272098701</v>
      </c>
      <c r="R349" s="49">
        <v>29795080.975670233</v>
      </c>
    </row>
    <row r="350" spans="1:18" x14ac:dyDescent="0.25">
      <c r="A350">
        <f t="shared" si="8"/>
        <v>338</v>
      </c>
      <c r="B350" s="168">
        <v>1.0120453039240689</v>
      </c>
      <c r="C350" s="122">
        <v>0.87691998231872159</v>
      </c>
      <c r="D350" s="122">
        <v>0.88380290758029034</v>
      </c>
      <c r="E350" s="122">
        <v>2.5709921974358778</v>
      </c>
      <c r="F350" s="122">
        <v>8.9667904740140401</v>
      </c>
      <c r="G350" s="122">
        <v>1.113171717351735</v>
      </c>
      <c r="H350" s="163">
        <v>1</v>
      </c>
      <c r="I350" s="12">
        <v>1.7720026786286827E-2</v>
      </c>
      <c r="J350" s="115">
        <v>2.0764387332553886E-2</v>
      </c>
      <c r="K350" s="115">
        <v>1.5710843338982163E-3</v>
      </c>
      <c r="L350" s="115">
        <v>2.2556120558304284E-2</v>
      </c>
      <c r="P350" s="108">
        <v>1.1262481499773918E-2</v>
      </c>
      <c r="Q350" s="108">
        <v>0.22524962999547832</v>
      </c>
      <c r="R350" s="49">
        <v>9907441.5691601019</v>
      </c>
    </row>
    <row r="351" spans="1:18" x14ac:dyDescent="0.25">
      <c r="A351">
        <f t="shared" si="8"/>
        <v>339</v>
      </c>
      <c r="B351" s="168">
        <v>1.0156435946351021</v>
      </c>
      <c r="C351" s="122">
        <v>0.89076478270573534</v>
      </c>
      <c r="D351" s="122">
        <v>0.89791033428129652</v>
      </c>
      <c r="E351" s="122">
        <v>0.43058692748509464</v>
      </c>
      <c r="F351" s="122">
        <v>10.532790843497935</v>
      </c>
      <c r="G351" s="122">
        <v>1.1030016183597271</v>
      </c>
      <c r="H351" s="163">
        <v>1</v>
      </c>
      <c r="I351" s="12">
        <v>1.8083273196693523E-2</v>
      </c>
      <c r="J351" s="115">
        <v>7.3468719348148415E-2</v>
      </c>
      <c r="K351" s="115">
        <v>1.1443099212257895E-2</v>
      </c>
      <c r="L351" s="115">
        <v>-1.5662278712918372E-3</v>
      </c>
      <c r="P351" s="108">
        <v>0.23119852485440678</v>
      </c>
      <c r="Q351" s="108">
        <v>4.623970497088135</v>
      </c>
      <c r="R351" s="49">
        <v>203381987.87869507</v>
      </c>
    </row>
    <row r="352" spans="1:18" x14ac:dyDescent="0.25">
      <c r="A352">
        <f t="shared" si="8"/>
        <v>340</v>
      </c>
      <c r="B352" s="168">
        <v>1.000024083344577</v>
      </c>
      <c r="C352" s="122">
        <v>0.90342070785180173</v>
      </c>
      <c r="D352" s="122">
        <v>0.90484155817292145</v>
      </c>
      <c r="E352" s="122">
        <v>3.5492039879110973</v>
      </c>
      <c r="F352" s="122">
        <v>6.2354293395343356</v>
      </c>
      <c r="G352" s="122">
        <v>1.1406649225409939</v>
      </c>
      <c r="H352" s="163">
        <v>1</v>
      </c>
      <c r="I352" s="12">
        <v>1.814143024034328E-2</v>
      </c>
      <c r="J352" s="115">
        <v>6.7618654509468301E-2</v>
      </c>
      <c r="K352" s="115">
        <v>6.2564249971793868E-3</v>
      </c>
      <c r="L352" s="115">
        <v>1.2371764996439159E-2</v>
      </c>
      <c r="P352" s="108">
        <v>0.1295547248205503</v>
      </c>
      <c r="Q352" s="108">
        <v>2.5910944964110056</v>
      </c>
      <c r="R352" s="49">
        <v>113967411.7283998</v>
      </c>
    </row>
    <row r="353" spans="1:18" x14ac:dyDescent="0.25">
      <c r="A353">
        <f t="shared" si="8"/>
        <v>341</v>
      </c>
      <c r="B353" s="168">
        <v>1.0139497676528959</v>
      </c>
      <c r="C353" s="122">
        <v>0.91263657385364194</v>
      </c>
      <c r="D353" s="122">
        <v>0.90765527866107054</v>
      </c>
      <c r="E353" s="122">
        <v>3.0113954778585335</v>
      </c>
      <c r="F353" s="122">
        <v>5.3703940922514404</v>
      </c>
      <c r="G353" s="122">
        <v>1.1097786128873131</v>
      </c>
      <c r="H353" s="163">
        <v>1</v>
      </c>
      <c r="I353" s="12">
        <v>2.5679925932486521E-2</v>
      </c>
      <c r="J353" s="115">
        <v>4.8161487275541426E-2</v>
      </c>
      <c r="K353" s="115">
        <v>1.063677028096202E-2</v>
      </c>
      <c r="L353" s="115">
        <v>4.2687035302295985E-3</v>
      </c>
      <c r="P353" s="108">
        <v>6.2134535662899087E-2</v>
      </c>
      <c r="Q353" s="108">
        <v>1.2426907132579814</v>
      </c>
      <c r="R353" s="49">
        <v>54658849.519035853</v>
      </c>
    </row>
    <row r="354" spans="1:18" x14ac:dyDescent="0.25">
      <c r="A354">
        <f t="shared" si="8"/>
        <v>342</v>
      </c>
      <c r="B354" s="168">
        <v>1.0073168285753853</v>
      </c>
      <c r="C354" s="122">
        <v>0.89258669387782685</v>
      </c>
      <c r="D354" s="122">
        <v>0.90089305578681356</v>
      </c>
      <c r="E354" s="122">
        <v>1.6718352957063878</v>
      </c>
      <c r="F354" s="122">
        <v>7.6898735279779515</v>
      </c>
      <c r="G354" s="122">
        <v>1.1032473302402168</v>
      </c>
      <c r="H354" s="163">
        <v>1</v>
      </c>
      <c r="I354" s="12">
        <v>1.7615777863626392E-2</v>
      </c>
      <c r="J354" s="115">
        <v>4.7668714220105733E-2</v>
      </c>
      <c r="K354" s="115">
        <v>-2.9723929558117951E-3</v>
      </c>
      <c r="L354" s="115">
        <v>2.8408200735914942E-2</v>
      </c>
      <c r="P354" s="108">
        <v>0.11050091501329312</v>
      </c>
      <c r="Q354" s="108">
        <v>2.2100183002658618</v>
      </c>
      <c r="R354" s="49">
        <v>97206051.690731332</v>
      </c>
    </row>
    <row r="355" spans="1:18" x14ac:dyDescent="0.25">
      <c r="A355">
        <f t="shared" si="8"/>
        <v>343</v>
      </c>
      <c r="B355" s="168">
        <v>1.0034587645769333</v>
      </c>
      <c r="C355" s="122">
        <v>0.8692408440874575</v>
      </c>
      <c r="D355" s="122">
        <v>0.89858995913142881</v>
      </c>
      <c r="E355" s="122">
        <v>2.244948543695128</v>
      </c>
      <c r="F355" s="122">
        <v>3.311992692176533</v>
      </c>
      <c r="G355" s="122">
        <v>1.0472907678225085</v>
      </c>
      <c r="H355" s="163">
        <v>1</v>
      </c>
      <c r="I355" s="12">
        <v>2.1476542108458715E-2</v>
      </c>
      <c r="J355" s="115">
        <v>4.7815228376435218E-2</v>
      </c>
      <c r="K355" s="115">
        <v>1.6003962343510945E-3</v>
      </c>
      <c r="L355" s="115">
        <v>1.6647210513067286E-2</v>
      </c>
      <c r="P355" s="108">
        <v>4.4496790255427902E-2</v>
      </c>
      <c r="Q355" s="108">
        <v>0.88993580510855796</v>
      </c>
      <c r="R355" s="49">
        <v>39143180.788325779</v>
      </c>
    </row>
    <row r="356" spans="1:18" x14ac:dyDescent="0.25">
      <c r="A356">
        <f t="shared" si="8"/>
        <v>344</v>
      </c>
      <c r="B356" s="168">
        <v>0.98349374556092362</v>
      </c>
      <c r="C356" s="122">
        <v>0.89509539407866534</v>
      </c>
      <c r="D356" s="122">
        <v>0.88128919841786724</v>
      </c>
      <c r="E356" s="122">
        <v>3.3029959553796777</v>
      </c>
      <c r="F356" s="122">
        <v>3.6491265740842413</v>
      </c>
      <c r="G356" s="122">
        <v>1.137811507762885</v>
      </c>
      <c r="H356" s="163">
        <v>1</v>
      </c>
      <c r="I356" s="12">
        <v>2.4133016090179715E-2</v>
      </c>
      <c r="J356" s="115">
        <v>5.2548803832932131E-2</v>
      </c>
      <c r="K356" s="115">
        <v>3.9542687095301798E-4</v>
      </c>
      <c r="L356" s="115">
        <v>1.7786778281347046E-2</v>
      </c>
      <c r="P356" s="108">
        <v>5.3962227345968394E-2</v>
      </c>
      <c r="Q356" s="108">
        <v>1.0792445469193677</v>
      </c>
      <c r="R356" s="49">
        <v>47469788.463816606</v>
      </c>
    </row>
    <row r="357" spans="1:18" x14ac:dyDescent="0.25">
      <c r="A357">
        <f t="shared" si="8"/>
        <v>345</v>
      </c>
      <c r="B357" s="168">
        <v>0.99132528633434691</v>
      </c>
      <c r="C357" s="122">
        <v>0.85622601350219052</v>
      </c>
      <c r="D357" s="122">
        <v>0.88301441157523108</v>
      </c>
      <c r="E357" s="122">
        <v>1.9122287771413011</v>
      </c>
      <c r="F357" s="122">
        <v>2.4114476221290388</v>
      </c>
      <c r="G357" s="122">
        <v>1.1219694192732776</v>
      </c>
      <c r="H357" s="163">
        <v>1</v>
      </c>
      <c r="I357" s="12">
        <v>2.4571522554369264E-2</v>
      </c>
      <c r="J357" s="115">
        <v>2.5895141447850361E-2</v>
      </c>
      <c r="K357" s="115">
        <v>4.5490541851302309E-3</v>
      </c>
      <c r="L357" s="115">
        <v>2.7928094447744363E-2</v>
      </c>
      <c r="P357" s="108">
        <v>-5.9777791525972977E-2</v>
      </c>
      <c r="Q357" s="108">
        <v>-1.1955558305194594</v>
      </c>
      <c r="R357" s="49">
        <v>-52585655.895541362</v>
      </c>
    </row>
    <row r="358" spans="1:18" x14ac:dyDescent="0.25">
      <c r="A358">
        <f t="shared" si="8"/>
        <v>346</v>
      </c>
      <c r="B358" s="168">
        <v>0.99045366313519612</v>
      </c>
      <c r="C358" s="122">
        <v>0.87904415980055339</v>
      </c>
      <c r="D358" s="122">
        <v>0.90575248280181253</v>
      </c>
      <c r="E358" s="122">
        <v>2.8423963769971512</v>
      </c>
      <c r="F358" s="122">
        <v>3.7731240176073948</v>
      </c>
      <c r="G358" s="122">
        <v>1.1246706900083623</v>
      </c>
      <c r="H358" s="163">
        <v>1</v>
      </c>
      <c r="I358" s="12">
        <v>2.5104586409625242E-2</v>
      </c>
      <c r="J358" s="115">
        <v>6.5438132797857207E-2</v>
      </c>
      <c r="K358" s="115">
        <v>1.2867128747818628E-2</v>
      </c>
      <c r="L358" s="115">
        <v>3.4673197519140692E-3</v>
      </c>
      <c r="P358" s="108">
        <v>9.4864474476293217E-2</v>
      </c>
      <c r="Q358" s="108">
        <v>1.8972894895258641</v>
      </c>
      <c r="R358" s="49">
        <v>83450901.817847416</v>
      </c>
    </row>
    <row r="359" spans="1:18" x14ac:dyDescent="0.25">
      <c r="A359">
        <f t="shared" si="8"/>
        <v>347</v>
      </c>
      <c r="B359" s="168">
        <v>1.0091251693780972</v>
      </c>
      <c r="C359" s="122">
        <v>0.88294247518203295</v>
      </c>
      <c r="D359" s="122">
        <v>0.89355932497015855</v>
      </c>
      <c r="E359" s="122">
        <v>2.3590462257060327</v>
      </c>
      <c r="F359" s="122">
        <v>4.6372830917204402</v>
      </c>
      <c r="G359" s="122">
        <v>1.075364054388138</v>
      </c>
      <c r="H359" s="163">
        <v>1</v>
      </c>
      <c r="I359" s="12">
        <v>1.3314730664132605E-2</v>
      </c>
      <c r="J359" s="115">
        <v>2.1653556823931296E-2</v>
      </c>
      <c r="K359" s="115">
        <v>1.0085952658116652E-2</v>
      </c>
      <c r="L359" s="115">
        <v>4.0831489133743792E-2</v>
      </c>
      <c r="P359" s="108">
        <v>-1.5196490638233067E-2</v>
      </c>
      <c r="Q359" s="108">
        <v>-0.3039298127646613</v>
      </c>
      <c r="R359" s="49">
        <v>-13368132.330126815</v>
      </c>
    </row>
    <row r="360" spans="1:18" x14ac:dyDescent="0.25">
      <c r="A360">
        <f t="shared" si="8"/>
        <v>348</v>
      </c>
      <c r="B360" s="168">
        <v>0.99223998986952511</v>
      </c>
      <c r="C360" s="122">
        <v>0.93218852246818473</v>
      </c>
      <c r="D360" s="122">
        <v>0.90689397246313663</v>
      </c>
      <c r="E360" s="122">
        <v>2.0337155757042615</v>
      </c>
      <c r="F360" s="122">
        <v>6.83554413653982</v>
      </c>
      <c r="G360" s="122">
        <v>1.0669247190387305</v>
      </c>
      <c r="H360" s="163">
        <v>1</v>
      </c>
      <c r="I360" s="12">
        <v>3.7502671074062785E-2</v>
      </c>
      <c r="J360" s="115">
        <v>4.624377916071621E-2</v>
      </c>
      <c r="K360" s="115">
        <v>-2.1247330811828965E-3</v>
      </c>
      <c r="L360" s="115">
        <v>2.8167754106437036E-3</v>
      </c>
      <c r="P360" s="108">
        <v>9.505969997479162E-2</v>
      </c>
      <c r="Q360" s="108">
        <v>1.901193999495832</v>
      </c>
      <c r="R360" s="49">
        <v>83622638.856369674</v>
      </c>
    </row>
    <row r="361" spans="1:18" x14ac:dyDescent="0.25">
      <c r="A361">
        <f t="shared" si="8"/>
        <v>349</v>
      </c>
      <c r="B361" s="168">
        <v>0.99690842181600903</v>
      </c>
      <c r="C361" s="122">
        <v>0.89836948032357566</v>
      </c>
      <c r="D361" s="122">
        <v>0.90223844572805167</v>
      </c>
      <c r="E361" s="122">
        <v>2.7493809265374605</v>
      </c>
      <c r="F361" s="122">
        <v>4.5940230733605745</v>
      </c>
      <c r="G361" s="122">
        <v>1.0935685165958349</v>
      </c>
      <c r="H361" s="163">
        <v>1</v>
      </c>
      <c r="I361" s="12">
        <v>3.6020182227630149E-2</v>
      </c>
      <c r="J361" s="115">
        <v>7.1987076715902182E-2</v>
      </c>
      <c r="K361" s="115">
        <v>6.253772689206163E-3</v>
      </c>
      <c r="L361" s="115">
        <v>1.4971812803167436E-2</v>
      </c>
      <c r="P361" s="108">
        <v>0.15310441546042505</v>
      </c>
      <c r="Q361" s="108">
        <v>3.0620883092085003</v>
      </c>
      <c r="R361" s="49">
        <v>134683732.90424716</v>
      </c>
    </row>
    <row r="362" spans="1:18" x14ac:dyDescent="0.25">
      <c r="A362">
        <f t="shared" si="8"/>
        <v>350</v>
      </c>
      <c r="B362" s="168">
        <v>0.99640407667127362</v>
      </c>
      <c r="C362" s="122">
        <v>0.83304615249765834</v>
      </c>
      <c r="D362" s="122">
        <v>0.90234306938875342</v>
      </c>
      <c r="E362" s="122">
        <v>2.5453986303150771</v>
      </c>
      <c r="F362" s="122">
        <v>3.6001155780848944</v>
      </c>
      <c r="G362" s="122">
        <v>1.1122771908326723</v>
      </c>
      <c r="H362" s="163">
        <v>1</v>
      </c>
      <c r="I362" s="12">
        <v>1.4493206323029081E-2</v>
      </c>
      <c r="J362" s="115">
        <v>1.888376210907872E-2</v>
      </c>
      <c r="K362" s="115">
        <v>9.0006732902900601E-3</v>
      </c>
      <c r="L362" s="115">
        <v>7.4129206710903638E-3</v>
      </c>
      <c r="P362" s="108">
        <v>-7.5009210954945491E-2</v>
      </c>
      <c r="Q362" s="108">
        <v>-1.5001842190989096</v>
      </c>
      <c r="R362" s="49">
        <v>-65984514.576103397</v>
      </c>
    </row>
    <row r="363" spans="1:18" x14ac:dyDescent="0.25">
      <c r="A363">
        <f t="shared" si="8"/>
        <v>351</v>
      </c>
      <c r="B363" s="168">
        <v>0.98442934095187873</v>
      </c>
      <c r="C363" s="122">
        <v>0.96307640054266375</v>
      </c>
      <c r="D363" s="122">
        <v>0.88805459246405316</v>
      </c>
      <c r="E363" s="122">
        <v>2.1727622109470501</v>
      </c>
      <c r="F363" s="122">
        <v>7.3247717951251863</v>
      </c>
      <c r="G363" s="122">
        <v>1.0890931233328918</v>
      </c>
      <c r="H363" s="163">
        <v>1</v>
      </c>
      <c r="I363" s="12">
        <v>4.5874862555940213E-2</v>
      </c>
      <c r="J363" s="115">
        <v>3.7311352551022574E-2</v>
      </c>
      <c r="K363" s="115">
        <v>7.699919097695798E-4</v>
      </c>
      <c r="L363" s="115">
        <v>-2.2979733213751262E-3</v>
      </c>
      <c r="P363" s="108">
        <v>6.8640614704137612E-2</v>
      </c>
      <c r="Q363" s="108">
        <v>1.3728122940827521</v>
      </c>
      <c r="R363" s="49">
        <v>60382152.855578706</v>
      </c>
    </row>
    <row r="364" spans="1:18" x14ac:dyDescent="0.25">
      <c r="A364">
        <f t="shared" si="8"/>
        <v>352</v>
      </c>
      <c r="B364" s="168">
        <v>1.0104970902093857</v>
      </c>
      <c r="C364" s="122">
        <v>0.89165115670126915</v>
      </c>
      <c r="D364" s="122">
        <v>0.89506000023891619</v>
      </c>
      <c r="E364" s="122">
        <v>2.1735555118328049</v>
      </c>
      <c r="F364" s="122">
        <v>5.2088538185342701</v>
      </c>
      <c r="G364" s="122">
        <v>1.094903102397935</v>
      </c>
      <c r="H364" s="163">
        <v>1</v>
      </c>
      <c r="I364" s="12">
        <v>2.7522144150539701E-2</v>
      </c>
      <c r="J364" s="115">
        <v>8.6786341603787967E-2</v>
      </c>
      <c r="K364" s="115">
        <v>1.1674251033281869E-3</v>
      </c>
      <c r="L364" s="115">
        <v>1.5287158367015555E-2</v>
      </c>
      <c r="P364" s="108">
        <v>0.2071614161664444</v>
      </c>
      <c r="Q364" s="108">
        <v>4.1432283233288869</v>
      </c>
      <c r="R364" s="49">
        <v>182236892.11784363</v>
      </c>
    </row>
    <row r="365" spans="1:18" x14ac:dyDescent="0.25">
      <c r="A365">
        <f t="shared" si="8"/>
        <v>353</v>
      </c>
      <c r="B365" s="168">
        <v>0.98673496730535371</v>
      </c>
      <c r="C365" s="122">
        <v>0.85970555310794949</v>
      </c>
      <c r="D365" s="122">
        <v>0.90481695433825537</v>
      </c>
      <c r="E365" s="122">
        <v>1.0812980749700469</v>
      </c>
      <c r="F365" s="122">
        <v>4.6414248787958243</v>
      </c>
      <c r="G365" s="122">
        <v>1.1268902878471376</v>
      </c>
      <c r="H365" s="163">
        <v>1</v>
      </c>
      <c r="I365" s="12">
        <v>3.9877976757923407E-2</v>
      </c>
      <c r="J365" s="115">
        <v>7.7415432850049981E-2</v>
      </c>
      <c r="K365" s="115">
        <v>2.2011587790588573E-3</v>
      </c>
      <c r="L365" s="115">
        <v>2.9225085210850654E-2</v>
      </c>
      <c r="P365" s="108">
        <v>0.19251070735225528</v>
      </c>
      <c r="Q365" s="108">
        <v>3.8502141470451048</v>
      </c>
      <c r="R365" s="49">
        <v>169348876.13963565</v>
      </c>
    </row>
    <row r="366" spans="1:18" x14ac:dyDescent="0.25">
      <c r="A366">
        <f t="shared" si="8"/>
        <v>354</v>
      </c>
      <c r="B366" s="168">
        <v>1.005491935952747</v>
      </c>
      <c r="C366" s="122">
        <v>0.94458322321323995</v>
      </c>
      <c r="D366" s="122">
        <v>0.89710115617489194</v>
      </c>
      <c r="E366" s="122">
        <v>2.818663831210777</v>
      </c>
      <c r="F366" s="122">
        <v>4.66777359432984</v>
      </c>
      <c r="G366" s="122">
        <v>1.0458778597158513</v>
      </c>
      <c r="H366" s="163">
        <v>1</v>
      </c>
      <c r="I366" s="12">
        <v>2.8893562495097252E-2</v>
      </c>
      <c r="J366" s="115">
        <v>2.7645206399132344E-2</v>
      </c>
      <c r="K366" s="115">
        <v>2.6529446340386688E-3</v>
      </c>
      <c r="L366" s="115">
        <v>-2.7191823067656863E-3</v>
      </c>
      <c r="P366" s="108">
        <v>-1.0580848726270877E-2</v>
      </c>
      <c r="Q366" s="108">
        <v>-0.2116169745254175</v>
      </c>
      <c r="R366" s="49">
        <v>-9307819.1080496106</v>
      </c>
    </row>
    <row r="367" spans="1:18" x14ac:dyDescent="0.25">
      <c r="A367">
        <f t="shared" si="8"/>
        <v>355</v>
      </c>
      <c r="B367" s="168">
        <v>1.0090983093414287</v>
      </c>
      <c r="C367" s="122">
        <v>0.86624196752011717</v>
      </c>
      <c r="D367" s="122">
        <v>0.89342090208754787</v>
      </c>
      <c r="E367" s="122">
        <v>1.8291097779565322</v>
      </c>
      <c r="F367" s="122">
        <v>4.5563125603987684</v>
      </c>
      <c r="G367" s="122">
        <v>1.0890549122160655</v>
      </c>
      <c r="H367" s="163">
        <v>1</v>
      </c>
      <c r="I367" s="12">
        <v>3.313666470572519E-2</v>
      </c>
      <c r="J367" s="115">
        <v>3.6589284368725328E-2</v>
      </c>
      <c r="K367" s="115">
        <v>5.5358256007818542E-3</v>
      </c>
      <c r="L367" s="115">
        <v>3.9095877644534385E-2</v>
      </c>
      <c r="P367" s="108">
        <v>5.1461571115930763E-2</v>
      </c>
      <c r="Q367" s="108">
        <v>1.029231422318615</v>
      </c>
      <c r="R367" s="49">
        <v>45269997.460017703</v>
      </c>
    </row>
    <row r="368" spans="1:18" x14ac:dyDescent="0.25">
      <c r="A368">
        <f t="shared" si="8"/>
        <v>356</v>
      </c>
      <c r="B368" s="168">
        <v>1.0015379660249508</v>
      </c>
      <c r="C368" s="122">
        <v>0.93708003170494469</v>
      </c>
      <c r="D368" s="122">
        <v>0.90878610451132769</v>
      </c>
      <c r="E368" s="122">
        <v>2.8170908078681598</v>
      </c>
      <c r="F368" s="122">
        <v>5.1477446806551708</v>
      </c>
      <c r="G368" s="122">
        <v>1.1062486539431695</v>
      </c>
      <c r="H368" s="163">
        <v>1</v>
      </c>
      <c r="I368" s="12">
        <v>2.8085841606375426E-2</v>
      </c>
      <c r="J368" s="115">
        <v>6.4419325584565645E-2</v>
      </c>
      <c r="K368" s="115">
        <v>5.3247489208887045E-4</v>
      </c>
      <c r="L368" s="115">
        <v>3.153276779302247E-2</v>
      </c>
      <c r="P368" s="108">
        <v>0.13734028087147751</v>
      </c>
      <c r="Q368" s="108">
        <v>2.7468056174295499</v>
      </c>
      <c r="R368" s="49">
        <v>120816252.42656481</v>
      </c>
    </row>
    <row r="369" spans="1:18" x14ac:dyDescent="0.25">
      <c r="A369">
        <f t="shared" si="8"/>
        <v>357</v>
      </c>
      <c r="B369" s="168">
        <v>0.99929249552480215</v>
      </c>
      <c r="C369" s="122">
        <v>0.88866124781234235</v>
      </c>
      <c r="D369" s="122">
        <v>0.90880750784469655</v>
      </c>
      <c r="E369" s="122">
        <v>1.5689823799188747</v>
      </c>
      <c r="F369" s="122">
        <v>4.210903669122624</v>
      </c>
      <c r="G369" s="122">
        <v>1.0664748261635668</v>
      </c>
      <c r="H369" s="163">
        <v>1</v>
      </c>
      <c r="I369" s="12">
        <v>1.2032635330219607E-2</v>
      </c>
      <c r="J369" s="115">
        <v>3.7755966764940696E-2</v>
      </c>
      <c r="K369" s="115">
        <v>3.4925919357593977E-3</v>
      </c>
      <c r="L369" s="115">
        <v>-2.3504780622862095E-2</v>
      </c>
      <c r="P369" s="108">
        <v>-1.1324444328427661E-2</v>
      </c>
      <c r="Q369" s="108">
        <v>-0.2264888865685532</v>
      </c>
      <c r="R369" s="49">
        <v>-9961949.3705144674</v>
      </c>
    </row>
    <row r="370" spans="1:18" x14ac:dyDescent="0.25">
      <c r="A370">
        <f t="shared" si="8"/>
        <v>358</v>
      </c>
      <c r="B370" s="168">
        <v>0.98381627070802313</v>
      </c>
      <c r="C370" s="122">
        <v>0.89425477047787327</v>
      </c>
      <c r="D370" s="122">
        <v>0.88781494318174625</v>
      </c>
      <c r="E370" s="122">
        <v>2.6898343703798497</v>
      </c>
      <c r="F370" s="122">
        <v>1.8431050603535972</v>
      </c>
      <c r="G370" s="122">
        <v>1.0801549491997855</v>
      </c>
      <c r="H370" s="163">
        <v>1</v>
      </c>
      <c r="I370" s="12">
        <v>2.2025846938445101E-2</v>
      </c>
      <c r="J370" s="115">
        <v>3.0260326189092808E-2</v>
      </c>
      <c r="K370" s="115">
        <v>-1.0874731799180148E-3</v>
      </c>
      <c r="L370" s="115">
        <v>1.906820819799343E-2</v>
      </c>
      <c r="P370" s="108">
        <v>-5.2501000503316728E-2</v>
      </c>
      <c r="Q370" s="108">
        <v>-1.0500200100663344</v>
      </c>
      <c r="R370" s="49">
        <v>-46184368.411126584</v>
      </c>
    </row>
    <row r="371" spans="1:18" x14ac:dyDescent="0.25">
      <c r="A371">
        <f t="shared" si="8"/>
        <v>359</v>
      </c>
      <c r="B371" s="168">
        <v>1.0045973379729998</v>
      </c>
      <c r="C371" s="122">
        <v>0.88652426833186526</v>
      </c>
      <c r="D371" s="122">
        <v>0.87754044110180973</v>
      </c>
      <c r="E371" s="122">
        <v>0.28497557752715275</v>
      </c>
      <c r="F371" s="122">
        <v>5.2949767493586544</v>
      </c>
      <c r="G371" s="122">
        <v>1.064201069394481</v>
      </c>
      <c r="H371" s="163">
        <v>1</v>
      </c>
      <c r="I371" s="12">
        <v>2.1816837813516801E-2</v>
      </c>
      <c r="J371" s="115">
        <v>2.3894178256022015E-2</v>
      </c>
      <c r="K371" s="115">
        <v>3.8683544093597901E-3</v>
      </c>
      <c r="L371" s="115">
        <v>1.7521791990034771E-2</v>
      </c>
      <c r="P371" s="108">
        <v>2.825336901716342E-2</v>
      </c>
      <c r="Q371" s="108">
        <v>0.56506738034326831</v>
      </c>
      <c r="R371" s="49">
        <v>24854078.79916022</v>
      </c>
    </row>
    <row r="372" spans="1:18" x14ac:dyDescent="0.25">
      <c r="A372">
        <f t="shared" si="8"/>
        <v>360</v>
      </c>
      <c r="B372" s="168">
        <v>0.99573778262813906</v>
      </c>
      <c r="C372" s="122">
        <v>0.93283888693637673</v>
      </c>
      <c r="D372" s="122">
        <v>0.90824131818807385</v>
      </c>
      <c r="E372" s="122">
        <v>2.277319150329344</v>
      </c>
      <c r="F372" s="122">
        <v>4.5005892872873634</v>
      </c>
      <c r="G372" s="122">
        <v>1.1179971023031443</v>
      </c>
      <c r="H372" s="163">
        <v>1</v>
      </c>
      <c r="I372" s="12">
        <v>4.7184926506516359E-2</v>
      </c>
      <c r="J372" s="115">
        <v>2.5606737948670397E-2</v>
      </c>
      <c r="K372" s="115">
        <v>9.4751410211589455E-3</v>
      </c>
      <c r="L372" s="115">
        <v>2.3964005204507165E-2</v>
      </c>
      <c r="P372" s="108">
        <v>6.4553361442124301E-3</v>
      </c>
      <c r="Q372" s="108">
        <v>0.12910672288424857</v>
      </c>
      <c r="R372" s="49">
        <v>5678665.546252463</v>
      </c>
    </row>
    <row r="373" spans="1:18" x14ac:dyDescent="0.25">
      <c r="A373">
        <f t="shared" si="8"/>
        <v>361</v>
      </c>
      <c r="B373" s="168">
        <v>0.98822478471895903</v>
      </c>
      <c r="C373" s="122">
        <v>0.93765335737532229</v>
      </c>
      <c r="D373" s="122">
        <v>0.90663752251206908</v>
      </c>
      <c r="E373" s="122">
        <v>1.8229997083957827</v>
      </c>
      <c r="F373" s="122">
        <v>5.733478737486692</v>
      </c>
      <c r="G373" s="122">
        <v>1.0858955914146731</v>
      </c>
      <c r="H373" s="163">
        <v>1</v>
      </c>
      <c r="I373" s="12">
        <v>3.0602092853834924E-2</v>
      </c>
      <c r="J373" s="115">
        <v>5.7585794403947753E-2</v>
      </c>
      <c r="K373" s="115">
        <v>4.8958574808687823E-3</v>
      </c>
      <c r="L373" s="115">
        <v>3.0403327140389805E-4</v>
      </c>
      <c r="P373" s="108">
        <v>0.11319658534233425</v>
      </c>
      <c r="Q373" s="108">
        <v>2.2639317068466847</v>
      </c>
      <c r="R373" s="49">
        <v>99577393.767984018</v>
      </c>
    </row>
    <row r="374" spans="1:18" x14ac:dyDescent="0.25">
      <c r="A374">
        <f t="shared" si="8"/>
        <v>362</v>
      </c>
      <c r="B374" s="168">
        <v>1.0023650150231618</v>
      </c>
      <c r="C374" s="122">
        <v>0.85569431713471633</v>
      </c>
      <c r="D374" s="122">
        <v>0.89784247892443569</v>
      </c>
      <c r="E374" s="122">
        <v>0.95821553090721734</v>
      </c>
      <c r="F374" s="122">
        <v>5.1074748189085257</v>
      </c>
      <c r="G374" s="122">
        <v>1.1232258190460014</v>
      </c>
      <c r="H374" s="163">
        <v>1</v>
      </c>
      <c r="I374" s="12">
        <v>3.4463663400248569E-2</v>
      </c>
      <c r="J374" s="115">
        <v>4.2012901044459566E-2</v>
      </c>
      <c r="K374" s="115">
        <v>1.0195763618158405E-2</v>
      </c>
      <c r="L374" s="115">
        <v>3.9071333865705063E-2</v>
      </c>
      <c r="P374" s="108">
        <v>8.8354866214944996E-2</v>
      </c>
      <c r="Q374" s="108">
        <v>1.7670973242988997</v>
      </c>
      <c r="R374" s="49">
        <v>77724493.877579153</v>
      </c>
    </row>
    <row r="375" spans="1:18" x14ac:dyDescent="0.25">
      <c r="A375">
        <f t="shared" si="8"/>
        <v>363</v>
      </c>
      <c r="B375" s="168">
        <v>0.99616994575756435</v>
      </c>
      <c r="C375" s="122">
        <v>0.90573384756411757</v>
      </c>
      <c r="D375" s="122">
        <v>0.91095477757034327</v>
      </c>
      <c r="E375" s="122">
        <v>2.7930889362962343</v>
      </c>
      <c r="F375" s="122">
        <v>5.3097614045444939</v>
      </c>
      <c r="G375" s="122">
        <v>1.0659238441804091</v>
      </c>
      <c r="H375" s="163">
        <v>1</v>
      </c>
      <c r="I375" s="12">
        <v>1.8904556604640532E-2</v>
      </c>
      <c r="J375" s="115">
        <v>3.2371081609939178E-2</v>
      </c>
      <c r="K375" s="115">
        <v>1.2394534750899112E-2</v>
      </c>
      <c r="L375" s="115">
        <v>1.7288521330593835E-2</v>
      </c>
      <c r="P375" s="108">
        <v>1.9568832062238254E-2</v>
      </c>
      <c r="Q375" s="108">
        <v>0.39137664124476501</v>
      </c>
      <c r="R375" s="49">
        <v>17214417.642970093</v>
      </c>
    </row>
    <row r="376" spans="1:18" x14ac:dyDescent="0.25">
      <c r="A376">
        <f t="shared" si="8"/>
        <v>364</v>
      </c>
      <c r="B376" s="168">
        <v>0.9872561907504791</v>
      </c>
      <c r="C376" s="122">
        <v>0.89396295720090813</v>
      </c>
      <c r="D376" s="122">
        <v>0.89539327833801063</v>
      </c>
      <c r="E376" s="122">
        <v>2.2968608495422771</v>
      </c>
      <c r="F376" s="122">
        <v>5.8638675775516518</v>
      </c>
      <c r="G376" s="122">
        <v>1.1073611485473058</v>
      </c>
      <c r="H376" s="163">
        <v>1</v>
      </c>
      <c r="I376" s="12">
        <v>1.8657762849320757E-2</v>
      </c>
      <c r="J376" s="115">
        <v>3.7479470216579505E-2</v>
      </c>
      <c r="K376" s="115">
        <v>5.7188767686175788E-3</v>
      </c>
      <c r="L376" s="115">
        <v>2.3493815862577497E-2</v>
      </c>
      <c r="P376" s="108">
        <v>4.4300006852535233E-2</v>
      </c>
      <c r="Q376" s="108">
        <v>0.88600013705070457</v>
      </c>
      <c r="R376" s="49">
        <v>38970073.28391134</v>
      </c>
    </row>
    <row r="377" spans="1:18" x14ac:dyDescent="0.25">
      <c r="A377">
        <f t="shared" si="8"/>
        <v>365</v>
      </c>
      <c r="B377" s="168">
        <v>0.99144067610053765</v>
      </c>
      <c r="C377" s="122">
        <v>0.88119939322741148</v>
      </c>
      <c r="D377" s="122">
        <v>0.90619737182272775</v>
      </c>
      <c r="E377" s="122">
        <v>1.5629176840628534</v>
      </c>
      <c r="F377" s="122">
        <v>4.6321719880732006</v>
      </c>
      <c r="G377" s="122">
        <v>1.0836755487888678</v>
      </c>
      <c r="H377" s="163">
        <v>1</v>
      </c>
      <c r="I377" s="12">
        <v>2.2438256913143377E-2</v>
      </c>
      <c r="J377" s="115">
        <v>1.4204890370121032E-2</v>
      </c>
      <c r="K377" s="115">
        <v>2.7883655034840844E-3</v>
      </c>
      <c r="L377" s="115">
        <v>-5.9622874086358787E-3</v>
      </c>
      <c r="P377" s="108">
        <v>-6.6195673133849678E-2</v>
      </c>
      <c r="Q377" s="108">
        <v>-1.3239134626769933</v>
      </c>
      <c r="R377" s="49">
        <v>-58231373.229603305</v>
      </c>
    </row>
    <row r="378" spans="1:18" x14ac:dyDescent="0.25">
      <c r="A378">
        <f t="shared" si="8"/>
        <v>366</v>
      </c>
      <c r="B378" s="168">
        <v>0.99302581375333554</v>
      </c>
      <c r="C378" s="122">
        <v>0.92142639988003983</v>
      </c>
      <c r="D378" s="122">
        <v>0.8766197509374527</v>
      </c>
      <c r="E378" s="122">
        <v>2.1828621736196956</v>
      </c>
      <c r="F378" s="122">
        <v>9.1705781966747963</v>
      </c>
      <c r="G378" s="122">
        <v>1.0665368884445541</v>
      </c>
      <c r="H378" s="163">
        <v>1</v>
      </c>
      <c r="I378" s="12">
        <v>1.8392764359587629E-2</v>
      </c>
      <c r="J378" s="115">
        <v>2.1830463410955844E-2</v>
      </c>
      <c r="K378" s="115">
        <v>1.0836841446103324E-2</v>
      </c>
      <c r="L378" s="115">
        <v>-4.9488157424563035E-3</v>
      </c>
      <c r="P378" s="108">
        <v>1.0274387245278146E-2</v>
      </c>
      <c r="Q378" s="108">
        <v>0.20548774490556287</v>
      </c>
      <c r="R378" s="49">
        <v>9038229.389638558</v>
      </c>
    </row>
    <row r="379" spans="1:18" x14ac:dyDescent="0.25">
      <c r="A379">
        <f t="shared" si="8"/>
        <v>367</v>
      </c>
      <c r="B379" s="168">
        <v>1.0139370150260407</v>
      </c>
      <c r="C379" s="122">
        <v>0.93917098079653072</v>
      </c>
      <c r="D379" s="122">
        <v>0.90553428465706554</v>
      </c>
      <c r="E379" s="122">
        <v>1.2852348839790255</v>
      </c>
      <c r="F379" s="122">
        <v>2.8392241478514557</v>
      </c>
      <c r="G379" s="122">
        <v>1.0693041049597509</v>
      </c>
      <c r="H379" s="163">
        <v>1</v>
      </c>
      <c r="I379" s="12">
        <v>2.6794741917745293E-2</v>
      </c>
      <c r="J379" s="115">
        <v>6.2922969160468953E-2</v>
      </c>
      <c r="K379" s="115">
        <v>1.4207327653628289E-2</v>
      </c>
      <c r="L379" s="115">
        <v>3.8294315317078664E-2</v>
      </c>
      <c r="P379" s="108">
        <v>0.1010476213380541</v>
      </c>
      <c r="Q379" s="108">
        <v>2.0209524267610814</v>
      </c>
      <c r="R379" s="49">
        <v>88890126.401493669</v>
      </c>
    </row>
    <row r="380" spans="1:18" x14ac:dyDescent="0.25">
      <c r="A380">
        <f t="shared" si="8"/>
        <v>368</v>
      </c>
      <c r="B380" s="168">
        <v>0.99789514257853662</v>
      </c>
      <c r="C380" s="122">
        <v>0.86650966483038427</v>
      </c>
      <c r="D380" s="122">
        <v>0.91213339891898992</v>
      </c>
      <c r="E380" s="122">
        <v>2.1800155780159423</v>
      </c>
      <c r="F380" s="122">
        <v>6.1927406166115109</v>
      </c>
      <c r="G380" s="122">
        <v>1.0820758404161102</v>
      </c>
      <c r="H380" s="163">
        <v>1</v>
      </c>
      <c r="I380" s="12">
        <v>3.699447291214665E-2</v>
      </c>
      <c r="J380" s="115">
        <v>6.5820200546292049E-3</v>
      </c>
      <c r="K380" s="115">
        <v>1.5181421235559739E-2</v>
      </c>
      <c r="L380" s="115">
        <v>2.9914905316481263E-2</v>
      </c>
      <c r="P380" s="108">
        <v>-3.2895734369590562E-2</v>
      </c>
      <c r="Q380" s="108">
        <v>-0.65791468739181103</v>
      </c>
      <c r="R380" s="49">
        <v>-28937900.244086809</v>
      </c>
    </row>
    <row r="381" spans="1:18" x14ac:dyDescent="0.25">
      <c r="A381">
        <f t="shared" si="8"/>
        <v>369</v>
      </c>
      <c r="B381" s="168">
        <v>1.0154357513930836</v>
      </c>
      <c r="C381" s="122">
        <v>0.93794558467542477</v>
      </c>
      <c r="D381" s="122">
        <v>0.88799292475721225</v>
      </c>
      <c r="E381" s="122">
        <v>3.3252619647206219</v>
      </c>
      <c r="F381" s="122">
        <v>3.8259233580166701</v>
      </c>
      <c r="G381" s="122">
        <v>1.0522622432687467</v>
      </c>
      <c r="H381" s="163">
        <v>1</v>
      </c>
      <c r="I381" s="12">
        <v>2.4106245181599917E-2</v>
      </c>
      <c r="J381" s="115">
        <v>4.2625962264430627E-2</v>
      </c>
      <c r="K381" s="115">
        <v>-2.3295411427363801E-3</v>
      </c>
      <c r="L381" s="115">
        <v>2.6334060096341615E-2</v>
      </c>
      <c r="P381" s="108">
        <v>4.4307084611580116E-2</v>
      </c>
      <c r="Q381" s="108">
        <v>0.88614169223160222</v>
      </c>
      <c r="R381" s="49">
        <v>38976299.485852651</v>
      </c>
    </row>
    <row r="382" spans="1:18" x14ac:dyDescent="0.25">
      <c r="A382">
        <f t="shared" si="8"/>
        <v>370</v>
      </c>
      <c r="B382" s="168">
        <v>1.00298307619805</v>
      </c>
      <c r="C382" s="122">
        <v>0.88610155234658372</v>
      </c>
      <c r="D382" s="122">
        <v>0.91110027692618301</v>
      </c>
      <c r="E382" s="122">
        <v>2.0708836523695537</v>
      </c>
      <c r="F382" s="122">
        <v>5.1252764459408588</v>
      </c>
      <c r="G382" s="122">
        <v>1.0342483693789597</v>
      </c>
      <c r="H382" s="163">
        <v>1</v>
      </c>
      <c r="I382" s="12">
        <v>2.347679740776689E-2</v>
      </c>
      <c r="J382" s="115">
        <v>4.4418952802170883E-2</v>
      </c>
      <c r="K382" s="115">
        <v>6.2251513777818396E-4</v>
      </c>
      <c r="L382" s="115">
        <v>3.8277123167612795E-2</v>
      </c>
      <c r="P382" s="108">
        <v>8.5943198074927091E-2</v>
      </c>
      <c r="Q382" s="108">
        <v>1.7188639614985415</v>
      </c>
      <c r="R382" s="49">
        <v>75602984.405451491</v>
      </c>
    </row>
    <row r="383" spans="1:18" x14ac:dyDescent="0.25">
      <c r="A383">
        <f t="shared" si="8"/>
        <v>371</v>
      </c>
      <c r="B383" s="168">
        <v>1.0119042440546198</v>
      </c>
      <c r="C383" s="122">
        <v>0.87653956605396621</v>
      </c>
      <c r="D383" s="122">
        <v>0.90676829184403984</v>
      </c>
      <c r="E383" s="122">
        <v>2.2989914712554054</v>
      </c>
      <c r="F383" s="122">
        <v>4.6233648504525355</v>
      </c>
      <c r="G383" s="122">
        <v>1.0614651605114749</v>
      </c>
      <c r="H383" s="163">
        <v>1</v>
      </c>
      <c r="I383" s="12">
        <v>1.7015680550598426E-2</v>
      </c>
      <c r="J383" s="115">
        <v>2.9544972182176853E-2</v>
      </c>
      <c r="K383" s="115">
        <v>-5.0040693529174252E-3</v>
      </c>
      <c r="L383" s="115">
        <v>1.5878531381087014E-2</v>
      </c>
      <c r="P383" s="108">
        <v>-3.6191441042512712E-3</v>
      </c>
      <c r="Q383" s="108">
        <v>-7.2382882085025413E-2</v>
      </c>
      <c r="R383" s="49">
        <v>-3183708.5587185728</v>
      </c>
    </row>
    <row r="384" spans="1:18" x14ac:dyDescent="0.25">
      <c r="A384">
        <f t="shared" si="8"/>
        <v>372</v>
      </c>
      <c r="B384" s="168">
        <v>0.99440317549891255</v>
      </c>
      <c r="C384" s="122">
        <v>0.85513347526078487</v>
      </c>
      <c r="D384" s="122">
        <v>0.90066938044667721</v>
      </c>
      <c r="E384" s="122">
        <v>2.2642106032051768</v>
      </c>
      <c r="F384" s="122">
        <v>7.4039683068792037</v>
      </c>
      <c r="G384" s="122">
        <v>1.1259476927628986</v>
      </c>
      <c r="H384" s="163">
        <v>1</v>
      </c>
      <c r="I384" s="12">
        <v>4.2600331749603766E-2</v>
      </c>
      <c r="J384" s="115">
        <v>3.1661493462733954E-2</v>
      </c>
      <c r="K384" s="115">
        <v>9.3211335549884585E-3</v>
      </c>
      <c r="L384" s="115">
        <v>-4.5989056074823703E-3</v>
      </c>
      <c r="P384" s="108">
        <v>3.9356020764029678E-2</v>
      </c>
      <c r="Q384" s="108">
        <v>0.78712041528059351</v>
      </c>
      <c r="R384" s="49">
        <v>34620920.453641005</v>
      </c>
    </row>
    <row r="385" spans="1:18" x14ac:dyDescent="0.25">
      <c r="A385">
        <f t="shared" si="8"/>
        <v>373</v>
      </c>
      <c r="B385" s="168">
        <v>0.98717042879275896</v>
      </c>
      <c r="C385" s="122">
        <v>0.90415465224152214</v>
      </c>
      <c r="D385" s="122">
        <v>0.90580484107040138</v>
      </c>
      <c r="E385" s="122">
        <v>2.6814267329594541</v>
      </c>
      <c r="F385" s="122">
        <v>4.9868457375834421</v>
      </c>
      <c r="G385" s="122">
        <v>1.1023423118898421</v>
      </c>
      <c r="H385" s="163">
        <v>1</v>
      </c>
      <c r="I385" s="12">
        <v>2.0954272534310984E-2</v>
      </c>
      <c r="J385" s="115">
        <v>2.599636136546972E-2</v>
      </c>
      <c r="K385" s="115">
        <v>-4.5299475942124634E-5</v>
      </c>
      <c r="L385" s="115">
        <v>1.4196950108120615E-2</v>
      </c>
      <c r="P385" s="108">
        <v>-1.6027294401910117E-2</v>
      </c>
      <c r="Q385" s="108">
        <v>-0.32054588803820228</v>
      </c>
      <c r="R385" s="49">
        <v>-14098978.346986759</v>
      </c>
    </row>
    <row r="386" spans="1:18" x14ac:dyDescent="0.25">
      <c r="A386">
        <f t="shared" si="8"/>
        <v>374</v>
      </c>
      <c r="B386" s="168">
        <v>0.98985190929219691</v>
      </c>
      <c r="C386" s="122">
        <v>0.88290013099567588</v>
      </c>
      <c r="D386" s="122">
        <v>0.89250988305851442</v>
      </c>
      <c r="E386" s="122">
        <v>2.2791208195694144</v>
      </c>
      <c r="F386" s="122">
        <v>3.0908428384037276</v>
      </c>
      <c r="G386" s="122">
        <v>1.0624349689138426</v>
      </c>
      <c r="H386" s="163">
        <v>1</v>
      </c>
      <c r="I386" s="12">
        <v>4.3454509734937599E-2</v>
      </c>
      <c r="J386" s="115">
        <v>2.952155756095954E-2</v>
      </c>
      <c r="K386" s="115">
        <v>1.4044785047049734E-3</v>
      </c>
      <c r="L386" s="115">
        <v>4.265975952266984E-3</v>
      </c>
      <c r="P386" s="108">
        <v>-1.6912288244989495E-2</v>
      </c>
      <c r="Q386" s="108">
        <v>-0.33824576489978986</v>
      </c>
      <c r="R386" s="49">
        <v>-14877494.590458618</v>
      </c>
    </row>
    <row r="387" spans="1:18" x14ac:dyDescent="0.25">
      <c r="A387">
        <f t="shared" si="8"/>
        <v>375</v>
      </c>
      <c r="B387" s="168">
        <v>0.97925356893917015</v>
      </c>
      <c r="C387" s="122">
        <v>0.88741781450958879</v>
      </c>
      <c r="D387" s="122">
        <v>0.91402198738157514</v>
      </c>
      <c r="E387" s="122">
        <v>0.34607600971908359</v>
      </c>
      <c r="F387" s="122">
        <v>5.6882492776039841</v>
      </c>
      <c r="G387" s="122">
        <v>1.0444226023050003</v>
      </c>
      <c r="H387" s="163">
        <v>1</v>
      </c>
      <c r="I387" s="12">
        <v>2.5533320001837119E-2</v>
      </c>
      <c r="J387" s="115">
        <v>6.0086730494936916E-2</v>
      </c>
      <c r="K387" s="115">
        <v>-6.0079030437094538E-3</v>
      </c>
      <c r="L387" s="115">
        <v>2.0888228969379606E-2</v>
      </c>
      <c r="P387" s="108">
        <v>0.16551914235810303</v>
      </c>
      <c r="Q387" s="108">
        <v>3.3103828471620598</v>
      </c>
      <c r="R387" s="49">
        <v>145604788.03213292</v>
      </c>
    </row>
    <row r="388" spans="1:18" x14ac:dyDescent="0.25">
      <c r="A388">
        <f t="shared" si="8"/>
        <v>376</v>
      </c>
      <c r="B388" s="168">
        <v>1.0134584228097665</v>
      </c>
      <c r="C388" s="122">
        <v>0.9364016940366382</v>
      </c>
      <c r="D388" s="122">
        <v>0.90310329305633796</v>
      </c>
      <c r="E388" s="122">
        <v>1.1702201953341589</v>
      </c>
      <c r="F388" s="122">
        <v>3.3254031556081802</v>
      </c>
      <c r="G388" s="122">
        <v>1.081414828218636</v>
      </c>
      <c r="H388" s="163">
        <v>1</v>
      </c>
      <c r="I388" s="12">
        <v>4.5355635795436271E-2</v>
      </c>
      <c r="J388" s="115">
        <v>3.5003163762115791E-2</v>
      </c>
      <c r="K388" s="115">
        <v>-1.2021410461068105E-3</v>
      </c>
      <c r="L388" s="115">
        <v>2.4409504080606867E-2</v>
      </c>
      <c r="P388" s="108">
        <v>2.0742020795402192E-2</v>
      </c>
      <c r="Q388" s="108">
        <v>0.41484041590804377</v>
      </c>
      <c r="R388" s="49">
        <v>18246454.749859195</v>
      </c>
    </row>
    <row r="389" spans="1:18" x14ac:dyDescent="0.25">
      <c r="A389">
        <f t="shared" si="8"/>
        <v>377</v>
      </c>
      <c r="B389" s="168">
        <v>0.98770542049026899</v>
      </c>
      <c r="C389" s="122">
        <v>0.87269206308269087</v>
      </c>
      <c r="D389" s="122">
        <v>0.89847325790556509</v>
      </c>
      <c r="E389" s="122">
        <v>2.1730351058691992</v>
      </c>
      <c r="F389" s="122">
        <v>7.5181036607684284</v>
      </c>
      <c r="G389" s="122">
        <v>1.0985760659242987</v>
      </c>
      <c r="H389" s="163">
        <v>1</v>
      </c>
      <c r="I389" s="12">
        <v>4.0611529581695061E-2</v>
      </c>
      <c r="J389" s="115">
        <v>5.8550856490450512E-2</v>
      </c>
      <c r="K389" s="115">
        <v>3.542761229555443E-3</v>
      </c>
      <c r="L389" s="115">
        <v>1.5995795404614072E-2</v>
      </c>
      <c r="P389" s="108">
        <v>0.15180128264977172</v>
      </c>
      <c r="Q389" s="108">
        <v>3.0360256529954337</v>
      </c>
      <c r="R389" s="49">
        <v>133537385.87773596</v>
      </c>
    </row>
    <row r="390" spans="1:18" x14ac:dyDescent="0.25">
      <c r="A390">
        <f t="shared" si="8"/>
        <v>378</v>
      </c>
      <c r="B390" s="168">
        <v>1.0046398445797817</v>
      </c>
      <c r="C390" s="122">
        <v>0.88686570230440398</v>
      </c>
      <c r="D390" s="122">
        <v>0.88661589979429278</v>
      </c>
      <c r="E390" s="122">
        <v>1.5660477727656921</v>
      </c>
      <c r="F390" s="122">
        <v>3.4968828268428345</v>
      </c>
      <c r="G390" s="122">
        <v>1.0596490478072751</v>
      </c>
      <c r="H390" s="163">
        <v>1</v>
      </c>
      <c r="I390" s="12">
        <v>1.7724472582968477E-2</v>
      </c>
      <c r="J390" s="115">
        <v>5.3560095702301316E-2</v>
      </c>
      <c r="K390" s="115">
        <v>-6.4210144227543845E-4</v>
      </c>
      <c r="L390" s="115">
        <v>1.546174640978178E-2</v>
      </c>
      <c r="P390" s="108">
        <v>6.2179268563816933E-2</v>
      </c>
      <c r="Q390" s="108">
        <v>1.2435853712763383</v>
      </c>
      <c r="R390" s="49">
        <v>54698200.402948208</v>
      </c>
    </row>
    <row r="391" spans="1:18" x14ac:dyDescent="0.25">
      <c r="A391">
        <f t="shared" si="8"/>
        <v>379</v>
      </c>
      <c r="B391" s="168">
        <v>0.99192078463900757</v>
      </c>
      <c r="C391" s="122">
        <v>0.92669999685699178</v>
      </c>
      <c r="D391" s="122">
        <v>0.8967942962849792</v>
      </c>
      <c r="E391" s="122">
        <v>2.776672705409319</v>
      </c>
      <c r="F391" s="122">
        <v>4.1317824303782373</v>
      </c>
      <c r="G391" s="122">
        <v>1.1136325249757644</v>
      </c>
      <c r="H391" s="163">
        <v>1</v>
      </c>
      <c r="I391" s="12">
        <v>1.3851360967216184E-2</v>
      </c>
      <c r="J391" s="115">
        <v>4.2762307557461327E-2</v>
      </c>
      <c r="K391" s="115">
        <v>1.7777619765659572E-2</v>
      </c>
      <c r="L391" s="115">
        <v>-2.5100704811605729E-4</v>
      </c>
      <c r="P391" s="108">
        <v>1.4025023933866388E-2</v>
      </c>
      <c r="Q391" s="108">
        <v>0.28050047867732769</v>
      </c>
      <c r="R391" s="49">
        <v>12337610.066985918</v>
      </c>
    </row>
    <row r="392" spans="1:18" x14ac:dyDescent="0.25">
      <c r="A392">
        <f t="shared" si="8"/>
        <v>380</v>
      </c>
      <c r="B392" s="168">
        <v>1.021917582350989</v>
      </c>
      <c r="C392" s="122">
        <v>0.92350338281220423</v>
      </c>
      <c r="D392" s="122">
        <v>0.91728994635191086</v>
      </c>
      <c r="E392" s="122">
        <v>2.2199251525308892</v>
      </c>
      <c r="F392" s="122">
        <v>5.3735935234041579</v>
      </c>
      <c r="G392" s="122">
        <v>1.0670050702202043</v>
      </c>
      <c r="H392" s="163">
        <v>1</v>
      </c>
      <c r="I392" s="12">
        <v>2.5596598992665205E-2</v>
      </c>
      <c r="J392" s="115">
        <v>5.7051148559422935E-2</v>
      </c>
      <c r="K392" s="115">
        <v>9.7520831242144199E-4</v>
      </c>
      <c r="L392" s="115">
        <v>1.7492765821258173E-3</v>
      </c>
      <c r="P392" s="108">
        <v>0.10104968467780549</v>
      </c>
      <c r="Q392" s="108">
        <v>2.0209936935561097</v>
      </c>
      <c r="R392" s="49">
        <v>88891941.491536185</v>
      </c>
    </row>
    <row r="393" spans="1:18" x14ac:dyDescent="0.25">
      <c r="A393">
        <f t="shared" si="8"/>
        <v>381</v>
      </c>
      <c r="B393" s="168">
        <v>0.99782527074555993</v>
      </c>
      <c r="C393" s="122">
        <v>0.88655043780215748</v>
      </c>
      <c r="D393" s="122">
        <v>0.89709484730632105</v>
      </c>
      <c r="E393" s="122">
        <v>1.8022037364666335</v>
      </c>
      <c r="F393" s="122">
        <v>3.6980564741390607</v>
      </c>
      <c r="G393" s="122">
        <v>1.1108335711025861</v>
      </c>
      <c r="H393" s="163">
        <v>1</v>
      </c>
      <c r="I393" s="12">
        <v>2.7471313861341655E-2</v>
      </c>
      <c r="J393" s="115">
        <v>6.465651876203668E-2</v>
      </c>
      <c r="K393" s="115">
        <v>6.7114095841585251E-4</v>
      </c>
      <c r="L393" s="115">
        <v>1.6846757980789561E-2</v>
      </c>
      <c r="P393" s="108">
        <v>0.10430998216861856</v>
      </c>
      <c r="Q393" s="108">
        <v>2.0861996433723706</v>
      </c>
      <c r="R393" s="49">
        <v>91759977.890881941</v>
      </c>
    </row>
    <row r="394" spans="1:18" x14ac:dyDescent="0.25">
      <c r="A394">
        <f t="shared" si="8"/>
        <v>382</v>
      </c>
      <c r="B394" s="168">
        <v>0.99512950185347382</v>
      </c>
      <c r="C394" s="122">
        <v>0.9037996947814968</v>
      </c>
      <c r="D394" s="122">
        <v>0.88539858150821538</v>
      </c>
      <c r="E394" s="122">
        <v>2.5417281705250647</v>
      </c>
      <c r="F394" s="122">
        <v>6.763658356903389</v>
      </c>
      <c r="G394" s="122">
        <v>1.0762097396567043</v>
      </c>
      <c r="H394" s="163">
        <v>1</v>
      </c>
      <c r="I394" s="12">
        <v>3.0288052042845438E-2</v>
      </c>
      <c r="J394" s="115">
        <v>3.3375186897199816E-2</v>
      </c>
      <c r="K394" s="115">
        <v>-5.3241597787989569E-3</v>
      </c>
      <c r="L394" s="115">
        <v>1.7169295484906897E-2</v>
      </c>
      <c r="P394" s="108">
        <v>4.6684861758700347E-2</v>
      </c>
      <c r="Q394" s="108">
        <v>0.93369723517400671</v>
      </c>
      <c r="R394" s="49">
        <v>41067995.543249123</v>
      </c>
    </row>
    <row r="395" spans="1:18" x14ac:dyDescent="0.25">
      <c r="A395">
        <f t="shared" si="8"/>
        <v>383</v>
      </c>
      <c r="B395" s="168">
        <v>0.99821789165493291</v>
      </c>
      <c r="C395" s="122">
        <v>0.88261022333951777</v>
      </c>
      <c r="D395" s="122">
        <v>0.90141087944302378</v>
      </c>
      <c r="E395" s="122">
        <v>1.85362276276497</v>
      </c>
      <c r="F395" s="122">
        <v>6.186023205589084</v>
      </c>
      <c r="G395" s="122">
        <v>1.1362660375698606</v>
      </c>
      <c r="H395" s="163">
        <v>1</v>
      </c>
      <c r="I395" s="12">
        <v>3.1968208427715319E-2</v>
      </c>
      <c r="J395" s="115">
        <v>4.1629538776528571E-2</v>
      </c>
      <c r="K395" s="115">
        <v>1.2134938505530264E-3</v>
      </c>
      <c r="L395" s="115">
        <v>4.0025465510995339E-2</v>
      </c>
      <c r="P395" s="108">
        <v>8.5597426411698443E-2</v>
      </c>
      <c r="Q395" s="108">
        <v>1.7119485282339684</v>
      </c>
      <c r="R395" s="49">
        <v>75298814.090074956</v>
      </c>
    </row>
    <row r="396" spans="1:18" x14ac:dyDescent="0.25">
      <c r="A396">
        <f t="shared" si="8"/>
        <v>384</v>
      </c>
      <c r="B396" s="168">
        <v>1.0006926586349989</v>
      </c>
      <c r="C396" s="122">
        <v>0.8865536122590334</v>
      </c>
      <c r="D396" s="122">
        <v>0.92198224046919841</v>
      </c>
      <c r="E396" s="122">
        <v>1.3947765447675864</v>
      </c>
      <c r="F396" s="122">
        <v>3.8503328395214886</v>
      </c>
      <c r="G396" s="122">
        <v>1.1175014457690458</v>
      </c>
      <c r="H396" s="163">
        <v>1</v>
      </c>
      <c r="I396" s="12">
        <v>3.1520287987642066E-2</v>
      </c>
      <c r="J396" s="115">
        <v>4.1738251085697599E-2</v>
      </c>
      <c r="K396" s="115">
        <v>6.0670349127937648E-3</v>
      </c>
      <c r="L396" s="115">
        <v>3.1455402520653437E-2</v>
      </c>
      <c r="P396" s="108">
        <v>4.5058433032066837E-2</v>
      </c>
      <c r="Q396" s="108">
        <v>0.90116866064133649</v>
      </c>
      <c r="R396" s="49">
        <v>39637249.79011751</v>
      </c>
    </row>
    <row r="397" spans="1:18" x14ac:dyDescent="0.25">
      <c r="A397">
        <f t="shared" si="8"/>
        <v>385</v>
      </c>
      <c r="B397" s="168">
        <v>0.99326527527342268</v>
      </c>
      <c r="C397" s="122">
        <v>0.84109612999420313</v>
      </c>
      <c r="D397" s="122">
        <v>0.89587241806890028</v>
      </c>
      <c r="E397" s="122">
        <v>9.4339771613449752E-2</v>
      </c>
      <c r="F397" s="122">
        <v>6.6758461938349098</v>
      </c>
      <c r="G397" s="122">
        <v>1.1218786778741168</v>
      </c>
      <c r="H397" s="163">
        <v>1</v>
      </c>
      <c r="I397" s="12">
        <v>5.9678939917744422E-3</v>
      </c>
      <c r="J397" s="115">
        <v>2.6598943623511988E-2</v>
      </c>
      <c r="K397" s="115">
        <v>1.2647093772762213E-2</v>
      </c>
      <c r="L397" s="115">
        <v>2.3422048865499041E-2</v>
      </c>
      <c r="P397" s="108">
        <v>5.2635462686585505E-2</v>
      </c>
      <c r="Q397" s="108">
        <v>1.05270925373171</v>
      </c>
      <c r="R397" s="49">
        <v>46302652.842850059</v>
      </c>
    </row>
    <row r="398" spans="1:18" x14ac:dyDescent="0.25">
      <c r="A398">
        <f t="shared" si="8"/>
        <v>386</v>
      </c>
      <c r="B398" s="168">
        <v>0.99406086537232952</v>
      </c>
      <c r="C398" s="122">
        <v>0.8921940154660134</v>
      </c>
      <c r="D398" s="122">
        <v>0.9028906853616121</v>
      </c>
      <c r="E398" s="122">
        <v>2.4782619011378237</v>
      </c>
      <c r="F398" s="122">
        <v>8.2740867860057961</v>
      </c>
      <c r="G398" s="122">
        <v>1.0671413741661153</v>
      </c>
      <c r="H398" s="163">
        <v>1</v>
      </c>
      <c r="I398" s="12">
        <v>3.5421755277919964E-2</v>
      </c>
      <c r="J398" s="115">
        <v>2.9418628003726504E-2</v>
      </c>
      <c r="K398" s="115">
        <v>9.7038177129251217E-3</v>
      </c>
      <c r="L398" s="115">
        <v>1.4890517786840026E-2</v>
      </c>
      <c r="P398" s="108">
        <v>5.5218739754632984E-2</v>
      </c>
      <c r="Q398" s="108">
        <v>1.1043747950926595</v>
      </c>
      <c r="R398" s="49">
        <v>48575124.199108943</v>
      </c>
    </row>
    <row r="399" spans="1:18" x14ac:dyDescent="0.25">
      <c r="A399">
        <f t="shared" ref="A399:A462" si="9">A398+1</f>
        <v>387</v>
      </c>
      <c r="B399" s="168">
        <v>0.9971082636231422</v>
      </c>
      <c r="C399" s="122">
        <v>0.85099936761624695</v>
      </c>
      <c r="D399" s="122">
        <v>0.90367337250519708</v>
      </c>
      <c r="E399" s="122">
        <v>2.6202238231808956</v>
      </c>
      <c r="F399" s="122">
        <v>9.0305166880621712</v>
      </c>
      <c r="G399" s="122">
        <v>1.0841993578171585</v>
      </c>
      <c r="H399" s="163">
        <v>1</v>
      </c>
      <c r="I399" s="12">
        <v>7.9257608196048497E-3</v>
      </c>
      <c r="J399" s="115">
        <v>3.1309668969654328E-2</v>
      </c>
      <c r="K399" s="115">
        <v>-3.0295849511982904E-3</v>
      </c>
      <c r="L399" s="115">
        <v>1.7615941613117296E-3</v>
      </c>
      <c r="P399" s="108">
        <v>2.7177765039520557E-2</v>
      </c>
      <c r="Q399" s="108">
        <v>0.54355530079041103</v>
      </c>
      <c r="R399" s="49">
        <v>23907885.585855797</v>
      </c>
    </row>
    <row r="400" spans="1:18" x14ac:dyDescent="0.25">
      <c r="A400">
        <f t="shared" si="9"/>
        <v>388</v>
      </c>
      <c r="B400" s="168">
        <v>1.0073871163478783</v>
      </c>
      <c r="C400" s="122">
        <v>0.91712938756938389</v>
      </c>
      <c r="D400" s="122">
        <v>0.8945220699674159</v>
      </c>
      <c r="E400" s="122">
        <v>1.6464341710004518</v>
      </c>
      <c r="F400" s="122">
        <v>5.4719413735995515</v>
      </c>
      <c r="G400" s="122">
        <v>1.1304729079055562</v>
      </c>
      <c r="H400" s="163">
        <v>1</v>
      </c>
      <c r="I400" s="12">
        <v>2.6613052653506684E-2</v>
      </c>
      <c r="J400" s="115">
        <v>3.9106561198669836E-2</v>
      </c>
      <c r="K400" s="115">
        <v>1.0348389552701873E-2</v>
      </c>
      <c r="L400" s="115">
        <v>-8.8726728919701972E-3</v>
      </c>
      <c r="P400" s="108">
        <v>3.0516165059713753E-2</v>
      </c>
      <c r="Q400" s="108">
        <v>0.61032330119427491</v>
      </c>
      <c r="R400" s="49">
        <v>26844627.647115644</v>
      </c>
    </row>
    <row r="401" spans="1:18" x14ac:dyDescent="0.25">
      <c r="A401">
        <f t="shared" si="9"/>
        <v>389</v>
      </c>
      <c r="B401" s="168">
        <v>0.9939636141198317</v>
      </c>
      <c r="C401" s="122">
        <v>0.91026417736209497</v>
      </c>
      <c r="D401" s="122">
        <v>0.90058437720736451</v>
      </c>
      <c r="E401" s="122">
        <v>0.95976442944893092</v>
      </c>
      <c r="F401" s="122">
        <v>4.672198048780885</v>
      </c>
      <c r="G401" s="122">
        <v>1.0762374004393536</v>
      </c>
      <c r="H401" s="163">
        <v>1</v>
      </c>
      <c r="I401" s="12">
        <v>2.7052542300817099E-2</v>
      </c>
      <c r="J401" s="115">
        <v>3.1512033701266304E-2</v>
      </c>
      <c r="K401" s="115">
        <v>2.5249700051516531E-3</v>
      </c>
      <c r="L401" s="115">
        <v>2.6941152935514322E-2</v>
      </c>
      <c r="P401" s="108">
        <v>3.3857514331699E-2</v>
      </c>
      <c r="Q401" s="108">
        <v>0.6771502866339798</v>
      </c>
      <c r="R401" s="49">
        <v>29783964.122386567</v>
      </c>
    </row>
    <row r="402" spans="1:18" x14ac:dyDescent="0.25">
      <c r="A402">
        <f t="shared" si="9"/>
        <v>390</v>
      </c>
      <c r="B402" s="168">
        <v>1.0135167139607399</v>
      </c>
      <c r="C402" s="122">
        <v>0.85837790605289221</v>
      </c>
      <c r="D402" s="122">
        <v>0.91608152822608258</v>
      </c>
      <c r="E402" s="122">
        <v>0.94519384799643591</v>
      </c>
      <c r="F402" s="122">
        <v>3.4832577549893986</v>
      </c>
      <c r="G402" s="122">
        <v>1.0901020298066622</v>
      </c>
      <c r="H402" s="163">
        <v>1</v>
      </c>
      <c r="I402" s="12">
        <v>2.9199666774747481E-2</v>
      </c>
      <c r="J402" s="115">
        <v>2.3446346983629816E-2</v>
      </c>
      <c r="K402" s="115">
        <v>3.2142735246204574E-3</v>
      </c>
      <c r="L402" s="115">
        <v>1.6734988025349121E-2</v>
      </c>
      <c r="P402" s="108">
        <v>-3.4599344879549264E-2</v>
      </c>
      <c r="Q402" s="108">
        <v>-0.69198689759098508</v>
      </c>
      <c r="R402" s="49">
        <v>-30436541.692186985</v>
      </c>
    </row>
    <row r="403" spans="1:18" x14ac:dyDescent="0.25">
      <c r="A403">
        <f t="shared" si="9"/>
        <v>391</v>
      </c>
      <c r="B403" s="168">
        <v>1.0063384361347647</v>
      </c>
      <c r="C403" s="122">
        <v>0.8644759259410798</v>
      </c>
      <c r="D403" s="122">
        <v>0.90603554939774955</v>
      </c>
      <c r="E403" s="122">
        <v>0.91611092547504636</v>
      </c>
      <c r="F403" s="122">
        <v>4.677254845577159</v>
      </c>
      <c r="G403" s="122">
        <v>1.0875092174022492</v>
      </c>
      <c r="H403" s="163">
        <v>1</v>
      </c>
      <c r="I403" s="12">
        <v>4.4315600900146815E-2</v>
      </c>
      <c r="J403" s="115">
        <v>4.6522015304849382E-2</v>
      </c>
      <c r="K403" s="115">
        <v>3.3812224304614804E-3</v>
      </c>
      <c r="L403" s="115">
        <v>1.6200047852808045E-2</v>
      </c>
      <c r="P403" s="108">
        <v>9.1551113266474013E-2</v>
      </c>
      <c r="Q403" s="108">
        <v>1.8310222653294799</v>
      </c>
      <c r="R403" s="49">
        <v>80536186.034788013</v>
      </c>
    </row>
    <row r="404" spans="1:18" x14ac:dyDescent="0.25">
      <c r="A404">
        <f t="shared" si="9"/>
        <v>392</v>
      </c>
      <c r="B404" s="168">
        <v>1.0014582162055139</v>
      </c>
      <c r="C404" s="122">
        <v>0.92831052546467774</v>
      </c>
      <c r="D404" s="122">
        <v>0.90169327393155285</v>
      </c>
      <c r="E404" s="122">
        <v>2.9534457237801348</v>
      </c>
      <c r="F404" s="122">
        <v>7.5828851779638722</v>
      </c>
      <c r="G404" s="122">
        <v>1.1342153753090705</v>
      </c>
      <c r="H404" s="163">
        <v>1</v>
      </c>
      <c r="I404" s="12">
        <v>2.2529260357054767E-2</v>
      </c>
      <c r="J404" s="115">
        <v>3.696292532051404E-2</v>
      </c>
      <c r="K404" s="115">
        <v>2.6968106991165316E-3</v>
      </c>
      <c r="L404" s="115">
        <v>4.549786356428942E-2</v>
      </c>
      <c r="P404" s="108">
        <v>7.0601304073140941E-2</v>
      </c>
      <c r="Q404" s="108">
        <v>1.4120260814628185</v>
      </c>
      <c r="R404" s="49">
        <v>62106942.846049577</v>
      </c>
    </row>
    <row r="405" spans="1:18" x14ac:dyDescent="0.25">
      <c r="A405">
        <f t="shared" si="9"/>
        <v>393</v>
      </c>
      <c r="B405" s="168">
        <v>0.97869144695787569</v>
      </c>
      <c r="C405" s="122">
        <v>0.8860471721785308</v>
      </c>
      <c r="D405" s="122">
        <v>0.90509031566004794</v>
      </c>
      <c r="E405" s="122">
        <v>1.7666037207882819</v>
      </c>
      <c r="F405" s="122">
        <v>6.4826835607469642</v>
      </c>
      <c r="G405" s="122">
        <v>1.1209087851363</v>
      </c>
      <c r="H405" s="163">
        <v>1</v>
      </c>
      <c r="I405" s="12">
        <v>2.808058901775818E-2</v>
      </c>
      <c r="J405" s="115">
        <v>5.2084180779743777E-2</v>
      </c>
      <c r="K405" s="115">
        <v>-4.1174882925197956E-6</v>
      </c>
      <c r="L405" s="115">
        <v>1.4526634604080588E-2</v>
      </c>
      <c r="P405" s="108">
        <v>0.10691027510013185</v>
      </c>
      <c r="Q405" s="108">
        <v>2.1382055020026365</v>
      </c>
      <c r="R405" s="49">
        <v>94047417.855350241</v>
      </c>
    </row>
    <row r="406" spans="1:18" x14ac:dyDescent="0.25">
      <c r="A406">
        <f t="shared" si="9"/>
        <v>394</v>
      </c>
      <c r="B406" s="168">
        <v>0.99684803000379052</v>
      </c>
      <c r="C406" s="122">
        <v>0.87329607005630161</v>
      </c>
      <c r="D406" s="122">
        <v>0.90487676662953831</v>
      </c>
      <c r="E406" s="122">
        <v>1.1620860916077014</v>
      </c>
      <c r="F406" s="122">
        <v>8.2520190781660165</v>
      </c>
      <c r="G406" s="122">
        <v>1.1190882483829874</v>
      </c>
      <c r="H406" s="163">
        <v>1</v>
      </c>
      <c r="I406" s="12">
        <v>3.3282296983935651E-2</v>
      </c>
      <c r="J406" s="115">
        <v>1.6997136833230737E-2</v>
      </c>
      <c r="K406" s="115">
        <v>1.492614149923026E-3</v>
      </c>
      <c r="L406" s="115">
        <v>4.5023406290031862E-2</v>
      </c>
      <c r="P406" s="108">
        <v>4.2682571650344982E-2</v>
      </c>
      <c r="Q406" s="108">
        <v>0.85365143300689938</v>
      </c>
      <c r="R406" s="49">
        <v>37547239.003746331</v>
      </c>
    </row>
    <row r="407" spans="1:18" x14ac:dyDescent="0.25">
      <c r="A407">
        <f t="shared" si="9"/>
        <v>395</v>
      </c>
      <c r="B407" s="168">
        <v>1.0084841456497979</v>
      </c>
      <c r="C407" s="122">
        <v>0.89427240912002293</v>
      </c>
      <c r="D407" s="122">
        <v>0.88488049762570087</v>
      </c>
      <c r="E407" s="122">
        <v>2.1876933931938587</v>
      </c>
      <c r="F407" s="122">
        <v>6.4946292900266442</v>
      </c>
      <c r="G407" s="122">
        <v>1.0879398382387466</v>
      </c>
      <c r="H407" s="163">
        <v>1</v>
      </c>
      <c r="I407" s="12">
        <v>1.4808575946391945E-2</v>
      </c>
      <c r="J407" s="115">
        <v>4.6851177699118139E-2</v>
      </c>
      <c r="K407" s="115">
        <v>-1.6749459603663149E-3</v>
      </c>
      <c r="L407" s="115">
        <v>4.9344982141185663E-2</v>
      </c>
      <c r="P407" s="108">
        <v>0.10327703605452331</v>
      </c>
      <c r="Q407" s="108">
        <v>2.0655407210904659</v>
      </c>
      <c r="R407" s="49">
        <v>90851310.181221753</v>
      </c>
    </row>
    <row r="408" spans="1:18" x14ac:dyDescent="0.25">
      <c r="A408">
        <f t="shared" si="9"/>
        <v>396</v>
      </c>
      <c r="B408" s="168">
        <v>0.98227508748245052</v>
      </c>
      <c r="C408" s="122">
        <v>0.8755221034670847</v>
      </c>
      <c r="D408" s="122">
        <v>0.90342480055972318</v>
      </c>
      <c r="E408" s="122">
        <v>1.7361590260659812</v>
      </c>
      <c r="F408" s="122">
        <v>5.3828046520059454</v>
      </c>
      <c r="G408" s="122">
        <v>1.0602517661650475</v>
      </c>
      <c r="H408" s="163">
        <v>1</v>
      </c>
      <c r="I408" s="12">
        <v>2.8863803696434608E-2</v>
      </c>
      <c r="J408" s="115">
        <v>2.7404919582878828E-2</v>
      </c>
      <c r="K408" s="115">
        <v>1.3490936648848692E-2</v>
      </c>
      <c r="L408" s="115">
        <v>3.2075352002697996E-2</v>
      </c>
      <c r="P408" s="108">
        <v>3.2166336356215401E-2</v>
      </c>
      <c r="Q408" s="108">
        <v>0.64332672712430783</v>
      </c>
      <c r="R408" s="49">
        <v>28296259.394481741</v>
      </c>
    </row>
    <row r="409" spans="1:18" x14ac:dyDescent="0.25">
      <c r="A409">
        <f t="shared" si="9"/>
        <v>397</v>
      </c>
      <c r="B409" s="168">
        <v>1.0088243852364414</v>
      </c>
      <c r="C409" s="122">
        <v>0.9049668238493368</v>
      </c>
      <c r="D409" s="122">
        <v>0.89638971782899668</v>
      </c>
      <c r="E409" s="122">
        <v>1.5749801105277443</v>
      </c>
      <c r="F409" s="122">
        <v>4.3086315635983334</v>
      </c>
      <c r="G409" s="122">
        <v>1.0887436588850958</v>
      </c>
      <c r="H409" s="163">
        <v>1</v>
      </c>
      <c r="I409" s="12">
        <v>2.8453553987762031E-2</v>
      </c>
      <c r="J409" s="115">
        <v>6.8216848760871585E-2</v>
      </c>
      <c r="K409" s="115">
        <v>5.904408980823778E-3</v>
      </c>
      <c r="L409" s="115">
        <v>4.4847508453030923E-3</v>
      </c>
      <c r="P409" s="108">
        <v>0.12793237402127913</v>
      </c>
      <c r="Q409" s="108">
        <v>2.5586474804255821</v>
      </c>
      <c r="R409" s="49">
        <v>112540253.2688026</v>
      </c>
    </row>
    <row r="410" spans="1:18" x14ac:dyDescent="0.25">
      <c r="A410">
        <f t="shared" si="9"/>
        <v>398</v>
      </c>
      <c r="B410" s="168">
        <v>1.0196311501877062</v>
      </c>
      <c r="C410" s="122">
        <v>0.93954739254113573</v>
      </c>
      <c r="D410" s="122">
        <v>0.91430479636581363</v>
      </c>
      <c r="E410" s="122">
        <v>1.9778727963856757</v>
      </c>
      <c r="F410" s="122">
        <v>6.9910266307742717</v>
      </c>
      <c r="G410" s="122">
        <v>1.1024838013195073</v>
      </c>
      <c r="H410" s="163">
        <v>1</v>
      </c>
      <c r="I410" s="12">
        <v>2.6695775911931539E-2</v>
      </c>
      <c r="J410" s="115">
        <v>3.9530399380289349E-2</v>
      </c>
      <c r="K410" s="115">
        <v>-5.3312344807054943E-3</v>
      </c>
      <c r="L410" s="115">
        <v>4.752171537456544E-2</v>
      </c>
      <c r="P410" s="108">
        <v>9.1975258229878773E-2</v>
      </c>
      <c r="Q410" s="108">
        <v>1.8395051645975751</v>
      </c>
      <c r="R410" s="49">
        <v>80909300.205219299</v>
      </c>
    </row>
    <row r="411" spans="1:18" x14ac:dyDescent="0.25">
      <c r="A411">
        <f t="shared" si="9"/>
        <v>399</v>
      </c>
      <c r="B411" s="168">
        <v>1.0065777571774099</v>
      </c>
      <c r="C411" s="122">
        <v>0.88580243078689713</v>
      </c>
      <c r="D411" s="122">
        <v>0.91614190691903974</v>
      </c>
      <c r="E411" s="122">
        <v>3.7129005676453923</v>
      </c>
      <c r="F411" s="122">
        <v>6.1504716731806148</v>
      </c>
      <c r="G411" s="122">
        <v>1.117538089103882</v>
      </c>
      <c r="H411" s="163">
        <v>1</v>
      </c>
      <c r="I411" s="12">
        <v>2.0767670497507173E-2</v>
      </c>
      <c r="J411" s="115">
        <v>2.9744659443920719E-2</v>
      </c>
      <c r="K411" s="115">
        <v>2.0324936001135958E-3</v>
      </c>
      <c r="L411" s="115">
        <v>1.0682034292313007E-2</v>
      </c>
      <c r="P411" s="108">
        <v>6.7248423282607927E-4</v>
      </c>
      <c r="Q411" s="108">
        <v>1.3449684656521584E-2</v>
      </c>
      <c r="R411" s="49">
        <v>591574.62261221721</v>
      </c>
    </row>
    <row r="412" spans="1:18" x14ac:dyDescent="0.25">
      <c r="A412">
        <f t="shared" si="9"/>
        <v>400</v>
      </c>
      <c r="B412" s="168">
        <v>0.99258236883138318</v>
      </c>
      <c r="C412" s="122">
        <v>0.86569978383733148</v>
      </c>
      <c r="D412" s="122">
        <v>0.90590981793875125</v>
      </c>
      <c r="E412" s="122">
        <v>2.5842276394107104</v>
      </c>
      <c r="F412" s="122">
        <v>4.1220852602782658</v>
      </c>
      <c r="G412" s="122">
        <v>1.0852728847335986</v>
      </c>
      <c r="H412" s="163">
        <v>1</v>
      </c>
      <c r="I412" s="12">
        <v>1.4475306928691745E-2</v>
      </c>
      <c r="J412" s="115">
        <v>5.8366582937624534E-2</v>
      </c>
      <c r="K412" s="115">
        <v>1.6165150513247538E-2</v>
      </c>
      <c r="L412" s="115">
        <v>1.2417464327762532E-2</v>
      </c>
      <c r="P412" s="108">
        <v>8.2639480890276021E-2</v>
      </c>
      <c r="Q412" s="108">
        <v>1.6527896178055201</v>
      </c>
      <c r="R412" s="49">
        <v>72696752.331408411</v>
      </c>
    </row>
    <row r="413" spans="1:18" x14ac:dyDescent="0.25">
      <c r="A413">
        <f t="shared" si="9"/>
        <v>401</v>
      </c>
      <c r="B413" s="168">
        <v>0.99169784358645241</v>
      </c>
      <c r="C413" s="122">
        <v>0.86526142775183057</v>
      </c>
      <c r="D413" s="122">
        <v>0.88393062139585088</v>
      </c>
      <c r="E413" s="122">
        <v>1.5370701653465382</v>
      </c>
      <c r="F413" s="122">
        <v>3.1813266008823256</v>
      </c>
      <c r="G413" s="122">
        <v>1.1354630747656782</v>
      </c>
      <c r="H413" s="163">
        <v>1</v>
      </c>
      <c r="I413" s="12">
        <v>3.0986012582813093E-2</v>
      </c>
      <c r="J413" s="115">
        <v>4.6190390157256303E-2</v>
      </c>
      <c r="K413" s="115">
        <v>1.3847087585068373E-3</v>
      </c>
      <c r="L413" s="115">
        <v>3.0960049676606143E-2</v>
      </c>
      <c r="P413" s="108">
        <v>3.6702380996113129E-2</v>
      </c>
      <c r="Q413" s="108">
        <v>0.73404761992226242</v>
      </c>
      <c r="R413" s="49">
        <v>32286552.051192511</v>
      </c>
    </row>
    <row r="414" spans="1:18" x14ac:dyDescent="0.25">
      <c r="A414">
        <f t="shared" si="9"/>
        <v>402</v>
      </c>
      <c r="B414" s="168">
        <v>0.98785566528168944</v>
      </c>
      <c r="C414" s="122">
        <v>0.87674160428733461</v>
      </c>
      <c r="D414" s="122">
        <v>0.91936383928295562</v>
      </c>
      <c r="E414" s="122">
        <v>1.8939194066700284</v>
      </c>
      <c r="F414" s="122">
        <v>4.6860018296938941</v>
      </c>
      <c r="G414" s="122">
        <v>1.1153298633218691</v>
      </c>
      <c r="H414" s="163">
        <v>1</v>
      </c>
      <c r="I414" s="12">
        <v>1.7962017814181955E-2</v>
      </c>
      <c r="J414" s="115">
        <v>4.7847604970580243E-2</v>
      </c>
      <c r="K414" s="115">
        <v>1.3745266099864709E-2</v>
      </c>
      <c r="L414" s="115">
        <v>1.8687950485137588E-2</v>
      </c>
      <c r="P414" s="108">
        <v>6.1241149451226794E-2</v>
      </c>
      <c r="Q414" s="108">
        <v>1.2248229890245357</v>
      </c>
      <c r="R414" s="49">
        <v>53872950.630676813</v>
      </c>
    </row>
    <row r="415" spans="1:18" x14ac:dyDescent="0.25">
      <c r="A415">
        <f t="shared" si="9"/>
        <v>403</v>
      </c>
      <c r="B415" s="168">
        <v>1.0082849834922216</v>
      </c>
      <c r="C415" s="122">
        <v>0.90556613701045996</v>
      </c>
      <c r="D415" s="122">
        <v>0.89696660486125601</v>
      </c>
      <c r="E415" s="122">
        <v>1.1701384908142884</v>
      </c>
      <c r="F415" s="122">
        <v>4.0141275013982414</v>
      </c>
      <c r="G415" s="122">
        <v>1.1098923450705664</v>
      </c>
      <c r="H415" s="163">
        <v>1</v>
      </c>
      <c r="I415" s="12">
        <v>2.215285476163234E-2</v>
      </c>
      <c r="J415" s="115">
        <v>4.2305026032358868E-2</v>
      </c>
      <c r="K415" s="115">
        <v>6.0365820927962286E-3</v>
      </c>
      <c r="L415" s="115">
        <v>1.9589209356663962E-2</v>
      </c>
      <c r="P415" s="108">
        <v>3.7923047486067354E-2</v>
      </c>
      <c r="Q415" s="108">
        <v>0.75846094972134692</v>
      </c>
      <c r="R415" s="49">
        <v>33360354.651880123</v>
      </c>
    </row>
    <row r="416" spans="1:18" x14ac:dyDescent="0.25">
      <c r="A416">
        <f t="shared" si="9"/>
        <v>404</v>
      </c>
      <c r="B416" s="168">
        <v>1.004276511285271</v>
      </c>
      <c r="C416" s="122">
        <v>0.89948494821860625</v>
      </c>
      <c r="D416" s="122">
        <v>0.90723640180398524</v>
      </c>
      <c r="E416" s="122">
        <v>2.9400466027230463</v>
      </c>
      <c r="F416" s="122">
        <v>5.842719794235796</v>
      </c>
      <c r="G416" s="122">
        <v>1.0213931466048407</v>
      </c>
      <c r="H416" s="163">
        <v>1</v>
      </c>
      <c r="I416" s="12">
        <v>3.1452604703799132E-2</v>
      </c>
      <c r="J416" s="115">
        <v>2.5591251417517509E-2</v>
      </c>
      <c r="K416" s="115">
        <v>-2.8845193881726541E-3</v>
      </c>
      <c r="L416" s="115">
        <v>4.2121282093222662E-2</v>
      </c>
      <c r="P416" s="108">
        <v>3.4925646286091704E-2</v>
      </c>
      <c r="Q416" s="108">
        <v>0.69851292572183388</v>
      </c>
      <c r="R416" s="49">
        <v>30723584.305248663</v>
      </c>
    </row>
    <row r="417" spans="1:18" x14ac:dyDescent="0.25">
      <c r="A417">
        <f t="shared" si="9"/>
        <v>405</v>
      </c>
      <c r="B417" s="168">
        <v>1.0101319449484307</v>
      </c>
      <c r="C417" s="122">
        <v>0.90224389216198686</v>
      </c>
      <c r="D417" s="122">
        <v>0.92268632556326124</v>
      </c>
      <c r="E417" s="122">
        <v>2.3458620764024047</v>
      </c>
      <c r="F417" s="122">
        <v>6.0691737471080831</v>
      </c>
      <c r="G417" s="122">
        <v>1.1499689079419428</v>
      </c>
      <c r="H417" s="163">
        <v>1</v>
      </c>
      <c r="I417" s="12">
        <v>1.6051275385781633E-2</v>
      </c>
      <c r="J417" s="115">
        <v>5.9775485984791793E-2</v>
      </c>
      <c r="K417" s="115">
        <v>-9.0262120495038581E-3</v>
      </c>
      <c r="L417" s="115">
        <v>4.5651155644364033E-2</v>
      </c>
      <c r="P417" s="108">
        <v>0.12712991031248622</v>
      </c>
      <c r="Q417" s="108">
        <v>2.5425982062497239</v>
      </c>
      <c r="R417" s="49">
        <v>111834337.58704126</v>
      </c>
    </row>
    <row r="418" spans="1:18" x14ac:dyDescent="0.25">
      <c r="A418">
        <f t="shared" si="9"/>
        <v>406</v>
      </c>
      <c r="B418" s="168">
        <v>1.0074553511032014</v>
      </c>
      <c r="C418" s="122">
        <v>0.90000720856469874</v>
      </c>
      <c r="D418" s="122">
        <v>0.88974795735500023</v>
      </c>
      <c r="E418" s="122">
        <v>1.4980627168737726</v>
      </c>
      <c r="F418" s="122">
        <v>6.3536834549677188</v>
      </c>
      <c r="G418" s="122">
        <v>1.0773311100841403</v>
      </c>
      <c r="H418" s="163">
        <v>1</v>
      </c>
      <c r="I418" s="12">
        <v>1.8977855276111677E-2</v>
      </c>
      <c r="J418" s="115">
        <v>2.6304776552979355E-2</v>
      </c>
      <c r="K418" s="115">
        <v>-1.0067856568956264E-2</v>
      </c>
      <c r="L418" s="115">
        <v>2.3661598846434723E-2</v>
      </c>
      <c r="P418" s="108">
        <v>2.2933653486533256E-2</v>
      </c>
      <c r="Q418" s="108">
        <v>0.45867306973066507</v>
      </c>
      <c r="R418" s="49">
        <v>20174402.230072856</v>
      </c>
    </row>
    <row r="419" spans="1:18" x14ac:dyDescent="0.25">
      <c r="A419">
        <f t="shared" si="9"/>
        <v>407</v>
      </c>
      <c r="B419" s="168">
        <v>1.0198736592133073</v>
      </c>
      <c r="C419" s="122">
        <v>0.85736435986097159</v>
      </c>
      <c r="D419" s="122">
        <v>0.89382230542563201</v>
      </c>
      <c r="E419" s="122">
        <v>3.9828545141690466</v>
      </c>
      <c r="F419" s="122">
        <v>4.6635204173671969</v>
      </c>
      <c r="G419" s="122">
        <v>1.1124410394866313</v>
      </c>
      <c r="H419" s="163">
        <v>1</v>
      </c>
      <c r="I419" s="12">
        <v>1.9486838621213282E-2</v>
      </c>
      <c r="J419" s="115">
        <v>3.051377754402983E-2</v>
      </c>
      <c r="K419" s="115">
        <v>8.3660386384871131E-3</v>
      </c>
      <c r="L419" s="115">
        <v>2.253453298977821E-2</v>
      </c>
      <c r="P419" s="108">
        <v>-3.9895667202997443E-3</v>
      </c>
      <c r="Q419" s="108">
        <v>-7.9791334405994882E-2</v>
      </c>
      <c r="R419" s="49">
        <v>-3509563.959632609</v>
      </c>
    </row>
    <row r="420" spans="1:18" x14ac:dyDescent="0.25">
      <c r="A420">
        <f t="shared" si="9"/>
        <v>408</v>
      </c>
      <c r="B420" s="168">
        <v>0.97959192682876417</v>
      </c>
      <c r="C420" s="122">
        <v>0.914833568058946</v>
      </c>
      <c r="D420" s="122">
        <v>0.89591683863559879</v>
      </c>
      <c r="E420" s="122">
        <v>2.2763412194746797</v>
      </c>
      <c r="F420" s="122">
        <v>5.5506549397917126</v>
      </c>
      <c r="G420" s="122">
        <v>1.1384741899492465</v>
      </c>
      <c r="H420" s="163">
        <v>1</v>
      </c>
      <c r="I420" s="12">
        <v>3.080151769531761E-3</v>
      </c>
      <c r="J420" s="115">
        <v>7.3396451860979733E-2</v>
      </c>
      <c r="K420" s="115">
        <v>1.4599157036740484E-2</v>
      </c>
      <c r="L420" s="115">
        <v>2.2605709705964299E-2</v>
      </c>
      <c r="P420" s="108">
        <v>0.14649527633777715</v>
      </c>
      <c r="Q420" s="108">
        <v>2.9299055267555425</v>
      </c>
      <c r="R420" s="49">
        <v>128869769.10937667</v>
      </c>
    </row>
    <row r="421" spans="1:18" x14ac:dyDescent="0.25">
      <c r="A421">
        <f t="shared" si="9"/>
        <v>409</v>
      </c>
      <c r="B421" s="168">
        <v>0.9990133031112014</v>
      </c>
      <c r="C421" s="122">
        <v>0.92349771400058611</v>
      </c>
      <c r="D421" s="122">
        <v>0.89104018895040393</v>
      </c>
      <c r="E421" s="122">
        <v>3.196155686752078</v>
      </c>
      <c r="F421" s="122">
        <v>7.2404400147819725</v>
      </c>
      <c r="G421" s="122">
        <v>1.0769041674120512</v>
      </c>
      <c r="H421" s="163">
        <v>1</v>
      </c>
      <c r="I421" s="12">
        <v>4.4580961232904698E-2</v>
      </c>
      <c r="J421" s="115">
        <v>5.8587787627308686E-2</v>
      </c>
      <c r="K421" s="115">
        <v>-4.5097725680584852E-3</v>
      </c>
      <c r="L421" s="115">
        <v>1.7707305502621569E-2</v>
      </c>
      <c r="P421" s="108">
        <v>0.14615145744301192</v>
      </c>
      <c r="Q421" s="108">
        <v>2.923029148860238</v>
      </c>
      <c r="R421" s="49">
        <v>128567316.6160849</v>
      </c>
    </row>
    <row r="422" spans="1:18" x14ac:dyDescent="0.25">
      <c r="A422">
        <f t="shared" si="9"/>
        <v>410</v>
      </c>
      <c r="B422" s="168">
        <v>1.0135925214149804</v>
      </c>
      <c r="C422" s="122">
        <v>0.87635152432505681</v>
      </c>
      <c r="D422" s="122">
        <v>0.89980007229403014</v>
      </c>
      <c r="E422" s="122">
        <v>0.28134774876458346</v>
      </c>
      <c r="F422" s="122">
        <v>5.3280922758853322</v>
      </c>
      <c r="G422" s="122">
        <v>1.1261021507196829</v>
      </c>
      <c r="H422" s="163">
        <v>1</v>
      </c>
      <c r="I422" s="12">
        <v>2.6312286694740315E-2</v>
      </c>
      <c r="J422" s="115">
        <v>4.5138574682919159E-2</v>
      </c>
      <c r="K422" s="115">
        <v>1.4359743295653361E-2</v>
      </c>
      <c r="L422" s="115">
        <v>2.1894158411836354E-2</v>
      </c>
      <c r="P422" s="108">
        <v>0.10365994756533654</v>
      </c>
      <c r="Q422" s="108">
        <v>2.0731989513067304</v>
      </c>
      <c r="R422" s="49">
        <v>91188151.881660268</v>
      </c>
    </row>
    <row r="423" spans="1:18" x14ac:dyDescent="0.25">
      <c r="A423">
        <f t="shared" si="9"/>
        <v>411</v>
      </c>
      <c r="B423" s="168">
        <v>1.0106352426847425</v>
      </c>
      <c r="C423" s="122">
        <v>0.90205598507243345</v>
      </c>
      <c r="D423" s="122">
        <v>0.90536527744689999</v>
      </c>
      <c r="E423" s="122">
        <v>2.2017105556551155</v>
      </c>
      <c r="F423" s="122">
        <v>2.5794678738609833</v>
      </c>
      <c r="G423" s="122">
        <v>1.0312729842382884</v>
      </c>
      <c r="H423" s="163">
        <v>1</v>
      </c>
      <c r="I423" s="12">
        <v>2.2437279001193002E-2</v>
      </c>
      <c r="J423" s="115">
        <v>5.4393396407796141E-2</v>
      </c>
      <c r="K423" s="115">
        <v>1.1724324950641806E-2</v>
      </c>
      <c r="L423" s="115">
        <v>3.4273304774343205E-4</v>
      </c>
      <c r="P423" s="108">
        <v>4.4019170713782398E-2</v>
      </c>
      <c r="Q423" s="108">
        <v>0.88038341427564781</v>
      </c>
      <c r="R423" s="49">
        <v>38723025.807273269</v>
      </c>
    </row>
    <row r="424" spans="1:18" x14ac:dyDescent="0.25">
      <c r="A424">
        <f t="shared" si="9"/>
        <v>412</v>
      </c>
      <c r="B424" s="168">
        <v>0.99687851651606008</v>
      </c>
      <c r="C424" s="122">
        <v>0.90869140820109262</v>
      </c>
      <c r="D424" s="122">
        <v>0.90989871452158311</v>
      </c>
      <c r="E424" s="122">
        <v>1.8688573589993156</v>
      </c>
      <c r="F424" s="122">
        <v>5.1999271557786777</v>
      </c>
      <c r="G424" s="122">
        <v>1.1007663564295727</v>
      </c>
      <c r="H424" s="163">
        <v>1</v>
      </c>
      <c r="I424" s="12">
        <v>4.570860490928047E-2</v>
      </c>
      <c r="J424" s="115">
        <v>5.940672523677077E-2</v>
      </c>
      <c r="K424" s="115">
        <v>1.0887654916526109E-2</v>
      </c>
      <c r="L424" s="115">
        <v>3.7972939608520072E-2</v>
      </c>
      <c r="P424" s="108">
        <v>0.15036418789303088</v>
      </c>
      <c r="Q424" s="108">
        <v>3.0072837578606171</v>
      </c>
      <c r="R424" s="49">
        <v>132273194.47089171</v>
      </c>
    </row>
    <row r="425" spans="1:18" x14ac:dyDescent="0.25">
      <c r="A425">
        <f t="shared" si="9"/>
        <v>413</v>
      </c>
      <c r="B425" s="168">
        <v>0.98685478629153522</v>
      </c>
      <c r="C425" s="122">
        <v>0.93195813340855294</v>
      </c>
      <c r="D425" s="122">
        <v>0.89451197241656266</v>
      </c>
      <c r="E425" s="122">
        <v>1.2318839452963859</v>
      </c>
      <c r="F425" s="122">
        <v>4.6992387068685426</v>
      </c>
      <c r="G425" s="122">
        <v>1.1052655918485905</v>
      </c>
      <c r="H425" s="163">
        <v>1</v>
      </c>
      <c r="I425" s="12">
        <v>4.547105692502286E-2</v>
      </c>
      <c r="J425" s="115">
        <v>5.2621295304623852E-2</v>
      </c>
      <c r="K425" s="115">
        <v>6.863879186945674E-3</v>
      </c>
      <c r="L425" s="115">
        <v>1.3949674589343415E-2</v>
      </c>
      <c r="P425" s="108">
        <v>0.10583824780003796</v>
      </c>
      <c r="Q425" s="108">
        <v>2.1167649560007589</v>
      </c>
      <c r="R425" s="49">
        <v>93104370.993392006</v>
      </c>
    </row>
    <row r="426" spans="1:18" x14ac:dyDescent="0.25">
      <c r="A426">
        <f t="shared" si="9"/>
        <v>414</v>
      </c>
      <c r="B426" s="168">
        <v>1.0095243967807128</v>
      </c>
      <c r="C426" s="122">
        <v>0.88344502440625072</v>
      </c>
      <c r="D426" s="122">
        <v>0.90601959458893666</v>
      </c>
      <c r="E426" s="122">
        <v>1.2590979435771998</v>
      </c>
      <c r="F426" s="122">
        <v>6.214026117972165</v>
      </c>
      <c r="G426" s="122">
        <v>1.1591966452619407</v>
      </c>
      <c r="H426" s="163">
        <v>1</v>
      </c>
      <c r="I426" s="12">
        <v>3.0808234830227734E-2</v>
      </c>
      <c r="J426" s="115">
        <v>9.1492505381108521E-3</v>
      </c>
      <c r="K426" s="115">
        <v>1.1292514599197121E-2</v>
      </c>
      <c r="L426" s="115">
        <v>7.7903891537836802E-3</v>
      </c>
      <c r="P426" s="108">
        <v>-4.5736065498918635E-2</v>
      </c>
      <c r="Q426" s="108">
        <v>-0.91472130997837242</v>
      </c>
      <c r="R426" s="49">
        <v>-40233353.239506952</v>
      </c>
    </row>
    <row r="427" spans="1:18" x14ac:dyDescent="0.25">
      <c r="A427">
        <f t="shared" si="9"/>
        <v>415</v>
      </c>
      <c r="B427" s="168">
        <v>0.981176040839987</v>
      </c>
      <c r="C427" s="122">
        <v>0.90329309675260694</v>
      </c>
      <c r="D427" s="122">
        <v>0.92213419830767052</v>
      </c>
      <c r="E427" s="122">
        <v>0.92389112205821466</v>
      </c>
      <c r="F427" s="122">
        <v>3.6780310781744969</v>
      </c>
      <c r="G427" s="122">
        <v>1.0789981916000457</v>
      </c>
      <c r="H427" s="163">
        <v>1</v>
      </c>
      <c r="I427" s="12">
        <v>3.2442199500145902E-2</v>
      </c>
      <c r="J427" s="115">
        <v>2.0900818695791221E-2</v>
      </c>
      <c r="K427" s="115">
        <v>1.2208529350148437E-2</v>
      </c>
      <c r="L427" s="115">
        <v>2.4792027530590583E-2</v>
      </c>
      <c r="P427" s="108">
        <v>-2.3799698592475931E-2</v>
      </c>
      <c r="Q427" s="108">
        <v>-0.47599397184951853</v>
      </c>
      <c r="R427" s="49">
        <v>-20936249.544410869</v>
      </c>
    </row>
    <row r="428" spans="1:18" x14ac:dyDescent="0.25">
      <c r="A428">
        <f t="shared" si="9"/>
        <v>416</v>
      </c>
      <c r="B428" s="168">
        <v>1.0057943382902816</v>
      </c>
      <c r="C428" s="122">
        <v>0.92568051063301227</v>
      </c>
      <c r="D428" s="122">
        <v>0.87224156610533365</v>
      </c>
      <c r="E428" s="122">
        <v>1.89574453922007</v>
      </c>
      <c r="F428" s="122">
        <v>5.5258144600903041</v>
      </c>
      <c r="G428" s="122">
        <v>1.1303035509106858</v>
      </c>
      <c r="H428" s="163">
        <v>1</v>
      </c>
      <c r="I428" s="12">
        <v>1.6352478898671557E-2</v>
      </c>
      <c r="J428" s="115">
        <v>3.4723284913087758E-2</v>
      </c>
      <c r="K428" s="115">
        <v>4.3123510216185271E-3</v>
      </c>
      <c r="L428" s="115">
        <v>2.3842803255395461E-2</v>
      </c>
      <c r="P428" s="108">
        <v>2.8091086740127818E-2</v>
      </c>
      <c r="Q428" s="108">
        <v>0.56182173480255626</v>
      </c>
      <c r="R428" s="49">
        <v>24711321.434588946</v>
      </c>
    </row>
    <row r="429" spans="1:18" x14ac:dyDescent="0.25">
      <c r="A429">
        <f t="shared" si="9"/>
        <v>417</v>
      </c>
      <c r="B429" s="168">
        <v>0.99296726016900827</v>
      </c>
      <c r="C429" s="122">
        <v>0.92247995398453042</v>
      </c>
      <c r="D429" s="122">
        <v>0.88618146700996325</v>
      </c>
      <c r="E429" s="122">
        <v>1.1509867969282306</v>
      </c>
      <c r="F429" s="122">
        <v>2.5290788306181589</v>
      </c>
      <c r="G429" s="122">
        <v>1.1063797709911023</v>
      </c>
      <c r="H429" s="163">
        <v>1</v>
      </c>
      <c r="I429" s="12">
        <v>1.0770814656222779E-2</v>
      </c>
      <c r="J429" s="115">
        <v>5.0533483871013946E-2</v>
      </c>
      <c r="K429" s="115">
        <v>8.406831911814544E-3</v>
      </c>
      <c r="L429" s="115">
        <v>1.6935745611741656E-2</v>
      </c>
      <c r="P429" s="108">
        <v>7.5957760894424286E-3</v>
      </c>
      <c r="Q429" s="108">
        <v>0.15191552178884854</v>
      </c>
      <c r="R429" s="49">
        <v>6681894.0195448939</v>
      </c>
    </row>
    <row r="430" spans="1:18" x14ac:dyDescent="0.25">
      <c r="A430">
        <f t="shared" si="9"/>
        <v>418</v>
      </c>
      <c r="B430" s="168">
        <v>0.99878674687223956</v>
      </c>
      <c r="C430" s="122">
        <v>0.90610331571915581</v>
      </c>
      <c r="D430" s="122">
        <v>0.90176827117522185</v>
      </c>
      <c r="E430" s="122">
        <v>1.8144882572479271</v>
      </c>
      <c r="F430" s="122">
        <v>5.3725753430096148</v>
      </c>
      <c r="G430" s="122">
        <v>1.1081912452359555</v>
      </c>
      <c r="H430" s="163">
        <v>1</v>
      </c>
      <c r="I430" s="12">
        <v>2.297800494322506E-2</v>
      </c>
      <c r="J430" s="115">
        <v>5.5503791699349284E-2</v>
      </c>
      <c r="K430" s="115">
        <v>-3.4844405085037167E-3</v>
      </c>
      <c r="L430" s="115">
        <v>3.3087649150742693E-2</v>
      </c>
      <c r="P430" s="108">
        <v>0.11298896386751964</v>
      </c>
      <c r="Q430" s="108">
        <v>2.2597792773503924</v>
      </c>
      <c r="R430" s="49">
        <v>99394752.168948337</v>
      </c>
    </row>
    <row r="431" spans="1:18" x14ac:dyDescent="0.25">
      <c r="A431">
        <f t="shared" si="9"/>
        <v>419</v>
      </c>
      <c r="B431" s="168">
        <v>1.0018754047183216</v>
      </c>
      <c r="C431" s="122">
        <v>0.89799868882998579</v>
      </c>
      <c r="D431" s="122">
        <v>0.88676963616743087</v>
      </c>
      <c r="E431" s="122">
        <v>-2.6295572477577522E-2</v>
      </c>
      <c r="F431" s="122">
        <v>6.5616332093317249</v>
      </c>
      <c r="G431" s="122">
        <v>1.134092707969131</v>
      </c>
      <c r="H431" s="163">
        <v>1</v>
      </c>
      <c r="I431" s="12">
        <v>1.9847923605105719E-3</v>
      </c>
      <c r="J431" s="115">
        <v>4.5227979097857814E-2</v>
      </c>
      <c r="K431" s="115">
        <v>2.8981492377333808E-3</v>
      </c>
      <c r="L431" s="115">
        <v>1.1251237492618938E-2</v>
      </c>
      <c r="P431" s="108">
        <v>0.10624009113960756</v>
      </c>
      <c r="Q431" s="108">
        <v>2.124801822792151</v>
      </c>
      <c r="R431" s="49">
        <v>93457866.748907506</v>
      </c>
    </row>
    <row r="432" spans="1:18" x14ac:dyDescent="0.25">
      <c r="A432">
        <f t="shared" si="9"/>
        <v>420</v>
      </c>
      <c r="B432" s="168">
        <v>0.99576055416633946</v>
      </c>
      <c r="C432" s="122">
        <v>0.92877056913316058</v>
      </c>
      <c r="D432" s="122">
        <v>0.87996334910029084</v>
      </c>
      <c r="E432" s="122">
        <v>0.70085736026033429</v>
      </c>
      <c r="F432" s="122">
        <v>5.2099194573123766</v>
      </c>
      <c r="G432" s="122">
        <v>1.0559081841207161</v>
      </c>
      <c r="H432" s="163">
        <v>1</v>
      </c>
      <c r="I432" s="12">
        <v>2.7016054907943909E-2</v>
      </c>
      <c r="J432" s="115">
        <v>3.6186975352243356E-2</v>
      </c>
      <c r="K432" s="115">
        <v>-9.5633852295961899E-3</v>
      </c>
      <c r="L432" s="115">
        <v>1.2335662953240251E-2</v>
      </c>
      <c r="P432" s="108">
        <v>5.654339974809449E-2</v>
      </c>
      <c r="Q432" s="108">
        <v>1.1308679949618896</v>
      </c>
      <c r="R432" s="49">
        <v>49740408.376000807</v>
      </c>
    </row>
    <row r="433" spans="1:18" x14ac:dyDescent="0.25">
      <c r="A433">
        <f t="shared" si="9"/>
        <v>421</v>
      </c>
      <c r="B433" s="168">
        <v>1.0045160103466706</v>
      </c>
      <c r="C433" s="122">
        <v>0.92254555958244455</v>
      </c>
      <c r="D433" s="122">
        <v>0.89888992707214643</v>
      </c>
      <c r="E433" s="122">
        <v>1.990326484647349</v>
      </c>
      <c r="F433" s="122">
        <v>2.5044477032958596</v>
      </c>
      <c r="G433" s="122">
        <v>1.1277520613900349</v>
      </c>
      <c r="H433" s="163">
        <v>1</v>
      </c>
      <c r="I433" s="12">
        <v>2.0203368471143048E-2</v>
      </c>
      <c r="J433" s="115">
        <v>2.2420057856953845E-2</v>
      </c>
      <c r="K433" s="115">
        <v>2.1368710314435785E-3</v>
      </c>
      <c r="L433" s="115">
        <v>1.7450006954143071E-2</v>
      </c>
      <c r="P433" s="108">
        <v>-8.1517847114215836E-2</v>
      </c>
      <c r="Q433" s="108">
        <v>-1.6303569422843165</v>
      </c>
      <c r="R433" s="49">
        <v>-71710067.372277856</v>
      </c>
    </row>
    <row r="434" spans="1:18" x14ac:dyDescent="0.25">
      <c r="A434">
        <f t="shared" si="9"/>
        <v>422</v>
      </c>
      <c r="B434" s="168">
        <v>0.98860903470682138</v>
      </c>
      <c r="C434" s="122">
        <v>0.90681169342442602</v>
      </c>
      <c r="D434" s="122">
        <v>0.89456418629768908</v>
      </c>
      <c r="E434" s="122">
        <v>2.4474849520443414</v>
      </c>
      <c r="F434" s="122">
        <v>5.0634889260773086</v>
      </c>
      <c r="G434" s="122">
        <v>1.0859013961061104</v>
      </c>
      <c r="H434" s="163">
        <v>1</v>
      </c>
      <c r="I434" s="12">
        <v>2.7188926842777891E-2</v>
      </c>
      <c r="J434" s="115">
        <v>5.1174156764036999E-2</v>
      </c>
      <c r="K434" s="115">
        <v>3.0571200769209834E-3</v>
      </c>
      <c r="L434" s="115">
        <v>4.3174743167018803E-2</v>
      </c>
      <c r="P434" s="108">
        <v>0.10471471319742989</v>
      </c>
      <c r="Q434" s="108">
        <v>2.0942942639485973</v>
      </c>
      <c r="R434" s="49">
        <v>92116013.904726237</v>
      </c>
    </row>
    <row r="435" spans="1:18" x14ac:dyDescent="0.25">
      <c r="A435">
        <f t="shared" si="9"/>
        <v>423</v>
      </c>
      <c r="B435" s="168">
        <v>0.99043509639832472</v>
      </c>
      <c r="C435" s="122">
        <v>0.93977543781021033</v>
      </c>
      <c r="D435" s="122">
        <v>0.91453110806877946</v>
      </c>
      <c r="E435" s="122">
        <v>2.3666649171503615</v>
      </c>
      <c r="F435" s="122">
        <v>4.7975726478739293</v>
      </c>
      <c r="G435" s="122">
        <v>1.0937953220951007</v>
      </c>
      <c r="H435" s="163">
        <v>1</v>
      </c>
      <c r="I435" s="12">
        <v>2.1510362680721967E-2</v>
      </c>
      <c r="J435" s="115">
        <v>4.3159580943690802E-2</v>
      </c>
      <c r="K435" s="115">
        <v>1.2173729113902746E-2</v>
      </c>
      <c r="L435" s="115">
        <v>1.870659060742131E-2</v>
      </c>
      <c r="P435" s="108">
        <v>5.0934109162788538E-2</v>
      </c>
      <c r="Q435" s="108">
        <v>1.0186821832557706</v>
      </c>
      <c r="R435" s="49">
        <v>44805996.832729965</v>
      </c>
    </row>
    <row r="436" spans="1:18" x14ac:dyDescent="0.25">
      <c r="A436">
        <f t="shared" si="9"/>
        <v>424</v>
      </c>
      <c r="B436" s="168">
        <v>0.99348235438071963</v>
      </c>
      <c r="C436" s="122">
        <v>0.9107678598601574</v>
      </c>
      <c r="D436" s="122">
        <v>0.90010012893167102</v>
      </c>
      <c r="E436" s="122">
        <v>2.9493432982454411</v>
      </c>
      <c r="F436" s="122">
        <v>4.5041429795496759</v>
      </c>
      <c r="G436" s="122">
        <v>1.065967612933014</v>
      </c>
      <c r="H436" s="163">
        <v>1</v>
      </c>
      <c r="I436" s="12">
        <v>3.8542632665188821E-2</v>
      </c>
      <c r="J436" s="115">
        <v>4.9360776001148014E-2</v>
      </c>
      <c r="K436" s="115">
        <v>2.4300763294682007E-3</v>
      </c>
      <c r="L436" s="115">
        <v>1.3364998859051538E-2</v>
      </c>
      <c r="P436" s="108">
        <v>7.9033868805925001E-2</v>
      </c>
      <c r="Q436" s="108">
        <v>1.5806773761184998</v>
      </c>
      <c r="R436" s="49">
        <v>69524947.694261387</v>
      </c>
    </row>
    <row r="437" spans="1:18" x14ac:dyDescent="0.25">
      <c r="A437">
        <f t="shared" si="9"/>
        <v>425</v>
      </c>
      <c r="B437" s="168">
        <v>0.99339606255617263</v>
      </c>
      <c r="C437" s="122">
        <v>0.91341219471571722</v>
      </c>
      <c r="D437" s="122">
        <v>0.90288386162147782</v>
      </c>
      <c r="E437" s="122">
        <v>1.4650984102858047</v>
      </c>
      <c r="F437" s="122">
        <v>3.5367165303491599</v>
      </c>
      <c r="G437" s="122">
        <v>1.0757166268211302</v>
      </c>
      <c r="H437" s="163">
        <v>1</v>
      </c>
      <c r="I437" s="12">
        <v>2.7745777883055111E-2</v>
      </c>
      <c r="J437" s="115">
        <v>2.5974660076025502E-2</v>
      </c>
      <c r="K437" s="115">
        <v>-2.6632698378184346E-3</v>
      </c>
      <c r="L437" s="115">
        <v>3.2490008070500037E-2</v>
      </c>
      <c r="P437" s="108">
        <v>-1.4330161372100213E-2</v>
      </c>
      <c r="Q437" s="108">
        <v>-0.28660322744200417</v>
      </c>
      <c r="R437" s="49">
        <v>-12606035.044192374</v>
      </c>
    </row>
    <row r="438" spans="1:18" x14ac:dyDescent="0.25">
      <c r="A438">
        <f t="shared" si="9"/>
        <v>426</v>
      </c>
      <c r="B438" s="168">
        <v>0.99600694764338304</v>
      </c>
      <c r="C438" s="122">
        <v>0.92590895909132598</v>
      </c>
      <c r="D438" s="122">
        <v>0.91916312698648872</v>
      </c>
      <c r="E438" s="122">
        <v>0.7478084771500666</v>
      </c>
      <c r="F438" s="122">
        <v>3.3409539322052644</v>
      </c>
      <c r="G438" s="122">
        <v>1.1073765540027902</v>
      </c>
      <c r="H438" s="163">
        <v>1</v>
      </c>
      <c r="I438" s="12">
        <v>5.0132105518755403E-2</v>
      </c>
      <c r="J438" s="115">
        <v>3.8760977921446921E-2</v>
      </c>
      <c r="K438" s="115">
        <v>1.9455707814232948E-3</v>
      </c>
      <c r="L438" s="115">
        <v>5.332215915238284E-3</v>
      </c>
      <c r="P438" s="108">
        <v>2.2631064164402151E-2</v>
      </c>
      <c r="Q438" s="108">
        <v>0.45262128328804296</v>
      </c>
      <c r="R438" s="49">
        <v>19908218.793631636</v>
      </c>
    </row>
    <row r="439" spans="1:18" x14ac:dyDescent="0.25">
      <c r="A439">
        <f t="shared" si="9"/>
        <v>427</v>
      </c>
      <c r="B439" s="168">
        <v>0.99433523164647586</v>
      </c>
      <c r="C439" s="122">
        <v>0.93347633409911523</v>
      </c>
      <c r="D439" s="122">
        <v>0.88882783333366577</v>
      </c>
      <c r="E439" s="122">
        <v>1.7141307958999639</v>
      </c>
      <c r="F439" s="122">
        <v>5.5118130651212809</v>
      </c>
      <c r="G439" s="122">
        <v>1.1212995469589935</v>
      </c>
      <c r="H439" s="163">
        <v>1</v>
      </c>
      <c r="I439" s="12">
        <v>1.3627289699844445E-2</v>
      </c>
      <c r="J439" s="115">
        <v>4.8873087132265902E-2</v>
      </c>
      <c r="K439" s="115">
        <v>3.302481350073396E-3</v>
      </c>
      <c r="L439" s="115">
        <v>-2.3722414706665515E-3</v>
      </c>
      <c r="P439" s="108">
        <v>5.8263339565730134E-2</v>
      </c>
      <c r="Q439" s="108">
        <v>1.1652667913146024</v>
      </c>
      <c r="R439" s="49">
        <v>51253414.479144171</v>
      </c>
    </row>
    <row r="440" spans="1:18" x14ac:dyDescent="0.25">
      <c r="A440">
        <f t="shared" si="9"/>
        <v>428</v>
      </c>
      <c r="B440" s="168">
        <v>0.99985432987552614</v>
      </c>
      <c r="C440" s="122">
        <v>0.91164988310788919</v>
      </c>
      <c r="D440" s="122">
        <v>0.88857262842929219</v>
      </c>
      <c r="E440" s="122">
        <v>2.7141938385276601</v>
      </c>
      <c r="F440" s="122">
        <v>9.428198008581699</v>
      </c>
      <c r="G440" s="122">
        <v>1.1091222021300093</v>
      </c>
      <c r="H440" s="163">
        <v>1</v>
      </c>
      <c r="I440" s="12">
        <v>3.3406251168692822E-2</v>
      </c>
      <c r="J440" s="115">
        <v>4.9830272402513476E-2</v>
      </c>
      <c r="K440" s="115">
        <v>3.8083233527176721E-3</v>
      </c>
      <c r="L440" s="115">
        <v>1.3870154882866498E-2</v>
      </c>
      <c r="P440" s="108">
        <v>0.12324523857128417</v>
      </c>
      <c r="Q440" s="108">
        <v>2.4649047714256831</v>
      </c>
      <c r="R440" s="49">
        <v>108417048.21861036</v>
      </c>
    </row>
    <row r="441" spans="1:18" x14ac:dyDescent="0.25">
      <c r="A441">
        <f t="shared" si="9"/>
        <v>429</v>
      </c>
      <c r="B441" s="168">
        <v>0.97616341366984527</v>
      </c>
      <c r="C441" s="122">
        <v>0.92790723183515811</v>
      </c>
      <c r="D441" s="122">
        <v>0.91060589179693896</v>
      </c>
      <c r="E441" s="122">
        <v>2.1210455436913587</v>
      </c>
      <c r="F441" s="122">
        <v>2.3419301907012788</v>
      </c>
      <c r="G441" s="122">
        <v>1.088222544114577</v>
      </c>
      <c r="H441" s="163">
        <v>1</v>
      </c>
      <c r="I441" s="12">
        <v>2.1410341637988689E-2</v>
      </c>
      <c r="J441" s="115">
        <v>1.8198486088776607E-2</v>
      </c>
      <c r="K441" s="115">
        <v>8.0542479059841666E-3</v>
      </c>
      <c r="L441" s="115">
        <v>2.9753089427368783E-2</v>
      </c>
      <c r="P441" s="108">
        <v>-7.987611693051952E-2</v>
      </c>
      <c r="Q441" s="108">
        <v>-1.5975223386103901</v>
      </c>
      <c r="R441" s="49">
        <v>-70265861.149375364</v>
      </c>
    </row>
    <row r="442" spans="1:18" x14ac:dyDescent="0.25">
      <c r="A442">
        <f t="shared" si="9"/>
        <v>430</v>
      </c>
      <c r="B442" s="168">
        <v>1.009090917789762</v>
      </c>
      <c r="C442" s="122">
        <v>0.89900551484602742</v>
      </c>
      <c r="D442" s="122">
        <v>0.89873439073713668</v>
      </c>
      <c r="E442" s="122">
        <v>2.9897378994118524</v>
      </c>
      <c r="F442" s="122">
        <v>3.1973466100792383</v>
      </c>
      <c r="G442" s="122">
        <v>1.0958379023647606</v>
      </c>
      <c r="H442" s="163">
        <v>1</v>
      </c>
      <c r="I442" s="12">
        <v>2.8757006486100169E-2</v>
      </c>
      <c r="J442" s="115">
        <v>1.1763356732497857E-2</v>
      </c>
      <c r="K442" s="115">
        <v>4.1107912614829429E-3</v>
      </c>
      <c r="L442" s="115">
        <v>1.9355750906171507E-2</v>
      </c>
      <c r="P442" s="108">
        <v>-8.3030145044253878E-2</v>
      </c>
      <c r="Q442" s="108">
        <v>-1.6606029008850773</v>
      </c>
      <c r="R442" s="49">
        <v>-73040413.919556513</v>
      </c>
    </row>
    <row r="443" spans="1:18" x14ac:dyDescent="0.25">
      <c r="A443">
        <f t="shared" si="9"/>
        <v>431</v>
      </c>
      <c r="B443" s="168">
        <v>1.0097655723290684</v>
      </c>
      <c r="C443" s="122">
        <v>0.90358868692583305</v>
      </c>
      <c r="D443" s="122">
        <v>0.89561682804033171</v>
      </c>
      <c r="E443" s="122">
        <v>1.2987117983743732</v>
      </c>
      <c r="F443" s="122">
        <v>5.7840938712521712</v>
      </c>
      <c r="G443" s="122">
        <v>1.1127467841373768</v>
      </c>
      <c r="H443" s="163">
        <v>1</v>
      </c>
      <c r="I443" s="12">
        <v>2.6435174280817476E-2</v>
      </c>
      <c r="J443" s="115">
        <v>6.9094886211463383E-2</v>
      </c>
      <c r="K443" s="115">
        <v>-1.0102612954113535E-4</v>
      </c>
      <c r="L443" s="115">
        <v>2.5848390424951614E-2</v>
      </c>
      <c r="P443" s="108">
        <v>0.17046350848477487</v>
      </c>
      <c r="Q443" s="108">
        <v>3.409270169695497</v>
      </c>
      <c r="R443" s="49">
        <v>149954275.17646426</v>
      </c>
    </row>
    <row r="444" spans="1:18" x14ac:dyDescent="0.25">
      <c r="A444">
        <f t="shared" si="9"/>
        <v>432</v>
      </c>
      <c r="B444" s="168">
        <v>1.0149569358289352</v>
      </c>
      <c r="C444" s="122">
        <v>0.93169803215183356</v>
      </c>
      <c r="D444" s="122">
        <v>0.90775218865354379</v>
      </c>
      <c r="E444" s="122">
        <v>1.2158459453065666</v>
      </c>
      <c r="F444" s="122">
        <v>4.8733578893010989</v>
      </c>
      <c r="G444" s="122">
        <v>1.0934328859723772</v>
      </c>
      <c r="H444" s="163">
        <v>1</v>
      </c>
      <c r="I444" s="12">
        <v>2.3641815737560922E-2</v>
      </c>
      <c r="J444" s="115">
        <v>-4.821466825488549E-3</v>
      </c>
      <c r="K444" s="115">
        <v>3.4574922060939487E-3</v>
      </c>
      <c r="L444" s="115">
        <v>2.7874317058444134E-2</v>
      </c>
      <c r="P444" s="108">
        <v>-0.10006407571838535</v>
      </c>
      <c r="Q444" s="108">
        <v>-2.0012815143677067</v>
      </c>
      <c r="R444" s="49">
        <v>-88024915.590033799</v>
      </c>
    </row>
    <row r="445" spans="1:18" x14ac:dyDescent="0.25">
      <c r="A445">
        <f t="shared" si="9"/>
        <v>433</v>
      </c>
      <c r="B445" s="168">
        <v>1.0228310817952404</v>
      </c>
      <c r="C445" s="122">
        <v>0.93880463171488304</v>
      </c>
      <c r="D445" s="122">
        <v>0.89852601022349188</v>
      </c>
      <c r="E445" s="122">
        <v>3.3518542887483664</v>
      </c>
      <c r="F445" s="122">
        <v>3.2014993028247423</v>
      </c>
      <c r="G445" s="122">
        <v>1.0768489898862068</v>
      </c>
      <c r="H445" s="163">
        <v>1</v>
      </c>
      <c r="I445" s="12">
        <v>3.6257172162591694E-2</v>
      </c>
      <c r="J445" s="115">
        <v>-8.805856445380858E-4</v>
      </c>
      <c r="K445" s="115">
        <v>1.7626999474654311E-3</v>
      </c>
      <c r="L445" s="115">
        <v>3.7257716173407653E-2</v>
      </c>
      <c r="P445" s="108">
        <v>-0.10395239146211242</v>
      </c>
      <c r="Q445" s="108">
        <v>-2.0790478292422483</v>
      </c>
      <c r="R445" s="49">
        <v>-91445410.534615442</v>
      </c>
    </row>
    <row r="446" spans="1:18" x14ac:dyDescent="0.25">
      <c r="A446">
        <f t="shared" si="9"/>
        <v>434</v>
      </c>
      <c r="B446" s="168">
        <v>1.0025025515839063</v>
      </c>
      <c r="C446" s="122">
        <v>0.93564208204198263</v>
      </c>
      <c r="D446" s="122">
        <v>0.90790961337960085</v>
      </c>
      <c r="E446" s="122">
        <v>1.7536296390235684E-2</v>
      </c>
      <c r="F446" s="122">
        <v>4.8063365563362455</v>
      </c>
      <c r="G446" s="122">
        <v>1.1392313579883362</v>
      </c>
      <c r="H446" s="163">
        <v>1</v>
      </c>
      <c r="I446" s="12">
        <v>1.5363838435549922E-2</v>
      </c>
      <c r="J446" s="115">
        <v>2.2005303017421738E-2</v>
      </c>
      <c r="K446" s="115">
        <v>8.3841711182844475E-3</v>
      </c>
      <c r="L446" s="115">
        <v>1.5744607920893064E-2</v>
      </c>
      <c r="P446" s="108">
        <v>6.5634813699961209E-3</v>
      </c>
      <c r="Q446" s="108">
        <v>0.1312696273999224</v>
      </c>
      <c r="R446" s="49">
        <v>5773799.3323063692</v>
      </c>
    </row>
    <row r="447" spans="1:18" x14ac:dyDescent="0.25">
      <c r="A447">
        <f t="shared" si="9"/>
        <v>435</v>
      </c>
      <c r="B447" s="168">
        <v>1.0040484629208721</v>
      </c>
      <c r="C447" s="122">
        <v>0.90181834900085733</v>
      </c>
      <c r="D447" s="122">
        <v>0.89689287726760714</v>
      </c>
      <c r="E447" s="122">
        <v>2.1200447287010511</v>
      </c>
      <c r="F447" s="122">
        <v>5.9355127653365187</v>
      </c>
      <c r="G447" s="122">
        <v>1.09987290284479</v>
      </c>
      <c r="H447" s="163">
        <v>1</v>
      </c>
      <c r="I447" s="12">
        <v>2.1893583414094989E-2</v>
      </c>
      <c r="J447" s="115">
        <v>1.9669009264737705E-2</v>
      </c>
      <c r="K447" s="115">
        <v>-3.5146372527084142E-3</v>
      </c>
      <c r="L447" s="115">
        <v>3.5041831203931548E-3</v>
      </c>
      <c r="P447" s="108">
        <v>-2.8718432095711576E-2</v>
      </c>
      <c r="Q447" s="108">
        <v>-0.57436864191423143</v>
      </c>
      <c r="R447" s="49">
        <v>-25263188.041806452</v>
      </c>
    </row>
    <row r="448" spans="1:18" x14ac:dyDescent="0.25">
      <c r="A448">
        <f t="shared" si="9"/>
        <v>436</v>
      </c>
      <c r="B448" s="168">
        <v>0.99087584745942225</v>
      </c>
      <c r="C448" s="122">
        <v>0.92320775138625033</v>
      </c>
      <c r="D448" s="122">
        <v>0.88600022961902469</v>
      </c>
      <c r="E448" s="122">
        <v>0.80895527157207314</v>
      </c>
      <c r="F448" s="122">
        <v>5.5918169235517654</v>
      </c>
      <c r="G448" s="122">
        <v>1.1331747013394904</v>
      </c>
      <c r="H448" s="163">
        <v>1</v>
      </c>
      <c r="I448" s="12">
        <v>1.5501677151590685E-2</v>
      </c>
      <c r="J448" s="115">
        <v>3.8935892475328304E-2</v>
      </c>
      <c r="K448" s="115">
        <v>-7.2228087809466076E-3</v>
      </c>
      <c r="L448" s="115">
        <v>8.6050277213975297E-3</v>
      </c>
      <c r="P448" s="108">
        <v>4.6458966323825596E-2</v>
      </c>
      <c r="Q448" s="108">
        <v>0.92917932647651169</v>
      </c>
      <c r="R448" s="49">
        <v>40869278.606683552</v>
      </c>
    </row>
    <row r="449" spans="1:18" x14ac:dyDescent="0.25">
      <c r="A449">
        <f t="shared" si="9"/>
        <v>437</v>
      </c>
      <c r="B449" s="168">
        <v>0.99428565852598849</v>
      </c>
      <c r="C449" s="122">
        <v>0.86838184447180655</v>
      </c>
      <c r="D449" s="122">
        <v>0.89287383253036579</v>
      </c>
      <c r="E449" s="122">
        <v>1.8103717506703398</v>
      </c>
      <c r="F449" s="122">
        <v>7.3623765133084129</v>
      </c>
      <c r="G449" s="122">
        <v>1.1154212129877747</v>
      </c>
      <c r="H449" s="163">
        <v>1</v>
      </c>
      <c r="I449" s="12">
        <v>3.0514684928600655E-2</v>
      </c>
      <c r="J449" s="115">
        <v>1.7249641134894439E-2</v>
      </c>
      <c r="K449" s="115">
        <v>-2.3773680847542387E-3</v>
      </c>
      <c r="L449" s="115">
        <v>4.5285648592349823E-3</v>
      </c>
      <c r="P449" s="108">
        <v>-1.0121419650261931E-2</v>
      </c>
      <c r="Q449" s="108">
        <v>-0.2024283930052386</v>
      </c>
      <c r="R449" s="49">
        <v>-8903666.0156939682</v>
      </c>
    </row>
    <row r="450" spans="1:18" x14ac:dyDescent="0.25">
      <c r="A450">
        <f t="shared" si="9"/>
        <v>438</v>
      </c>
      <c r="B450" s="168">
        <v>0.98104384209411344</v>
      </c>
      <c r="C450" s="122">
        <v>0.89127158070045842</v>
      </c>
      <c r="D450" s="122">
        <v>0.87180465652786787</v>
      </c>
      <c r="E450" s="122">
        <v>1.4545051462538758</v>
      </c>
      <c r="F450" s="122">
        <v>2.8017286110134263</v>
      </c>
      <c r="G450" s="122">
        <v>1.0878840685748421</v>
      </c>
      <c r="H450" s="163">
        <v>1</v>
      </c>
      <c r="I450" s="12">
        <v>3.005858464582907E-2</v>
      </c>
      <c r="J450" s="115">
        <v>4.7557009847940021E-2</v>
      </c>
      <c r="K450" s="115">
        <v>-1.0122287291430523E-2</v>
      </c>
      <c r="L450" s="115">
        <v>1.2731325850770841E-2</v>
      </c>
      <c r="P450" s="108">
        <v>2.2759716273896773E-2</v>
      </c>
      <c r="Q450" s="108">
        <v>0.45519432547793537</v>
      </c>
      <c r="R450" s="49">
        <v>20021392.187753771</v>
      </c>
    </row>
    <row r="451" spans="1:18" x14ac:dyDescent="0.25">
      <c r="A451">
        <f t="shared" si="9"/>
        <v>439</v>
      </c>
      <c r="B451" s="168">
        <v>1.0043045217392184</v>
      </c>
      <c r="C451" s="122">
        <v>0.96422471151443023</v>
      </c>
      <c r="D451" s="122">
        <v>0.89187639395346052</v>
      </c>
      <c r="E451" s="122">
        <v>1.1239812418792821</v>
      </c>
      <c r="F451" s="122">
        <v>4.9316933357825903</v>
      </c>
      <c r="G451" s="122">
        <v>1.1069186486111473</v>
      </c>
      <c r="H451" s="163">
        <v>1</v>
      </c>
      <c r="I451" s="12">
        <v>2.7715414781218396E-2</v>
      </c>
      <c r="J451" s="115">
        <v>4.2453409081229895E-2</v>
      </c>
      <c r="K451" s="115">
        <v>-3.0264231346160192E-3</v>
      </c>
      <c r="L451" s="115">
        <v>2.6338487789989231E-2</v>
      </c>
      <c r="P451" s="108">
        <v>6.8879400903529411E-2</v>
      </c>
      <c r="Q451" s="108">
        <v>1.3775880180705879</v>
      </c>
      <c r="R451" s="49">
        <v>60592209.610659122</v>
      </c>
    </row>
    <row r="452" spans="1:18" x14ac:dyDescent="0.25">
      <c r="A452">
        <f t="shared" si="9"/>
        <v>440</v>
      </c>
      <c r="B452" s="168">
        <v>1.0029259287249497</v>
      </c>
      <c r="C452" s="122">
        <v>0.93405806212375098</v>
      </c>
      <c r="D452" s="122">
        <v>0.89087674202843137</v>
      </c>
      <c r="E452" s="122">
        <v>1.688489312338646</v>
      </c>
      <c r="F452" s="122">
        <v>4.7465982468153483</v>
      </c>
      <c r="G452" s="122">
        <v>1.0889706854268639</v>
      </c>
      <c r="H452" s="163">
        <v>1</v>
      </c>
      <c r="I452" s="12">
        <v>4.1229848196658099E-2</v>
      </c>
      <c r="J452" s="115">
        <v>4.8748866411686229E-2</v>
      </c>
      <c r="K452" s="115">
        <v>1.0316722955134444E-2</v>
      </c>
      <c r="L452" s="115">
        <v>3.733928404695791E-2</v>
      </c>
      <c r="P452" s="108">
        <v>0.10559609629057386</v>
      </c>
      <c r="Q452" s="108">
        <v>2.111921925811477</v>
      </c>
      <c r="R452" s="49">
        <v>92891353.823867902</v>
      </c>
    </row>
    <row r="453" spans="1:18" x14ac:dyDescent="0.25">
      <c r="A453">
        <f t="shared" si="9"/>
        <v>441</v>
      </c>
      <c r="B453" s="168">
        <v>1.0027941291511302</v>
      </c>
      <c r="C453" s="122">
        <v>0.93437486562755778</v>
      </c>
      <c r="D453" s="122">
        <v>0.8853246839522696</v>
      </c>
      <c r="E453" s="122">
        <v>0.99076272336833382</v>
      </c>
      <c r="F453" s="122">
        <v>7.4323651841331291</v>
      </c>
      <c r="G453" s="122">
        <v>1.1073380699594606</v>
      </c>
      <c r="H453" s="163">
        <v>1</v>
      </c>
      <c r="I453" s="12">
        <v>3.1968308585173369E-2</v>
      </c>
      <c r="J453" s="115">
        <v>7.1689619908392468E-2</v>
      </c>
      <c r="K453" s="115">
        <v>8.1324772945915429E-3</v>
      </c>
      <c r="L453" s="115">
        <v>1.8334618146817888E-2</v>
      </c>
      <c r="P453" s="108">
        <v>0.20989106890220044</v>
      </c>
      <c r="Q453" s="108">
        <v>4.1978213780440079</v>
      </c>
      <c r="R453" s="49">
        <v>184638128.02523613</v>
      </c>
    </row>
    <row r="454" spans="1:18" x14ac:dyDescent="0.25">
      <c r="A454">
        <f t="shared" si="9"/>
        <v>442</v>
      </c>
      <c r="B454" s="168">
        <v>0.97498238221149924</v>
      </c>
      <c r="C454" s="122">
        <v>0.93606141728142234</v>
      </c>
      <c r="D454" s="122">
        <v>0.87044044268837528</v>
      </c>
      <c r="E454" s="122">
        <v>2.7791062200594445</v>
      </c>
      <c r="F454" s="122">
        <v>3.3749484441751241</v>
      </c>
      <c r="G454" s="122">
        <v>1.1372189766366103</v>
      </c>
      <c r="H454" s="163">
        <v>1</v>
      </c>
      <c r="I454" s="12">
        <v>1.2391832699684019E-2</v>
      </c>
      <c r="J454" s="115">
        <v>4.0609980102167618E-2</v>
      </c>
      <c r="K454" s="115">
        <v>7.050671895658547E-3</v>
      </c>
      <c r="L454" s="115">
        <v>-1.1045736224255944E-2</v>
      </c>
      <c r="P454" s="108">
        <v>-2.2601435640087039E-2</v>
      </c>
      <c r="Q454" s="108">
        <v>-0.45202871280174067</v>
      </c>
      <c r="R454" s="49">
        <v>-19882155.010668837</v>
      </c>
    </row>
    <row r="455" spans="1:18" x14ac:dyDescent="0.25">
      <c r="A455">
        <f t="shared" si="9"/>
        <v>443</v>
      </c>
      <c r="B455" s="168">
        <v>0.98973450644286776</v>
      </c>
      <c r="C455" s="122">
        <v>0.88829980058412883</v>
      </c>
      <c r="D455" s="122">
        <v>0.88051418769962342</v>
      </c>
      <c r="E455" s="122">
        <v>3.1020157166100875</v>
      </c>
      <c r="F455" s="122">
        <v>4.8011973486855926</v>
      </c>
      <c r="G455" s="122">
        <v>1.1022891009742315</v>
      </c>
      <c r="H455" s="163">
        <v>1</v>
      </c>
      <c r="I455" s="12">
        <v>3.2030635061694214E-2</v>
      </c>
      <c r="J455" s="115">
        <v>9.5871771935100575E-3</v>
      </c>
      <c r="K455" s="115">
        <v>2.9002730933937442E-3</v>
      </c>
      <c r="L455" s="115">
        <v>2.8943313102065375E-2</v>
      </c>
      <c r="P455" s="108">
        <v>-5.6957458372605435E-2</v>
      </c>
      <c r="Q455" s="108">
        <v>-1.1391491674521084</v>
      </c>
      <c r="R455" s="49">
        <v>-50104649.740448914</v>
      </c>
    </row>
    <row r="456" spans="1:18" x14ac:dyDescent="0.25">
      <c r="A456">
        <f t="shared" si="9"/>
        <v>444</v>
      </c>
      <c r="B456" s="168">
        <v>0.98712379916624249</v>
      </c>
      <c r="C456" s="122">
        <v>0.85935412353505181</v>
      </c>
      <c r="D456" s="122">
        <v>0.87803711127775663</v>
      </c>
      <c r="E456" s="122">
        <v>2.6624624644648693</v>
      </c>
      <c r="F456" s="122">
        <v>4.6387896079581941</v>
      </c>
      <c r="G456" s="122">
        <v>1.1221539892513488</v>
      </c>
      <c r="H456" s="163">
        <v>1</v>
      </c>
      <c r="I456" s="12">
        <v>1.7835529514774434E-2</v>
      </c>
      <c r="J456" s="115">
        <v>1.8345685706062119E-2</v>
      </c>
      <c r="K456" s="115">
        <v>-2.5009598415189462E-3</v>
      </c>
      <c r="L456" s="115">
        <v>1.0097380134303353E-2</v>
      </c>
      <c r="P456" s="108">
        <v>-5.8102454472157214E-2</v>
      </c>
      <c r="Q456" s="108">
        <v>-1.1620490894431441</v>
      </c>
      <c r="R456" s="49">
        <v>-51111886.196593411</v>
      </c>
    </row>
    <row r="457" spans="1:18" x14ac:dyDescent="0.25">
      <c r="A457">
        <f t="shared" si="9"/>
        <v>445</v>
      </c>
      <c r="B457" s="168">
        <v>0.99515485122381886</v>
      </c>
      <c r="C457" s="122">
        <v>0.95318677055290424</v>
      </c>
      <c r="D457" s="122">
        <v>0.89861732013610374</v>
      </c>
      <c r="E457" s="122">
        <v>2.452348006295952</v>
      </c>
      <c r="F457" s="122">
        <v>1.0249919295174141</v>
      </c>
      <c r="G457" s="122">
        <v>1.1198986489977514</v>
      </c>
      <c r="H457" s="163">
        <v>1</v>
      </c>
      <c r="I457" s="12">
        <v>3.8866117216956722E-2</v>
      </c>
      <c r="J457" s="115">
        <v>1.4546931455872842E-2</v>
      </c>
      <c r="K457" s="115">
        <v>1.0213340283574304E-2</v>
      </c>
      <c r="L457" s="115">
        <v>1.8782072819482055E-2</v>
      </c>
      <c r="P457" s="108">
        <v>-0.12806719185041196</v>
      </c>
      <c r="Q457" s="108">
        <v>-2.5613438370082391</v>
      </c>
      <c r="R457" s="49">
        <v>-112658850.55703267</v>
      </c>
    </row>
    <row r="458" spans="1:18" x14ac:dyDescent="0.25">
      <c r="A458">
        <f t="shared" si="9"/>
        <v>446</v>
      </c>
      <c r="B458" s="168">
        <v>0.99816663395173666</v>
      </c>
      <c r="C458" s="122">
        <v>0.90970236241461389</v>
      </c>
      <c r="D458" s="122">
        <v>0.87738539016612083</v>
      </c>
      <c r="E458" s="122">
        <v>2.3523771963158158</v>
      </c>
      <c r="F458" s="122">
        <v>3.8011810172788829</v>
      </c>
      <c r="G458" s="122">
        <v>1.1039243319657277</v>
      </c>
      <c r="H458" s="163">
        <v>1</v>
      </c>
      <c r="I458" s="12">
        <v>2.9894894126742712E-2</v>
      </c>
      <c r="J458" s="115">
        <v>3.8899085794406804E-3</v>
      </c>
      <c r="K458" s="115">
        <v>-9.8172475847399954E-4</v>
      </c>
      <c r="L458" s="115">
        <v>-1.0992719727762959E-3</v>
      </c>
      <c r="P458" s="108">
        <v>-0.11687344201038825</v>
      </c>
      <c r="Q458" s="108">
        <v>-2.3374688402077646</v>
      </c>
      <c r="R458" s="49">
        <v>-102811871.23173414</v>
      </c>
    </row>
    <row r="459" spans="1:18" x14ac:dyDescent="0.25">
      <c r="A459">
        <f t="shared" si="9"/>
        <v>447</v>
      </c>
      <c r="B459" s="168">
        <v>1.0048754254584833</v>
      </c>
      <c r="C459" s="122">
        <v>0.84699308053094446</v>
      </c>
      <c r="D459" s="122">
        <v>0.90473749400648229</v>
      </c>
      <c r="E459" s="122">
        <v>1.694095665018525</v>
      </c>
      <c r="F459" s="122">
        <v>6.0055033008981216</v>
      </c>
      <c r="G459" s="122">
        <v>1.1056067095987616</v>
      </c>
      <c r="H459" s="163">
        <v>1</v>
      </c>
      <c r="I459" s="12">
        <v>2.5371537322464093E-2</v>
      </c>
      <c r="J459" s="115">
        <v>6.4422034735301073E-2</v>
      </c>
      <c r="K459" s="115">
        <v>1.0915357204610468E-2</v>
      </c>
      <c r="L459" s="115">
        <v>3.5812951302455223E-2</v>
      </c>
      <c r="P459" s="108">
        <v>0.16153242854000491</v>
      </c>
      <c r="Q459" s="108">
        <v>3.2306485708000978</v>
      </c>
      <c r="R459" s="49">
        <v>142097733.72917464</v>
      </c>
    </row>
    <row r="460" spans="1:18" x14ac:dyDescent="0.25">
      <c r="A460">
        <f t="shared" si="9"/>
        <v>448</v>
      </c>
      <c r="B460" s="168">
        <v>0.99547303937990395</v>
      </c>
      <c r="C460" s="122">
        <v>0.83468788599235832</v>
      </c>
      <c r="D460" s="122">
        <v>0.9138219502759215</v>
      </c>
      <c r="E460" s="122">
        <v>2.1876536892488421</v>
      </c>
      <c r="F460" s="122">
        <v>2.9627333020062343</v>
      </c>
      <c r="G460" s="122">
        <v>1.1079146051574713</v>
      </c>
      <c r="H460" s="163">
        <v>1</v>
      </c>
      <c r="I460" s="12">
        <v>1.0947058814940501E-2</v>
      </c>
      <c r="J460" s="115">
        <v>5.9340287882058321E-2</v>
      </c>
      <c r="K460" s="115">
        <v>7.5146215380688134E-4</v>
      </c>
      <c r="L460" s="115">
        <v>5.0236581864463614E-2</v>
      </c>
      <c r="P460" s="108">
        <v>7.9332225109590829E-2</v>
      </c>
      <c r="Q460" s="108">
        <v>1.5866445021918163</v>
      </c>
      <c r="R460" s="49">
        <v>69787407.40577513</v>
      </c>
    </row>
    <row r="461" spans="1:18" x14ac:dyDescent="0.25">
      <c r="A461">
        <f t="shared" si="9"/>
        <v>449</v>
      </c>
      <c r="B461" s="168">
        <v>0.99845567648640288</v>
      </c>
      <c r="C461" s="122">
        <v>0.92708219400167524</v>
      </c>
      <c r="D461" s="122">
        <v>0.88530593247467571</v>
      </c>
      <c r="E461" s="122">
        <v>1.8678801066539827</v>
      </c>
      <c r="F461" s="122">
        <v>5.3550113201117648</v>
      </c>
      <c r="G461" s="122">
        <v>1.0947867592180311</v>
      </c>
      <c r="H461" s="163">
        <v>1</v>
      </c>
      <c r="I461" s="12">
        <v>1.2184333339877187E-2</v>
      </c>
      <c r="J461" s="115">
        <v>2.6928719841591682E-2</v>
      </c>
      <c r="K461" s="115">
        <v>1.6615206514992362E-2</v>
      </c>
      <c r="L461" s="115">
        <v>3.3055542335214683E-2</v>
      </c>
      <c r="P461" s="108">
        <v>1.0191587602761606E-2</v>
      </c>
      <c r="Q461" s="108">
        <v>0.2038317520552321</v>
      </c>
      <c r="R461" s="49">
        <v>8965391.7454482801</v>
      </c>
    </row>
    <row r="462" spans="1:18" x14ac:dyDescent="0.25">
      <c r="A462">
        <f t="shared" si="9"/>
        <v>450</v>
      </c>
      <c r="B462" s="168">
        <v>1.000544301824372</v>
      </c>
      <c r="C462" s="122">
        <v>0.86887620299888246</v>
      </c>
      <c r="D462" s="122">
        <v>0.9069065039387143</v>
      </c>
      <c r="E462" s="122">
        <v>2.1188124077596711</v>
      </c>
      <c r="F462" s="122">
        <v>2.9089111834439407</v>
      </c>
      <c r="G462" s="122">
        <v>1.1108608397960167</v>
      </c>
      <c r="H462" s="163">
        <v>1</v>
      </c>
      <c r="I462" s="12">
        <v>4.5481240167190774E-2</v>
      </c>
      <c r="J462" s="115">
        <v>4.9390415525581308E-2</v>
      </c>
      <c r="K462" s="115">
        <v>9.0368926998864677E-3</v>
      </c>
      <c r="L462" s="115">
        <v>7.4499058582115189E-3</v>
      </c>
      <c r="P462" s="108">
        <v>4.2917409820007926E-2</v>
      </c>
      <c r="Q462" s="108">
        <v>0.85834819640015847</v>
      </c>
      <c r="R462" s="49">
        <v>37753822.734355882</v>
      </c>
    </row>
    <row r="463" spans="1:18" x14ac:dyDescent="0.25">
      <c r="A463">
        <f t="shared" ref="A463:A526" si="10">A462+1</f>
        <v>451</v>
      </c>
      <c r="B463" s="168">
        <v>1.0054633704085674</v>
      </c>
      <c r="C463" s="122">
        <v>0.92396137338235174</v>
      </c>
      <c r="D463" s="122">
        <v>0.90743646538756262</v>
      </c>
      <c r="E463" s="122">
        <v>2.1518105880277609</v>
      </c>
      <c r="F463" s="122">
        <v>3.4420921446884454</v>
      </c>
      <c r="G463" s="122">
        <v>1.1269981719454476</v>
      </c>
      <c r="H463" s="163">
        <v>1</v>
      </c>
      <c r="I463" s="12">
        <v>2.4424057376752809E-2</v>
      </c>
      <c r="J463" s="115">
        <v>4.0264410596491294E-2</v>
      </c>
      <c r="K463" s="115">
        <v>-1.2624694176344611E-2</v>
      </c>
      <c r="L463" s="115">
        <v>-1.8578752351067932E-2</v>
      </c>
      <c r="P463" s="108">
        <v>-2.1387522609573582E-2</v>
      </c>
      <c r="Q463" s="108">
        <v>-0.42775045219147156</v>
      </c>
      <c r="R463" s="49">
        <v>-18814293.330266032</v>
      </c>
    </row>
    <row r="464" spans="1:18" x14ac:dyDescent="0.25">
      <c r="A464">
        <f t="shared" si="10"/>
        <v>452</v>
      </c>
      <c r="B464" s="168">
        <v>1.0210203041077381</v>
      </c>
      <c r="C464" s="122">
        <v>0.8722248764803332</v>
      </c>
      <c r="D464" s="122">
        <v>0.89946167742856276</v>
      </c>
      <c r="E464" s="122">
        <v>2.0756763207661963</v>
      </c>
      <c r="F464" s="122">
        <v>4.4702937329542589</v>
      </c>
      <c r="G464" s="122">
        <v>1.0735895562783553</v>
      </c>
      <c r="H464" s="163">
        <v>1</v>
      </c>
      <c r="I464" s="12">
        <v>1.8860902139434876E-2</v>
      </c>
      <c r="J464" s="115">
        <v>3.9881593205577728E-2</v>
      </c>
      <c r="K464" s="115">
        <v>9.2152310378010131E-3</v>
      </c>
      <c r="L464" s="115">
        <v>2.861783198472799E-2</v>
      </c>
      <c r="P464" s="108">
        <v>4.3086515653125226E-2</v>
      </c>
      <c r="Q464" s="108">
        <v>0.86173031306250436</v>
      </c>
      <c r="R464" s="49">
        <v>37902582.682209946</v>
      </c>
    </row>
    <row r="465" spans="1:18" x14ac:dyDescent="0.25">
      <c r="A465">
        <f t="shared" si="10"/>
        <v>453</v>
      </c>
      <c r="B465" s="168">
        <v>1.010656252959732</v>
      </c>
      <c r="C465" s="122">
        <v>0.88588718872672478</v>
      </c>
      <c r="D465" s="122">
        <v>0.90251186593372823</v>
      </c>
      <c r="E465" s="122">
        <v>1.6461071076598017</v>
      </c>
      <c r="F465" s="122">
        <v>2.7499457036387476</v>
      </c>
      <c r="G465" s="122">
        <v>1.0880372256097302</v>
      </c>
      <c r="H465" s="163">
        <v>1</v>
      </c>
      <c r="I465" s="12">
        <v>3.4624800276236545E-2</v>
      </c>
      <c r="J465" s="115">
        <v>3.3606765735302649E-2</v>
      </c>
      <c r="K465" s="115">
        <v>2.7154663046874087E-3</v>
      </c>
      <c r="L465" s="115">
        <v>2.8044290313670145E-2</v>
      </c>
      <c r="P465" s="108">
        <v>-8.921027661683234E-3</v>
      </c>
      <c r="Q465" s="108">
        <v>-0.17842055323366465</v>
      </c>
      <c r="R465" s="49">
        <v>-7847698.5997057604</v>
      </c>
    </row>
    <row r="466" spans="1:18" x14ac:dyDescent="0.25">
      <c r="A466">
        <f t="shared" si="10"/>
        <v>454</v>
      </c>
      <c r="B466" s="168">
        <v>0.99318498669309352</v>
      </c>
      <c r="C466" s="122">
        <v>0.91906526789327003</v>
      </c>
      <c r="D466" s="122">
        <v>0.90403386557367627</v>
      </c>
      <c r="E466" s="122">
        <v>2.4218283364423838</v>
      </c>
      <c r="F466" s="122">
        <v>5.5654293099372349</v>
      </c>
      <c r="G466" s="122">
        <v>1.0787709332382029</v>
      </c>
      <c r="H466" s="163">
        <v>1</v>
      </c>
      <c r="I466" s="12">
        <v>3.551016504555031E-2</v>
      </c>
      <c r="J466" s="115">
        <v>2.948725371091606E-2</v>
      </c>
      <c r="K466" s="115">
        <v>1.8435971412682824E-3</v>
      </c>
      <c r="L466" s="115">
        <v>1.8108453573778122E-2</v>
      </c>
      <c r="P466" s="108">
        <v>2.5980080155680631E-2</v>
      </c>
      <c r="Q466" s="108">
        <v>0.51960160311361248</v>
      </c>
      <c r="R466" s="49">
        <v>22854299.570629165</v>
      </c>
    </row>
    <row r="467" spans="1:18" x14ac:dyDescent="0.25">
      <c r="A467">
        <f t="shared" si="10"/>
        <v>455</v>
      </c>
      <c r="B467" s="168">
        <v>1.0123723613359368</v>
      </c>
      <c r="C467" s="122">
        <v>0.92099028598816035</v>
      </c>
      <c r="D467" s="122">
        <v>0.91325549822073571</v>
      </c>
      <c r="E467" s="122">
        <v>3.7630394078725304</v>
      </c>
      <c r="F467" s="122">
        <v>4.1713885766942216</v>
      </c>
      <c r="G467" s="122">
        <v>1.076875860397454</v>
      </c>
      <c r="H467" s="163">
        <v>1</v>
      </c>
      <c r="I467" s="12">
        <v>4.3375734373752563E-2</v>
      </c>
      <c r="J467" s="115">
        <v>4.2450982073818908E-2</v>
      </c>
      <c r="K467" s="115">
        <v>8.5298049192824681E-3</v>
      </c>
      <c r="L467" s="115">
        <v>1.3223441044028113E-2</v>
      </c>
      <c r="P467" s="108">
        <v>5.2444146862946045E-2</v>
      </c>
      <c r="Q467" s="108">
        <v>1.0488829372589208</v>
      </c>
      <c r="R467" s="49">
        <v>46134355.088576145</v>
      </c>
    </row>
    <row r="468" spans="1:18" x14ac:dyDescent="0.25">
      <c r="A468">
        <f t="shared" si="10"/>
        <v>456</v>
      </c>
      <c r="B468" s="168">
        <v>0.99873483723080225</v>
      </c>
      <c r="C468" s="122">
        <v>0.90770896266791101</v>
      </c>
      <c r="D468" s="122">
        <v>0.91516842970601897</v>
      </c>
      <c r="E468" s="122">
        <v>2.378394024207088</v>
      </c>
      <c r="F468" s="122">
        <v>5.192360108453471</v>
      </c>
      <c r="G468" s="122">
        <v>1.1004617561016721</v>
      </c>
      <c r="H468" s="163">
        <v>1</v>
      </c>
      <c r="I468" s="12">
        <v>2.3707356037734929E-2</v>
      </c>
      <c r="J468" s="115">
        <v>3.8846141458971126E-2</v>
      </c>
      <c r="K468" s="115">
        <v>1.5137493654218463E-2</v>
      </c>
      <c r="L468" s="115">
        <v>1.5151641639491141E-2</v>
      </c>
      <c r="P468" s="108">
        <v>4.0190801436463391E-2</v>
      </c>
      <c r="Q468" s="108">
        <v>0.80381602872926772</v>
      </c>
      <c r="R468" s="49">
        <v>35355264.899433628</v>
      </c>
    </row>
    <row r="469" spans="1:18" x14ac:dyDescent="0.25">
      <c r="A469">
        <f t="shared" si="10"/>
        <v>457</v>
      </c>
      <c r="B469" s="168">
        <v>1.0012950366202638</v>
      </c>
      <c r="C469" s="122">
        <v>0.92262375216474313</v>
      </c>
      <c r="D469" s="122">
        <v>0.8910481880168547</v>
      </c>
      <c r="E469" s="122">
        <v>2.2161653473798695</v>
      </c>
      <c r="F469" s="122">
        <v>4.9582774234877895</v>
      </c>
      <c r="G469" s="122">
        <v>1.0981634049871007</v>
      </c>
      <c r="H469" s="163">
        <v>1</v>
      </c>
      <c r="I469" s="12">
        <v>1.9602287725925618E-2</v>
      </c>
      <c r="J469" s="115">
        <v>2.9269069395313808E-2</v>
      </c>
      <c r="K469" s="115">
        <v>3.4182960129241122E-3</v>
      </c>
      <c r="L469" s="115">
        <v>2.0064482202693225E-2</v>
      </c>
      <c r="P469" s="108">
        <v>2.6002456397548669E-3</v>
      </c>
      <c r="Q469" s="108">
        <v>5.2004912795097329E-2</v>
      </c>
      <c r="R469" s="49">
        <v>2287398.3625945821</v>
      </c>
    </row>
    <row r="470" spans="1:18" x14ac:dyDescent="0.25">
      <c r="A470">
        <f t="shared" si="10"/>
        <v>458</v>
      </c>
      <c r="B470" s="168">
        <v>0.99755936923361876</v>
      </c>
      <c r="C470" s="122">
        <v>0.87270292057327437</v>
      </c>
      <c r="D470" s="122">
        <v>0.8942814449129679</v>
      </c>
      <c r="E470" s="122">
        <v>-0.11157839779664513</v>
      </c>
      <c r="F470" s="122">
        <v>3.66292478803532</v>
      </c>
      <c r="G470" s="122">
        <v>1.106850244694324</v>
      </c>
      <c r="H470" s="163">
        <v>1</v>
      </c>
      <c r="I470" s="12">
        <v>1.1024151030413603E-2</v>
      </c>
      <c r="J470" s="115">
        <v>5.6026783140445666E-2</v>
      </c>
      <c r="K470" s="115">
        <v>-7.4730259921905523E-3</v>
      </c>
      <c r="L470" s="115">
        <v>2.2242872471991203E-2</v>
      </c>
      <c r="P470" s="108">
        <v>0.10000817348284556</v>
      </c>
      <c r="Q470" s="108">
        <v>2.0001634696569108</v>
      </c>
      <c r="R470" s="49">
        <v>87975739.204509243</v>
      </c>
    </row>
    <row r="471" spans="1:18" x14ac:dyDescent="0.25">
      <c r="A471">
        <f t="shared" si="10"/>
        <v>459</v>
      </c>
      <c r="B471" s="168">
        <v>0.98284375613593922</v>
      </c>
      <c r="C471" s="122">
        <v>0.9019601598486976</v>
      </c>
      <c r="D471" s="122">
        <v>0.89500649906882268</v>
      </c>
      <c r="E471" s="122">
        <v>1.7057133067998855</v>
      </c>
      <c r="F471" s="122">
        <v>3.7876920976268811</v>
      </c>
      <c r="G471" s="122">
        <v>1.0864317859598995</v>
      </c>
      <c r="H471" s="163">
        <v>1</v>
      </c>
      <c r="I471" s="12">
        <v>1.6265960306708814E-2</v>
      </c>
      <c r="J471" s="115">
        <v>4.8736289268824916E-2</v>
      </c>
      <c r="K471" s="115">
        <v>2.1778443419285093E-3</v>
      </c>
      <c r="L471" s="115">
        <v>9.5584667749455936E-3</v>
      </c>
      <c r="P471" s="108">
        <v>4.2182973217170433E-2</v>
      </c>
      <c r="Q471" s="108">
        <v>0.84365946434340844</v>
      </c>
      <c r="R471" s="49">
        <v>37107749.510705218</v>
      </c>
    </row>
    <row r="472" spans="1:18" x14ac:dyDescent="0.25">
      <c r="A472">
        <f t="shared" si="10"/>
        <v>460</v>
      </c>
      <c r="B472" s="168">
        <v>0.98769867123779165</v>
      </c>
      <c r="C472" s="122">
        <v>0.90283727035254435</v>
      </c>
      <c r="D472" s="122">
        <v>0.90517862042964503</v>
      </c>
      <c r="E472" s="122">
        <v>1.0895702751269902</v>
      </c>
      <c r="F472" s="122">
        <v>11.456377509119825</v>
      </c>
      <c r="G472" s="122">
        <v>1.1231248131358889</v>
      </c>
      <c r="H472" s="163">
        <v>1</v>
      </c>
      <c r="I472" s="12">
        <v>3.7789882526512331E-2</v>
      </c>
      <c r="J472" s="115">
        <v>1.6957358324791342E-2</v>
      </c>
      <c r="K472" s="115">
        <v>-6.3472091077059608E-3</v>
      </c>
      <c r="L472" s="115">
        <v>4.0213973482057741E-2</v>
      </c>
      <c r="P472" s="108">
        <v>6.7039777662804931E-2</v>
      </c>
      <c r="Q472" s="108">
        <v>1.3407955532560984</v>
      </c>
      <c r="R472" s="49">
        <v>58973919.736699052</v>
      </c>
    </row>
    <row r="473" spans="1:18" x14ac:dyDescent="0.25">
      <c r="A473">
        <f t="shared" si="10"/>
        <v>461</v>
      </c>
      <c r="B473" s="168">
        <v>0.98312876686373485</v>
      </c>
      <c r="C473" s="122">
        <v>0.90894335581243269</v>
      </c>
      <c r="D473" s="122">
        <v>0.89093097870779958</v>
      </c>
      <c r="E473" s="122">
        <v>3.0251923835068157</v>
      </c>
      <c r="F473" s="122">
        <v>3.6878375006708985</v>
      </c>
      <c r="G473" s="122">
        <v>1.1303551749048339</v>
      </c>
      <c r="H473" s="163">
        <v>1</v>
      </c>
      <c r="I473" s="12">
        <v>3.7622605572530492E-2</v>
      </c>
      <c r="J473" s="115">
        <v>1.9418963687640928E-2</v>
      </c>
      <c r="K473" s="115">
        <v>6.8885672024007489E-3</v>
      </c>
      <c r="L473" s="115">
        <v>5.4425833749321955E-3</v>
      </c>
      <c r="P473" s="108">
        <v>-5.5728590995361822E-2</v>
      </c>
      <c r="Q473" s="108">
        <v>-1.1145718199072363</v>
      </c>
      <c r="R473" s="49">
        <v>-49023632.938198648</v>
      </c>
    </row>
    <row r="474" spans="1:18" x14ac:dyDescent="0.25">
      <c r="A474">
        <f t="shared" si="10"/>
        <v>462</v>
      </c>
      <c r="B474" s="168">
        <v>1.0047976382034169</v>
      </c>
      <c r="C474" s="122">
        <v>0.88593320232453632</v>
      </c>
      <c r="D474" s="122">
        <v>0.91450966865565142</v>
      </c>
      <c r="E474" s="122">
        <v>1.4146841209937695</v>
      </c>
      <c r="F474" s="122">
        <v>5.2582196170044613</v>
      </c>
      <c r="G474" s="122">
        <v>1.1147880380931527</v>
      </c>
      <c r="H474" s="163">
        <v>1</v>
      </c>
      <c r="I474" s="12">
        <v>1.9964940131642933E-2</v>
      </c>
      <c r="J474" s="115">
        <v>5.5163003374879525E-2</v>
      </c>
      <c r="K474" s="115">
        <v>1.6713755852281114E-2</v>
      </c>
      <c r="L474" s="115">
        <v>2.2377017325690661E-2</v>
      </c>
      <c r="P474" s="108">
        <v>0.10700581527544881</v>
      </c>
      <c r="Q474" s="108">
        <v>2.1401163055089758</v>
      </c>
      <c r="R474" s="49">
        <v>94131463.161393955</v>
      </c>
    </row>
    <row r="475" spans="1:18" x14ac:dyDescent="0.25">
      <c r="A475">
        <f t="shared" si="10"/>
        <v>463</v>
      </c>
      <c r="B475" s="168">
        <v>1.0035694183937693</v>
      </c>
      <c r="C475" s="122">
        <v>0.82571267833291295</v>
      </c>
      <c r="D475" s="122">
        <v>0.89830558802166816</v>
      </c>
      <c r="E475" s="122">
        <v>3.351840089211886</v>
      </c>
      <c r="F475" s="122">
        <v>4.4517897005847393</v>
      </c>
      <c r="G475" s="122">
        <v>1.0647567885845159</v>
      </c>
      <c r="H475" s="163">
        <v>1</v>
      </c>
      <c r="I475" s="12">
        <v>4.3964881302549066E-2</v>
      </c>
      <c r="J475" s="115">
        <v>6.4824717547129013E-2</v>
      </c>
      <c r="K475" s="115">
        <v>7.4734284014117769E-3</v>
      </c>
      <c r="L475" s="115">
        <v>5.0956990905056537E-4</v>
      </c>
      <c r="P475" s="108">
        <v>0.12583077711464943</v>
      </c>
      <c r="Q475" s="108">
        <v>2.5166155422929881</v>
      </c>
      <c r="R475" s="49">
        <v>110691508.96189478</v>
      </c>
    </row>
    <row r="476" spans="1:18" x14ac:dyDescent="0.25">
      <c r="A476">
        <f t="shared" si="10"/>
        <v>464</v>
      </c>
      <c r="B476" s="168">
        <v>0.98869701664785692</v>
      </c>
      <c r="C476" s="122">
        <v>0.88406989883299492</v>
      </c>
      <c r="D476" s="122">
        <v>0.90547623516013664</v>
      </c>
      <c r="E476" s="122">
        <v>1.0469387447258769</v>
      </c>
      <c r="F476" s="122">
        <v>5.9724092304648142</v>
      </c>
      <c r="G476" s="122">
        <v>1.0676001329881031</v>
      </c>
      <c r="H476" s="163">
        <v>1</v>
      </c>
      <c r="I476" s="12">
        <v>2.0459275423469061E-2</v>
      </c>
      <c r="J476" s="115">
        <v>4.3945930063164856E-2</v>
      </c>
      <c r="K476" s="115">
        <v>2.3561253648033756E-3</v>
      </c>
      <c r="L476" s="115">
        <v>1.0547185900843518E-2</v>
      </c>
      <c r="P476" s="108">
        <v>8.245928168909647E-2</v>
      </c>
      <c r="Q476" s="108">
        <v>1.6491856337819293</v>
      </c>
      <c r="R476" s="49">
        <v>72538233.7086225</v>
      </c>
    </row>
    <row r="477" spans="1:18" x14ac:dyDescent="0.25">
      <c r="A477">
        <f t="shared" si="10"/>
        <v>465</v>
      </c>
      <c r="B477" s="168">
        <v>1.0110735586923276</v>
      </c>
      <c r="C477" s="122">
        <v>0.90057628686267699</v>
      </c>
      <c r="D477" s="122">
        <v>0.90577821241706713</v>
      </c>
      <c r="E477" s="122">
        <v>1.9362824438940944</v>
      </c>
      <c r="F477" s="122">
        <v>6.8420214233337857</v>
      </c>
      <c r="G477" s="122">
        <v>1.0587335538096216</v>
      </c>
      <c r="H477" s="163">
        <v>1</v>
      </c>
      <c r="I477" s="12">
        <v>2.4722414110627585E-2</v>
      </c>
      <c r="J477" s="115">
        <v>7.3126795284433943E-2</v>
      </c>
      <c r="K477" s="115">
        <v>-4.3523600164903009E-3</v>
      </c>
      <c r="L477" s="115">
        <v>1.8403453733448791E-2</v>
      </c>
      <c r="P477" s="108">
        <v>0.18981528239794571</v>
      </c>
      <c r="Q477" s="108">
        <v>3.7963056479589135</v>
      </c>
      <c r="R477" s="49">
        <v>166977749.91497421</v>
      </c>
    </row>
    <row r="478" spans="1:18" x14ac:dyDescent="0.25">
      <c r="A478">
        <f t="shared" si="10"/>
        <v>466</v>
      </c>
      <c r="B478" s="168">
        <v>1.0019273666650488</v>
      </c>
      <c r="C478" s="122">
        <v>0.92427396928453431</v>
      </c>
      <c r="D478" s="122">
        <v>0.9013299790722864</v>
      </c>
      <c r="E478" s="122">
        <v>2.638892372468626</v>
      </c>
      <c r="F478" s="122">
        <v>3.1533892961810719</v>
      </c>
      <c r="G478" s="122">
        <v>1.0924908329976473</v>
      </c>
      <c r="H478" s="163">
        <v>1</v>
      </c>
      <c r="I478" s="12">
        <v>2.7730659263935087E-2</v>
      </c>
      <c r="J478" s="115">
        <v>5.3715707904894786E-2</v>
      </c>
      <c r="K478" s="115">
        <v>1.8561999265469153E-2</v>
      </c>
      <c r="L478" s="115">
        <v>2.185882643210104E-2</v>
      </c>
      <c r="P478" s="108">
        <v>6.6864425505815395E-2</v>
      </c>
      <c r="Q478" s="108">
        <v>1.3372885101163077</v>
      </c>
      <c r="R478" s="49">
        <v>58819664.98836185</v>
      </c>
    </row>
    <row r="479" spans="1:18" x14ac:dyDescent="0.25">
      <c r="A479">
        <f t="shared" si="10"/>
        <v>467</v>
      </c>
      <c r="B479" s="168">
        <v>1.0044746093199945</v>
      </c>
      <c r="C479" s="122">
        <v>0.96560833086596876</v>
      </c>
      <c r="D479" s="122">
        <v>0.89583165487404492</v>
      </c>
      <c r="E479" s="122">
        <v>1.0953376315028431</v>
      </c>
      <c r="F479" s="122">
        <v>3.4944168234669348</v>
      </c>
      <c r="G479" s="122">
        <v>1.0890029328561726</v>
      </c>
      <c r="H479" s="163">
        <v>1</v>
      </c>
      <c r="I479" s="12">
        <v>2.6228378399342729E-2</v>
      </c>
      <c r="J479" s="115">
        <v>3.5087732022282735E-2</v>
      </c>
      <c r="K479" s="115">
        <v>3.6220512457235416E-3</v>
      </c>
      <c r="L479" s="115">
        <v>-1.8397504185872365E-2</v>
      </c>
      <c r="P479" s="108">
        <v>-2.2484492314903869E-2</v>
      </c>
      <c r="Q479" s="108">
        <v>-0.44968984629807729</v>
      </c>
      <c r="R479" s="49">
        <v>-19779281.664223943</v>
      </c>
    </row>
    <row r="480" spans="1:18" x14ac:dyDescent="0.25">
      <c r="A480">
        <f t="shared" si="10"/>
        <v>468</v>
      </c>
      <c r="B480" s="168">
        <v>0.99660487221145511</v>
      </c>
      <c r="C480" s="122">
        <v>0.81090370987261684</v>
      </c>
      <c r="D480" s="122">
        <v>0.90631128140846573</v>
      </c>
      <c r="E480" s="122">
        <v>2.4836948797055189</v>
      </c>
      <c r="F480" s="122">
        <v>6.4472479153720492</v>
      </c>
      <c r="G480" s="122">
        <v>1.128553384542003</v>
      </c>
      <c r="H480" s="163">
        <v>1</v>
      </c>
      <c r="I480" s="12">
        <v>2.3493701636421647E-2</v>
      </c>
      <c r="J480" s="115">
        <v>4.0423193451321247E-2</v>
      </c>
      <c r="K480" s="115">
        <v>-8.4415441130586411E-4</v>
      </c>
      <c r="L480" s="115">
        <v>2.6236164893376879E-2</v>
      </c>
      <c r="P480" s="108">
        <v>6.0611399625418713E-2</v>
      </c>
      <c r="Q480" s="108">
        <v>1.2122279925083739</v>
      </c>
      <c r="R480" s="49">
        <v>53318968.845889196</v>
      </c>
    </row>
    <row r="481" spans="1:18" x14ac:dyDescent="0.25">
      <c r="A481">
        <f t="shared" si="10"/>
        <v>469</v>
      </c>
      <c r="B481" s="168">
        <v>1.0014744506873905</v>
      </c>
      <c r="C481" s="122">
        <v>0.89870384324911012</v>
      </c>
      <c r="D481" s="122">
        <v>0.89907727188713904</v>
      </c>
      <c r="E481" s="122">
        <v>2.9734757695336578</v>
      </c>
      <c r="F481" s="122">
        <v>5.0511421770479608</v>
      </c>
      <c r="G481" s="122">
        <v>1.1121475063814426</v>
      </c>
      <c r="H481" s="163">
        <v>1</v>
      </c>
      <c r="I481" s="12">
        <v>4.2229256746852094E-2</v>
      </c>
      <c r="J481" s="115">
        <v>2.6999083537395645E-2</v>
      </c>
      <c r="K481" s="115">
        <v>-4.3666242997263518E-3</v>
      </c>
      <c r="L481" s="115">
        <v>-2.4557725331974326E-3</v>
      </c>
      <c r="P481" s="108">
        <v>-9.9181812099965651E-3</v>
      </c>
      <c r="Q481" s="108">
        <v>-0.19836362419993125</v>
      </c>
      <c r="R481" s="49">
        <v>-8724880.108558245</v>
      </c>
    </row>
    <row r="482" spans="1:18" x14ac:dyDescent="0.25">
      <c r="A482">
        <f t="shared" si="10"/>
        <v>470</v>
      </c>
      <c r="B482" s="168">
        <v>0.98612265376379338</v>
      </c>
      <c r="C482" s="122">
        <v>0.93338029580468307</v>
      </c>
      <c r="D482" s="122">
        <v>0.89112335867562631</v>
      </c>
      <c r="E482" s="122">
        <v>1.5867097501018945</v>
      </c>
      <c r="F482" s="122">
        <v>2.9244930659457151</v>
      </c>
      <c r="G482" s="122">
        <v>1.0572139755059031</v>
      </c>
      <c r="H482" s="163">
        <v>1</v>
      </c>
      <c r="I482" s="12">
        <v>3.9966834647233301E-2</v>
      </c>
      <c r="J482" s="115">
        <v>3.2976302065538886E-2</v>
      </c>
      <c r="K482" s="115">
        <v>1.0109302176845768E-2</v>
      </c>
      <c r="L482" s="115">
        <v>1.9326628362861014E-2</v>
      </c>
      <c r="P482" s="108">
        <v>5.9379827511549254E-4</v>
      </c>
      <c r="Q482" s="108">
        <v>1.1875965502309849E-2</v>
      </c>
      <c r="R482" s="49">
        <v>522355.72726071626</v>
      </c>
    </row>
    <row r="483" spans="1:18" x14ac:dyDescent="0.25">
      <c r="A483">
        <f t="shared" si="10"/>
        <v>471</v>
      </c>
      <c r="B483" s="168">
        <v>0.996690114924215</v>
      </c>
      <c r="C483" s="122">
        <v>0.90977505364838007</v>
      </c>
      <c r="D483" s="122">
        <v>0.91368177558692576</v>
      </c>
      <c r="E483" s="122">
        <v>1.5953732094292317</v>
      </c>
      <c r="F483" s="122">
        <v>5.7826776426836659</v>
      </c>
      <c r="G483" s="122">
        <v>1.1305665237504763</v>
      </c>
      <c r="H483" s="163">
        <v>1</v>
      </c>
      <c r="I483" s="12">
        <v>3.3558122352872775E-2</v>
      </c>
      <c r="J483" s="115">
        <v>2.2335491552087472E-2</v>
      </c>
      <c r="K483" s="115">
        <v>2.2718511449056452E-2</v>
      </c>
      <c r="L483" s="115">
        <v>1.1018543799296688E-2</v>
      </c>
      <c r="P483" s="108">
        <v>1.0320125017035885E-3</v>
      </c>
      <c r="Q483" s="108">
        <v>2.0640250034071765E-2</v>
      </c>
      <c r="R483" s="49">
        <v>907846.4243849162</v>
      </c>
    </row>
    <row r="484" spans="1:18" x14ac:dyDescent="0.25">
      <c r="A484">
        <f t="shared" si="10"/>
        <v>472</v>
      </c>
      <c r="B484" s="168">
        <v>1.0147909743627137</v>
      </c>
      <c r="C484" s="122">
        <v>0.94866064732366306</v>
      </c>
      <c r="D484" s="122">
        <v>0.90924292024250497</v>
      </c>
      <c r="E484" s="122">
        <v>2.8077724909318995</v>
      </c>
      <c r="F484" s="122">
        <v>2.0704971614004339</v>
      </c>
      <c r="G484" s="122">
        <v>1.0918215616552509</v>
      </c>
      <c r="H484" s="163">
        <v>1</v>
      </c>
      <c r="I484" s="12">
        <v>1.464073015302191E-2</v>
      </c>
      <c r="J484" s="115">
        <v>3.4774155636121969E-2</v>
      </c>
      <c r="K484" s="115">
        <v>2.7323114092380881E-3</v>
      </c>
      <c r="L484" s="115">
        <v>6.175968942724883E-3</v>
      </c>
      <c r="P484" s="108">
        <v>-4.7700375840591357E-2</v>
      </c>
      <c r="Q484" s="108">
        <v>-0.95400751681182694</v>
      </c>
      <c r="R484" s="49">
        <v>-41961328.547098801</v>
      </c>
    </row>
    <row r="485" spans="1:18" x14ac:dyDescent="0.25">
      <c r="A485">
        <f t="shared" si="10"/>
        <v>473</v>
      </c>
      <c r="B485" s="168">
        <v>1.0082472549820709</v>
      </c>
      <c r="C485" s="122">
        <v>0.88465468842748596</v>
      </c>
      <c r="D485" s="122">
        <v>0.90916104454582569</v>
      </c>
      <c r="E485" s="122">
        <v>-5.8952967418172353E-2</v>
      </c>
      <c r="F485" s="122">
        <v>8.0904562153459487</v>
      </c>
      <c r="G485" s="122">
        <v>1.1194759214026808</v>
      </c>
      <c r="H485" s="163">
        <v>1</v>
      </c>
      <c r="I485" s="12">
        <v>2.8210804000724482E-2</v>
      </c>
      <c r="J485" s="115">
        <v>4.3898498576510722E-2</v>
      </c>
      <c r="K485" s="115">
        <v>1.6247388736811475E-3</v>
      </c>
      <c r="L485" s="115">
        <v>4.7413625657291795E-3</v>
      </c>
      <c r="P485" s="108">
        <v>0.13859659847587852</v>
      </c>
      <c r="Q485" s="108">
        <v>2.7719319695175701</v>
      </c>
      <c r="R485" s="49">
        <v>121921416.79537289</v>
      </c>
    </row>
    <row r="486" spans="1:18" x14ac:dyDescent="0.25">
      <c r="A486">
        <f t="shared" si="10"/>
        <v>474</v>
      </c>
      <c r="B486" s="168">
        <v>0.99879410120142831</v>
      </c>
      <c r="C486" s="122">
        <v>0.88999250166808275</v>
      </c>
      <c r="D486" s="122">
        <v>0.89595388400427145</v>
      </c>
      <c r="E486" s="122">
        <v>2.2552740888705065</v>
      </c>
      <c r="F486" s="122">
        <v>6.580588153217553</v>
      </c>
      <c r="G486" s="122">
        <v>1.0710968236594844</v>
      </c>
      <c r="H486" s="163">
        <v>1</v>
      </c>
      <c r="I486" s="12">
        <v>3.8436608556689039E-2</v>
      </c>
      <c r="J486" s="115">
        <v>5.1367972891090574E-2</v>
      </c>
      <c r="K486" s="115">
        <v>2.7807303516468739E-3</v>
      </c>
      <c r="L486" s="115">
        <v>2.2917556005784868E-2</v>
      </c>
      <c r="P486" s="108">
        <v>0.12351165464954286</v>
      </c>
      <c r="Q486" s="108">
        <v>2.4702330929908567</v>
      </c>
      <c r="R486" s="49">
        <v>108651410.57725093</v>
      </c>
    </row>
    <row r="487" spans="1:18" x14ac:dyDescent="0.25">
      <c r="A487">
        <f t="shared" si="10"/>
        <v>475</v>
      </c>
      <c r="B487" s="168">
        <v>0.9912255484359388</v>
      </c>
      <c r="C487" s="122">
        <v>0.90199655023892777</v>
      </c>
      <c r="D487" s="122">
        <v>0.9118597731728908</v>
      </c>
      <c r="E487" s="122">
        <v>2.7287405515716943</v>
      </c>
      <c r="F487" s="122">
        <v>6.1329182427174951</v>
      </c>
      <c r="G487" s="122">
        <v>1.1149703652663194</v>
      </c>
      <c r="H487" s="163">
        <v>1</v>
      </c>
      <c r="I487" s="12">
        <v>2.5468286531570478E-2</v>
      </c>
      <c r="J487" s="115">
        <v>7.3521689114070449E-2</v>
      </c>
      <c r="K487" s="115">
        <v>1.3119750483156306E-2</v>
      </c>
      <c r="L487" s="115">
        <v>3.4074296900494828E-3</v>
      </c>
      <c r="P487" s="108">
        <v>0.15903888330344318</v>
      </c>
      <c r="Q487" s="108">
        <v>3.1807776660688631</v>
      </c>
      <c r="R487" s="49">
        <v>139904198.16316387</v>
      </c>
    </row>
    <row r="488" spans="1:18" x14ac:dyDescent="0.25">
      <c r="A488">
        <f t="shared" si="10"/>
        <v>476</v>
      </c>
      <c r="B488" s="168">
        <v>0.99234033259192678</v>
      </c>
      <c r="C488" s="122">
        <v>0.94039906277379581</v>
      </c>
      <c r="D488" s="122">
        <v>0.89287157533469852</v>
      </c>
      <c r="E488" s="122">
        <v>4.1086941385563751</v>
      </c>
      <c r="F488" s="122">
        <v>6.2155528768860773</v>
      </c>
      <c r="G488" s="122">
        <v>1.1036512517875814</v>
      </c>
      <c r="H488" s="163">
        <v>1</v>
      </c>
      <c r="I488" s="12">
        <v>1.2578322221026214E-3</v>
      </c>
      <c r="J488" s="115">
        <v>4.4967160198651525E-2</v>
      </c>
      <c r="K488" s="115">
        <v>5.6703692418237405E-3</v>
      </c>
      <c r="L488" s="115">
        <v>-9.4409931181585992E-3</v>
      </c>
      <c r="P488" s="108">
        <v>2.4345319483703255E-2</v>
      </c>
      <c r="Q488" s="108">
        <v>0.48690638967406502</v>
      </c>
      <c r="R488" s="49">
        <v>21416224.326065898</v>
      </c>
    </row>
    <row r="489" spans="1:18" x14ac:dyDescent="0.25">
      <c r="A489">
        <f t="shared" si="10"/>
        <v>477</v>
      </c>
      <c r="B489" s="168">
        <v>1.0000910399865115</v>
      </c>
      <c r="C489" s="122">
        <v>0.90155191215375297</v>
      </c>
      <c r="D489" s="122">
        <v>0.90788411836349558</v>
      </c>
      <c r="E489" s="122">
        <v>0.93965923467844914</v>
      </c>
      <c r="F489" s="122">
        <v>2.4192205401401523</v>
      </c>
      <c r="G489" s="122">
        <v>1.1030410252340173</v>
      </c>
      <c r="H489" s="163">
        <v>1</v>
      </c>
      <c r="I489" s="12">
        <v>1.7591382365863203E-2</v>
      </c>
      <c r="J489" s="115">
        <v>2.4257617408197801E-2</v>
      </c>
      <c r="K489" s="115">
        <v>3.0693804255271327E-3</v>
      </c>
      <c r="L489" s="115">
        <v>3.0820030202453403E-2</v>
      </c>
      <c r="P489" s="108">
        <v>-7.5406217189470645E-2</v>
      </c>
      <c r="Q489" s="108">
        <v>-1.5081243437894127</v>
      </c>
      <c r="R489" s="49">
        <v>-66333755.200492382</v>
      </c>
    </row>
    <row r="490" spans="1:18" x14ac:dyDescent="0.25">
      <c r="A490">
        <f t="shared" si="10"/>
        <v>478</v>
      </c>
      <c r="B490" s="168">
        <v>1.0141828451574681</v>
      </c>
      <c r="C490" s="122">
        <v>0.92325828357138195</v>
      </c>
      <c r="D490" s="122">
        <v>0.89875697461801607</v>
      </c>
      <c r="E490" s="122">
        <v>2.1567485992751365</v>
      </c>
      <c r="F490" s="122">
        <v>6.7371514746485701</v>
      </c>
      <c r="G490" s="122">
        <v>1.1270544651999239</v>
      </c>
      <c r="H490" s="163">
        <v>1</v>
      </c>
      <c r="I490" s="12">
        <v>2.8281325897607464E-2</v>
      </c>
      <c r="J490" s="115">
        <v>4.4957623272933719E-2</v>
      </c>
      <c r="K490" s="115">
        <v>1.1925761130759252E-2</v>
      </c>
      <c r="L490" s="115">
        <v>4.5614027795570569E-2</v>
      </c>
      <c r="P490" s="108">
        <v>0.10542837150228408</v>
      </c>
      <c r="Q490" s="108">
        <v>2.1085674300456811</v>
      </c>
      <c r="R490" s="49">
        <v>92743808.76111117</v>
      </c>
    </row>
    <row r="491" spans="1:18" x14ac:dyDescent="0.25">
      <c r="A491">
        <f t="shared" si="10"/>
        <v>479</v>
      </c>
      <c r="B491" s="168">
        <v>1.0006449668025135</v>
      </c>
      <c r="C491" s="122">
        <v>0.86219060722909835</v>
      </c>
      <c r="D491" s="122">
        <v>0.901174186718673</v>
      </c>
      <c r="E491" s="122">
        <v>1.7322345138061888</v>
      </c>
      <c r="F491" s="122">
        <v>6.4728939384368864</v>
      </c>
      <c r="G491" s="122">
        <v>1.0898393086182456</v>
      </c>
      <c r="H491" s="163">
        <v>1</v>
      </c>
      <c r="I491" s="12">
        <v>3.8763062888481928E-2</v>
      </c>
      <c r="J491" s="115">
        <v>2.2998493387921277E-2</v>
      </c>
      <c r="K491" s="115">
        <v>1.3360112442931161E-2</v>
      </c>
      <c r="L491" s="115">
        <v>-6.1798555712291522E-3</v>
      </c>
      <c r="P491" s="108">
        <v>6.8495431425160003E-3</v>
      </c>
      <c r="Q491" s="108">
        <v>0.13699086285032</v>
      </c>
      <c r="R491" s="49">
        <v>6025443.7231511436</v>
      </c>
    </row>
    <row r="492" spans="1:18" x14ac:dyDescent="0.25">
      <c r="A492">
        <f t="shared" si="10"/>
        <v>480</v>
      </c>
      <c r="B492" s="168">
        <v>0.98696359921567467</v>
      </c>
      <c r="C492" s="122">
        <v>0.89277686023367708</v>
      </c>
      <c r="D492" s="122">
        <v>0.90502543216715114</v>
      </c>
      <c r="E492" s="122">
        <v>1.5069197414247384</v>
      </c>
      <c r="F492" s="122">
        <v>2.5858589269464765</v>
      </c>
      <c r="G492" s="122">
        <v>1.087127899365979</v>
      </c>
      <c r="H492" s="163">
        <v>1</v>
      </c>
      <c r="I492" s="12">
        <v>2.5496108690880474E-2</v>
      </c>
      <c r="J492" s="115">
        <v>8.5903519741592965E-2</v>
      </c>
      <c r="K492" s="115">
        <v>9.4194810974981766E-3</v>
      </c>
      <c r="L492" s="115">
        <v>3.2657404006736175E-2</v>
      </c>
      <c r="P492" s="108">
        <v>0.16122077732780754</v>
      </c>
      <c r="Q492" s="108">
        <v>3.2244155465561501</v>
      </c>
      <c r="R492" s="49">
        <v>141823578.67952019</v>
      </c>
    </row>
    <row r="493" spans="1:18" x14ac:dyDescent="0.25">
      <c r="A493">
        <f t="shared" si="10"/>
        <v>481</v>
      </c>
      <c r="B493" s="168">
        <v>1.0113538579893491</v>
      </c>
      <c r="C493" s="122">
        <v>0.90546794318549739</v>
      </c>
      <c r="D493" s="122">
        <v>0.88106046433277985</v>
      </c>
      <c r="E493" s="122">
        <v>2.0027293449075403</v>
      </c>
      <c r="F493" s="122">
        <v>6.4761421486871118</v>
      </c>
      <c r="G493" s="122">
        <v>1.1133304606938847</v>
      </c>
      <c r="H493" s="163">
        <v>1</v>
      </c>
      <c r="I493" s="12">
        <v>2.3058730000856113E-2</v>
      </c>
      <c r="J493" s="115">
        <v>1.2169561518341809E-2</v>
      </c>
      <c r="K493" s="115">
        <v>3.4868831989336613E-3</v>
      </c>
      <c r="L493" s="115">
        <v>2.8108530836294721E-2</v>
      </c>
      <c r="P493" s="108">
        <v>-2.8068445400280754E-2</v>
      </c>
      <c r="Q493" s="108">
        <v>-0.56136890800561501</v>
      </c>
      <c r="R493" s="49">
        <v>-24691404.176426388</v>
      </c>
    </row>
    <row r="494" spans="1:18" x14ac:dyDescent="0.25">
      <c r="A494">
        <f t="shared" si="10"/>
        <v>482</v>
      </c>
      <c r="B494" s="168">
        <v>1.0083760903096075</v>
      </c>
      <c r="C494" s="122">
        <v>0.96346526696770818</v>
      </c>
      <c r="D494" s="122">
        <v>0.90441806731687846</v>
      </c>
      <c r="E494" s="122">
        <v>2.9486062418026475</v>
      </c>
      <c r="F494" s="122">
        <v>4.6436035475949362</v>
      </c>
      <c r="G494" s="122">
        <v>1.1013856217459643</v>
      </c>
      <c r="H494" s="163">
        <v>1</v>
      </c>
      <c r="I494" s="12">
        <v>3.5297058514234259E-2</v>
      </c>
      <c r="J494" s="115">
        <v>7.8561126526352915E-2</v>
      </c>
      <c r="K494" s="115">
        <v>7.7459806013196845E-3</v>
      </c>
      <c r="L494" s="115">
        <v>2.9586930988729061E-2</v>
      </c>
      <c r="P494" s="108">
        <v>0.18499367319950119</v>
      </c>
      <c r="Q494" s="108">
        <v>3.6998734639900235</v>
      </c>
      <c r="R494" s="49">
        <v>162736250.2593368</v>
      </c>
    </row>
    <row r="495" spans="1:18" x14ac:dyDescent="0.25">
      <c r="A495">
        <f t="shared" si="10"/>
        <v>483</v>
      </c>
      <c r="B495" s="168">
        <v>0.98180787773561118</v>
      </c>
      <c r="C495" s="122">
        <v>0.92330603469270212</v>
      </c>
      <c r="D495" s="122">
        <v>0.89612471393770565</v>
      </c>
      <c r="E495" s="122">
        <v>2.1730316279007091</v>
      </c>
      <c r="F495" s="122">
        <v>3.7866289449725672</v>
      </c>
      <c r="G495" s="122">
        <v>1.1133174154765009</v>
      </c>
      <c r="H495" s="163">
        <v>1</v>
      </c>
      <c r="I495" s="12">
        <v>5.69309620839617E-3</v>
      </c>
      <c r="J495" s="115">
        <v>4.9244124031314916E-2</v>
      </c>
      <c r="K495" s="115">
        <v>3.9347275327927889E-3</v>
      </c>
      <c r="L495" s="115">
        <v>3.8441958607097038E-2</v>
      </c>
      <c r="P495" s="108">
        <v>5.0488010002064591E-2</v>
      </c>
      <c r="Q495" s="108">
        <v>1.0097602000412915</v>
      </c>
      <c r="R495" s="49">
        <v>44413569.873448178</v>
      </c>
    </row>
    <row r="496" spans="1:18" x14ac:dyDescent="0.25">
      <c r="A496">
        <f t="shared" si="10"/>
        <v>484</v>
      </c>
      <c r="B496" s="168">
        <v>1.0012319046919527</v>
      </c>
      <c r="C496" s="122">
        <v>0.86066833401418186</v>
      </c>
      <c r="D496" s="122">
        <v>0.90437997028509842</v>
      </c>
      <c r="E496" s="122">
        <v>1.2993339498070862</v>
      </c>
      <c r="F496" s="122">
        <v>4.0217825321249956</v>
      </c>
      <c r="G496" s="122">
        <v>1.0958545192244282</v>
      </c>
      <c r="H496" s="163">
        <v>1</v>
      </c>
      <c r="I496" s="12">
        <v>3.847485276447396E-2</v>
      </c>
      <c r="J496" s="115">
        <v>6.7351384421073898E-2</v>
      </c>
      <c r="K496" s="115">
        <v>7.6812725108913269E-3</v>
      </c>
      <c r="L496" s="115">
        <v>1.32160127777773E-2</v>
      </c>
      <c r="P496" s="108">
        <v>0.13466164907298739</v>
      </c>
      <c r="Q496" s="108">
        <v>2.6932329814597473</v>
      </c>
      <c r="R496" s="49">
        <v>118459898.89742754</v>
      </c>
    </row>
    <row r="497" spans="1:18" x14ac:dyDescent="0.25">
      <c r="A497">
        <f t="shared" si="10"/>
        <v>485</v>
      </c>
      <c r="B497" s="168">
        <v>0.99714653363612549</v>
      </c>
      <c r="C497" s="122">
        <v>0.89514384241527223</v>
      </c>
      <c r="D497" s="122">
        <v>0.88766332360658373</v>
      </c>
      <c r="E497" s="122">
        <v>3.0036031833294969</v>
      </c>
      <c r="F497" s="122">
        <v>6.3562630645732199</v>
      </c>
      <c r="G497" s="122">
        <v>1.092474214377863</v>
      </c>
      <c r="H497" s="163">
        <v>1</v>
      </c>
      <c r="I497" s="12">
        <v>1.4983500834910755E-2</v>
      </c>
      <c r="J497" s="115">
        <v>4.9386268217979562E-2</v>
      </c>
      <c r="K497" s="115">
        <v>7.3397221272063582E-3</v>
      </c>
      <c r="L497" s="115">
        <v>2.8446392712010507E-2</v>
      </c>
      <c r="P497" s="108">
        <v>8.9437116641847475E-2</v>
      </c>
      <c r="Q497" s="108">
        <v>1.7887423328369492</v>
      </c>
      <c r="R497" s="49">
        <v>78676533.875864625</v>
      </c>
    </row>
    <row r="498" spans="1:18" x14ac:dyDescent="0.25">
      <c r="A498">
        <f t="shared" si="10"/>
        <v>486</v>
      </c>
      <c r="B498" s="168">
        <v>1.0184214185989409</v>
      </c>
      <c r="C498" s="122">
        <v>0.90931048325918218</v>
      </c>
      <c r="D498" s="122">
        <v>0.90784496852436547</v>
      </c>
      <c r="E498" s="122">
        <v>2.1909568260130796</v>
      </c>
      <c r="F498" s="122">
        <v>8.6826397538470133</v>
      </c>
      <c r="G498" s="122">
        <v>1.1000494432946593</v>
      </c>
      <c r="H498" s="163">
        <v>1</v>
      </c>
      <c r="I498" s="12">
        <v>3.6046620973922618E-2</v>
      </c>
      <c r="J498" s="115">
        <v>2.2726256737414966E-2</v>
      </c>
      <c r="K498" s="115">
        <v>3.2615842392750816E-3</v>
      </c>
      <c r="L498" s="115">
        <v>3.8538897852966984E-3</v>
      </c>
      <c r="P498" s="108">
        <v>2.4569152849807662E-2</v>
      </c>
      <c r="Q498" s="108">
        <v>0.49138305699615314</v>
      </c>
      <c r="R498" s="49">
        <v>21613127.29065254</v>
      </c>
    </row>
    <row r="499" spans="1:18" x14ac:dyDescent="0.25">
      <c r="A499">
        <f t="shared" si="10"/>
        <v>487</v>
      </c>
      <c r="B499" s="168">
        <v>0.99222783061275777</v>
      </c>
      <c r="C499" s="122">
        <v>0.93323630527755808</v>
      </c>
      <c r="D499" s="122">
        <v>0.8984419010731638</v>
      </c>
      <c r="E499" s="122">
        <v>1.5952273252582283</v>
      </c>
      <c r="F499" s="122">
        <v>5.1188423678162804</v>
      </c>
      <c r="G499" s="122">
        <v>1.0811006409909845</v>
      </c>
      <c r="H499" s="163">
        <v>1</v>
      </c>
      <c r="I499" s="12">
        <v>2.6288737695132611E-2</v>
      </c>
      <c r="J499" s="115">
        <v>4.9336744346888999E-2</v>
      </c>
      <c r="K499" s="115">
        <v>7.5964026899396197E-3</v>
      </c>
      <c r="L499" s="115">
        <v>1.0751298368636373E-2</v>
      </c>
      <c r="P499" s="108">
        <v>8.3290331924565295E-2</v>
      </c>
      <c r="Q499" s="108">
        <v>1.6658066384913055</v>
      </c>
      <c r="R499" s="49">
        <v>73269296.543141633</v>
      </c>
    </row>
    <row r="500" spans="1:18" x14ac:dyDescent="0.25">
      <c r="A500">
        <f t="shared" si="10"/>
        <v>488</v>
      </c>
      <c r="B500" s="168">
        <v>1.0002287363711309</v>
      </c>
      <c r="C500" s="122">
        <v>0.92290447198352521</v>
      </c>
      <c r="D500" s="122">
        <v>0.91914334899995342</v>
      </c>
      <c r="E500" s="122">
        <v>1.9052126027811931</v>
      </c>
      <c r="F500" s="122">
        <v>6.1712722471487611</v>
      </c>
      <c r="G500" s="122">
        <v>1.0937034534191612</v>
      </c>
      <c r="H500" s="163">
        <v>1</v>
      </c>
      <c r="I500" s="12">
        <v>1.508044898663051E-2</v>
      </c>
      <c r="J500" s="115">
        <v>3.0531193856814992E-2</v>
      </c>
      <c r="K500" s="115">
        <v>2.7983688423634228E-3</v>
      </c>
      <c r="L500" s="115">
        <v>1.3671014317899893E-2</v>
      </c>
      <c r="P500" s="108">
        <v>1.9134401075539483E-2</v>
      </c>
      <c r="Q500" s="108">
        <v>0.38268802151078962</v>
      </c>
      <c r="R500" s="49">
        <v>16832255.007085897</v>
      </c>
    </row>
    <row r="501" spans="1:18" x14ac:dyDescent="0.25">
      <c r="A501">
        <f t="shared" si="10"/>
        <v>489</v>
      </c>
      <c r="B501" s="168">
        <v>1.0024020989868312</v>
      </c>
      <c r="C501" s="122">
        <v>0.91404622813125957</v>
      </c>
      <c r="D501" s="122">
        <v>0.89910081121144214</v>
      </c>
      <c r="E501" s="122">
        <v>1.6915348359217899</v>
      </c>
      <c r="F501" s="122">
        <v>6.5585919572965041</v>
      </c>
      <c r="G501" s="122">
        <v>1.1479808375356162</v>
      </c>
      <c r="H501" s="163">
        <v>1</v>
      </c>
      <c r="I501" s="12">
        <v>1.4817565823264954E-2</v>
      </c>
      <c r="J501" s="115">
        <v>5.7269599761454806E-2</v>
      </c>
      <c r="K501" s="115">
        <v>-3.0768385154652236E-3</v>
      </c>
      <c r="L501" s="115">
        <v>2.2214216728048863E-2</v>
      </c>
      <c r="P501" s="108">
        <v>0.11624556587897814</v>
      </c>
      <c r="Q501" s="108">
        <v>2.3249113175795624</v>
      </c>
      <c r="R501" s="49">
        <v>102259537.70872317</v>
      </c>
    </row>
    <row r="502" spans="1:18" x14ac:dyDescent="0.25">
      <c r="A502">
        <f t="shared" si="10"/>
        <v>490</v>
      </c>
      <c r="B502" s="168">
        <v>1.0046143678275494</v>
      </c>
      <c r="C502" s="122">
        <v>0.88478176311274515</v>
      </c>
      <c r="D502" s="122">
        <v>0.91247555169362948</v>
      </c>
      <c r="E502" s="122">
        <v>0.65793145490658711</v>
      </c>
      <c r="F502" s="122">
        <v>9.7218144281934773</v>
      </c>
      <c r="G502" s="122">
        <v>1.0886270276124586</v>
      </c>
      <c r="H502" s="163">
        <v>1</v>
      </c>
      <c r="I502" s="12">
        <v>2.8952842784213492E-2</v>
      </c>
      <c r="J502" s="115">
        <v>4.298818339777772E-2</v>
      </c>
      <c r="K502" s="115">
        <v>1.4312871929483755E-2</v>
      </c>
      <c r="L502" s="115">
        <v>6.1787145920516401E-2</v>
      </c>
      <c r="P502" s="108">
        <v>0.17337027925590695</v>
      </c>
      <c r="Q502" s="108">
        <v>3.4674055851181382</v>
      </c>
      <c r="R502" s="49">
        <v>152511319.2497896</v>
      </c>
    </row>
    <row r="503" spans="1:18" x14ac:dyDescent="0.25">
      <c r="A503">
        <f t="shared" si="10"/>
        <v>491</v>
      </c>
      <c r="B503" s="168">
        <v>0.99513952189284138</v>
      </c>
      <c r="C503" s="122">
        <v>0.95460914296505039</v>
      </c>
      <c r="D503" s="122">
        <v>0.92197655654410293</v>
      </c>
      <c r="E503" s="122">
        <v>2.3991572920227102</v>
      </c>
      <c r="F503" s="122">
        <v>7.1837297837229528</v>
      </c>
      <c r="G503" s="122">
        <v>1.1070502917990144</v>
      </c>
      <c r="H503" s="163">
        <v>1</v>
      </c>
      <c r="I503" s="12">
        <v>3.3947690521801813E-2</v>
      </c>
      <c r="J503" s="115">
        <v>3.3096486535794056E-2</v>
      </c>
      <c r="K503" s="115">
        <v>3.4084262300935453E-3</v>
      </c>
      <c r="L503" s="115">
        <v>-8.3097114361877986E-3</v>
      </c>
      <c r="P503" s="108">
        <v>3.2464954617828064E-2</v>
      </c>
      <c r="Q503" s="108">
        <v>0.64929909235656114</v>
      </c>
      <c r="R503" s="49">
        <v>28558949.546600632</v>
      </c>
    </row>
    <row r="504" spans="1:18" x14ac:dyDescent="0.25">
      <c r="A504">
        <f t="shared" si="10"/>
        <v>492</v>
      </c>
      <c r="B504" s="168">
        <v>1.0164904489087292</v>
      </c>
      <c r="C504" s="122">
        <v>0.93248604208956387</v>
      </c>
      <c r="D504" s="122">
        <v>0.89648370641393493</v>
      </c>
      <c r="E504" s="122">
        <v>2.7690777722351845</v>
      </c>
      <c r="F504" s="122">
        <v>4.9189331582420914</v>
      </c>
      <c r="G504" s="122">
        <v>1.0936131971267709</v>
      </c>
      <c r="H504" s="163">
        <v>1</v>
      </c>
      <c r="I504" s="12">
        <v>1.7150779273486121E-2</v>
      </c>
      <c r="J504" s="115">
        <v>3.8682515221807774E-2</v>
      </c>
      <c r="K504" s="115">
        <v>-3.4922746841864472E-4</v>
      </c>
      <c r="L504" s="115">
        <v>3.7656466122767407E-2</v>
      </c>
      <c r="P504" s="108">
        <v>4.2745313154701925E-2</v>
      </c>
      <c r="Q504" s="108">
        <v>0.85490626309403839</v>
      </c>
      <c r="R504" s="49">
        <v>37602431.794819079</v>
      </c>
    </row>
    <row r="505" spans="1:18" x14ac:dyDescent="0.25">
      <c r="A505">
        <f t="shared" si="10"/>
        <v>493</v>
      </c>
      <c r="B505" s="168">
        <v>1.0108594262616135</v>
      </c>
      <c r="C505" s="122">
        <v>0.84430736942863527</v>
      </c>
      <c r="D505" s="122">
        <v>0.86259787858196602</v>
      </c>
      <c r="E505" s="122">
        <v>2.7216027454232115</v>
      </c>
      <c r="F505" s="122">
        <v>10.150406393606595</v>
      </c>
      <c r="G505" s="122">
        <v>1.134434741593487</v>
      </c>
      <c r="H505" s="163">
        <v>1</v>
      </c>
      <c r="I505" s="12">
        <v>2.3018263653582269E-2</v>
      </c>
      <c r="J505" s="115">
        <v>3.492166529124488E-2</v>
      </c>
      <c r="K505" s="115">
        <v>7.9911905647336908E-3</v>
      </c>
      <c r="L505" s="115">
        <v>2.7231457792165851E-2</v>
      </c>
      <c r="P505" s="108">
        <v>7.4586180644812539E-2</v>
      </c>
      <c r="Q505" s="108">
        <v>1.4917236128962506</v>
      </c>
      <c r="R505" s="49">
        <v>65612380.949982882</v>
      </c>
    </row>
    <row r="506" spans="1:18" x14ac:dyDescent="0.25">
      <c r="A506">
        <f t="shared" si="10"/>
        <v>494</v>
      </c>
      <c r="B506" s="168">
        <v>1.0064957706801332</v>
      </c>
      <c r="C506" s="122">
        <v>0.89566990352500686</v>
      </c>
      <c r="D506" s="122">
        <v>0.89661248399138926</v>
      </c>
      <c r="E506" s="122">
        <v>2.6108890601206998</v>
      </c>
      <c r="F506" s="122">
        <v>6.2506570327541464</v>
      </c>
      <c r="G506" s="122">
        <v>1.0787672967991602</v>
      </c>
      <c r="H506" s="163">
        <v>1</v>
      </c>
      <c r="I506" s="12">
        <v>2.0997531892708688E-2</v>
      </c>
      <c r="J506" s="115">
        <v>5.5443933702560781E-2</v>
      </c>
      <c r="K506" s="115">
        <v>9.0606203713551152E-3</v>
      </c>
      <c r="L506" s="115">
        <v>2.59825365061645E-2</v>
      </c>
      <c r="P506" s="108">
        <v>0.11788897932734607</v>
      </c>
      <c r="Q506" s="108">
        <v>2.3577795865469211</v>
      </c>
      <c r="R506" s="49">
        <v>103705224.67513502</v>
      </c>
    </row>
    <row r="507" spans="1:18" x14ac:dyDescent="0.25">
      <c r="A507">
        <f t="shared" si="10"/>
        <v>495</v>
      </c>
      <c r="B507" s="168">
        <v>0.98097252305638261</v>
      </c>
      <c r="C507" s="122">
        <v>0.95380943374284177</v>
      </c>
      <c r="D507" s="122">
        <v>0.8792809027949875</v>
      </c>
      <c r="E507" s="122">
        <v>1.6101052296629101</v>
      </c>
      <c r="F507" s="122">
        <v>1.1081187614823764</v>
      </c>
      <c r="G507" s="122">
        <v>1.0690390141829129</v>
      </c>
      <c r="H507" s="163">
        <v>1</v>
      </c>
      <c r="I507" s="12">
        <v>2.9757293368245449E-2</v>
      </c>
      <c r="J507" s="115">
        <v>3.3713221149526768E-2</v>
      </c>
      <c r="K507" s="115">
        <v>3.2748075292314367E-3</v>
      </c>
      <c r="L507" s="115">
        <v>5.3229362865570479E-2</v>
      </c>
      <c r="P507" s="108">
        <v>-5.5756207071593948E-2</v>
      </c>
      <c r="Q507" s="108">
        <v>-1.1151241414318787</v>
      </c>
      <c r="R507" s="49">
        <v>-49047926.399781235</v>
      </c>
    </row>
    <row r="508" spans="1:18" x14ac:dyDescent="0.25">
      <c r="A508">
        <f t="shared" si="10"/>
        <v>496</v>
      </c>
      <c r="B508" s="168">
        <v>0.99783585507714578</v>
      </c>
      <c r="C508" s="122">
        <v>0.92453771008831731</v>
      </c>
      <c r="D508" s="122">
        <v>0.88806242389918777</v>
      </c>
      <c r="E508" s="122">
        <v>1.3410219670846129</v>
      </c>
      <c r="F508" s="122">
        <v>6.8770331812456726</v>
      </c>
      <c r="G508" s="122">
        <v>1.130878693411357</v>
      </c>
      <c r="H508" s="163">
        <v>1</v>
      </c>
      <c r="I508" s="12">
        <v>2.7160487641207418E-2</v>
      </c>
      <c r="J508" s="115">
        <v>4.5581924744590496E-2</v>
      </c>
      <c r="K508" s="115">
        <v>1.1963516530907582E-2</v>
      </c>
      <c r="L508" s="115">
        <v>4.8176229512690169E-2</v>
      </c>
      <c r="P508" s="108">
        <v>0.12177087012982113</v>
      </c>
      <c r="Q508" s="108">
        <v>2.4354174025964221</v>
      </c>
      <c r="R508" s="49">
        <v>107120067.69211608</v>
      </c>
    </row>
    <row r="509" spans="1:18" x14ac:dyDescent="0.25">
      <c r="A509">
        <f t="shared" si="10"/>
        <v>497</v>
      </c>
      <c r="B509" s="168">
        <v>1.0009827440743313</v>
      </c>
      <c r="C509" s="122">
        <v>0.91270729521412342</v>
      </c>
      <c r="D509" s="122">
        <v>0.90541051984855414</v>
      </c>
      <c r="E509" s="122">
        <v>1.7220860086785674</v>
      </c>
      <c r="F509" s="122">
        <v>6.2253383780851088</v>
      </c>
      <c r="G509" s="122">
        <v>1.0961963448410392</v>
      </c>
      <c r="H509" s="163">
        <v>1</v>
      </c>
      <c r="I509" s="12">
        <v>1.1164233152789601E-2</v>
      </c>
      <c r="J509" s="115">
        <v>4.4519317276284817E-2</v>
      </c>
      <c r="K509" s="115">
        <v>6.0873349403668831E-3</v>
      </c>
      <c r="L509" s="115">
        <v>5.2469990265373231E-3</v>
      </c>
      <c r="P509" s="108">
        <v>6.1542210247390469E-2</v>
      </c>
      <c r="Q509" s="108">
        <v>1.2308442049478092</v>
      </c>
      <c r="R509" s="49">
        <v>54137789.445001736</v>
      </c>
    </row>
    <row r="510" spans="1:18" x14ac:dyDescent="0.25">
      <c r="A510">
        <f t="shared" si="10"/>
        <v>498</v>
      </c>
      <c r="B510" s="168">
        <v>0.99218862082523884</v>
      </c>
      <c r="C510" s="122">
        <v>0.88412327759695453</v>
      </c>
      <c r="D510" s="122">
        <v>0.90787401720877237</v>
      </c>
      <c r="E510" s="122">
        <v>0.93401395259521669</v>
      </c>
      <c r="F510" s="122">
        <v>5.3105212204656711</v>
      </c>
      <c r="G510" s="122">
        <v>1.0973996726232524</v>
      </c>
      <c r="H510" s="163">
        <v>1</v>
      </c>
      <c r="I510" s="12">
        <v>5.3391881090649608E-2</v>
      </c>
      <c r="J510" s="115">
        <v>3.1836828923081033E-2</v>
      </c>
      <c r="K510" s="115">
        <v>1.4149912258831945E-3</v>
      </c>
      <c r="L510" s="115">
        <v>2.8728168714045078E-3</v>
      </c>
      <c r="P510" s="108">
        <v>4.9077443555605137E-2</v>
      </c>
      <c r="Q510" s="108">
        <v>0.98154887111210254</v>
      </c>
      <c r="R510" s="49">
        <v>43172715.036261939</v>
      </c>
    </row>
    <row r="511" spans="1:18" x14ac:dyDescent="0.25">
      <c r="A511">
        <f t="shared" si="10"/>
        <v>499</v>
      </c>
      <c r="B511" s="168">
        <v>0.9926987382181216</v>
      </c>
      <c r="C511" s="122">
        <v>0.84216548717725093</v>
      </c>
      <c r="D511" s="122">
        <v>0.8992136134260611</v>
      </c>
      <c r="E511" s="122">
        <v>2.7369127357755403</v>
      </c>
      <c r="F511" s="122">
        <v>4.847956686602056</v>
      </c>
      <c r="G511" s="122">
        <v>1.1199748680542654</v>
      </c>
      <c r="H511" s="163">
        <v>1</v>
      </c>
      <c r="I511" s="12">
        <v>2.0995830849103059E-2</v>
      </c>
      <c r="J511" s="115">
        <v>5.0603971385545801E-2</v>
      </c>
      <c r="K511" s="115">
        <v>9.0434088836374542E-3</v>
      </c>
      <c r="L511" s="115">
        <v>3.3880354987313503E-2</v>
      </c>
      <c r="P511" s="108">
        <v>8.0415074892740926E-2</v>
      </c>
      <c r="Q511" s="108">
        <v>1.6083014978548185</v>
      </c>
      <c r="R511" s="49">
        <v>70739974.649055645</v>
      </c>
    </row>
    <row r="512" spans="1:18" x14ac:dyDescent="0.25">
      <c r="A512">
        <f t="shared" si="10"/>
        <v>500</v>
      </c>
      <c r="B512" s="168">
        <v>0.9948413515576352</v>
      </c>
      <c r="C512" s="122">
        <v>0.88429076550840857</v>
      </c>
      <c r="D512" s="122">
        <v>0.90485874547396716</v>
      </c>
      <c r="E512" s="122">
        <v>1.4917123701218999</v>
      </c>
      <c r="F512" s="122">
        <v>4.9273614674184243</v>
      </c>
      <c r="G512" s="122">
        <v>1.0805958511257994</v>
      </c>
      <c r="H512" s="163">
        <v>1</v>
      </c>
      <c r="I512" s="12">
        <v>1.1885830579505477E-2</v>
      </c>
      <c r="J512" s="115">
        <v>5.5835521607893061E-2</v>
      </c>
      <c r="K512" s="115">
        <v>1.0077866228265705E-2</v>
      </c>
      <c r="L512" s="115">
        <v>2.693525353575971E-2</v>
      </c>
      <c r="P512" s="108">
        <v>0.10339876692874023</v>
      </c>
      <c r="Q512" s="108">
        <v>2.0679753385748043</v>
      </c>
      <c r="R512" s="49">
        <v>90958395.065089598</v>
      </c>
    </row>
    <row r="513" spans="1:18" x14ac:dyDescent="0.25">
      <c r="A513">
        <f t="shared" si="10"/>
        <v>501</v>
      </c>
      <c r="B513" s="168">
        <v>1.0154031311253078</v>
      </c>
      <c r="C513" s="122">
        <v>0.86118049604366997</v>
      </c>
      <c r="D513" s="122">
        <v>0.91049997189133847</v>
      </c>
      <c r="E513" s="122">
        <v>0.19391689934934409</v>
      </c>
      <c r="F513" s="122">
        <v>5.9887506421117802</v>
      </c>
      <c r="G513" s="122">
        <v>1.1019118825759715</v>
      </c>
      <c r="H513" s="163">
        <v>1</v>
      </c>
      <c r="I513" s="12">
        <v>2.6628768857775015E-2</v>
      </c>
      <c r="J513" s="115">
        <v>7.2579988087526498E-3</v>
      </c>
      <c r="K513" s="115">
        <v>6.8762017013802405E-3</v>
      </c>
      <c r="L513" s="115">
        <v>5.6450397631243616E-3</v>
      </c>
      <c r="P513" s="108">
        <v>-2.4483725484719287E-2</v>
      </c>
      <c r="Q513" s="108">
        <v>-0.48967450969438564</v>
      </c>
      <c r="R513" s="49">
        <v>-21537978.077041194</v>
      </c>
    </row>
    <row r="514" spans="1:18" x14ac:dyDescent="0.25">
      <c r="A514">
        <f t="shared" si="10"/>
        <v>502</v>
      </c>
      <c r="B514" s="168">
        <v>0.99402350699054931</v>
      </c>
      <c r="C514" s="122">
        <v>0.87083587158799303</v>
      </c>
      <c r="D514" s="122">
        <v>0.88938527886653485</v>
      </c>
      <c r="E514" s="122">
        <v>2.4118979898140873</v>
      </c>
      <c r="F514" s="122">
        <v>2.3804042188629642</v>
      </c>
      <c r="G514" s="122">
        <v>1.1079181771957332</v>
      </c>
      <c r="H514" s="163">
        <v>1</v>
      </c>
      <c r="I514" s="12">
        <v>1.5013068194864991E-2</v>
      </c>
      <c r="J514" s="115">
        <v>4.0062085878327353E-2</v>
      </c>
      <c r="K514" s="115">
        <v>2.3355396143417643E-3</v>
      </c>
      <c r="L514" s="115">
        <v>1.1637493599257958E-2</v>
      </c>
      <c r="P514" s="108">
        <v>-2.4580784963962349E-2</v>
      </c>
      <c r="Q514" s="108">
        <v>-0.49161569927924686</v>
      </c>
      <c r="R514" s="49">
        <v>-21623359.892705269</v>
      </c>
    </row>
    <row r="515" spans="1:18" x14ac:dyDescent="0.25">
      <c r="A515">
        <f t="shared" si="10"/>
        <v>503</v>
      </c>
      <c r="B515" s="168">
        <v>1.0061081864610002</v>
      </c>
      <c r="C515" s="122">
        <v>0.89725088660537977</v>
      </c>
      <c r="D515" s="122">
        <v>0.90459813710712667</v>
      </c>
      <c r="E515" s="122">
        <v>3.0220499758772723</v>
      </c>
      <c r="F515" s="122">
        <v>8.3918992410294173</v>
      </c>
      <c r="G515" s="122">
        <v>1.062262801484992</v>
      </c>
      <c r="H515" s="163">
        <v>1</v>
      </c>
      <c r="I515" s="12">
        <v>2.3255508314641321E-2</v>
      </c>
      <c r="J515" s="115">
        <v>2.2828329501682464E-2</v>
      </c>
      <c r="K515" s="115">
        <v>-3.6097097617788631E-4</v>
      </c>
      <c r="L515" s="115">
        <v>1.2555232349937245E-2</v>
      </c>
      <c r="P515" s="108">
        <v>1.3812741647691614E-2</v>
      </c>
      <c r="Q515" s="108">
        <v>0.27625483295383224</v>
      </c>
      <c r="R515" s="49">
        <v>12150868.419819923</v>
      </c>
    </row>
    <row r="516" spans="1:18" x14ac:dyDescent="0.25">
      <c r="A516">
        <f t="shared" si="10"/>
        <v>504</v>
      </c>
      <c r="B516" s="168">
        <v>1.013155122782786</v>
      </c>
      <c r="C516" s="122">
        <v>0.89498460185791162</v>
      </c>
      <c r="D516" s="122">
        <v>0.89058587102712428</v>
      </c>
      <c r="E516" s="122">
        <v>1.4845617110076943</v>
      </c>
      <c r="F516" s="122">
        <v>5.7052918451257115</v>
      </c>
      <c r="G516" s="122">
        <v>1.1055388788576661</v>
      </c>
      <c r="H516" s="163">
        <v>1</v>
      </c>
      <c r="I516" s="12">
        <v>1.7222214054934942E-2</v>
      </c>
      <c r="J516" s="115">
        <v>5.8915656806819705E-2</v>
      </c>
      <c r="K516" s="115">
        <v>-9.6816947112343503E-3</v>
      </c>
      <c r="L516" s="115">
        <v>-5.1451717633551886E-3</v>
      </c>
      <c r="P516" s="108">
        <v>9.927670934332869E-2</v>
      </c>
      <c r="Q516" s="108">
        <v>1.9855341868665735</v>
      </c>
      <c r="R516" s="49">
        <v>87332280.813714549</v>
      </c>
    </row>
    <row r="517" spans="1:18" x14ac:dyDescent="0.25">
      <c r="A517">
        <f t="shared" si="10"/>
        <v>505</v>
      </c>
      <c r="B517" s="168">
        <v>1.0013042337908087</v>
      </c>
      <c r="C517" s="122">
        <v>0.91861367854995313</v>
      </c>
      <c r="D517" s="122">
        <v>0.89948931725155756</v>
      </c>
      <c r="E517" s="122">
        <v>1.7937922421522861</v>
      </c>
      <c r="F517" s="122">
        <v>6.248193178277111</v>
      </c>
      <c r="G517" s="122">
        <v>1.0980648381681084</v>
      </c>
      <c r="H517" s="163">
        <v>1</v>
      </c>
      <c r="I517" s="12">
        <v>1.36701793171913E-2</v>
      </c>
      <c r="J517" s="115">
        <v>2.8526426749363509E-2</v>
      </c>
      <c r="K517" s="115">
        <v>-4.2650110227129895E-3</v>
      </c>
      <c r="L517" s="115">
        <v>2.1375727736788488E-2</v>
      </c>
      <c r="P517" s="108">
        <v>1.6958334437825948E-2</v>
      </c>
      <c r="Q517" s="108">
        <v>0.3391666887565189</v>
      </c>
      <c r="R517" s="49">
        <v>14918000.758217353</v>
      </c>
    </row>
    <row r="518" spans="1:18" x14ac:dyDescent="0.25">
      <c r="A518">
        <f t="shared" si="10"/>
        <v>506</v>
      </c>
      <c r="B518" s="168">
        <v>1.0038451854324888</v>
      </c>
      <c r="C518" s="122">
        <v>0.93378200949689194</v>
      </c>
      <c r="D518" s="122">
        <v>0.90168952740276231</v>
      </c>
      <c r="E518" s="122">
        <v>1.3216962929848766</v>
      </c>
      <c r="F518" s="122">
        <v>4.3240595629015157</v>
      </c>
      <c r="G518" s="122">
        <v>1.1037466720376243</v>
      </c>
      <c r="H518" s="163">
        <v>1</v>
      </c>
      <c r="I518" s="12">
        <v>2.3084498946569755E-2</v>
      </c>
      <c r="J518" s="115">
        <v>2.7118048032912609E-2</v>
      </c>
      <c r="K518" s="115">
        <v>3.8409600857532752E-3</v>
      </c>
      <c r="L518" s="115">
        <v>-6.8208368957322664E-3</v>
      </c>
      <c r="P518" s="108">
        <v>-2.760308467009704E-2</v>
      </c>
      <c r="Q518" s="108">
        <v>-0.55206169340194078</v>
      </c>
      <c r="R518" s="49">
        <v>-24282033.093954943</v>
      </c>
    </row>
    <row r="519" spans="1:18" x14ac:dyDescent="0.25">
      <c r="A519">
        <f t="shared" si="10"/>
        <v>507</v>
      </c>
      <c r="B519" s="168">
        <v>1.0125168431327156</v>
      </c>
      <c r="C519" s="122">
        <v>0.90374618890131797</v>
      </c>
      <c r="D519" s="122">
        <v>0.89466107082632418</v>
      </c>
      <c r="E519" s="122">
        <v>1.7799280050003499</v>
      </c>
      <c r="F519" s="122">
        <v>3.0564552064186978</v>
      </c>
      <c r="G519" s="122">
        <v>1.125420425116177</v>
      </c>
      <c r="H519" s="163">
        <v>1</v>
      </c>
      <c r="I519" s="12">
        <v>-6.2749397549066339E-3</v>
      </c>
      <c r="J519" s="115">
        <v>4.822008259668311E-2</v>
      </c>
      <c r="K519" s="115">
        <v>5.6720936350315677E-3</v>
      </c>
      <c r="L519" s="115">
        <v>-1.0521458874648563E-2</v>
      </c>
      <c r="P519" s="108">
        <v>-2.012323961734273E-2</v>
      </c>
      <c r="Q519" s="108">
        <v>-0.40246479234685456</v>
      </c>
      <c r="R519" s="49">
        <v>-17702121.925353043</v>
      </c>
    </row>
    <row r="520" spans="1:18" x14ac:dyDescent="0.25">
      <c r="A520">
        <f t="shared" si="10"/>
        <v>508</v>
      </c>
      <c r="B520" s="168">
        <v>0.98254021560771665</v>
      </c>
      <c r="C520" s="122">
        <v>0.93594898331881959</v>
      </c>
      <c r="D520" s="122">
        <v>0.91126000758965642</v>
      </c>
      <c r="E520" s="122">
        <v>2.977312410094382</v>
      </c>
      <c r="F520" s="122">
        <v>2.3160859327319323</v>
      </c>
      <c r="G520" s="122">
        <v>1.1116966180282739</v>
      </c>
      <c r="H520" s="163">
        <v>1</v>
      </c>
      <c r="I520" s="12">
        <v>2.8106845198788713E-2</v>
      </c>
      <c r="J520" s="115">
        <v>2.8231784683178135E-2</v>
      </c>
      <c r="K520" s="115">
        <v>9.0992016602103026E-3</v>
      </c>
      <c r="L520" s="115">
        <v>2.1680196304774909E-2</v>
      </c>
      <c r="P520" s="108">
        <v>-4.2760732475280248E-2</v>
      </c>
      <c r="Q520" s="108">
        <v>-0.85521464950560477</v>
      </c>
      <c r="R520" s="49">
        <v>-37615995.94741448</v>
      </c>
    </row>
    <row r="521" spans="1:18" x14ac:dyDescent="0.25">
      <c r="A521">
        <f t="shared" si="10"/>
        <v>509</v>
      </c>
      <c r="B521" s="168">
        <v>0.99256874639747705</v>
      </c>
      <c r="C521" s="122">
        <v>0.87618699993035687</v>
      </c>
      <c r="D521" s="122">
        <v>0.91423084854560699</v>
      </c>
      <c r="E521" s="122">
        <v>1.6430192554392924</v>
      </c>
      <c r="F521" s="122">
        <v>5.07065094212793E-2</v>
      </c>
      <c r="G521" s="122">
        <v>1.1001395251845971</v>
      </c>
      <c r="H521" s="163">
        <v>1</v>
      </c>
      <c r="I521" s="12">
        <v>3.006905863743323E-2</v>
      </c>
      <c r="J521" s="115">
        <v>2.916936803111914E-2</v>
      </c>
      <c r="K521" s="115">
        <v>8.6697242838328047E-3</v>
      </c>
      <c r="L521" s="115">
        <v>8.7812833678857696E-3</v>
      </c>
      <c r="P521" s="108">
        <v>-0.17972083800035682</v>
      </c>
      <c r="Q521" s="108">
        <v>-3.5944167600071357</v>
      </c>
      <c r="R521" s="49">
        <v>-158097813.63767552</v>
      </c>
    </row>
    <row r="522" spans="1:18" x14ac:dyDescent="0.25">
      <c r="A522">
        <f t="shared" si="10"/>
        <v>510</v>
      </c>
      <c r="B522" s="168">
        <v>1.0078464912336516</v>
      </c>
      <c r="C522" s="122">
        <v>0.93197449034053059</v>
      </c>
      <c r="D522" s="122">
        <v>0.88660964911393381</v>
      </c>
      <c r="E522" s="122">
        <v>2.123968101070778</v>
      </c>
      <c r="F522" s="122">
        <v>5.3540715936439565</v>
      </c>
      <c r="G522" s="122">
        <v>1.077095087708497</v>
      </c>
      <c r="H522" s="163">
        <v>1</v>
      </c>
      <c r="I522" s="12">
        <v>1.7311791536997988E-2</v>
      </c>
      <c r="J522" s="115">
        <v>3.6646133234895323E-2</v>
      </c>
      <c r="K522" s="115">
        <v>8.979407325043761E-3</v>
      </c>
      <c r="L522" s="115">
        <v>2.2175656720284913E-2</v>
      </c>
      <c r="P522" s="108">
        <v>3.9574890827229488E-2</v>
      </c>
      <c r="Q522" s="108">
        <v>0.79149781654458962</v>
      </c>
      <c r="R522" s="49">
        <v>34813457.272674516</v>
      </c>
    </row>
    <row r="523" spans="1:18" x14ac:dyDescent="0.25">
      <c r="A523">
        <f t="shared" si="10"/>
        <v>511</v>
      </c>
      <c r="B523" s="168">
        <v>0.98278492472427914</v>
      </c>
      <c r="C523" s="122">
        <v>0.83437613739936478</v>
      </c>
      <c r="D523" s="122">
        <v>0.90229577970471708</v>
      </c>
      <c r="E523" s="122">
        <v>1.5937962505938121</v>
      </c>
      <c r="F523" s="122">
        <v>5.5867641007074917</v>
      </c>
      <c r="G523" s="122">
        <v>1.0604423697605283</v>
      </c>
      <c r="H523" s="163">
        <v>1</v>
      </c>
      <c r="I523" s="12">
        <v>2.2317890245528386E-2</v>
      </c>
      <c r="J523" s="115">
        <v>4.77838408522974E-2</v>
      </c>
      <c r="K523" s="115">
        <v>-4.0058691116323679E-3</v>
      </c>
      <c r="L523" s="115">
        <v>2.2442285869974356E-2</v>
      </c>
      <c r="P523" s="108">
        <v>9.1164633646643928E-2</v>
      </c>
      <c r="Q523" s="108">
        <v>1.823292672932878</v>
      </c>
      <c r="R523" s="49">
        <v>80196205.520616695</v>
      </c>
    </row>
    <row r="524" spans="1:18" x14ac:dyDescent="0.25">
      <c r="A524">
        <f t="shared" si="10"/>
        <v>512</v>
      </c>
      <c r="B524" s="168">
        <v>1.013446542602028</v>
      </c>
      <c r="C524" s="122">
        <v>0.84964134395569546</v>
      </c>
      <c r="D524" s="122">
        <v>0.87291497965787157</v>
      </c>
      <c r="E524" s="122">
        <v>2.9989083063449593</v>
      </c>
      <c r="F524" s="122">
        <v>4.404876398313001</v>
      </c>
      <c r="G524" s="122">
        <v>1.0563082173554894</v>
      </c>
      <c r="H524" s="163">
        <v>1</v>
      </c>
      <c r="I524" s="12">
        <v>7.6964708721743331E-3</v>
      </c>
      <c r="J524" s="115">
        <v>1.1956365214966153E-2</v>
      </c>
      <c r="K524" s="115">
        <v>6.5339157249460177E-3</v>
      </c>
      <c r="L524" s="115">
        <v>-1.7081644228824737E-3</v>
      </c>
      <c r="P524" s="108">
        <v>-8.9716134091432864E-2</v>
      </c>
      <c r="Q524" s="108">
        <v>-1.7943226818286571</v>
      </c>
      <c r="R524" s="49">
        <v>-78921981.478029266</v>
      </c>
    </row>
    <row r="525" spans="1:18" x14ac:dyDescent="0.25">
      <c r="A525">
        <f t="shared" si="10"/>
        <v>513</v>
      </c>
      <c r="B525" s="168">
        <v>0.99960911570101163</v>
      </c>
      <c r="C525" s="122">
        <v>0.89630284645349612</v>
      </c>
      <c r="D525" s="122">
        <v>0.9165225574425323</v>
      </c>
      <c r="E525" s="122">
        <v>2.7708168086488363</v>
      </c>
      <c r="F525" s="122">
        <v>7.5373621982813113</v>
      </c>
      <c r="G525" s="122">
        <v>1.08851310792872</v>
      </c>
      <c r="H525" s="163">
        <v>1</v>
      </c>
      <c r="I525" s="12">
        <v>2.5743575821783413E-2</v>
      </c>
      <c r="J525" s="115">
        <v>4.1219587832798471E-2</v>
      </c>
      <c r="K525" s="115">
        <v>5.375494453688256E-4</v>
      </c>
      <c r="L525" s="115">
        <v>3.4533925900364762E-2</v>
      </c>
      <c r="P525" s="108">
        <v>8.7787628070932114E-2</v>
      </c>
      <c r="Q525" s="108">
        <v>1.755752561418642</v>
      </c>
      <c r="R525" s="49">
        <v>77225502.712291166</v>
      </c>
    </row>
    <row r="526" spans="1:18" x14ac:dyDescent="0.25">
      <c r="A526">
        <f t="shared" si="10"/>
        <v>514</v>
      </c>
      <c r="B526" s="168">
        <v>0.99570398789235326</v>
      </c>
      <c r="C526" s="122">
        <v>0.92071511381517046</v>
      </c>
      <c r="D526" s="122">
        <v>0.90145782311738532</v>
      </c>
      <c r="E526" s="122">
        <v>2.8582046095248419</v>
      </c>
      <c r="F526" s="122">
        <v>6.9530499956644665</v>
      </c>
      <c r="G526" s="122">
        <v>1.1161398036601493</v>
      </c>
      <c r="H526" s="163">
        <v>1</v>
      </c>
      <c r="I526" s="12">
        <v>3.0904650938683748E-2</v>
      </c>
      <c r="J526" s="115">
        <v>5.5523943849124346E-2</v>
      </c>
      <c r="K526" s="115">
        <v>-5.0766512877929455E-4</v>
      </c>
      <c r="L526" s="115">
        <v>3.0048249624464007E-2</v>
      </c>
      <c r="P526" s="108">
        <v>0.1274496497506572</v>
      </c>
      <c r="Q526" s="108">
        <v>2.5489929950131436</v>
      </c>
      <c r="R526" s="49">
        <v>112115607.73173344</v>
      </c>
    </row>
    <row r="527" spans="1:18" x14ac:dyDescent="0.25">
      <c r="A527">
        <f t="shared" ref="A527:A590" si="11">A526+1</f>
        <v>515</v>
      </c>
      <c r="B527" s="168">
        <v>1.0020549626511992</v>
      </c>
      <c r="C527" s="122">
        <v>0.86439703488365094</v>
      </c>
      <c r="D527" s="122">
        <v>0.90703603525115351</v>
      </c>
      <c r="E527" s="122">
        <v>1.694826174527138</v>
      </c>
      <c r="F527" s="122">
        <v>4.1785908369276825</v>
      </c>
      <c r="G527" s="122">
        <v>1.0867468011342998</v>
      </c>
      <c r="H527" s="163">
        <v>1</v>
      </c>
      <c r="I527" s="12">
        <v>2.9779411092856322E-2</v>
      </c>
      <c r="J527" s="115">
        <v>2.4924033020620504E-2</v>
      </c>
      <c r="K527" s="115">
        <v>9.4964033667569343E-3</v>
      </c>
      <c r="L527" s="115">
        <v>7.0300964689538285E-3</v>
      </c>
      <c r="P527" s="108">
        <v>-2.1561637253005205E-2</v>
      </c>
      <c r="Q527" s="108">
        <v>-0.43123274506010401</v>
      </c>
      <c r="R527" s="49">
        <v>-18967459.455881301</v>
      </c>
    </row>
    <row r="528" spans="1:18" x14ac:dyDescent="0.25">
      <c r="A528">
        <f t="shared" si="11"/>
        <v>516</v>
      </c>
      <c r="B528" s="168">
        <v>1.0088687257737794</v>
      </c>
      <c r="C528" s="122">
        <v>0.89498615475546117</v>
      </c>
      <c r="D528" s="122">
        <v>0.890825116110181</v>
      </c>
      <c r="E528" s="122">
        <v>2.0229440085056178</v>
      </c>
      <c r="F528" s="122">
        <v>7.8891373305031607</v>
      </c>
      <c r="G528" s="122">
        <v>1.0926407066286505</v>
      </c>
      <c r="H528" s="163">
        <v>1</v>
      </c>
      <c r="I528" s="12">
        <v>3.3619221484832658E-2</v>
      </c>
      <c r="J528" s="115">
        <v>6.0889063390127451E-2</v>
      </c>
      <c r="K528" s="115">
        <v>4.3664231965136122E-3</v>
      </c>
      <c r="L528" s="115">
        <v>1.4887776493908041E-2</v>
      </c>
      <c r="P528" s="108">
        <v>0.15976389094778462</v>
      </c>
      <c r="Q528" s="108">
        <v>3.1952778189556916</v>
      </c>
      <c r="R528" s="49">
        <v>140541976.86882934</v>
      </c>
    </row>
    <row r="529" spans="1:18" x14ac:dyDescent="0.25">
      <c r="A529">
        <f t="shared" si="11"/>
        <v>517</v>
      </c>
      <c r="B529" s="168">
        <v>1.0060782718047498</v>
      </c>
      <c r="C529" s="122">
        <v>0.91714233155058622</v>
      </c>
      <c r="D529" s="122">
        <v>0.91046335749822827</v>
      </c>
      <c r="E529" s="122">
        <v>2.9859967803637852</v>
      </c>
      <c r="F529" s="122">
        <v>2.4431941813433622</v>
      </c>
      <c r="G529" s="122">
        <v>1.1097946716111116</v>
      </c>
      <c r="H529" s="163">
        <v>1</v>
      </c>
      <c r="I529" s="12">
        <v>2.0973469981777751E-2</v>
      </c>
      <c r="J529" s="115">
        <v>1.0325311146598209E-2</v>
      </c>
      <c r="K529" s="115">
        <v>7.8825943945187108E-3</v>
      </c>
      <c r="L529" s="115">
        <v>4.6410762009796661E-3</v>
      </c>
      <c r="P529" s="108">
        <v>-0.12260200318967297</v>
      </c>
      <c r="Q529" s="108">
        <v>-2.4520400637934587</v>
      </c>
      <c r="R529" s="49">
        <v>-107851203.38604328</v>
      </c>
    </row>
    <row r="530" spans="1:18" x14ac:dyDescent="0.25">
      <c r="A530">
        <f t="shared" si="11"/>
        <v>518</v>
      </c>
      <c r="B530" s="168">
        <v>0.98402932145624145</v>
      </c>
      <c r="C530" s="122">
        <v>0.89681325638458587</v>
      </c>
      <c r="D530" s="122">
        <v>0.90009415041191843</v>
      </c>
      <c r="E530" s="122">
        <v>2.3552016927683823</v>
      </c>
      <c r="F530" s="122">
        <v>6.6015830583710411</v>
      </c>
      <c r="G530" s="122">
        <v>1.1261498036513984</v>
      </c>
      <c r="H530" s="163">
        <v>1</v>
      </c>
      <c r="I530" s="12">
        <v>3.9877841569201135E-3</v>
      </c>
      <c r="J530" s="115">
        <v>3.2310533420035703E-2</v>
      </c>
      <c r="K530" s="115">
        <v>1.0252818136425323E-2</v>
      </c>
      <c r="L530" s="115">
        <v>3.4422539666239017E-2</v>
      </c>
      <c r="P530" s="108">
        <v>2.8087606493140186E-2</v>
      </c>
      <c r="Q530" s="108">
        <v>0.56175212986280365</v>
      </c>
      <c r="R530" s="49">
        <v>24708259.911808468</v>
      </c>
    </row>
    <row r="531" spans="1:18" x14ac:dyDescent="0.25">
      <c r="A531">
        <f t="shared" si="11"/>
        <v>519</v>
      </c>
      <c r="B531" s="168">
        <v>0.99192661138547522</v>
      </c>
      <c r="C531" s="122">
        <v>0.90705254582352823</v>
      </c>
      <c r="D531" s="122">
        <v>0.88944390360147285</v>
      </c>
      <c r="E531" s="122">
        <v>2.451130581857984</v>
      </c>
      <c r="F531" s="122">
        <v>1.2860775913896361</v>
      </c>
      <c r="G531" s="122">
        <v>1.1131856806861127</v>
      </c>
      <c r="H531" s="163">
        <v>1</v>
      </c>
      <c r="I531" s="12">
        <v>3.3368969516745076E-2</v>
      </c>
      <c r="J531" s="115">
        <v>4.4031402304479619E-2</v>
      </c>
      <c r="K531" s="115">
        <v>-2.2447461401243034E-3</v>
      </c>
      <c r="L531" s="115">
        <v>4.1460118457042356E-3</v>
      </c>
      <c r="P531" s="108">
        <v>-3.3509550993019006E-2</v>
      </c>
      <c r="Q531" s="108">
        <v>-0.67019101986037999</v>
      </c>
      <c r="R531" s="49">
        <v>-29477865.821914237</v>
      </c>
    </row>
    <row r="532" spans="1:18" x14ac:dyDescent="0.25">
      <c r="A532">
        <f t="shared" si="11"/>
        <v>520</v>
      </c>
      <c r="B532" s="168">
        <v>1.0019881510935973</v>
      </c>
      <c r="C532" s="122">
        <v>0.9391789002843054</v>
      </c>
      <c r="D532" s="122">
        <v>0.87902621199680619</v>
      </c>
      <c r="E532" s="122">
        <v>2.8756938248540527</v>
      </c>
      <c r="F532" s="122">
        <v>8.7869829260800021</v>
      </c>
      <c r="G532" s="122">
        <v>1.1049855655899306</v>
      </c>
      <c r="H532" s="163">
        <v>1</v>
      </c>
      <c r="I532" s="12">
        <v>2.6869935272623727E-2</v>
      </c>
      <c r="J532" s="115">
        <v>6.2504524848309734E-2</v>
      </c>
      <c r="K532" s="115">
        <v>6.7461707321443409E-3</v>
      </c>
      <c r="L532" s="115">
        <v>-3.6020363575935702E-2</v>
      </c>
      <c r="P532" s="108">
        <v>0.11757495575135971</v>
      </c>
      <c r="Q532" s="108">
        <v>2.3514991150271936</v>
      </c>
      <c r="R532" s="49">
        <v>103428982.69147572</v>
      </c>
    </row>
    <row r="533" spans="1:18" x14ac:dyDescent="0.25">
      <c r="A533">
        <f t="shared" si="11"/>
        <v>521</v>
      </c>
      <c r="B533" s="168">
        <v>0.99320065394023993</v>
      </c>
      <c r="C533" s="122">
        <v>0.91791724011220577</v>
      </c>
      <c r="D533" s="122">
        <v>0.88111066082316969</v>
      </c>
      <c r="E533" s="122">
        <v>3.9247801210484079</v>
      </c>
      <c r="F533" s="122">
        <v>3.8140094163793368</v>
      </c>
      <c r="G533" s="122">
        <v>1.0947632293777441</v>
      </c>
      <c r="H533" s="163">
        <v>1</v>
      </c>
      <c r="I533" s="12">
        <v>1.7083347585661914E-2</v>
      </c>
      <c r="J533" s="115">
        <v>3.829612754685164E-2</v>
      </c>
      <c r="K533" s="115">
        <v>8.5860390966564391E-4</v>
      </c>
      <c r="L533" s="115">
        <v>-2.1525472004977307E-3</v>
      </c>
      <c r="P533" s="108">
        <v>-5.508289887439303E-3</v>
      </c>
      <c r="Q533" s="108">
        <v>-0.11016579774878604</v>
      </c>
      <c r="R533" s="49">
        <v>-4845562.6947663259</v>
      </c>
    </row>
    <row r="534" spans="1:18" x14ac:dyDescent="0.25">
      <c r="A534">
        <f t="shared" si="11"/>
        <v>522</v>
      </c>
      <c r="B534" s="168">
        <v>0.98783429242903042</v>
      </c>
      <c r="C534" s="122">
        <v>0.88625141632395876</v>
      </c>
      <c r="D534" s="122">
        <v>0.89666525421755316</v>
      </c>
      <c r="E534" s="122">
        <v>1.0387364061679529</v>
      </c>
      <c r="F534" s="122">
        <v>4.4414924178185489</v>
      </c>
      <c r="G534" s="122">
        <v>1.0850122844676213</v>
      </c>
      <c r="H534" s="163">
        <v>1</v>
      </c>
      <c r="I534" s="12">
        <v>3.4453119491230186E-2</v>
      </c>
      <c r="J534" s="115">
        <v>2.641377798102363E-2</v>
      </c>
      <c r="K534" s="115">
        <v>7.114463527559841E-3</v>
      </c>
      <c r="L534" s="115">
        <v>3.2876018664211595E-2</v>
      </c>
      <c r="P534" s="108">
        <v>1.9764268515665866E-2</v>
      </c>
      <c r="Q534" s="108">
        <v>0.39528537031331723</v>
      </c>
      <c r="R534" s="49">
        <v>17386340.255482867</v>
      </c>
    </row>
    <row r="535" spans="1:18" x14ac:dyDescent="0.25">
      <c r="A535">
        <f t="shared" si="11"/>
        <v>523</v>
      </c>
      <c r="B535" s="168">
        <v>1.0018854938743094</v>
      </c>
      <c r="C535" s="122">
        <v>0.8911824093666173</v>
      </c>
      <c r="D535" s="122">
        <v>0.905932869748035</v>
      </c>
      <c r="E535" s="122">
        <v>0.84073393636687044</v>
      </c>
      <c r="F535" s="122">
        <v>1.8237697715899341</v>
      </c>
      <c r="G535" s="122">
        <v>1.1073887590539675</v>
      </c>
      <c r="H535" s="163">
        <v>1</v>
      </c>
      <c r="I535" s="12">
        <v>2.9914686377388647E-2</v>
      </c>
      <c r="J535" s="115">
        <v>4.364745503057494E-2</v>
      </c>
      <c r="K535" s="115">
        <v>1.2025888577737832E-2</v>
      </c>
      <c r="L535" s="115">
        <v>9.0798693432469074E-3</v>
      </c>
      <c r="P535" s="108">
        <v>-4.8746986243194498E-2</v>
      </c>
      <c r="Q535" s="108">
        <v>-0.97493972486388969</v>
      </c>
      <c r="R535" s="49">
        <v>-42882016.533105619</v>
      </c>
    </row>
    <row r="536" spans="1:18" x14ac:dyDescent="0.25">
      <c r="A536">
        <f t="shared" si="11"/>
        <v>524</v>
      </c>
      <c r="B536" s="168">
        <v>0.98955765786468985</v>
      </c>
      <c r="C536" s="122">
        <v>0.92375197052548719</v>
      </c>
      <c r="D536" s="122">
        <v>0.89486022293909628</v>
      </c>
      <c r="E536" s="122">
        <v>2.8066940360414132</v>
      </c>
      <c r="F536" s="122">
        <v>3.5937735330483314</v>
      </c>
      <c r="G536" s="122">
        <v>1.088341499238245</v>
      </c>
      <c r="H536" s="163">
        <v>1</v>
      </c>
      <c r="I536" s="12">
        <v>2.4553530383975949E-2</v>
      </c>
      <c r="J536" s="115">
        <v>2.5391965718782564E-2</v>
      </c>
      <c r="K536" s="115">
        <v>5.8528672012765695E-3</v>
      </c>
      <c r="L536" s="115">
        <v>2.0780341950057128E-2</v>
      </c>
      <c r="P536" s="108">
        <v>-2.8393598160556605E-2</v>
      </c>
      <c r="Q536" s="108">
        <v>-0.56787196321113198</v>
      </c>
      <c r="R536" s="49">
        <v>-24977436.342032924</v>
      </c>
    </row>
    <row r="537" spans="1:18" x14ac:dyDescent="0.25">
      <c r="A537">
        <f t="shared" si="11"/>
        <v>525</v>
      </c>
      <c r="B537" s="168">
        <v>1.0090199372053363</v>
      </c>
      <c r="C537" s="122">
        <v>0.91077622327450325</v>
      </c>
      <c r="D537" s="122">
        <v>0.90790148709911278</v>
      </c>
      <c r="E537" s="122">
        <v>1.7767444580160272</v>
      </c>
      <c r="F537" s="122">
        <v>4.3832343967881062</v>
      </c>
      <c r="G537" s="122">
        <v>1.1679167741874346</v>
      </c>
      <c r="H537" s="163">
        <v>1</v>
      </c>
      <c r="I537" s="12">
        <v>2.91404676217633E-2</v>
      </c>
      <c r="J537" s="115">
        <v>3.4964435058593278E-2</v>
      </c>
      <c r="K537" s="115">
        <v>1.0550437649632313E-2</v>
      </c>
      <c r="L537" s="115">
        <v>2.4143123496797474E-2</v>
      </c>
      <c r="P537" s="108">
        <v>1.5212259058103693E-2</v>
      </c>
      <c r="Q537" s="108">
        <v>0.30424518116207383</v>
      </c>
      <c r="R537" s="49">
        <v>13382003.580304602</v>
      </c>
    </row>
    <row r="538" spans="1:18" x14ac:dyDescent="0.25">
      <c r="A538">
        <f t="shared" si="11"/>
        <v>526</v>
      </c>
      <c r="B538" s="168">
        <v>1.0037284183407582</v>
      </c>
      <c r="C538" s="122">
        <v>0.87467468291681327</v>
      </c>
      <c r="D538" s="122">
        <v>0.89754381207746115</v>
      </c>
      <c r="E538" s="122">
        <v>1.7954510442888676</v>
      </c>
      <c r="F538" s="122">
        <v>3.9488037725180059</v>
      </c>
      <c r="G538" s="122">
        <v>1.0892576874258122</v>
      </c>
      <c r="H538" s="163">
        <v>1</v>
      </c>
      <c r="I538" s="12">
        <v>2.2124655201587538E-2</v>
      </c>
      <c r="J538" s="115">
        <v>4.2860016161672024E-2</v>
      </c>
      <c r="K538" s="115">
        <v>-3.6506862352675895E-3</v>
      </c>
      <c r="L538" s="115">
        <v>1.4315877057610931E-2</v>
      </c>
      <c r="P538" s="108">
        <v>3.1439304765608619E-2</v>
      </c>
      <c r="Q538" s="108">
        <v>0.62878609531217222</v>
      </c>
      <c r="R538" s="49">
        <v>27656700.252651874</v>
      </c>
    </row>
    <row r="539" spans="1:18" x14ac:dyDescent="0.25">
      <c r="A539">
        <f t="shared" si="11"/>
        <v>527</v>
      </c>
      <c r="B539" s="168">
        <v>1.0054860148392299</v>
      </c>
      <c r="C539" s="122">
        <v>0.89647171858705554</v>
      </c>
      <c r="D539" s="122">
        <v>0.91280746243249178</v>
      </c>
      <c r="E539" s="122">
        <v>1.3702631130074714</v>
      </c>
      <c r="F539" s="122">
        <v>4.5935975499015864</v>
      </c>
      <c r="G539" s="122">
        <v>1.1056493132728837</v>
      </c>
      <c r="H539" s="163">
        <v>1</v>
      </c>
      <c r="I539" s="12">
        <v>2.8529763823469105E-2</v>
      </c>
      <c r="J539" s="115">
        <v>3.0735779088447088E-2</v>
      </c>
      <c r="K539" s="115">
        <v>3.9064980259604374E-3</v>
      </c>
      <c r="L539" s="115">
        <v>-2.5942193755168104E-3</v>
      </c>
      <c r="P539" s="108">
        <v>-2.4148184271566811E-3</v>
      </c>
      <c r="Q539" s="108">
        <v>-4.8296368543133614E-2</v>
      </c>
      <c r="R539" s="49">
        <v>-2124280.7340164008</v>
      </c>
    </row>
    <row r="540" spans="1:18" x14ac:dyDescent="0.25">
      <c r="A540">
        <f t="shared" si="11"/>
        <v>528</v>
      </c>
      <c r="B540" s="168">
        <v>1.0004655911449309</v>
      </c>
      <c r="C540" s="122">
        <v>0.91262659268938118</v>
      </c>
      <c r="D540" s="122">
        <v>0.87596097106061155</v>
      </c>
      <c r="E540" s="122">
        <v>1.1815375361228884</v>
      </c>
      <c r="F540" s="122">
        <v>7.8569777389775579</v>
      </c>
      <c r="G540" s="122">
        <v>1.0694716835650206</v>
      </c>
      <c r="H540" s="163">
        <v>1</v>
      </c>
      <c r="I540" s="12">
        <v>4.0965673034955775E-2</v>
      </c>
      <c r="J540" s="115">
        <v>5.3841763670928855E-2</v>
      </c>
      <c r="K540" s="115">
        <v>-2.379427444551635E-3</v>
      </c>
      <c r="L540" s="115">
        <v>1.8050388391122364E-2</v>
      </c>
      <c r="P540" s="108">
        <v>0.15981040482432465</v>
      </c>
      <c r="Q540" s="108">
        <v>3.1962080964864925</v>
      </c>
      <c r="R540" s="49">
        <v>140582894.45115656</v>
      </c>
    </row>
    <row r="541" spans="1:18" x14ac:dyDescent="0.25">
      <c r="A541">
        <f t="shared" si="11"/>
        <v>529</v>
      </c>
      <c r="B541" s="168">
        <v>0.97738538850897816</v>
      </c>
      <c r="C541" s="122">
        <v>0.89154071627399978</v>
      </c>
      <c r="D541" s="122">
        <v>0.88964729003677379</v>
      </c>
      <c r="E541" s="122">
        <v>2.8833401281086704</v>
      </c>
      <c r="F541" s="122">
        <v>4.5351101636532718</v>
      </c>
      <c r="G541" s="122">
        <v>1.0685053842653756</v>
      </c>
      <c r="H541" s="163">
        <v>1</v>
      </c>
      <c r="I541" s="12">
        <v>3.70069496198423E-2</v>
      </c>
      <c r="J541" s="115">
        <v>4.2603776467067284E-2</v>
      </c>
      <c r="K541" s="115">
        <v>-1.8686268752643375E-3</v>
      </c>
      <c r="L541" s="115">
        <v>3.3798402834921484E-4</v>
      </c>
      <c r="P541" s="108">
        <v>4.383488267896489E-2</v>
      </c>
      <c r="Q541" s="108">
        <v>0.87669765357929763</v>
      </c>
      <c r="R541" s="49">
        <v>38560910.296860531</v>
      </c>
    </row>
    <row r="542" spans="1:18" x14ac:dyDescent="0.25">
      <c r="A542">
        <f t="shared" si="11"/>
        <v>530</v>
      </c>
      <c r="B542" s="168">
        <v>1.027271363229616</v>
      </c>
      <c r="C542" s="122">
        <v>0.90233042761970983</v>
      </c>
      <c r="D542" s="122">
        <v>0.91100709379219913</v>
      </c>
      <c r="E542" s="122">
        <v>2.3179972268640952</v>
      </c>
      <c r="F542" s="122">
        <v>1.1454672910268942</v>
      </c>
      <c r="G542" s="122">
        <v>1.1407811749683812</v>
      </c>
      <c r="H542" s="163">
        <v>1</v>
      </c>
      <c r="I542" s="12">
        <v>1.1900880962311506E-2</v>
      </c>
      <c r="J542" s="115">
        <v>4.7301140636038096E-2</v>
      </c>
      <c r="K542" s="115">
        <v>-5.7606657413216264E-3</v>
      </c>
      <c r="L542" s="115">
        <v>1.4250277192650714E-2</v>
      </c>
      <c r="P542" s="108">
        <v>-4.90366255095206E-2</v>
      </c>
      <c r="Q542" s="108">
        <v>-0.98073251019041185</v>
      </c>
      <c r="R542" s="49">
        <v>-43136807.993346214</v>
      </c>
    </row>
    <row r="543" spans="1:18" x14ac:dyDescent="0.25">
      <c r="A543">
        <f t="shared" si="11"/>
        <v>531</v>
      </c>
      <c r="B543" s="168">
        <v>1.0010933373952013</v>
      </c>
      <c r="C543" s="122">
        <v>0.94717728866741047</v>
      </c>
      <c r="D543" s="122">
        <v>0.90825057064797476</v>
      </c>
      <c r="E543" s="122">
        <v>2.6270501567277265</v>
      </c>
      <c r="F543" s="122">
        <v>5.6476093300397565</v>
      </c>
      <c r="G543" s="122">
        <v>1.1418151195091131</v>
      </c>
      <c r="H543" s="163">
        <v>1</v>
      </c>
      <c r="I543" s="12">
        <v>1.6912103056462402E-2</v>
      </c>
      <c r="J543" s="115">
        <v>4.6663715717962753E-2</v>
      </c>
      <c r="K543" s="115">
        <v>1.2513588871639433E-2</v>
      </c>
      <c r="L543" s="115">
        <v>2.7791519198942981E-2</v>
      </c>
      <c r="P543" s="108">
        <v>6.8134129302681423E-2</v>
      </c>
      <c r="Q543" s="108">
        <v>1.3626825860536282</v>
      </c>
      <c r="R543" s="49">
        <v>59936604.996462494</v>
      </c>
    </row>
    <row r="544" spans="1:18" x14ac:dyDescent="0.25">
      <c r="A544">
        <f t="shared" si="11"/>
        <v>532</v>
      </c>
      <c r="B544" s="168">
        <v>1.0214960204027259</v>
      </c>
      <c r="C544" s="122">
        <v>0.90681457950287037</v>
      </c>
      <c r="D544" s="122">
        <v>0.90949026858145399</v>
      </c>
      <c r="E544" s="122">
        <v>1.8388926718265706</v>
      </c>
      <c r="F544" s="122">
        <v>5.5345960535156431</v>
      </c>
      <c r="G544" s="122">
        <v>1.1281190580797926</v>
      </c>
      <c r="H544" s="163">
        <v>1</v>
      </c>
      <c r="I544" s="12">
        <v>2.5942852597258977E-2</v>
      </c>
      <c r="J544" s="115">
        <v>4.1128003821417146E-2</v>
      </c>
      <c r="K544" s="115">
        <v>4.9907763404809834E-3</v>
      </c>
      <c r="L544" s="115">
        <v>6.0004268624103199E-2</v>
      </c>
      <c r="P544" s="108">
        <v>8.6037783744924934E-2</v>
      </c>
      <c r="Q544" s="108">
        <v>1.7207556748984982</v>
      </c>
      <c r="R544" s="49">
        <v>75686190.047014818</v>
      </c>
    </row>
    <row r="545" spans="1:18" x14ac:dyDescent="0.25">
      <c r="A545">
        <f t="shared" si="11"/>
        <v>533</v>
      </c>
      <c r="B545" s="168">
        <v>1.0008617891265152</v>
      </c>
      <c r="C545" s="122">
        <v>0.90885988976860332</v>
      </c>
      <c r="D545" s="122">
        <v>0.90601362603424629</v>
      </c>
      <c r="E545" s="122">
        <v>2.0525958571204863</v>
      </c>
      <c r="F545" s="122">
        <v>4.7441416176781139</v>
      </c>
      <c r="G545" s="122">
        <v>1.1280529213387684</v>
      </c>
      <c r="H545" s="163">
        <v>1</v>
      </c>
      <c r="I545" s="12">
        <v>2.9374845427791983E-2</v>
      </c>
      <c r="J545" s="115">
        <v>6.875555343881018E-2</v>
      </c>
      <c r="K545" s="115">
        <v>-9.8645743450039187E-4</v>
      </c>
      <c r="L545" s="115">
        <v>2.8681364141465302E-2</v>
      </c>
      <c r="P545" s="108">
        <v>0.14492564820268325</v>
      </c>
      <c r="Q545" s="108">
        <v>2.8985129640536642</v>
      </c>
      <c r="R545" s="49">
        <v>127488990.01250848</v>
      </c>
    </row>
    <row r="546" spans="1:18" x14ac:dyDescent="0.25">
      <c r="A546">
        <f t="shared" si="11"/>
        <v>534</v>
      </c>
      <c r="B546" s="168">
        <v>0.99824118055094746</v>
      </c>
      <c r="C546" s="122">
        <v>0.9301756281567658</v>
      </c>
      <c r="D546" s="122">
        <v>0.89931756910230332</v>
      </c>
      <c r="E546" s="122">
        <v>2.3415187688473709</v>
      </c>
      <c r="F546" s="122">
        <v>0.80632199487229528</v>
      </c>
      <c r="G546" s="122">
        <v>1.0804369402453586</v>
      </c>
      <c r="H546" s="163">
        <v>1</v>
      </c>
      <c r="I546" s="12">
        <v>3.1485774953284557E-2</v>
      </c>
      <c r="J546" s="115">
        <v>4.4083686725447303E-2</v>
      </c>
      <c r="K546" s="115">
        <v>2.7287579709049745E-4</v>
      </c>
      <c r="L546" s="115">
        <v>2.9689401140902433E-2</v>
      </c>
      <c r="P546" s="108">
        <v>-2.7382325353248579E-2</v>
      </c>
      <c r="Q546" s="108">
        <v>-0.54764650706497153</v>
      </c>
      <c r="R546" s="49">
        <v>-24087834.325897686</v>
      </c>
    </row>
    <row r="547" spans="1:18" x14ac:dyDescent="0.25">
      <c r="A547">
        <f t="shared" si="11"/>
        <v>535</v>
      </c>
      <c r="B547" s="168">
        <v>1.0018948341016052</v>
      </c>
      <c r="C547" s="122">
        <v>0.92160561026330989</v>
      </c>
      <c r="D547" s="122">
        <v>0.90327262448831069</v>
      </c>
      <c r="E547" s="122">
        <v>2.1436244124773229</v>
      </c>
      <c r="F547" s="122">
        <v>3.6072631218854632</v>
      </c>
      <c r="G547" s="122">
        <v>1.1040290335375629</v>
      </c>
      <c r="H547" s="163">
        <v>1</v>
      </c>
      <c r="I547" s="12">
        <v>2.3948861248667491E-2</v>
      </c>
      <c r="J547" s="115">
        <v>3.1484627001714477E-2</v>
      </c>
      <c r="K547" s="115">
        <v>4.1760918759023019E-3</v>
      </c>
      <c r="L547" s="115">
        <v>3.5192779738608751E-2</v>
      </c>
      <c r="P547" s="108">
        <v>9.2001759893364123E-6</v>
      </c>
      <c r="Q547" s="108">
        <v>1.8400351978672822E-4</v>
      </c>
      <c r="R547" s="49">
        <v>8093.2613334003836</v>
      </c>
    </row>
    <row r="548" spans="1:18" x14ac:dyDescent="0.25">
      <c r="A548">
        <f t="shared" si="11"/>
        <v>536</v>
      </c>
      <c r="B548" s="168">
        <v>0.99288204834339977</v>
      </c>
      <c r="C548" s="122">
        <v>0.87858856236031668</v>
      </c>
      <c r="D548" s="122">
        <v>0.90368169378530572</v>
      </c>
      <c r="E548" s="122">
        <v>1.9880495492743744</v>
      </c>
      <c r="F548" s="122">
        <v>4.4776533261013602</v>
      </c>
      <c r="G548" s="122">
        <v>1.0703481301160813</v>
      </c>
      <c r="H548" s="163">
        <v>1</v>
      </c>
      <c r="I548" s="12">
        <v>2.4626725099204116E-2</v>
      </c>
      <c r="J548" s="115">
        <v>1.7479364744707394E-2</v>
      </c>
      <c r="K548" s="115">
        <v>-2.3944660961264432E-3</v>
      </c>
      <c r="L548" s="115">
        <v>3.6497157557406193E-2</v>
      </c>
      <c r="P548" s="108">
        <v>-2.5652585065758658E-2</v>
      </c>
      <c r="Q548" s="108">
        <v>-0.51305170131517308</v>
      </c>
      <c r="R548" s="49">
        <v>-22566206.891617548</v>
      </c>
    </row>
    <row r="549" spans="1:18" x14ac:dyDescent="0.25">
      <c r="A549">
        <f t="shared" si="11"/>
        <v>537</v>
      </c>
      <c r="B549" s="168">
        <v>1.0019981997888054</v>
      </c>
      <c r="C549" s="122">
        <v>0.96221633744233392</v>
      </c>
      <c r="D549" s="122">
        <v>0.89566514800398245</v>
      </c>
      <c r="E549" s="122">
        <v>3.0267890995797764</v>
      </c>
      <c r="F549" s="122">
        <v>2.7536369530197846</v>
      </c>
      <c r="G549" s="122">
        <v>1.1185697266604007</v>
      </c>
      <c r="H549" s="163">
        <v>1</v>
      </c>
      <c r="I549" s="12">
        <v>2.2552941657114745E-2</v>
      </c>
      <c r="J549" s="115">
        <v>4.7978710148454402E-2</v>
      </c>
      <c r="K549" s="115">
        <v>4.0519058048741202E-3</v>
      </c>
      <c r="L549" s="115">
        <v>1.1199586462229688E-2</v>
      </c>
      <c r="P549" s="108">
        <v>2.0222396299664797E-2</v>
      </c>
      <c r="Q549" s="108">
        <v>0.40444792599329582</v>
      </c>
      <c r="R549" s="49">
        <v>17789348.620137628</v>
      </c>
    </row>
    <row r="550" spans="1:18" x14ac:dyDescent="0.25">
      <c r="A550">
        <f t="shared" si="11"/>
        <v>538</v>
      </c>
      <c r="B550" s="168">
        <v>1.000875131600204</v>
      </c>
      <c r="C550" s="122">
        <v>0.93813024402393219</v>
      </c>
      <c r="D550" s="122">
        <v>0.88761066959852342</v>
      </c>
      <c r="E550" s="122">
        <v>-0.3199431035280651</v>
      </c>
      <c r="F550" s="122">
        <v>6.0237551084919811</v>
      </c>
      <c r="G550" s="122">
        <v>1.09356969604934</v>
      </c>
      <c r="H550" s="163">
        <v>1</v>
      </c>
      <c r="I550" s="12">
        <v>2.5685624254856741E-2</v>
      </c>
      <c r="J550" s="115">
        <v>4.8978683611080383E-2</v>
      </c>
      <c r="K550" s="115">
        <v>-1.2677396043108777E-3</v>
      </c>
      <c r="L550" s="115">
        <v>4.0050723252569448E-2</v>
      </c>
      <c r="P550" s="108">
        <v>0.17507131344421972</v>
      </c>
      <c r="Q550" s="108">
        <v>3.5014262688843942</v>
      </c>
      <c r="R550" s="49">
        <v>154007694.34511751</v>
      </c>
    </row>
    <row r="551" spans="1:18" x14ac:dyDescent="0.25">
      <c r="A551">
        <f t="shared" si="11"/>
        <v>539</v>
      </c>
      <c r="B551" s="168">
        <v>0.98720214004540774</v>
      </c>
      <c r="C551" s="122">
        <v>0.90271179937232437</v>
      </c>
      <c r="D551" s="122">
        <v>0.88652563179312616</v>
      </c>
      <c r="E551" s="122">
        <v>2.1815691919682099</v>
      </c>
      <c r="F551" s="122">
        <v>5.32538129649281</v>
      </c>
      <c r="G551" s="122">
        <v>1.1027152028545142</v>
      </c>
      <c r="H551" s="163">
        <v>1</v>
      </c>
      <c r="I551" s="12">
        <v>1.8071776974180949E-2</v>
      </c>
      <c r="J551" s="115">
        <v>3.5007150671796397E-2</v>
      </c>
      <c r="K551" s="115">
        <v>-2.1118924734860461E-3</v>
      </c>
      <c r="L551" s="115">
        <v>2.4022152546935398E-2</v>
      </c>
      <c r="P551" s="108">
        <v>2.8253257883625718E-2</v>
      </c>
      <c r="Q551" s="108">
        <v>0.56506515767251431</v>
      </c>
      <c r="R551" s="49">
        <v>24853981.036599539</v>
      </c>
    </row>
    <row r="552" spans="1:18" x14ac:dyDescent="0.25">
      <c r="A552">
        <f t="shared" si="11"/>
        <v>540</v>
      </c>
      <c r="B552" s="168">
        <v>0.99168300551472932</v>
      </c>
      <c r="C552" s="122">
        <v>0.93700590201473777</v>
      </c>
      <c r="D552" s="122">
        <v>0.88181487623948362</v>
      </c>
      <c r="E552" s="122">
        <v>2.3415327664256025</v>
      </c>
      <c r="F552" s="122">
        <v>4.5531484249873513</v>
      </c>
      <c r="G552" s="122">
        <v>1.0875435153379229</v>
      </c>
      <c r="H552" s="163">
        <v>1</v>
      </c>
      <c r="I552" s="12">
        <v>2.6323579151545366E-2</v>
      </c>
      <c r="J552" s="115">
        <v>4.7223010512203602E-2</v>
      </c>
      <c r="K552" s="115">
        <v>1.1411506414977825E-2</v>
      </c>
      <c r="L552" s="115">
        <v>1.0643052929493114E-2</v>
      </c>
      <c r="P552" s="108">
        <v>6.0496559350058675E-2</v>
      </c>
      <c r="Q552" s="108">
        <v>1.2099311870011733</v>
      </c>
      <c r="R552" s="49">
        <v>53217945.521860786</v>
      </c>
    </row>
    <row r="553" spans="1:18" x14ac:dyDescent="0.25">
      <c r="A553">
        <f t="shared" si="11"/>
        <v>541</v>
      </c>
      <c r="B553" s="168">
        <v>1.0149636728125462</v>
      </c>
      <c r="C553" s="122">
        <v>0.90772834050819173</v>
      </c>
      <c r="D553" s="122">
        <v>0.8865715110374498</v>
      </c>
      <c r="E553" s="122">
        <v>1.6763168941403748</v>
      </c>
      <c r="F553" s="122">
        <v>5.7888084033325793</v>
      </c>
      <c r="G553" s="122">
        <v>1.091737591814375</v>
      </c>
      <c r="H553" s="163">
        <v>1</v>
      </c>
      <c r="I553" s="12">
        <v>2.4217860600780478E-2</v>
      </c>
      <c r="J553" s="115">
        <v>2.5731513556801342E-2</v>
      </c>
      <c r="K553" s="115">
        <v>1.0735156127603371E-2</v>
      </c>
      <c r="L553" s="115">
        <v>1.4771182803058721E-2</v>
      </c>
      <c r="P553" s="108">
        <v>1.0534452877548813E-2</v>
      </c>
      <c r="Q553" s="108">
        <v>0.21068905755097619</v>
      </c>
      <c r="R553" s="49">
        <v>9267005.3530814275</v>
      </c>
    </row>
    <row r="554" spans="1:18" x14ac:dyDescent="0.25">
      <c r="A554">
        <f t="shared" si="11"/>
        <v>542</v>
      </c>
      <c r="B554" s="168">
        <v>1.0039959628557451</v>
      </c>
      <c r="C554" s="122">
        <v>0.94321824525844544</v>
      </c>
      <c r="D554" s="122">
        <v>0.89170148607052968</v>
      </c>
      <c r="E554" s="122">
        <v>1.2231064197879271</v>
      </c>
      <c r="F554" s="122">
        <v>5.9460648369199749</v>
      </c>
      <c r="G554" s="122">
        <v>1.0997421181316742</v>
      </c>
      <c r="H554" s="163">
        <v>1</v>
      </c>
      <c r="I554" s="12">
        <v>4.3075092456167037E-2</v>
      </c>
      <c r="J554" s="115">
        <v>3.446434501871562E-2</v>
      </c>
      <c r="K554" s="115">
        <v>4.0470992332206556E-4</v>
      </c>
      <c r="L554" s="115">
        <v>1.3540486726544933E-2</v>
      </c>
      <c r="P554" s="108">
        <v>6.255440194380163E-2</v>
      </c>
      <c r="Q554" s="108">
        <v>1.2510880388760324</v>
      </c>
      <c r="R554" s="49">
        <v>55028199.794548936</v>
      </c>
    </row>
    <row r="555" spans="1:18" x14ac:dyDescent="0.25">
      <c r="A555">
        <f t="shared" si="11"/>
        <v>543</v>
      </c>
      <c r="B555" s="168">
        <v>1.0014452952396213</v>
      </c>
      <c r="C555" s="122">
        <v>0.89180209146654843</v>
      </c>
      <c r="D555" s="122">
        <v>0.9053816696282313</v>
      </c>
      <c r="E555" s="122">
        <v>2.0672693835930236</v>
      </c>
      <c r="F555" s="122">
        <v>8.4291242884051805</v>
      </c>
      <c r="G555" s="122">
        <v>1.1027026986435877</v>
      </c>
      <c r="H555" s="163">
        <v>1</v>
      </c>
      <c r="I555" s="12">
        <v>2.2142187373013267E-2</v>
      </c>
      <c r="J555" s="115">
        <v>5.0065917016479583E-2</v>
      </c>
      <c r="K555" s="115">
        <v>-2.559533600800884E-3</v>
      </c>
      <c r="L555" s="115">
        <v>1.9689103783552007E-2</v>
      </c>
      <c r="P555" s="108">
        <v>0.11775861934679811</v>
      </c>
      <c r="Q555" s="108">
        <v>2.355172386935962</v>
      </c>
      <c r="R555" s="49">
        <v>103590548.8916266</v>
      </c>
    </row>
    <row r="556" spans="1:18" x14ac:dyDescent="0.25">
      <c r="A556">
        <f t="shared" si="11"/>
        <v>544</v>
      </c>
      <c r="B556" s="168">
        <v>0.99431542760601743</v>
      </c>
      <c r="C556" s="122">
        <v>0.91821000387673668</v>
      </c>
      <c r="D556" s="122">
        <v>0.90359616577299495</v>
      </c>
      <c r="E556" s="122">
        <v>1.9011548549222297</v>
      </c>
      <c r="F556" s="122">
        <v>4.3955757076124566</v>
      </c>
      <c r="G556" s="122">
        <v>1.1242971257048795</v>
      </c>
      <c r="H556" s="163">
        <v>1</v>
      </c>
      <c r="I556" s="12">
        <v>3.2175296597078934E-2</v>
      </c>
      <c r="J556" s="115">
        <v>1.1588765396917913E-2</v>
      </c>
      <c r="K556" s="115">
        <v>1.889507424824792E-2</v>
      </c>
      <c r="L556" s="115">
        <v>-1.6840751486821532E-2</v>
      </c>
      <c r="P556" s="108">
        <v>-8.5984564010294876E-2</v>
      </c>
      <c r="Q556" s="108">
        <v>-1.7196912802058972</v>
      </c>
      <c r="R556" s="49">
        <v>-75639373.418620497</v>
      </c>
    </row>
    <row r="557" spans="1:18" x14ac:dyDescent="0.25">
      <c r="A557">
        <f t="shared" si="11"/>
        <v>545</v>
      </c>
      <c r="B557" s="168">
        <v>1.0024850139604999</v>
      </c>
      <c r="C557" s="122">
        <v>0.88923633244196998</v>
      </c>
      <c r="D557" s="122">
        <v>0.89630145921660553</v>
      </c>
      <c r="E557" s="122">
        <v>1.9356131823080567</v>
      </c>
      <c r="F557" s="122">
        <v>8.7209082742753878</v>
      </c>
      <c r="G557" s="122">
        <v>1.0980649193282581</v>
      </c>
      <c r="H557" s="163">
        <v>1</v>
      </c>
      <c r="I557" s="12">
        <v>1.6950633497027842E-2</v>
      </c>
      <c r="J557" s="115">
        <v>1.8655731109371854E-2</v>
      </c>
      <c r="K557" s="115">
        <v>1.0657758257050409E-2</v>
      </c>
      <c r="L557" s="115">
        <v>2.3968149050075445E-2</v>
      </c>
      <c r="P557" s="108">
        <v>1.4471906091242803E-2</v>
      </c>
      <c r="Q557" s="108">
        <v>0.28943812182485601</v>
      </c>
      <c r="R557" s="49">
        <v>12730725.817062477</v>
      </c>
    </row>
    <row r="558" spans="1:18" x14ac:dyDescent="0.25">
      <c r="A558">
        <f t="shared" si="11"/>
        <v>546</v>
      </c>
      <c r="B558" s="168">
        <v>0.99368456605458977</v>
      </c>
      <c r="C558" s="122">
        <v>0.92961306427704049</v>
      </c>
      <c r="D558" s="122">
        <v>0.92584592438256852</v>
      </c>
      <c r="E558" s="122">
        <v>2.4185856063426661</v>
      </c>
      <c r="F558" s="122">
        <v>2.7681120686657121</v>
      </c>
      <c r="G558" s="122">
        <v>1.1153934393915335</v>
      </c>
      <c r="H558" s="163">
        <v>1</v>
      </c>
      <c r="I558" s="12">
        <v>1.5811884951719323E-2</v>
      </c>
      <c r="J558" s="115">
        <v>3.7630891364024734E-2</v>
      </c>
      <c r="K558" s="115">
        <v>1.5242757254963071E-2</v>
      </c>
      <c r="L558" s="115">
        <v>2.6996835598505107E-2</v>
      </c>
      <c r="P558" s="108">
        <v>-9.8857426957286339E-3</v>
      </c>
      <c r="Q558" s="108">
        <v>-0.19771485391457264</v>
      </c>
      <c r="R558" s="49">
        <v>-8696344.4182038326</v>
      </c>
    </row>
    <row r="559" spans="1:18" x14ac:dyDescent="0.25">
      <c r="A559">
        <f t="shared" si="11"/>
        <v>547</v>
      </c>
      <c r="B559" s="168">
        <v>1.0075342389605242</v>
      </c>
      <c r="C559" s="122">
        <v>0.95039409718936074</v>
      </c>
      <c r="D559" s="122">
        <v>0.90574644440712215</v>
      </c>
      <c r="E559" s="122">
        <v>2.2705800352824284</v>
      </c>
      <c r="F559" s="122">
        <v>2.6889573161435578</v>
      </c>
      <c r="G559" s="122">
        <v>1.1224500139569824</v>
      </c>
      <c r="H559" s="163">
        <v>1</v>
      </c>
      <c r="I559" s="12">
        <v>1.7378470931031835E-2</v>
      </c>
      <c r="J559" s="115">
        <v>6.4406507193287943E-2</v>
      </c>
      <c r="K559" s="115">
        <v>-8.7256858412787658E-3</v>
      </c>
      <c r="L559" s="115">
        <v>1.9618679490546392E-2</v>
      </c>
      <c r="P559" s="108">
        <v>6.9193864054381826E-2</v>
      </c>
      <c r="Q559" s="108">
        <v>1.3838772810876363</v>
      </c>
      <c r="R559" s="49">
        <v>60868838.28195034</v>
      </c>
    </row>
    <row r="560" spans="1:18" x14ac:dyDescent="0.25">
      <c r="A560">
        <f t="shared" si="11"/>
        <v>548</v>
      </c>
      <c r="B560" s="168">
        <v>0.99889380482474099</v>
      </c>
      <c r="C560" s="122">
        <v>0.91850389602671101</v>
      </c>
      <c r="D560" s="122">
        <v>0.88705148043297699</v>
      </c>
      <c r="E560" s="122">
        <v>2.1493291069711189</v>
      </c>
      <c r="F560" s="122">
        <v>6.1380499562170492</v>
      </c>
      <c r="G560" s="122">
        <v>1.1253107758226797</v>
      </c>
      <c r="H560" s="163">
        <v>1</v>
      </c>
      <c r="I560" s="12">
        <v>2.2342627443496282E-2</v>
      </c>
      <c r="J560" s="115">
        <v>5.5590276500699497E-2</v>
      </c>
      <c r="K560" s="115">
        <v>3.0900310093302736E-3</v>
      </c>
      <c r="L560" s="115">
        <v>1.4155833812418929E-2</v>
      </c>
      <c r="P560" s="108">
        <v>0.10482308389633604</v>
      </c>
      <c r="Q560" s="108">
        <v>2.0964616779267207</v>
      </c>
      <c r="R560" s="49">
        <v>92211346.036214605</v>
      </c>
    </row>
    <row r="561" spans="1:18" x14ac:dyDescent="0.25">
      <c r="A561">
        <f t="shared" si="11"/>
        <v>549</v>
      </c>
      <c r="B561" s="168">
        <v>1.0044616052323989</v>
      </c>
      <c r="C561" s="122">
        <v>0.86268160433219865</v>
      </c>
      <c r="D561" s="122">
        <v>0.8913472054039282</v>
      </c>
      <c r="E561" s="122">
        <v>1.6680903700239493</v>
      </c>
      <c r="F561" s="122">
        <v>4.482362688764078</v>
      </c>
      <c r="G561" s="122">
        <v>1.0620858377776572</v>
      </c>
      <c r="H561" s="163">
        <v>1</v>
      </c>
      <c r="I561" s="12">
        <v>4.3328238923293586E-2</v>
      </c>
      <c r="J561" s="115">
        <v>3.9715715210124063E-2</v>
      </c>
      <c r="K561" s="115">
        <v>2.0710363974278151E-3</v>
      </c>
      <c r="L561" s="115">
        <v>3.4755707515098357E-2</v>
      </c>
      <c r="P561" s="108">
        <v>7.1811573717744381E-2</v>
      </c>
      <c r="Q561" s="108">
        <v>1.4362314743548874</v>
      </c>
      <c r="R561" s="49">
        <v>63171599.492728882</v>
      </c>
    </row>
    <row r="562" spans="1:18" x14ac:dyDescent="0.25">
      <c r="A562">
        <f t="shared" si="11"/>
        <v>550</v>
      </c>
      <c r="B562" s="168">
        <v>0.99338298741304798</v>
      </c>
      <c r="C562" s="122">
        <v>0.92057084519706789</v>
      </c>
      <c r="D562" s="122">
        <v>0.89082127324242633</v>
      </c>
      <c r="E562" s="122">
        <v>2.8640812816849475</v>
      </c>
      <c r="F562" s="122">
        <v>1.8897827125206308</v>
      </c>
      <c r="G562" s="122">
        <v>1.0986030414688779</v>
      </c>
      <c r="H562" s="163">
        <v>1</v>
      </c>
      <c r="I562" s="12">
        <v>1.7154039796855813E-2</v>
      </c>
      <c r="J562" s="115">
        <v>5.2113897369739259E-2</v>
      </c>
      <c r="K562" s="115">
        <v>8.0634663194558594E-3</v>
      </c>
      <c r="L562" s="115">
        <v>1.455660568869516E-2</v>
      </c>
      <c r="P562" s="108">
        <v>1.7115725728634779E-2</v>
      </c>
      <c r="Q562" s="108">
        <v>0.34231451457269557</v>
      </c>
      <c r="R562" s="49">
        <v>15056455.593167763</v>
      </c>
    </row>
    <row r="563" spans="1:18" x14ac:dyDescent="0.25">
      <c r="A563">
        <f t="shared" si="11"/>
        <v>551</v>
      </c>
      <c r="B563" s="168">
        <v>0.99609116614572712</v>
      </c>
      <c r="C563" s="122">
        <v>0.88927806302595747</v>
      </c>
      <c r="D563" s="122">
        <v>0.89609347286699748</v>
      </c>
      <c r="E563" s="122">
        <v>2.5693032507724629</v>
      </c>
      <c r="F563" s="122">
        <v>5.9480004269311237</v>
      </c>
      <c r="G563" s="122">
        <v>1.0839499133646069</v>
      </c>
      <c r="H563" s="163">
        <v>1</v>
      </c>
      <c r="I563" s="12">
        <v>3.4178817752895899E-2</v>
      </c>
      <c r="J563" s="115">
        <v>6.4063039999091229E-2</v>
      </c>
      <c r="K563" s="115">
        <v>1.9608623488858892E-3</v>
      </c>
      <c r="L563" s="115">
        <v>2.6873428917586442E-2</v>
      </c>
      <c r="P563" s="108">
        <v>0.15375797095930493</v>
      </c>
      <c r="Q563" s="108">
        <v>3.0751594191860985</v>
      </c>
      <c r="R563" s="49">
        <v>135258656.19424197</v>
      </c>
    </row>
    <row r="564" spans="1:18" x14ac:dyDescent="0.25">
      <c r="A564">
        <f t="shared" si="11"/>
        <v>552</v>
      </c>
      <c r="B564" s="168">
        <v>0.9836943699860603</v>
      </c>
      <c r="C564" s="122">
        <v>0.91391224532939253</v>
      </c>
      <c r="D564" s="122">
        <v>0.89162735194754628</v>
      </c>
      <c r="E564" s="122">
        <v>2.0799689326476902</v>
      </c>
      <c r="F564" s="122">
        <v>4.1053113696340633</v>
      </c>
      <c r="G564" s="122">
        <v>1.0787189640031685</v>
      </c>
      <c r="H564" s="163">
        <v>1</v>
      </c>
      <c r="I564" s="12">
        <v>3.5091792170941896E-2</v>
      </c>
      <c r="J564" s="115">
        <v>7.3875433046669187E-2</v>
      </c>
      <c r="K564" s="115">
        <v>-3.0628138719671419E-4</v>
      </c>
      <c r="L564" s="115">
        <v>2.1521825658826731E-3</v>
      </c>
      <c r="P564" s="108">
        <v>0.14489937758870802</v>
      </c>
      <c r="Q564" s="108">
        <v>2.8979875517741598</v>
      </c>
      <c r="R564" s="49">
        <v>127465880.13455212</v>
      </c>
    </row>
    <row r="565" spans="1:18" x14ac:dyDescent="0.25">
      <c r="A565">
        <f t="shared" si="11"/>
        <v>553</v>
      </c>
      <c r="B565" s="168">
        <v>1.018116187101898</v>
      </c>
      <c r="C565" s="122">
        <v>0.86903224447106542</v>
      </c>
      <c r="D565" s="122">
        <v>0.90448340531769988</v>
      </c>
      <c r="E565" s="122">
        <v>1.5811588926650759</v>
      </c>
      <c r="F565" s="122">
        <v>5.8442020536592656</v>
      </c>
      <c r="G565" s="122">
        <v>1.1274329381829424</v>
      </c>
      <c r="H565" s="163">
        <v>1</v>
      </c>
      <c r="I565" s="12">
        <v>3.153317415346818E-2</v>
      </c>
      <c r="J565" s="115">
        <v>5.8998640078345939E-2</v>
      </c>
      <c r="K565" s="115">
        <v>-2.325991985118285E-4</v>
      </c>
      <c r="L565" s="115">
        <v>4.1222626916221902E-2</v>
      </c>
      <c r="P565" s="108">
        <v>0.14551482685309677</v>
      </c>
      <c r="Q565" s="108">
        <v>2.9102965370619351</v>
      </c>
      <c r="R565" s="49">
        <v>128007281.92294452</v>
      </c>
    </row>
    <row r="566" spans="1:18" x14ac:dyDescent="0.25">
      <c r="A566">
        <f t="shared" si="11"/>
        <v>554</v>
      </c>
      <c r="B566" s="168">
        <v>1.0153232132649948</v>
      </c>
      <c r="C566" s="122">
        <v>0.86695587523813755</v>
      </c>
      <c r="D566" s="122">
        <v>0.90320386647837481</v>
      </c>
      <c r="E566" s="122">
        <v>1.6187883962072707</v>
      </c>
      <c r="F566" s="122">
        <v>4.1721081510629014</v>
      </c>
      <c r="G566" s="122">
        <v>1.1080030525386699</v>
      </c>
      <c r="H566" s="163">
        <v>1</v>
      </c>
      <c r="I566" s="12">
        <v>1.126366325537948E-2</v>
      </c>
      <c r="J566" s="115">
        <v>4.3554492448538547E-2</v>
      </c>
      <c r="K566" s="115">
        <v>1.1099017947510066E-2</v>
      </c>
      <c r="L566" s="115">
        <v>4.3944765739148562E-3</v>
      </c>
      <c r="P566" s="108">
        <v>2.2222207741219677E-2</v>
      </c>
      <c r="Q566" s="108">
        <v>0.44444415482439342</v>
      </c>
      <c r="R566" s="49">
        <v>19548553.730213992</v>
      </c>
    </row>
    <row r="567" spans="1:18" x14ac:dyDescent="0.25">
      <c r="A567">
        <f t="shared" si="11"/>
        <v>555</v>
      </c>
      <c r="B567" s="168">
        <v>0.98465166583221631</v>
      </c>
      <c r="C567" s="122">
        <v>0.87660121922290857</v>
      </c>
      <c r="D567" s="122">
        <v>0.88893992390689713</v>
      </c>
      <c r="E567" s="122">
        <v>2.5355710383556831</v>
      </c>
      <c r="F567" s="122">
        <v>4.2647781147243595</v>
      </c>
      <c r="G567" s="122">
        <v>1.1146396500869415</v>
      </c>
      <c r="H567" s="163">
        <v>1</v>
      </c>
      <c r="I567" s="12">
        <v>2.970787109035869E-2</v>
      </c>
      <c r="J567" s="115">
        <v>1.9739394960871508E-2</v>
      </c>
      <c r="K567" s="115">
        <v>2.990343054731219E-3</v>
      </c>
      <c r="L567" s="115">
        <v>1.56743880616271E-2</v>
      </c>
      <c r="P567" s="108">
        <v>-4.1558530298009606E-2</v>
      </c>
      <c r="Q567" s="108">
        <v>-0.83117060596019199</v>
      </c>
      <c r="R567" s="49">
        <v>-36558436.13469781</v>
      </c>
    </row>
    <row r="568" spans="1:18" x14ac:dyDescent="0.25">
      <c r="A568">
        <f t="shared" si="11"/>
        <v>556</v>
      </c>
      <c r="B568" s="168">
        <v>0.99640418434157663</v>
      </c>
      <c r="C568" s="122">
        <v>0.88136115371785417</v>
      </c>
      <c r="D568" s="122">
        <v>0.90594738586724821</v>
      </c>
      <c r="E568" s="122">
        <v>3.6126321134042128</v>
      </c>
      <c r="F568" s="122">
        <v>4.4704360556208469</v>
      </c>
      <c r="G568" s="122">
        <v>1.1076954302116786</v>
      </c>
      <c r="H568" s="163">
        <v>1</v>
      </c>
      <c r="I568" s="12">
        <v>3.9776130076626531E-3</v>
      </c>
      <c r="J568" s="115">
        <v>1.8483584380209347E-2</v>
      </c>
      <c r="K568" s="115">
        <v>6.0762560555904527E-4</v>
      </c>
      <c r="L568" s="115">
        <v>4.380442323138807E-2</v>
      </c>
      <c r="P568" s="108">
        <v>-4.6450719497885533E-2</v>
      </c>
      <c r="Q568" s="108">
        <v>-0.92901438995771057</v>
      </c>
      <c r="R568" s="49">
        <v>-40862023.99355644</v>
      </c>
    </row>
    <row r="569" spans="1:18" x14ac:dyDescent="0.25">
      <c r="A569">
        <f t="shared" si="11"/>
        <v>557</v>
      </c>
      <c r="B569" s="168">
        <v>0.99669746443053364</v>
      </c>
      <c r="C569" s="122">
        <v>0.85576714697273781</v>
      </c>
      <c r="D569" s="122">
        <v>0.91763966906928163</v>
      </c>
      <c r="E569" s="122">
        <v>1.6391756925847982</v>
      </c>
      <c r="F569" s="122">
        <v>3.5178809275990401</v>
      </c>
      <c r="G569" s="122">
        <v>1.0812474470676203</v>
      </c>
      <c r="H569" s="163">
        <v>1</v>
      </c>
      <c r="I569" s="12">
        <v>2.8029526568296454E-2</v>
      </c>
      <c r="J569" s="115">
        <v>4.6814999260405485E-2</v>
      </c>
      <c r="K569" s="115">
        <v>3.0695148428112173E-3</v>
      </c>
      <c r="L569" s="115">
        <v>4.2197292324214875E-2</v>
      </c>
      <c r="P569" s="108">
        <v>6.4178862207548579E-2</v>
      </c>
      <c r="Q569" s="108">
        <v>1.2835772441509714</v>
      </c>
      <c r="R569" s="49">
        <v>56457213.919439465</v>
      </c>
    </row>
    <row r="570" spans="1:18" x14ac:dyDescent="0.25">
      <c r="A570">
        <f t="shared" si="11"/>
        <v>558</v>
      </c>
      <c r="B570" s="168">
        <v>1.0076565053271724</v>
      </c>
      <c r="C570" s="122">
        <v>0.89129866867346574</v>
      </c>
      <c r="D570" s="122">
        <v>0.90053777832012294</v>
      </c>
      <c r="E570" s="122">
        <v>1.2702802523650143</v>
      </c>
      <c r="F570" s="122">
        <v>5.8513568875894473</v>
      </c>
      <c r="G570" s="122">
        <v>1.0719334459119274</v>
      </c>
      <c r="H570" s="163">
        <v>1</v>
      </c>
      <c r="I570" s="12">
        <v>2.6671462441993907E-2</v>
      </c>
      <c r="J570" s="115">
        <v>4.0632170985286847E-2</v>
      </c>
      <c r="K570" s="115">
        <v>-3.5654344958040325E-4</v>
      </c>
      <c r="L570" s="115">
        <v>6.7598251626323491E-3</v>
      </c>
      <c r="P570" s="108">
        <v>6.620520280516877E-2</v>
      </c>
      <c r="Q570" s="108">
        <v>1.3241040561033752</v>
      </c>
      <c r="R570" s="49">
        <v>58239756.343197696</v>
      </c>
    </row>
    <row r="571" spans="1:18" x14ac:dyDescent="0.25">
      <c r="A571">
        <f t="shared" si="11"/>
        <v>559</v>
      </c>
      <c r="B571" s="168">
        <v>0.99649533183361527</v>
      </c>
      <c r="C571" s="122">
        <v>0.87457559993326095</v>
      </c>
      <c r="D571" s="122">
        <v>0.88683303653912049</v>
      </c>
      <c r="E571" s="122">
        <v>3.1158612908725738</v>
      </c>
      <c r="F571" s="122">
        <v>5.3573003996389339</v>
      </c>
      <c r="G571" s="122">
        <v>1.0687217302628018</v>
      </c>
      <c r="H571" s="163">
        <v>1</v>
      </c>
      <c r="I571" s="12">
        <v>3.0150921703410601E-2</v>
      </c>
      <c r="J571" s="115">
        <v>2.1748864966876308E-2</v>
      </c>
      <c r="K571" s="115">
        <v>1.5367702828342736E-3</v>
      </c>
      <c r="L571" s="115">
        <v>2.2174075232073386E-2</v>
      </c>
      <c r="P571" s="108">
        <v>-8.1448517705639822E-3</v>
      </c>
      <c r="Q571" s="108">
        <v>-0.16289703541127962</v>
      </c>
      <c r="R571" s="49">
        <v>-7164907.9297446925</v>
      </c>
    </row>
    <row r="572" spans="1:18" x14ac:dyDescent="0.25">
      <c r="A572">
        <f t="shared" si="11"/>
        <v>560</v>
      </c>
      <c r="B572" s="168">
        <v>0.98866608338813311</v>
      </c>
      <c r="C572" s="122">
        <v>0.8745672918787043</v>
      </c>
      <c r="D572" s="122">
        <v>0.89407263164322315</v>
      </c>
      <c r="E572" s="122">
        <v>3.1113166154619698</v>
      </c>
      <c r="F572" s="122">
        <v>6.3338874468368855</v>
      </c>
      <c r="G572" s="122">
        <v>1.0936196162752048</v>
      </c>
      <c r="H572" s="163">
        <v>1</v>
      </c>
      <c r="I572" s="12">
        <v>1.4649960969945471E-2</v>
      </c>
      <c r="J572" s="115">
        <v>1.0217082709195274E-2</v>
      </c>
      <c r="K572" s="115">
        <v>4.2936183559788071E-3</v>
      </c>
      <c r="L572" s="115">
        <v>1.6306070060249249E-2</v>
      </c>
      <c r="P572" s="108">
        <v>-5.945355168097715E-2</v>
      </c>
      <c r="Q572" s="108">
        <v>-1.1890710336195427</v>
      </c>
      <c r="R572" s="49">
        <v>-52300426.808261245</v>
      </c>
    </row>
    <row r="573" spans="1:18" x14ac:dyDescent="0.25">
      <c r="A573">
        <f t="shared" si="11"/>
        <v>561</v>
      </c>
      <c r="B573" s="168">
        <v>0.98857499894469236</v>
      </c>
      <c r="C573" s="122">
        <v>0.89914711146251625</v>
      </c>
      <c r="D573" s="122">
        <v>0.91021403644630128</v>
      </c>
      <c r="E573" s="122">
        <v>2.3841681942335819</v>
      </c>
      <c r="F573" s="122">
        <v>3.2065282351556395</v>
      </c>
      <c r="G573" s="122">
        <v>1.1076439307624071</v>
      </c>
      <c r="H573" s="163">
        <v>1</v>
      </c>
      <c r="I573" s="12">
        <v>2.3296698765294287E-2</v>
      </c>
      <c r="J573" s="115">
        <v>2.2343532099453521E-2</v>
      </c>
      <c r="K573" s="115">
        <v>-7.4984824419833977E-3</v>
      </c>
      <c r="L573" s="115">
        <v>7.8741920968842093E-3</v>
      </c>
      <c r="P573" s="108">
        <v>-6.4873256921108402E-2</v>
      </c>
      <c r="Q573" s="108">
        <v>-1.2974651384221678</v>
      </c>
      <c r="R573" s="49">
        <v>-57068062.874056242</v>
      </c>
    </row>
    <row r="574" spans="1:18" x14ac:dyDescent="0.25">
      <c r="A574">
        <f t="shared" si="11"/>
        <v>562</v>
      </c>
      <c r="B574" s="168">
        <v>0.98749609012489814</v>
      </c>
      <c r="C574" s="122">
        <v>0.88829104542880222</v>
      </c>
      <c r="D574" s="122">
        <v>0.89555908909502924</v>
      </c>
      <c r="E574" s="122">
        <v>2.2040946075087313</v>
      </c>
      <c r="F574" s="122">
        <v>7.6732054617886316</v>
      </c>
      <c r="G574" s="122">
        <v>1.1280268867443661</v>
      </c>
      <c r="H574" s="163">
        <v>1</v>
      </c>
      <c r="I574" s="12">
        <v>2.2083748291519774E-2</v>
      </c>
      <c r="J574" s="115">
        <v>4.2365826357839552E-2</v>
      </c>
      <c r="K574" s="115">
        <v>7.7101416582643894E-3</v>
      </c>
      <c r="L574" s="115">
        <v>3.5274866343978847E-3</v>
      </c>
      <c r="P574" s="108">
        <v>6.8321720145734899E-2</v>
      </c>
      <c r="Q574" s="108">
        <v>1.3664344029146978</v>
      </c>
      <c r="R574" s="49">
        <v>60101625.939360306</v>
      </c>
    </row>
    <row r="575" spans="1:18" x14ac:dyDescent="0.25">
      <c r="A575">
        <f t="shared" si="11"/>
        <v>563</v>
      </c>
      <c r="B575" s="168">
        <v>0.99551314846691785</v>
      </c>
      <c r="C575" s="122">
        <v>0.91371691166668945</v>
      </c>
      <c r="D575" s="122">
        <v>0.90297786061456031</v>
      </c>
      <c r="E575" s="122">
        <v>0.57309807340971153</v>
      </c>
      <c r="F575" s="122">
        <v>3.8570687389433407</v>
      </c>
      <c r="G575" s="122">
        <v>1.0881426480717575</v>
      </c>
      <c r="H575" s="163">
        <v>1</v>
      </c>
      <c r="I575" s="12">
        <v>5.4833026455284969E-2</v>
      </c>
      <c r="J575" s="115">
        <v>5.0000290269938755E-2</v>
      </c>
      <c r="K575" s="115">
        <v>5.8645984818809097E-3</v>
      </c>
      <c r="L575" s="115">
        <v>-1.8318055372762824E-2</v>
      </c>
      <c r="P575" s="108">
        <v>7.2213330305502615E-2</v>
      </c>
      <c r="Q575" s="108">
        <v>1.444266606110052</v>
      </c>
      <c r="R575" s="49">
        <v>63525018.933934599</v>
      </c>
    </row>
    <row r="576" spans="1:18" x14ac:dyDescent="0.25">
      <c r="A576">
        <f t="shared" si="11"/>
        <v>564</v>
      </c>
      <c r="B576" s="168">
        <v>0.99584789655763062</v>
      </c>
      <c r="C576" s="122">
        <v>0.88016142262719177</v>
      </c>
      <c r="D576" s="122">
        <v>0.90016654863980206</v>
      </c>
      <c r="E576" s="122">
        <v>1.2648840421846701</v>
      </c>
      <c r="F576" s="122">
        <v>4.3201910555678573</v>
      </c>
      <c r="G576" s="122">
        <v>1.1115689633000565</v>
      </c>
      <c r="H576" s="163">
        <v>1</v>
      </c>
      <c r="I576" s="12">
        <v>3.1361899178608592E-2</v>
      </c>
      <c r="J576" s="115">
        <v>4.3597819222123219E-2</v>
      </c>
      <c r="K576" s="115">
        <v>8.364066927479423E-3</v>
      </c>
      <c r="L576" s="115">
        <v>8.6884937480071426E-3</v>
      </c>
      <c r="P576" s="108">
        <v>4.8614302605980854E-2</v>
      </c>
      <c r="Q576" s="108">
        <v>0.97228605211961694</v>
      </c>
      <c r="R576" s="49">
        <v>42765296.66254209</v>
      </c>
    </row>
    <row r="577" spans="1:18" x14ac:dyDescent="0.25">
      <c r="A577">
        <f t="shared" si="11"/>
        <v>565</v>
      </c>
      <c r="B577" s="168">
        <v>1.0081290041387938</v>
      </c>
      <c r="C577" s="122">
        <v>0.92491281319046981</v>
      </c>
      <c r="D577" s="122">
        <v>0.90255246015457369</v>
      </c>
      <c r="E577" s="122">
        <v>3.4742820453433336</v>
      </c>
      <c r="F577" s="122">
        <v>4.971808457253319</v>
      </c>
      <c r="G577" s="122">
        <v>1.1178373181689181</v>
      </c>
      <c r="H577" s="163">
        <v>1</v>
      </c>
      <c r="I577" s="12">
        <v>4.3253342508468226E-2</v>
      </c>
      <c r="J577" s="115">
        <v>4.4075190659668077E-2</v>
      </c>
      <c r="K577" s="115">
        <v>6.4908272369850924E-3</v>
      </c>
      <c r="L577" s="115">
        <v>4.0147576713436821E-2</v>
      </c>
      <c r="P577" s="108">
        <v>8.0985587405425691E-2</v>
      </c>
      <c r="Q577" s="108">
        <v>1.6197117481085137</v>
      </c>
      <c r="R577" s="49">
        <v>71241846.228956789</v>
      </c>
    </row>
    <row r="578" spans="1:18" x14ac:dyDescent="0.25">
      <c r="A578">
        <f t="shared" si="11"/>
        <v>566</v>
      </c>
      <c r="B578" s="168">
        <v>0.999233763798556</v>
      </c>
      <c r="C578" s="122">
        <v>0.84589680901671271</v>
      </c>
      <c r="D578" s="122">
        <v>0.89082189341386697</v>
      </c>
      <c r="E578" s="122">
        <v>0.99004426772697585</v>
      </c>
      <c r="F578" s="122">
        <v>4.2869788455442741</v>
      </c>
      <c r="G578" s="122">
        <v>1.1152935175964973</v>
      </c>
      <c r="H578" s="163">
        <v>1</v>
      </c>
      <c r="I578" s="12">
        <v>2.0942444512682293E-2</v>
      </c>
      <c r="J578" s="115">
        <v>1.6602934425660829E-2</v>
      </c>
      <c r="K578" s="115">
        <v>5.4165923388019245E-3</v>
      </c>
      <c r="L578" s="115">
        <v>-1.1589733365607174E-4</v>
      </c>
      <c r="P578" s="108">
        <v>-6.034839098010833E-2</v>
      </c>
      <c r="Q578" s="108">
        <v>-1.2069678196021665</v>
      </c>
      <c r="R578" s="49">
        <v>-53087603.956575155</v>
      </c>
    </row>
    <row r="579" spans="1:18" x14ac:dyDescent="0.25">
      <c r="A579">
        <f t="shared" si="11"/>
        <v>567</v>
      </c>
      <c r="B579" s="168">
        <v>1.0005613124014487</v>
      </c>
      <c r="C579" s="122">
        <v>0.86099168068068943</v>
      </c>
      <c r="D579" s="122">
        <v>0.90607559320700726</v>
      </c>
      <c r="E579" s="122">
        <v>1.9186424912423299</v>
      </c>
      <c r="F579" s="122">
        <v>8.8037829110754036</v>
      </c>
      <c r="G579" s="122">
        <v>1.093019058099151</v>
      </c>
      <c r="H579" s="163">
        <v>1</v>
      </c>
      <c r="I579" s="12">
        <v>2.874756678980395E-2</v>
      </c>
      <c r="J579" s="115">
        <v>2.2327733032328902E-2</v>
      </c>
      <c r="K579" s="115">
        <v>-2.2120627125434868E-4</v>
      </c>
      <c r="L579" s="115">
        <v>5.2183248547147867E-3</v>
      </c>
      <c r="P579" s="108">
        <v>2.2738805920126018E-2</v>
      </c>
      <c r="Q579" s="108">
        <v>0.4547761184025203</v>
      </c>
      <c r="R579" s="49">
        <v>20002997.652927805</v>
      </c>
    </row>
    <row r="580" spans="1:18" x14ac:dyDescent="0.25">
      <c r="A580">
        <f t="shared" si="11"/>
        <v>568</v>
      </c>
      <c r="B580" s="168">
        <v>0.99600161980747581</v>
      </c>
      <c r="C580" s="122">
        <v>0.8731586652208998</v>
      </c>
      <c r="D580" s="122">
        <v>0.90274950361962569</v>
      </c>
      <c r="E580" s="122">
        <v>2.9338944610131459</v>
      </c>
      <c r="F580" s="122">
        <v>3.556609418112882</v>
      </c>
      <c r="G580" s="122">
        <v>1.1219201413215769</v>
      </c>
      <c r="H580" s="163">
        <v>1</v>
      </c>
      <c r="I580" s="12">
        <v>2.9652958157548832E-2</v>
      </c>
      <c r="J580" s="115">
        <v>-1.1656651292581706E-2</v>
      </c>
      <c r="K580" s="115">
        <v>5.3341308411309282E-3</v>
      </c>
      <c r="L580" s="115">
        <v>3.7034126927915606E-2</v>
      </c>
      <c r="P580" s="108">
        <v>-0.15164939867943236</v>
      </c>
      <c r="Q580" s="108">
        <v>-3.0329879735886465</v>
      </c>
      <c r="R580" s="49">
        <v>-133403775.75269741</v>
      </c>
    </row>
    <row r="581" spans="1:18" x14ac:dyDescent="0.25">
      <c r="A581">
        <f t="shared" si="11"/>
        <v>569</v>
      </c>
      <c r="B581" s="168">
        <v>1.0137904017539117</v>
      </c>
      <c r="C581" s="122">
        <v>0.90643664231202026</v>
      </c>
      <c r="D581" s="122">
        <v>0.89850939982227229</v>
      </c>
      <c r="E581" s="122">
        <v>4.0080720924000452</v>
      </c>
      <c r="F581" s="122">
        <v>5.664157191794204</v>
      </c>
      <c r="G581" s="122">
        <v>1.1052534489059966</v>
      </c>
      <c r="H581" s="163">
        <v>1</v>
      </c>
      <c r="I581" s="12">
        <v>3.0893899751915737E-2</v>
      </c>
      <c r="J581" s="115">
        <v>7.2362796066462398E-2</v>
      </c>
      <c r="K581" s="115">
        <v>6.3923852828284798E-3</v>
      </c>
      <c r="L581" s="115">
        <v>-5.9841468578404541E-3</v>
      </c>
      <c r="P581" s="108">
        <v>0.14086510621398254</v>
      </c>
      <c r="Q581" s="108">
        <v>2.8173021242796503</v>
      </c>
      <c r="R581" s="49">
        <v>123916990.13903645</v>
      </c>
    </row>
    <row r="582" spans="1:18" x14ac:dyDescent="0.25">
      <c r="A582">
        <f t="shared" si="11"/>
        <v>570</v>
      </c>
      <c r="B582" s="168">
        <v>0.99716048038595129</v>
      </c>
      <c r="C582" s="122">
        <v>0.90710207422427702</v>
      </c>
      <c r="D582" s="122">
        <v>0.90110606449499586</v>
      </c>
      <c r="E582" s="122">
        <v>2.5162071037056997</v>
      </c>
      <c r="F582" s="122">
        <v>5.1865345591064766</v>
      </c>
      <c r="G582" s="122">
        <v>1.074203278969359</v>
      </c>
      <c r="H582" s="163">
        <v>1</v>
      </c>
      <c r="I582" s="12">
        <v>3.0156302735856504E-2</v>
      </c>
      <c r="J582" s="115">
        <v>4.0626146635937062E-2</v>
      </c>
      <c r="K582" s="115">
        <v>1.7810530123811161E-2</v>
      </c>
      <c r="L582" s="115">
        <v>5.8324248987729269E-2</v>
      </c>
      <c r="P582" s="108">
        <v>8.8168346512576642E-2</v>
      </c>
      <c r="Q582" s="108">
        <v>1.7633669302515325</v>
      </c>
      <c r="R582" s="49">
        <v>77560415.201600939</v>
      </c>
    </row>
    <row r="583" spans="1:18" x14ac:dyDescent="0.25">
      <c r="A583">
        <f t="shared" si="11"/>
        <v>571</v>
      </c>
      <c r="B583" s="168">
        <v>1.0055363508556738</v>
      </c>
      <c r="C583" s="122">
        <v>0.94586429401296357</v>
      </c>
      <c r="D583" s="122">
        <v>0.91522303619858802</v>
      </c>
      <c r="E583" s="122">
        <v>1.0143980742456267</v>
      </c>
      <c r="F583" s="122">
        <v>1.4722951120310181</v>
      </c>
      <c r="G583" s="122">
        <v>1.0596864900862226</v>
      </c>
      <c r="H583" s="163">
        <v>1</v>
      </c>
      <c r="I583" s="12">
        <v>2.9345559287836873E-2</v>
      </c>
      <c r="J583" s="115">
        <v>4.887248533383675E-2</v>
      </c>
      <c r="K583" s="115">
        <v>-5.5472932193854048E-3</v>
      </c>
      <c r="L583" s="115">
        <v>-1.2160859291432746E-2</v>
      </c>
      <c r="P583" s="108">
        <v>-5.6603997526017455E-2</v>
      </c>
      <c r="Q583" s="108">
        <v>-1.1320799505203489</v>
      </c>
      <c r="R583" s="49">
        <v>-49793715.362032682</v>
      </c>
    </row>
    <row r="584" spans="1:18" x14ac:dyDescent="0.25">
      <c r="A584">
        <f t="shared" si="11"/>
        <v>572</v>
      </c>
      <c r="B584" s="168">
        <v>0.99921534014591828</v>
      </c>
      <c r="C584" s="122">
        <v>0.96688325932090291</v>
      </c>
      <c r="D584" s="122">
        <v>0.9076170442944006</v>
      </c>
      <c r="E584" s="122">
        <v>2.634021974572843</v>
      </c>
      <c r="F584" s="122">
        <v>3.7713277956187001</v>
      </c>
      <c r="G584" s="122">
        <v>1.1154670391541708</v>
      </c>
      <c r="H584" s="163">
        <v>1</v>
      </c>
      <c r="I584" s="12">
        <v>2.4411061885719541E-2</v>
      </c>
      <c r="J584" s="115">
        <v>4.5488934296338358E-2</v>
      </c>
      <c r="K584" s="115">
        <v>1.9188151584654898E-3</v>
      </c>
      <c r="L584" s="115">
        <v>2.3077192117509585E-2</v>
      </c>
      <c r="P584" s="108">
        <v>4.0660107814454838E-2</v>
      </c>
      <c r="Q584" s="108">
        <v>0.81320215628909664</v>
      </c>
      <c r="R584" s="49">
        <v>35768106.911034502</v>
      </c>
    </row>
    <row r="585" spans="1:18" x14ac:dyDescent="0.25">
      <c r="A585">
        <f t="shared" si="11"/>
        <v>573</v>
      </c>
      <c r="B585" s="168">
        <v>1.0017730435999574</v>
      </c>
      <c r="C585" s="122">
        <v>0.90986825358648471</v>
      </c>
      <c r="D585" s="122">
        <v>0.906071611874259</v>
      </c>
      <c r="E585" s="122">
        <v>1.759534679225742</v>
      </c>
      <c r="F585" s="122">
        <v>3.8252190916571029</v>
      </c>
      <c r="G585" s="122">
        <v>1.1004708766990672</v>
      </c>
      <c r="H585" s="163">
        <v>1</v>
      </c>
      <c r="I585" s="12">
        <v>2.2400297868158291E-2</v>
      </c>
      <c r="J585" s="115">
        <v>2.6571173955422446E-2</v>
      </c>
      <c r="K585" s="115">
        <v>4.7862132659896852E-3</v>
      </c>
      <c r="L585" s="115">
        <v>3.7403541614833183E-2</v>
      </c>
      <c r="P585" s="108">
        <v>-1.0595321095401554E-2</v>
      </c>
      <c r="Q585" s="108">
        <v>-0.21190642190803105</v>
      </c>
      <c r="R585" s="49">
        <v>-9320550.2411957607</v>
      </c>
    </row>
    <row r="586" spans="1:18" x14ac:dyDescent="0.25">
      <c r="A586">
        <f t="shared" si="11"/>
        <v>574</v>
      </c>
      <c r="B586" s="168">
        <v>0.98570645911783916</v>
      </c>
      <c r="C586" s="122">
        <v>0.90392085806877387</v>
      </c>
      <c r="D586" s="122">
        <v>0.9130264337015066</v>
      </c>
      <c r="E586" s="122">
        <v>2.2757191659853353</v>
      </c>
      <c r="F586" s="122">
        <v>3.2355411617432961</v>
      </c>
      <c r="G586" s="122">
        <v>1.0840959894608249</v>
      </c>
      <c r="H586" s="163">
        <v>1</v>
      </c>
      <c r="I586" s="12">
        <v>2.1092480486705412E-2</v>
      </c>
      <c r="J586" s="115">
        <v>4.9235532183785319E-2</v>
      </c>
      <c r="K586" s="115">
        <v>4.5269507141907578E-3</v>
      </c>
      <c r="L586" s="115">
        <v>1.7682945738137602E-2</v>
      </c>
      <c r="P586" s="108">
        <v>4.2085802481901802E-2</v>
      </c>
      <c r="Q586" s="108">
        <v>0.84171604963803581</v>
      </c>
      <c r="R586" s="49">
        <v>37022269.824729644</v>
      </c>
    </row>
    <row r="587" spans="1:18" x14ac:dyDescent="0.25">
      <c r="A587">
        <f t="shared" si="11"/>
        <v>575</v>
      </c>
      <c r="B587" s="168">
        <v>1.0108211529167925</v>
      </c>
      <c r="C587" s="122">
        <v>0.88302152974123049</v>
      </c>
      <c r="D587" s="122">
        <v>0.88377762535247484</v>
      </c>
      <c r="E587" s="122">
        <v>2.1395506121795047</v>
      </c>
      <c r="F587" s="122">
        <v>3.9457879094692356</v>
      </c>
      <c r="G587" s="122">
        <v>1.0962712935887706</v>
      </c>
      <c r="H587" s="163">
        <v>1</v>
      </c>
      <c r="I587" s="12">
        <v>3.0380737352692835E-2</v>
      </c>
      <c r="J587" s="115">
        <v>4.6931945622399329E-2</v>
      </c>
      <c r="K587" s="115">
        <v>-9.3360013497666323E-3</v>
      </c>
      <c r="L587" s="115">
        <v>2.9806283620289482E-2</v>
      </c>
      <c r="P587" s="108">
        <v>6.0582072958856856E-2</v>
      </c>
      <c r="Q587" s="108">
        <v>1.2116414591771367</v>
      </c>
      <c r="R587" s="49">
        <v>53293170.602812335</v>
      </c>
    </row>
    <row r="588" spans="1:18" x14ac:dyDescent="0.25">
      <c r="A588">
        <f t="shared" si="11"/>
        <v>576</v>
      </c>
      <c r="B588" s="168">
        <v>1.001290842569869</v>
      </c>
      <c r="C588" s="122">
        <v>0.8873890322706196</v>
      </c>
      <c r="D588" s="122">
        <v>0.8954367097846434</v>
      </c>
      <c r="E588" s="122">
        <v>2.2156134056932055</v>
      </c>
      <c r="F588" s="122">
        <v>3.694069747445063</v>
      </c>
      <c r="G588" s="122">
        <v>1.0853857137808685</v>
      </c>
      <c r="H588" s="163">
        <v>1</v>
      </c>
      <c r="I588" s="12">
        <v>2.4510745166874317E-2</v>
      </c>
      <c r="J588" s="115">
        <v>4.3691218136429087E-2</v>
      </c>
      <c r="K588" s="115">
        <v>-5.2372991266708699E-3</v>
      </c>
      <c r="L588" s="115">
        <v>3.4386943573337575E-2</v>
      </c>
      <c r="P588" s="108">
        <v>4.5480207393572898E-2</v>
      </c>
      <c r="Q588" s="108">
        <v>0.90960414787145782</v>
      </c>
      <c r="R588" s="49">
        <v>40008278.576453358</v>
      </c>
    </row>
    <row r="589" spans="1:18" x14ac:dyDescent="0.25">
      <c r="A589">
        <f t="shared" si="11"/>
        <v>577</v>
      </c>
      <c r="B589" s="168">
        <v>1.0103005175272204</v>
      </c>
      <c r="C589" s="122">
        <v>0.88332583631769857</v>
      </c>
      <c r="D589" s="122">
        <v>0.90333008301791085</v>
      </c>
      <c r="E589" s="122">
        <v>1.3858410854544614</v>
      </c>
      <c r="F589" s="122">
        <v>0.13597271930027688</v>
      </c>
      <c r="G589" s="122">
        <v>1.0807900893923135</v>
      </c>
      <c r="H589" s="163">
        <v>1</v>
      </c>
      <c r="I589" s="12">
        <v>2.5027265233523444E-3</v>
      </c>
      <c r="J589" s="115">
        <v>5.5347067877414904E-2</v>
      </c>
      <c r="K589" s="115">
        <v>1.032763713309775E-2</v>
      </c>
      <c r="L589" s="115">
        <v>1.6050074659571263E-2</v>
      </c>
      <c r="P589" s="108">
        <v>-0.12136977093116917</v>
      </c>
      <c r="Q589" s="108">
        <v>-2.4273954186233828</v>
      </c>
      <c r="R589" s="49">
        <v>-106767226.54656917</v>
      </c>
    </row>
    <row r="590" spans="1:18" x14ac:dyDescent="0.25">
      <c r="A590">
        <f t="shared" si="11"/>
        <v>578</v>
      </c>
      <c r="B590" s="168">
        <v>1.0077607230252956</v>
      </c>
      <c r="C590" s="122">
        <v>0.90714678717256814</v>
      </c>
      <c r="D590" s="122">
        <v>0.88820899538366926</v>
      </c>
      <c r="E590" s="122">
        <v>1.4735021536659376</v>
      </c>
      <c r="F590" s="122">
        <v>4.1827985867338437</v>
      </c>
      <c r="G590" s="122">
        <v>1.0993117791751188</v>
      </c>
      <c r="H590" s="163">
        <v>1</v>
      </c>
      <c r="I590" s="12">
        <v>4.9476453670174461E-2</v>
      </c>
      <c r="J590" s="115">
        <v>1.9996368847316377E-2</v>
      </c>
      <c r="K590" s="115">
        <v>8.212105418984832E-3</v>
      </c>
      <c r="L590" s="115">
        <v>2.2538238331147722E-2</v>
      </c>
      <c r="P590" s="108">
        <v>-1.0499247460704613E-2</v>
      </c>
      <c r="Q590" s="108">
        <v>-0.20998494921409222</v>
      </c>
      <c r="R590" s="49">
        <v>-9236035.6586753763</v>
      </c>
    </row>
    <row r="591" spans="1:18" x14ac:dyDescent="0.25">
      <c r="A591">
        <f t="shared" ref="A591:A654" si="12">A590+1</f>
        <v>579</v>
      </c>
      <c r="B591" s="168">
        <v>0.99111942698778221</v>
      </c>
      <c r="C591" s="122">
        <v>0.88177852598485063</v>
      </c>
      <c r="D591" s="122">
        <v>0.90195876999168967</v>
      </c>
      <c r="E591" s="122">
        <v>1.0720835913430875</v>
      </c>
      <c r="F591" s="122">
        <v>3.8505906138471881</v>
      </c>
      <c r="G591" s="122">
        <v>1.1064270047586251</v>
      </c>
      <c r="H591" s="163">
        <v>1</v>
      </c>
      <c r="I591" s="12">
        <v>2.0650469969911482E-2</v>
      </c>
      <c r="J591" s="115">
        <v>3.9035203936408011E-2</v>
      </c>
      <c r="K591" s="115">
        <v>9.2361723125077132E-3</v>
      </c>
      <c r="L591" s="115">
        <v>3.738500646922728E-2</v>
      </c>
      <c r="P591" s="108">
        <v>3.640364871016652E-2</v>
      </c>
      <c r="Q591" s="108">
        <v>0.72807297420333017</v>
      </c>
      <c r="R591" s="49">
        <v>32023761.593521431</v>
      </c>
    </row>
    <row r="592" spans="1:18" x14ac:dyDescent="0.25">
      <c r="A592">
        <f t="shared" si="12"/>
        <v>580</v>
      </c>
      <c r="B592" s="168">
        <v>1.0017234121980021</v>
      </c>
      <c r="C592" s="122">
        <v>0.97706639618082181</v>
      </c>
      <c r="D592" s="122">
        <v>0.90523160250960211</v>
      </c>
      <c r="E592" s="122">
        <v>2.0326365797838553</v>
      </c>
      <c r="F592" s="122">
        <v>4.2431852956803144</v>
      </c>
      <c r="G592" s="122">
        <v>1.0892399136986253</v>
      </c>
      <c r="H592" s="163">
        <v>1</v>
      </c>
      <c r="I592" s="12">
        <v>2.1279514545750427E-2</v>
      </c>
      <c r="J592" s="115">
        <v>5.4323440726682215E-2</v>
      </c>
      <c r="K592" s="115">
        <v>5.6286997957365279E-3</v>
      </c>
      <c r="L592" s="115">
        <v>1.8109916000246001E-2</v>
      </c>
      <c r="P592" s="108">
        <v>8.0768709805438821E-2</v>
      </c>
      <c r="Q592" s="108">
        <v>1.6153741961087762</v>
      </c>
      <c r="R592" s="49">
        <v>71051062.150903225</v>
      </c>
    </row>
    <row r="593" spans="1:18" x14ac:dyDescent="0.25">
      <c r="A593">
        <f t="shared" si="12"/>
        <v>581</v>
      </c>
      <c r="B593" s="168">
        <v>1.0125585394582326</v>
      </c>
      <c r="C593" s="122">
        <v>0.90272196656397707</v>
      </c>
      <c r="D593" s="122">
        <v>0.90143072495597343</v>
      </c>
      <c r="E593" s="122">
        <v>1.9774391838550576</v>
      </c>
      <c r="F593" s="122">
        <v>3.8707484284909963</v>
      </c>
      <c r="G593" s="122">
        <v>1.0703568094220852</v>
      </c>
      <c r="H593" s="163">
        <v>1</v>
      </c>
      <c r="I593" s="12">
        <v>3.1828532407097876E-2</v>
      </c>
      <c r="J593" s="115">
        <v>3.4811512556287567E-2</v>
      </c>
      <c r="K593" s="115">
        <v>4.6708907951211135E-3</v>
      </c>
      <c r="L593" s="115">
        <v>3.097332946002132E-2</v>
      </c>
      <c r="P593" s="108">
        <v>2.7364758426838109E-2</v>
      </c>
      <c r="Q593" s="108">
        <v>0.54729516853676208</v>
      </c>
      <c r="R593" s="49">
        <v>24072380.955611125</v>
      </c>
    </row>
    <row r="594" spans="1:18" x14ac:dyDescent="0.25">
      <c r="A594">
        <f t="shared" si="12"/>
        <v>582</v>
      </c>
      <c r="B594" s="168">
        <v>0.99963312325463582</v>
      </c>
      <c r="C594" s="122">
        <v>0.87683334034798577</v>
      </c>
      <c r="D594" s="122">
        <v>0.90241775188301332</v>
      </c>
      <c r="E594" s="122">
        <v>2.4361694343112599</v>
      </c>
      <c r="F594" s="122">
        <v>7.9578105527591472</v>
      </c>
      <c r="G594" s="122">
        <v>1.0935731814060932</v>
      </c>
      <c r="H594" s="163">
        <v>1</v>
      </c>
      <c r="I594" s="12">
        <v>4.097160926630828E-2</v>
      </c>
      <c r="J594" s="115">
        <v>2.4853791683952586E-2</v>
      </c>
      <c r="K594" s="115">
        <v>2.4521158924731201E-3</v>
      </c>
      <c r="L594" s="115">
        <v>5.2675286399187365E-2</v>
      </c>
      <c r="P594" s="108">
        <v>6.4035629331511565E-2</v>
      </c>
      <c r="Q594" s="108">
        <v>1.2807125866302309</v>
      </c>
      <c r="R594" s="49">
        <v>56331214.036540866</v>
      </c>
    </row>
    <row r="595" spans="1:18" x14ac:dyDescent="0.25">
      <c r="A595">
        <f t="shared" si="12"/>
        <v>583</v>
      </c>
      <c r="B595" s="168">
        <v>0.97920930905212911</v>
      </c>
      <c r="C595" s="122">
        <v>0.93365094977941598</v>
      </c>
      <c r="D595" s="122">
        <v>0.90563399807914202</v>
      </c>
      <c r="E595" s="122">
        <v>4.2147683314500295</v>
      </c>
      <c r="F595" s="122">
        <v>5.957877139457894</v>
      </c>
      <c r="G595" s="122">
        <v>1.1158093999817089</v>
      </c>
      <c r="H595" s="163">
        <v>1</v>
      </c>
      <c r="I595" s="12">
        <v>3.4660297403453638E-2</v>
      </c>
      <c r="J595" s="115">
        <v>3.6082052823853947E-2</v>
      </c>
      <c r="K595" s="115">
        <v>8.7433992411742809E-3</v>
      </c>
      <c r="L595" s="115">
        <v>-3.296066495639445E-2</v>
      </c>
      <c r="P595" s="108">
        <v>-1.786879399783149E-4</v>
      </c>
      <c r="Q595" s="108">
        <v>-3.5737587995662975E-3</v>
      </c>
      <c r="R595" s="49">
        <v>-157189.18823389336</v>
      </c>
    </row>
    <row r="596" spans="1:18" x14ac:dyDescent="0.25">
      <c r="A596">
        <f t="shared" si="12"/>
        <v>584</v>
      </c>
      <c r="B596" s="168">
        <v>1.0124235518691351</v>
      </c>
      <c r="C596" s="122">
        <v>0.87042873614340122</v>
      </c>
      <c r="D596" s="122">
        <v>0.91657467843862539</v>
      </c>
      <c r="E596" s="122">
        <v>2.5319779589614573</v>
      </c>
      <c r="F596" s="122">
        <v>0.34157737401116339</v>
      </c>
      <c r="G596" s="122">
        <v>1.1397313586235116</v>
      </c>
      <c r="H596" s="163">
        <v>1</v>
      </c>
      <c r="I596" s="12">
        <v>4.6650746908838914E-2</v>
      </c>
      <c r="J596" s="115">
        <v>1.7029444611678442E-2</v>
      </c>
      <c r="K596" s="115">
        <v>4.4461079245269562E-3</v>
      </c>
      <c r="L596" s="115">
        <v>2.4874033308773438E-2</v>
      </c>
      <c r="P596" s="108">
        <v>-0.13838351513098815</v>
      </c>
      <c r="Q596" s="108">
        <v>-2.7676703026197624</v>
      </c>
      <c r="R596" s="49">
        <v>-121733970.46847726</v>
      </c>
    </row>
    <row r="597" spans="1:18" x14ac:dyDescent="0.25">
      <c r="A597">
        <f t="shared" si="12"/>
        <v>585</v>
      </c>
      <c r="B597" s="168">
        <v>1.0019090144844869</v>
      </c>
      <c r="C597" s="122">
        <v>0.84501682474092643</v>
      </c>
      <c r="D597" s="122">
        <v>0.88246572356522457</v>
      </c>
      <c r="E597" s="122">
        <v>3.8297339626991409</v>
      </c>
      <c r="F597" s="122">
        <v>8.4875639345010008</v>
      </c>
      <c r="G597" s="122">
        <v>1.077900686747026</v>
      </c>
      <c r="H597" s="163">
        <v>1</v>
      </c>
      <c r="I597" s="12">
        <v>3.4348706241056175E-2</v>
      </c>
      <c r="J597" s="115">
        <v>4.2220096558000374E-2</v>
      </c>
      <c r="K597" s="115">
        <v>7.2310707462570085E-3</v>
      </c>
      <c r="L597" s="115">
        <v>1.0707398662270483E-2</v>
      </c>
      <c r="P597" s="108">
        <v>8.3421911218933151E-2</v>
      </c>
      <c r="Q597" s="108">
        <v>1.6684382243786626</v>
      </c>
      <c r="R597" s="49">
        <v>73385044.939326525</v>
      </c>
    </row>
    <row r="598" spans="1:18" x14ac:dyDescent="0.25">
      <c r="A598">
        <f t="shared" si="12"/>
        <v>586</v>
      </c>
      <c r="B598" s="168">
        <v>1.0189173223290222</v>
      </c>
      <c r="C598" s="122">
        <v>0.89780261881544488</v>
      </c>
      <c r="D598" s="122">
        <v>0.89750622891936294</v>
      </c>
      <c r="E598" s="122">
        <v>1.6547204418651627</v>
      </c>
      <c r="F598" s="122">
        <v>6.8096913000259001</v>
      </c>
      <c r="G598" s="122">
        <v>1.110007922575893</v>
      </c>
      <c r="H598" s="163">
        <v>1</v>
      </c>
      <c r="I598" s="12">
        <v>2.1026793303756928E-2</v>
      </c>
      <c r="J598" s="115">
        <v>4.2823422114114149E-2</v>
      </c>
      <c r="K598" s="115">
        <v>4.5180593734592918E-3</v>
      </c>
      <c r="L598" s="115">
        <v>1.0884418891962674E-2</v>
      </c>
      <c r="P598" s="108">
        <v>7.4266127074344448E-2</v>
      </c>
      <c r="Q598" s="108">
        <v>1.4853225414868887</v>
      </c>
      <c r="R598" s="49">
        <v>65330834.467666596</v>
      </c>
    </row>
    <row r="599" spans="1:18" x14ac:dyDescent="0.25">
      <c r="A599">
        <f t="shared" si="12"/>
        <v>587</v>
      </c>
      <c r="B599" s="168">
        <v>1.0166742490450886</v>
      </c>
      <c r="C599" s="122">
        <v>0.89206899525296857</v>
      </c>
      <c r="D599" s="122">
        <v>0.90579617506967591</v>
      </c>
      <c r="E599" s="122">
        <v>2.192259477540909</v>
      </c>
      <c r="F599" s="122">
        <v>7.1524912593352203</v>
      </c>
      <c r="G599" s="122">
        <v>1.0824353600070296</v>
      </c>
      <c r="H599" s="163">
        <v>1</v>
      </c>
      <c r="I599" s="12">
        <v>3.1523675331736091E-2</v>
      </c>
      <c r="J599" s="115">
        <v>3.1585820092468901E-2</v>
      </c>
      <c r="K599" s="115">
        <v>9.2709507274511063E-3</v>
      </c>
      <c r="L599" s="115">
        <v>8.9224291015070067E-3</v>
      </c>
      <c r="P599" s="108">
        <v>4.4744320737127925E-2</v>
      </c>
      <c r="Q599" s="108">
        <v>0.89488641474255837</v>
      </c>
      <c r="R599" s="49">
        <v>39360929.761682868</v>
      </c>
    </row>
    <row r="600" spans="1:18" x14ac:dyDescent="0.25">
      <c r="A600">
        <f t="shared" si="12"/>
        <v>588</v>
      </c>
      <c r="B600" s="168">
        <v>0.98638320866690377</v>
      </c>
      <c r="C600" s="122">
        <v>0.90896477891901739</v>
      </c>
      <c r="D600" s="122">
        <v>0.87862701369582896</v>
      </c>
      <c r="E600" s="122">
        <v>2.6434687023560697</v>
      </c>
      <c r="F600" s="122">
        <v>8.1454688848751964</v>
      </c>
      <c r="G600" s="122">
        <v>1.0725781128073297</v>
      </c>
      <c r="H600" s="163">
        <v>1</v>
      </c>
      <c r="I600" s="12">
        <v>3.5337644939505961E-2</v>
      </c>
      <c r="J600" s="115">
        <v>3.7057867107562092E-2</v>
      </c>
      <c r="K600" s="115">
        <v>1.8158839772517994E-4</v>
      </c>
      <c r="L600" s="115">
        <v>2.9863631712668301E-2</v>
      </c>
      <c r="P600" s="108">
        <v>8.7747483882938029E-2</v>
      </c>
      <c r="Q600" s="108">
        <v>1.7549496776587603</v>
      </c>
      <c r="R600" s="49">
        <v>77190188.452560663</v>
      </c>
    </row>
    <row r="601" spans="1:18" x14ac:dyDescent="0.25">
      <c r="A601">
        <f t="shared" si="12"/>
        <v>589</v>
      </c>
      <c r="B601" s="168">
        <v>1.0064246818898024</v>
      </c>
      <c r="C601" s="122">
        <v>0.93616403859238284</v>
      </c>
      <c r="D601" s="122">
        <v>0.89869379377503822</v>
      </c>
      <c r="E601" s="122">
        <v>2.6375642220303357</v>
      </c>
      <c r="F601" s="122">
        <v>5.1595719684892059</v>
      </c>
      <c r="G601" s="122">
        <v>1.1140382022483506</v>
      </c>
      <c r="H601" s="163">
        <v>1</v>
      </c>
      <c r="I601" s="12">
        <v>3.1617547186179498E-2</v>
      </c>
      <c r="J601" s="115">
        <v>4.0367286866405644E-2</v>
      </c>
      <c r="K601" s="115">
        <v>9.745515236802599E-4</v>
      </c>
      <c r="L601" s="115">
        <v>-1.5536193030058175E-3</v>
      </c>
      <c r="P601" s="108">
        <v>3.2483776559286213E-2</v>
      </c>
      <c r="Q601" s="108">
        <v>0.64967553118572408</v>
      </c>
      <c r="R601" s="49">
        <v>28575506.935415745</v>
      </c>
    </row>
    <row r="602" spans="1:18" x14ac:dyDescent="0.25">
      <c r="A602">
        <f t="shared" si="12"/>
        <v>590</v>
      </c>
      <c r="B602" s="168">
        <v>1.0118689402541148</v>
      </c>
      <c r="C602" s="122">
        <v>0.84958988975256422</v>
      </c>
      <c r="D602" s="122">
        <v>0.89613868189289958</v>
      </c>
      <c r="E602" s="122">
        <v>2.8104543208292054</v>
      </c>
      <c r="F602" s="122">
        <v>6.5823868392307459</v>
      </c>
      <c r="G602" s="122">
        <v>1.1020424496732177</v>
      </c>
      <c r="H602" s="163">
        <v>1</v>
      </c>
      <c r="I602" s="12">
        <v>3.4712166213311316E-2</v>
      </c>
      <c r="J602" s="115">
        <v>6.5487511123056924E-2</v>
      </c>
      <c r="K602" s="115">
        <v>6.4532458903175261E-3</v>
      </c>
      <c r="L602" s="115">
        <v>4.5291117475773163E-2</v>
      </c>
      <c r="P602" s="108">
        <v>0.17566927950152264</v>
      </c>
      <c r="Q602" s="108">
        <v>3.513385590030452</v>
      </c>
      <c r="R602" s="49">
        <v>154533716.40989852</v>
      </c>
    </row>
    <row r="603" spans="1:18" x14ac:dyDescent="0.25">
      <c r="A603">
        <f t="shared" si="12"/>
        <v>591</v>
      </c>
      <c r="B603" s="168">
        <v>0.98336803775194348</v>
      </c>
      <c r="C603" s="122">
        <v>0.90216119962450536</v>
      </c>
      <c r="D603" s="122">
        <v>0.90344859440509839</v>
      </c>
      <c r="E603" s="122">
        <v>1.4769744503900721</v>
      </c>
      <c r="F603" s="122">
        <v>3.0621366062488455</v>
      </c>
      <c r="G603" s="122">
        <v>1.1057787308222131</v>
      </c>
      <c r="H603" s="163">
        <v>1</v>
      </c>
      <c r="I603" s="12">
        <v>4.2542083651443408E-2</v>
      </c>
      <c r="J603" s="115">
        <v>2.4502383001517039E-2</v>
      </c>
      <c r="K603" s="115">
        <v>1.0242741742401156E-2</v>
      </c>
      <c r="L603" s="115">
        <v>3.4707141548758466E-2</v>
      </c>
      <c r="P603" s="108">
        <v>-2.1529343670196637E-2</v>
      </c>
      <c r="Q603" s="108">
        <v>-0.43058687340393265</v>
      </c>
      <c r="R603" s="49">
        <v>-18939051.259628914</v>
      </c>
    </row>
    <row r="604" spans="1:18" x14ac:dyDescent="0.25">
      <c r="A604">
        <f t="shared" si="12"/>
        <v>592</v>
      </c>
      <c r="B604" s="168">
        <v>1.0063396628394246</v>
      </c>
      <c r="C604" s="122">
        <v>0.9157031945375389</v>
      </c>
      <c r="D604" s="122">
        <v>0.90007959355551992</v>
      </c>
      <c r="E604" s="122">
        <v>1.0947234995313955</v>
      </c>
      <c r="F604" s="122">
        <v>5.2621359644163546</v>
      </c>
      <c r="G604" s="122">
        <v>1.0913347566489817</v>
      </c>
      <c r="H604" s="163">
        <v>1</v>
      </c>
      <c r="I604" s="12">
        <v>1.5343076808006449E-2</v>
      </c>
      <c r="J604" s="115">
        <v>6.2939192051105236E-2</v>
      </c>
      <c r="K604" s="115">
        <v>1.016239132417775E-3</v>
      </c>
      <c r="L604" s="115">
        <v>3.0995218234138248E-2</v>
      </c>
      <c r="P604" s="108">
        <v>0.1421535912341631</v>
      </c>
      <c r="Q604" s="108">
        <v>2.8430718246832614</v>
      </c>
      <c r="R604" s="49">
        <v>125050451.71679208</v>
      </c>
    </row>
    <row r="605" spans="1:18" x14ac:dyDescent="0.25">
      <c r="A605">
        <f t="shared" si="12"/>
        <v>593</v>
      </c>
      <c r="B605" s="168">
        <v>1.0038366409247543</v>
      </c>
      <c r="C605" s="122">
        <v>0.92056279509395733</v>
      </c>
      <c r="D605" s="122">
        <v>0.9000548716735044</v>
      </c>
      <c r="E605" s="122">
        <v>3.3854494815060194</v>
      </c>
      <c r="F605" s="122">
        <v>6.8917672141648021</v>
      </c>
      <c r="G605" s="122">
        <v>1.1216022204548746</v>
      </c>
      <c r="H605" s="163">
        <v>1</v>
      </c>
      <c r="I605" s="12">
        <v>1.2717133711812474E-2</v>
      </c>
      <c r="J605" s="115">
        <v>5.359096192312518E-2</v>
      </c>
      <c r="K605" s="115">
        <v>9.2770307706294373E-3</v>
      </c>
      <c r="L605" s="115">
        <v>5.5193467638936053E-2</v>
      </c>
      <c r="P605" s="108">
        <v>0.12026024242274505</v>
      </c>
      <c r="Q605" s="108">
        <v>2.4052048484549005</v>
      </c>
      <c r="R605" s="49">
        <v>105791190.41574404</v>
      </c>
    </row>
    <row r="606" spans="1:18" x14ac:dyDescent="0.25">
      <c r="A606">
        <f t="shared" si="12"/>
        <v>594</v>
      </c>
      <c r="B606" s="168">
        <v>0.99774439485670108</v>
      </c>
      <c r="C606" s="122">
        <v>0.91068998830521519</v>
      </c>
      <c r="D606" s="122">
        <v>0.89457094906299173</v>
      </c>
      <c r="E606" s="122">
        <v>1.6010283372570813</v>
      </c>
      <c r="F606" s="122">
        <v>4.3996937254637727</v>
      </c>
      <c r="G606" s="122">
        <v>1.04580833526007</v>
      </c>
      <c r="H606" s="163">
        <v>1</v>
      </c>
      <c r="I606" s="12">
        <v>2.5243370684862803E-2</v>
      </c>
      <c r="J606" s="115">
        <v>5.2368804478349809E-2</v>
      </c>
      <c r="K606" s="115">
        <v>9.4226819333742308E-3</v>
      </c>
      <c r="L606" s="115">
        <v>2.2687783405246253E-2</v>
      </c>
      <c r="P606" s="108">
        <v>9.4813233539357847E-2</v>
      </c>
      <c r="Q606" s="108">
        <v>1.8962646707871567</v>
      </c>
      <c r="R606" s="49">
        <v>83405825.909074873</v>
      </c>
    </row>
    <row r="607" spans="1:18" x14ac:dyDescent="0.25">
      <c r="A607">
        <f t="shared" si="12"/>
        <v>595</v>
      </c>
      <c r="B607" s="168">
        <v>0.98019909873843769</v>
      </c>
      <c r="C607" s="122">
        <v>0.87931097010399228</v>
      </c>
      <c r="D607" s="122">
        <v>0.91511609215497602</v>
      </c>
      <c r="E607" s="122">
        <v>2.5742771778692601</v>
      </c>
      <c r="F607" s="122">
        <v>3.922843142664874</v>
      </c>
      <c r="G607" s="122">
        <v>1.1068545988325056</v>
      </c>
      <c r="H607" s="163">
        <v>1</v>
      </c>
      <c r="I607" s="12">
        <v>1.3029709240622307E-2</v>
      </c>
      <c r="J607" s="115">
        <v>3.9190700526651016E-2</v>
      </c>
      <c r="K607" s="115">
        <v>-5.6197494410570184E-3</v>
      </c>
      <c r="L607" s="115">
        <v>6.5580183970297481E-4</v>
      </c>
      <c r="P607" s="108">
        <v>-5.8223678504170876E-3</v>
      </c>
      <c r="Q607" s="108">
        <v>-0.11644735700834172</v>
      </c>
      <c r="R607" s="49">
        <v>-5121852.5218728697</v>
      </c>
    </row>
    <row r="608" spans="1:18" x14ac:dyDescent="0.25">
      <c r="A608">
        <f t="shared" si="12"/>
        <v>596</v>
      </c>
      <c r="B608" s="168">
        <v>0.99521707450799324</v>
      </c>
      <c r="C608" s="122">
        <v>0.85372652107278535</v>
      </c>
      <c r="D608" s="122">
        <v>0.89786224651669333</v>
      </c>
      <c r="E608" s="122">
        <v>2.1841770598253207</v>
      </c>
      <c r="F608" s="122">
        <v>8.2249694684658063</v>
      </c>
      <c r="G608" s="122">
        <v>1.1038340302468683</v>
      </c>
      <c r="H608" s="163">
        <v>1</v>
      </c>
      <c r="I608" s="12">
        <v>2.6936544435070195E-2</v>
      </c>
      <c r="J608" s="115">
        <v>2.7337972879069111E-2</v>
      </c>
      <c r="K608" s="115">
        <v>-1.0175407552055336E-2</v>
      </c>
      <c r="L608" s="115">
        <v>-1.5320348346331152E-2</v>
      </c>
      <c r="P608" s="108">
        <v>1.0646373078080293E-2</v>
      </c>
      <c r="Q608" s="108">
        <v>0.21292746156160583</v>
      </c>
      <c r="R608" s="49">
        <v>9365459.9296502527</v>
      </c>
    </row>
    <row r="609" spans="1:18" x14ac:dyDescent="0.25">
      <c r="A609">
        <f t="shared" si="12"/>
        <v>597</v>
      </c>
      <c r="B609" s="168">
        <v>1.0141112247372954</v>
      </c>
      <c r="C609" s="122">
        <v>0.90187268138021437</v>
      </c>
      <c r="D609" s="122">
        <v>0.88560758066309231</v>
      </c>
      <c r="E609" s="122">
        <v>1.9985858323264385</v>
      </c>
      <c r="F609" s="122">
        <v>2.8064976671971582</v>
      </c>
      <c r="G609" s="122">
        <v>1.0907063007086979</v>
      </c>
      <c r="H609" s="163">
        <v>1</v>
      </c>
      <c r="I609" s="12">
        <v>1.9748935822448507E-2</v>
      </c>
      <c r="J609" s="115">
        <v>2.3024352414429308E-2</v>
      </c>
      <c r="K609" s="115">
        <v>4.1708795464101512E-4</v>
      </c>
      <c r="L609" s="115">
        <v>1.9985053328133811E-2</v>
      </c>
      <c r="P609" s="108">
        <v>-6.2243614389396733E-2</v>
      </c>
      <c r="Q609" s="108">
        <v>-1.2448722877879344</v>
      </c>
      <c r="R609" s="49">
        <v>-54754804.492123768</v>
      </c>
    </row>
    <row r="610" spans="1:18" x14ac:dyDescent="0.25">
      <c r="A610">
        <f t="shared" si="12"/>
        <v>598</v>
      </c>
      <c r="B610" s="168">
        <v>0.98693478157802894</v>
      </c>
      <c r="C610" s="122">
        <v>0.92830657165909314</v>
      </c>
      <c r="D610" s="122">
        <v>0.90126164765292738</v>
      </c>
      <c r="E610" s="122">
        <v>1.2453828626581251</v>
      </c>
      <c r="F610" s="122">
        <v>5.3746018955839947</v>
      </c>
      <c r="G610" s="122">
        <v>1.1205766936784654</v>
      </c>
      <c r="H610" s="163">
        <v>1</v>
      </c>
      <c r="I610" s="12">
        <v>3.2461039203003986E-2</v>
      </c>
      <c r="J610" s="115">
        <v>4.5566791541647458E-2</v>
      </c>
      <c r="K610" s="115">
        <v>2.1809461796143289E-2</v>
      </c>
      <c r="L610" s="115">
        <v>1.3092605304599108E-2</v>
      </c>
      <c r="P610" s="108">
        <v>8.3012861951373501E-2</v>
      </c>
      <c r="Q610" s="108">
        <v>1.6602572390274697</v>
      </c>
      <c r="R610" s="49">
        <v>73025210.233508259</v>
      </c>
    </row>
    <row r="611" spans="1:18" x14ac:dyDescent="0.25">
      <c r="A611">
        <f t="shared" si="12"/>
        <v>599</v>
      </c>
      <c r="B611" s="168">
        <v>0.99179689381386804</v>
      </c>
      <c r="C611" s="122">
        <v>0.8821993120141306</v>
      </c>
      <c r="D611" s="122">
        <v>0.90287444519863091</v>
      </c>
      <c r="E611" s="122">
        <v>2.7611557024359641</v>
      </c>
      <c r="F611" s="122">
        <v>1.1343823420578869</v>
      </c>
      <c r="G611" s="122">
        <v>1.0916712783145415</v>
      </c>
      <c r="H611" s="163">
        <v>1</v>
      </c>
      <c r="I611" s="12">
        <v>2.210231422361255E-2</v>
      </c>
      <c r="J611" s="115">
        <v>3.9891793916542413E-2</v>
      </c>
      <c r="K611" s="115">
        <v>9.1592202973948648E-3</v>
      </c>
      <c r="L611" s="115">
        <v>3.9510637368099934E-2</v>
      </c>
      <c r="P611" s="108">
        <v>-2.2664231599005779E-2</v>
      </c>
      <c r="Q611" s="108">
        <v>-0.45328463198011548</v>
      </c>
      <c r="R611" s="49">
        <v>-19937395.704629526</v>
      </c>
    </row>
    <row r="612" spans="1:18" x14ac:dyDescent="0.25">
      <c r="A612">
        <f t="shared" si="12"/>
        <v>600</v>
      </c>
      <c r="B612" s="168">
        <v>1.0233394645509788</v>
      </c>
      <c r="C612" s="122">
        <v>0.89265665819914575</v>
      </c>
      <c r="D612" s="122">
        <v>0.89379810413365501</v>
      </c>
      <c r="E612" s="122">
        <v>1.8061037083382314</v>
      </c>
      <c r="F612" s="122">
        <v>7.2377039324341093</v>
      </c>
      <c r="G612" s="122">
        <v>1.1068508271371551</v>
      </c>
      <c r="H612" s="163">
        <v>1</v>
      </c>
      <c r="I612" s="12">
        <v>1.2202159731858082E-2</v>
      </c>
      <c r="J612" s="115">
        <v>3.7087444808256362E-2</v>
      </c>
      <c r="K612" s="115">
        <v>8.1354396881619315E-3</v>
      </c>
      <c r="L612" s="115">
        <v>3.1114482195888575E-2</v>
      </c>
      <c r="P612" s="108">
        <v>6.581466313942573E-2</v>
      </c>
      <c r="Q612" s="108">
        <v>1.3162932627885144</v>
      </c>
      <c r="R612" s="49">
        <v>57896204.265543565</v>
      </c>
    </row>
    <row r="613" spans="1:18" x14ac:dyDescent="0.25">
      <c r="A613">
        <f t="shared" si="12"/>
        <v>601</v>
      </c>
      <c r="B613" s="168">
        <v>0.98488540883849263</v>
      </c>
      <c r="C613" s="122">
        <v>0.88168467740255829</v>
      </c>
      <c r="D613" s="122">
        <v>0.88826301073532843</v>
      </c>
      <c r="E613" s="122">
        <v>2.3114575790812948</v>
      </c>
      <c r="F613" s="122">
        <v>7.0874007306096631</v>
      </c>
      <c r="G613" s="122">
        <v>1.0953910414765788</v>
      </c>
      <c r="H613" s="163">
        <v>1</v>
      </c>
      <c r="I613" s="12">
        <v>3.6759004110291871E-2</v>
      </c>
      <c r="J613" s="115">
        <v>4.3138202075126739E-2</v>
      </c>
      <c r="K613" s="115">
        <v>-6.0273415207617856E-3</v>
      </c>
      <c r="L613" s="115">
        <v>3.6289687011368456E-2</v>
      </c>
      <c r="P613" s="108">
        <v>0.1030635843752675</v>
      </c>
      <c r="Q613" s="108">
        <v>2.0612716875053496</v>
      </c>
      <c r="R613" s="49">
        <v>90663539.835929006</v>
      </c>
    </row>
    <row r="614" spans="1:18" x14ac:dyDescent="0.25">
      <c r="A614">
        <f t="shared" si="12"/>
        <v>602</v>
      </c>
      <c r="B614" s="168">
        <v>1.0133440113108918</v>
      </c>
      <c r="C614" s="122">
        <v>0.9006312284839485</v>
      </c>
      <c r="D614" s="122">
        <v>0.92230668751376088</v>
      </c>
      <c r="E614" s="122">
        <v>2.5656552585239729</v>
      </c>
      <c r="F614" s="122">
        <v>2.3185011955542296</v>
      </c>
      <c r="G614" s="122">
        <v>1.1016177033558248</v>
      </c>
      <c r="H614" s="163">
        <v>1</v>
      </c>
      <c r="I614" s="12">
        <v>2.4873292830485876E-2</v>
      </c>
      <c r="J614" s="115">
        <v>4.0725643513813747E-2</v>
      </c>
      <c r="K614" s="115">
        <v>7.2869370142009619E-3</v>
      </c>
      <c r="L614" s="115">
        <v>1.2908975842275464E-2</v>
      </c>
      <c r="P614" s="108">
        <v>-1.0911437282996156E-2</v>
      </c>
      <c r="Q614" s="108">
        <v>-0.21822874565992306</v>
      </c>
      <c r="R614" s="49">
        <v>-9598633.064925313</v>
      </c>
    </row>
    <row r="615" spans="1:18" x14ac:dyDescent="0.25">
      <c r="A615">
        <f t="shared" si="12"/>
        <v>603</v>
      </c>
      <c r="B615" s="168">
        <v>0.97870893557212169</v>
      </c>
      <c r="C615" s="122">
        <v>0.9286169179115904</v>
      </c>
      <c r="D615" s="122">
        <v>0.89580297282189092</v>
      </c>
      <c r="E615" s="122">
        <v>2.2998592973171395</v>
      </c>
      <c r="F615" s="122">
        <v>7.3657719066570042</v>
      </c>
      <c r="G615" s="122">
        <v>1.1105336248365234</v>
      </c>
      <c r="H615" s="163">
        <v>1</v>
      </c>
      <c r="I615" s="12">
        <v>3.1534163941187847E-2</v>
      </c>
      <c r="J615" s="115">
        <v>4.7807795983095425E-2</v>
      </c>
      <c r="K615" s="115">
        <v>-1.5785097706023194E-3</v>
      </c>
      <c r="L615" s="115">
        <v>9.4591833235156894E-3</v>
      </c>
      <c r="P615" s="108">
        <v>9.6604989253758836E-2</v>
      </c>
      <c r="Q615" s="108">
        <v>1.9320997850751764</v>
      </c>
      <c r="R615" s="49">
        <v>84982007.414633185</v>
      </c>
    </row>
    <row r="616" spans="1:18" x14ac:dyDescent="0.25">
      <c r="A616">
        <f t="shared" si="12"/>
        <v>604</v>
      </c>
      <c r="B616" s="168">
        <v>0.99397364438920899</v>
      </c>
      <c r="C616" s="122">
        <v>0.90141636687206883</v>
      </c>
      <c r="D616" s="122">
        <v>0.92566568571473207</v>
      </c>
      <c r="E616" s="122">
        <v>3.0225421204892982</v>
      </c>
      <c r="F616" s="122">
        <v>2.615340372693614</v>
      </c>
      <c r="G616" s="122">
        <v>1.1111609939917042</v>
      </c>
      <c r="H616" s="163">
        <v>1</v>
      </c>
      <c r="I616" s="12">
        <v>-7.2070313597102226E-4</v>
      </c>
      <c r="J616" s="115">
        <v>3.3272765611964294E-2</v>
      </c>
      <c r="K616" s="115">
        <v>4.1308965187905273E-3</v>
      </c>
      <c r="L616" s="115">
        <v>-7.1535644732676797E-3</v>
      </c>
      <c r="P616" s="108">
        <v>-6.7134624716577274E-2</v>
      </c>
      <c r="Q616" s="108">
        <v>-1.3426924943315455</v>
      </c>
      <c r="R616" s="49">
        <v>-59057355.313776419</v>
      </c>
    </row>
    <row r="617" spans="1:18" x14ac:dyDescent="0.25">
      <c r="A617">
        <f t="shared" si="12"/>
        <v>605</v>
      </c>
      <c r="B617" s="168">
        <v>0.99931047651551919</v>
      </c>
      <c r="C617" s="122">
        <v>0.89389872795868663</v>
      </c>
      <c r="D617" s="122">
        <v>0.92001606130459646</v>
      </c>
      <c r="E617" s="122">
        <v>0.93104045255664536</v>
      </c>
      <c r="F617" s="122">
        <v>5.6274304646533393</v>
      </c>
      <c r="G617" s="122">
        <v>1.0944041039214452</v>
      </c>
      <c r="H617" s="163">
        <v>1</v>
      </c>
      <c r="I617" s="12">
        <v>2.7220790338612955E-2</v>
      </c>
      <c r="J617" s="115">
        <v>2.1959166263841159E-2</v>
      </c>
      <c r="K617" s="115">
        <v>6.6876715210275094E-3</v>
      </c>
      <c r="L617" s="115">
        <v>1.3079183730344453E-2</v>
      </c>
      <c r="P617" s="108">
        <v>6.7666764579213225E-3</v>
      </c>
      <c r="Q617" s="108">
        <v>0.13533352915842642</v>
      </c>
      <c r="R617" s="49">
        <v>5952547.103017441</v>
      </c>
    </row>
    <row r="618" spans="1:18" x14ac:dyDescent="0.25">
      <c r="A618">
        <f t="shared" si="12"/>
        <v>606</v>
      </c>
      <c r="B618" s="168">
        <v>1.0148096549169339</v>
      </c>
      <c r="C618" s="122">
        <v>0.8390851408190213</v>
      </c>
      <c r="D618" s="122">
        <v>0.89139222238583027</v>
      </c>
      <c r="E618" s="122">
        <v>1.7482679637044112</v>
      </c>
      <c r="F618" s="122">
        <v>4.6849176685385645</v>
      </c>
      <c r="G618" s="122">
        <v>1.1215810732927509</v>
      </c>
      <c r="H618" s="163">
        <v>1</v>
      </c>
      <c r="I618" s="12">
        <v>2.3869931155171744E-2</v>
      </c>
      <c r="J618" s="115">
        <v>6.6843820931436732E-2</v>
      </c>
      <c r="K618" s="115">
        <v>3.1565856214765533E-3</v>
      </c>
      <c r="L618" s="115">
        <v>2.5100821473963787E-2</v>
      </c>
      <c r="P618" s="108">
        <v>0.13382142171252359</v>
      </c>
      <c r="Q618" s="108">
        <v>2.6764284342504716</v>
      </c>
      <c r="R618" s="49">
        <v>117720763.07920033</v>
      </c>
    </row>
    <row r="619" spans="1:18" x14ac:dyDescent="0.25">
      <c r="A619">
        <f t="shared" si="12"/>
        <v>607</v>
      </c>
      <c r="B619" s="168">
        <v>1.0258727265966885</v>
      </c>
      <c r="C619" s="122">
        <v>0.88740456990383898</v>
      </c>
      <c r="D619" s="122">
        <v>0.91044856769577587</v>
      </c>
      <c r="E619" s="122">
        <v>2.4209203106728281</v>
      </c>
      <c r="F619" s="122">
        <v>4.1254804817731978</v>
      </c>
      <c r="G619" s="122">
        <v>1.1348363780538642</v>
      </c>
      <c r="H619" s="163">
        <v>1</v>
      </c>
      <c r="I619" s="12">
        <v>2.2324766702796667E-2</v>
      </c>
      <c r="J619" s="115">
        <v>5.6563822748800299E-2</v>
      </c>
      <c r="K619" s="115">
        <v>1.6989898799787922E-3</v>
      </c>
      <c r="L619" s="115">
        <v>4.4687174912705574E-2</v>
      </c>
      <c r="P619" s="108">
        <v>9.510200428576078E-2</v>
      </c>
      <c r="Q619" s="108">
        <v>1.9020400857152153</v>
      </c>
      <c r="R619" s="49">
        <v>83659853.344940305</v>
      </c>
    </row>
    <row r="620" spans="1:18" x14ac:dyDescent="0.25">
      <c r="A620">
        <f t="shared" si="12"/>
        <v>608</v>
      </c>
      <c r="B620" s="168">
        <v>1.0017824160333699</v>
      </c>
      <c r="C620" s="122">
        <v>0.87699763367873729</v>
      </c>
      <c r="D620" s="122">
        <v>0.90389605941876905</v>
      </c>
      <c r="E620" s="122">
        <v>2.0401780238541485</v>
      </c>
      <c r="F620" s="122">
        <v>6.2955000248758211</v>
      </c>
      <c r="G620" s="122">
        <v>1.124739035438143</v>
      </c>
      <c r="H620" s="163">
        <v>1</v>
      </c>
      <c r="I620" s="12">
        <v>3.1567056999432748E-2</v>
      </c>
      <c r="J620" s="115">
        <v>3.0332146053796537E-2</v>
      </c>
      <c r="K620" s="115">
        <v>8.4740790449782839E-3</v>
      </c>
      <c r="L620" s="115">
        <v>1.1530889810008691E-2</v>
      </c>
      <c r="P620" s="108">
        <v>2.7158736605571391E-2</v>
      </c>
      <c r="Q620" s="108">
        <v>0.54317473211142775</v>
      </c>
      <c r="R620" s="49">
        <v>23891146.54859231</v>
      </c>
    </row>
    <row r="621" spans="1:18" x14ac:dyDescent="0.25">
      <c r="A621">
        <f t="shared" si="12"/>
        <v>609</v>
      </c>
      <c r="B621" s="168">
        <v>0.99118791503953085</v>
      </c>
      <c r="C621" s="122">
        <v>0.89449378645605271</v>
      </c>
      <c r="D621" s="122">
        <v>0.92447153734006615</v>
      </c>
      <c r="E621" s="122">
        <v>1.8307319181592474</v>
      </c>
      <c r="F621" s="122">
        <v>6.060122515992604</v>
      </c>
      <c r="G621" s="122">
        <v>1.0960451791149397</v>
      </c>
      <c r="H621" s="163">
        <v>1</v>
      </c>
      <c r="I621" s="12">
        <v>4.279989728439082E-2</v>
      </c>
      <c r="J621" s="115">
        <v>3.8147969356548343E-2</v>
      </c>
      <c r="K621" s="115">
        <v>9.4462087477921418E-3</v>
      </c>
      <c r="L621" s="115">
        <v>3.7546967430357223E-2</v>
      </c>
      <c r="P621" s="108">
        <v>8.7800707557878568E-2</v>
      </c>
      <c r="Q621" s="108">
        <v>1.7560141511575711</v>
      </c>
      <c r="R621" s="49">
        <v>77237008.547189042</v>
      </c>
    </row>
    <row r="622" spans="1:18" x14ac:dyDescent="0.25">
      <c r="A622">
        <f t="shared" si="12"/>
        <v>610</v>
      </c>
      <c r="B622" s="168">
        <v>0.99880118846586785</v>
      </c>
      <c r="C622" s="122">
        <v>0.85636916169225485</v>
      </c>
      <c r="D622" s="122">
        <v>0.88858979634569146</v>
      </c>
      <c r="E622" s="122">
        <v>2.3913583692419866</v>
      </c>
      <c r="F622" s="122">
        <v>4.9589383612763358</v>
      </c>
      <c r="G622" s="122">
        <v>1.0913656893667099</v>
      </c>
      <c r="H622" s="163">
        <v>1</v>
      </c>
      <c r="I622" s="12">
        <v>4.9787944971166481E-2</v>
      </c>
      <c r="J622" s="115">
        <v>5.0309214886725635E-2</v>
      </c>
      <c r="K622" s="115">
        <v>7.5143608861875846E-3</v>
      </c>
      <c r="L622" s="115">
        <v>1.2148374595613834E-2</v>
      </c>
      <c r="P622" s="108">
        <v>9.6255066566660094E-2</v>
      </c>
      <c r="Q622" s="108">
        <v>1.9251013313332015</v>
      </c>
      <c r="R622" s="49">
        <v>84674185.503784865</v>
      </c>
    </row>
    <row r="623" spans="1:18" x14ac:dyDescent="0.25">
      <c r="A623">
        <f t="shared" si="12"/>
        <v>611</v>
      </c>
      <c r="B623" s="168">
        <v>0.98724289643913743</v>
      </c>
      <c r="C623" s="122">
        <v>0.8796721014802027</v>
      </c>
      <c r="D623" s="122">
        <v>0.8907145487819299</v>
      </c>
      <c r="E623" s="122">
        <v>0.93700418817584863</v>
      </c>
      <c r="F623" s="122">
        <v>4.4481736662102627</v>
      </c>
      <c r="G623" s="122">
        <v>1.1121852705274449</v>
      </c>
      <c r="H623" s="163">
        <v>1</v>
      </c>
      <c r="I623" s="12">
        <v>5.2774500701591731E-2</v>
      </c>
      <c r="J623" s="115">
        <v>1.6820894034570509E-2</v>
      </c>
      <c r="K623" s="115">
        <v>9.8648283022771954E-3</v>
      </c>
      <c r="L623" s="115">
        <v>4.5717006289705629E-3</v>
      </c>
      <c r="P623" s="108">
        <v>-2.1613419845554215E-2</v>
      </c>
      <c r="Q623" s="108">
        <v>-0.43226839691108421</v>
      </c>
      <c r="R623" s="49">
        <v>-19013011.851238325</v>
      </c>
    </row>
    <row r="624" spans="1:18" x14ac:dyDescent="0.25">
      <c r="A624">
        <f t="shared" si="12"/>
        <v>612</v>
      </c>
      <c r="B624" s="168">
        <v>1.0085421268852168</v>
      </c>
      <c r="C624" s="122">
        <v>0.87386324744800092</v>
      </c>
      <c r="D624" s="122">
        <v>0.8896982587144775</v>
      </c>
      <c r="E624" s="122">
        <v>0.58229884348520877</v>
      </c>
      <c r="F624" s="122">
        <v>6.28494246289182</v>
      </c>
      <c r="G624" s="122">
        <v>1.0785179520640062</v>
      </c>
      <c r="H624" s="163">
        <v>1</v>
      </c>
      <c r="I624" s="12">
        <v>3.8683943148008507E-2</v>
      </c>
      <c r="J624" s="115">
        <v>2.6719309289989411E-2</v>
      </c>
      <c r="K624" s="115">
        <v>-2.9780520360354976E-3</v>
      </c>
      <c r="L624" s="115">
        <v>3.4015982620789149E-2</v>
      </c>
      <c r="P624" s="108">
        <v>6.8732391535455184E-2</v>
      </c>
      <c r="Q624" s="108">
        <v>1.3746478307091035</v>
      </c>
      <c r="R624" s="49">
        <v>60462887.602508105</v>
      </c>
    </row>
    <row r="625" spans="1:18" x14ac:dyDescent="0.25">
      <c r="A625">
        <f t="shared" si="12"/>
        <v>613</v>
      </c>
      <c r="B625" s="168">
        <v>1.0106928267856596</v>
      </c>
      <c r="C625" s="122">
        <v>0.92468156303730298</v>
      </c>
      <c r="D625" s="122">
        <v>0.91675329294282371</v>
      </c>
      <c r="E625" s="122">
        <v>1.3557959075129378</v>
      </c>
      <c r="F625" s="122">
        <v>1.1147786424041475</v>
      </c>
      <c r="G625" s="122">
        <v>1.1024269545656769</v>
      </c>
      <c r="H625" s="163">
        <v>1</v>
      </c>
      <c r="I625" s="12">
        <v>2.9183103473670084E-2</v>
      </c>
      <c r="J625" s="115">
        <v>3.4268047760706209E-2</v>
      </c>
      <c r="K625" s="115">
        <v>-4.1602491172185322E-3</v>
      </c>
      <c r="L625" s="115">
        <v>8.5430234514137539E-3</v>
      </c>
      <c r="P625" s="108">
        <v>-0.10975827200424915</v>
      </c>
      <c r="Q625" s="108">
        <v>-2.1951654400849825</v>
      </c>
      <c r="R625" s="49">
        <v>-96552759.410606727</v>
      </c>
    </row>
    <row r="626" spans="1:18" x14ac:dyDescent="0.25">
      <c r="A626">
        <f t="shared" si="12"/>
        <v>614</v>
      </c>
      <c r="B626" s="168">
        <v>0.98318918074654671</v>
      </c>
      <c r="C626" s="122">
        <v>0.93028817309028244</v>
      </c>
      <c r="D626" s="122">
        <v>0.87213006877374655</v>
      </c>
      <c r="E626" s="122">
        <v>0.99937850523531147</v>
      </c>
      <c r="F626" s="122">
        <v>5.5263731403865819</v>
      </c>
      <c r="G626" s="122">
        <v>1.0956155355899913</v>
      </c>
      <c r="H626" s="163">
        <v>1</v>
      </c>
      <c r="I626" s="12">
        <v>3.6732955775824812E-2</v>
      </c>
      <c r="J626" s="115">
        <v>2.5343774622543745E-2</v>
      </c>
      <c r="K626" s="115">
        <v>-3.0684064446003748E-4</v>
      </c>
      <c r="L626" s="115">
        <v>2.2806495838328951E-2</v>
      </c>
      <c r="P626" s="108">
        <v>3.0198278509992269E-2</v>
      </c>
      <c r="Q626" s="108">
        <v>0.6039655701998452</v>
      </c>
      <c r="R626" s="49">
        <v>26564987.461509056</v>
      </c>
    </row>
    <row r="627" spans="1:18" x14ac:dyDescent="0.25">
      <c r="A627">
        <f t="shared" si="12"/>
        <v>615</v>
      </c>
      <c r="B627" s="168">
        <v>0.9962451859695155</v>
      </c>
      <c r="C627" s="122">
        <v>0.87919741996460721</v>
      </c>
      <c r="D627" s="122">
        <v>0.90744856390780571</v>
      </c>
      <c r="E627" s="122">
        <v>2.8433695960408292</v>
      </c>
      <c r="F627" s="122">
        <v>5.2158593174974035</v>
      </c>
      <c r="G627" s="122">
        <v>1.1267127579835978</v>
      </c>
      <c r="H627" s="163">
        <v>1</v>
      </c>
      <c r="I627" s="12">
        <v>4.4127028801228707E-2</v>
      </c>
      <c r="J627" s="115">
        <v>4.7298361273083102E-2</v>
      </c>
      <c r="K627" s="115">
        <v>1.5832238693695429E-2</v>
      </c>
      <c r="L627" s="115">
        <v>-1.6185491549208734E-2</v>
      </c>
      <c r="P627" s="108">
        <v>5.6205636918239335E-2</v>
      </c>
      <c r="Q627" s="108">
        <v>1.1241127383647866</v>
      </c>
      <c r="R627" s="49">
        <v>49443283.315143563</v>
      </c>
    </row>
    <row r="628" spans="1:18" x14ac:dyDescent="0.25">
      <c r="A628">
        <f t="shared" si="12"/>
        <v>616</v>
      </c>
      <c r="B628" s="168">
        <v>1.0006353237385921</v>
      </c>
      <c r="C628" s="122">
        <v>0.89118401115307033</v>
      </c>
      <c r="D628" s="122">
        <v>0.89716599112999373</v>
      </c>
      <c r="E628" s="122">
        <v>1.1966207876201662</v>
      </c>
      <c r="F628" s="122">
        <v>4.2017167477445669</v>
      </c>
      <c r="G628" s="122">
        <v>1.0938809275511905</v>
      </c>
      <c r="H628" s="163">
        <v>1</v>
      </c>
      <c r="I628" s="12">
        <v>2.2946976746054008E-2</v>
      </c>
      <c r="J628" s="115">
        <v>5.6625489870608503E-2</v>
      </c>
      <c r="K628" s="115">
        <v>-2.6869862777282091E-3</v>
      </c>
      <c r="L628" s="115">
        <v>2.7499933931527443E-2</v>
      </c>
      <c r="P628" s="108">
        <v>9.9318117926028737E-2</v>
      </c>
      <c r="Q628" s="108">
        <v>1.9863623585205743</v>
      </c>
      <c r="R628" s="49">
        <v>87368707.3431229</v>
      </c>
    </row>
    <row r="629" spans="1:18" x14ac:dyDescent="0.25">
      <c r="A629">
        <f t="shared" si="12"/>
        <v>617</v>
      </c>
      <c r="B629" s="168">
        <v>1.0092000206150449</v>
      </c>
      <c r="C629" s="122">
        <v>0.87831662665933796</v>
      </c>
      <c r="D629" s="122">
        <v>0.91285509689890021</v>
      </c>
      <c r="E629" s="122">
        <v>2.9438171748936508</v>
      </c>
      <c r="F629" s="122">
        <v>1.2780816941408868</v>
      </c>
      <c r="G629" s="122">
        <v>1.1214905974601983</v>
      </c>
      <c r="H629" s="163">
        <v>1</v>
      </c>
      <c r="I629" s="12">
        <v>2.0758217778441321E-2</v>
      </c>
      <c r="J629" s="115">
        <v>3.2297478100336924E-2</v>
      </c>
      <c r="K629" s="115">
        <v>1.1008984991928381E-2</v>
      </c>
      <c r="L629" s="115">
        <v>8.9511774673506246E-3</v>
      </c>
      <c r="P629" s="108">
        <v>-7.2384341776833949E-2</v>
      </c>
      <c r="Q629" s="108">
        <v>-1.4476868355366788</v>
      </c>
      <c r="R629" s="49">
        <v>-63675455.24407687</v>
      </c>
    </row>
    <row r="630" spans="1:18" x14ac:dyDescent="0.25">
      <c r="A630">
        <f t="shared" si="12"/>
        <v>618</v>
      </c>
      <c r="B630" s="168">
        <v>1.0055005834606126</v>
      </c>
      <c r="C630" s="122">
        <v>0.89133740651967097</v>
      </c>
      <c r="D630" s="122">
        <v>0.89147921533096586</v>
      </c>
      <c r="E630" s="122">
        <v>3.1238368107676404</v>
      </c>
      <c r="F630" s="122">
        <v>7.3340971863505455</v>
      </c>
      <c r="G630" s="122">
        <v>1.120807400424306</v>
      </c>
      <c r="H630" s="163">
        <v>1</v>
      </c>
      <c r="I630" s="12">
        <v>3.9433114499922234E-2</v>
      </c>
      <c r="J630" s="115">
        <v>4.7697456037126287E-2</v>
      </c>
      <c r="K630" s="115">
        <v>1.6926527608503868E-3</v>
      </c>
      <c r="L630" s="115">
        <v>1.4969093054903914E-2</v>
      </c>
      <c r="P630" s="108">
        <v>9.7613014908584289E-2</v>
      </c>
      <c r="Q630" s="108">
        <v>1.9522602981716854</v>
      </c>
      <c r="R630" s="49">
        <v>85868752.957842126</v>
      </c>
    </row>
    <row r="631" spans="1:18" x14ac:dyDescent="0.25">
      <c r="A631">
        <f t="shared" si="12"/>
        <v>619</v>
      </c>
      <c r="B631" s="168">
        <v>1.0149323433527579</v>
      </c>
      <c r="C631" s="122">
        <v>0.8923289466370441</v>
      </c>
      <c r="D631" s="122">
        <v>0.90662982790252811</v>
      </c>
      <c r="E631" s="122">
        <v>1.7784495478183977</v>
      </c>
      <c r="F631" s="122">
        <v>8.8991869059088984</v>
      </c>
      <c r="G631" s="122">
        <v>1.1192109236458279</v>
      </c>
      <c r="H631" s="163">
        <v>1</v>
      </c>
      <c r="I631" s="12">
        <v>1.4845528947502226E-2</v>
      </c>
      <c r="J631" s="115">
        <v>2.3255727231136652E-2</v>
      </c>
      <c r="K631" s="115">
        <v>3.6622759031322049E-3</v>
      </c>
      <c r="L631" s="115">
        <v>4.1664382513015012E-2</v>
      </c>
      <c r="P631" s="108">
        <v>4.1381858520732034E-2</v>
      </c>
      <c r="Q631" s="108">
        <v>0.82763717041464058</v>
      </c>
      <c r="R631" s="49">
        <v>36403020.535539463</v>
      </c>
    </row>
    <row r="632" spans="1:18" x14ac:dyDescent="0.25">
      <c r="A632">
        <f t="shared" si="12"/>
        <v>620</v>
      </c>
      <c r="B632" s="168">
        <v>1.0026302312327151</v>
      </c>
      <c r="C632" s="122">
        <v>0.91014127165374414</v>
      </c>
      <c r="D632" s="122">
        <v>0.89283535287086468</v>
      </c>
      <c r="E632" s="122">
        <v>2.2947801786717714</v>
      </c>
      <c r="F632" s="122">
        <v>4.649181785145414</v>
      </c>
      <c r="G632" s="122">
        <v>1.120518526695949</v>
      </c>
      <c r="H632" s="163">
        <v>1</v>
      </c>
      <c r="I632" s="12">
        <v>1.4487517565847374E-2</v>
      </c>
      <c r="J632" s="115">
        <v>6.2830221821278148E-2</v>
      </c>
      <c r="K632" s="115">
        <v>9.6650429534093571E-3</v>
      </c>
      <c r="L632" s="115">
        <v>3.3911007406529858E-2</v>
      </c>
      <c r="P632" s="108">
        <v>0.11648584842702626</v>
      </c>
      <c r="Q632" s="108">
        <v>2.329716968540525</v>
      </c>
      <c r="R632" s="49">
        <v>102470910.78000623</v>
      </c>
    </row>
    <row r="633" spans="1:18" x14ac:dyDescent="0.25">
      <c r="A633">
        <f t="shared" si="12"/>
        <v>621</v>
      </c>
      <c r="B633" s="168">
        <v>1.0185869585083953</v>
      </c>
      <c r="C633" s="122">
        <v>0.94780955298706615</v>
      </c>
      <c r="D633" s="122">
        <v>0.8853699940634765</v>
      </c>
      <c r="E633" s="122">
        <v>1.9083209322501931</v>
      </c>
      <c r="F633" s="122">
        <v>6.4117768650811398</v>
      </c>
      <c r="G633" s="122">
        <v>1.1052988642122077</v>
      </c>
      <c r="H633" s="163">
        <v>1</v>
      </c>
      <c r="I633" s="12">
        <v>3.4031892077719089E-2</v>
      </c>
      <c r="J633" s="115">
        <v>2.3024460076707613E-2</v>
      </c>
      <c r="K633" s="115">
        <v>7.201226470044615E-3</v>
      </c>
      <c r="L633" s="115">
        <v>2.8964397277799092E-2</v>
      </c>
      <c r="P633" s="108">
        <v>2.3159895475940252E-2</v>
      </c>
      <c r="Q633" s="108">
        <v>0.46319790951880502</v>
      </c>
      <c r="R633" s="49">
        <v>20373424.025632329</v>
      </c>
    </row>
    <row r="634" spans="1:18" x14ac:dyDescent="0.25">
      <c r="A634">
        <f t="shared" si="12"/>
        <v>622</v>
      </c>
      <c r="B634" s="168">
        <v>1.0159833807752865</v>
      </c>
      <c r="C634" s="122">
        <v>0.87181876758197374</v>
      </c>
      <c r="D634" s="122">
        <v>0.88150399304735261</v>
      </c>
      <c r="E634" s="122">
        <v>1.7434840905582472</v>
      </c>
      <c r="F634" s="122">
        <v>5.1437981196870952</v>
      </c>
      <c r="G634" s="122">
        <v>1.1144006414617282</v>
      </c>
      <c r="H634" s="163">
        <v>1</v>
      </c>
      <c r="I634" s="12">
        <v>1.1166648074257298E-2</v>
      </c>
      <c r="J634" s="115">
        <v>4.6745927844880339E-2</v>
      </c>
      <c r="K634" s="115">
        <v>1.0128927139780919E-2</v>
      </c>
      <c r="L634" s="115">
        <v>2.1224638415616063E-2</v>
      </c>
      <c r="P634" s="108">
        <v>6.2279350372410627E-2</v>
      </c>
      <c r="Q634" s="108">
        <v>1.2455870074482123</v>
      </c>
      <c r="R634" s="49">
        <v>54786240.917891361</v>
      </c>
    </row>
    <row r="635" spans="1:18" x14ac:dyDescent="0.25">
      <c r="A635">
        <f t="shared" si="12"/>
        <v>623</v>
      </c>
      <c r="B635" s="168">
        <v>1.0201242926257594</v>
      </c>
      <c r="C635" s="122">
        <v>0.95017837331837285</v>
      </c>
      <c r="D635" s="122">
        <v>0.89187874230422903</v>
      </c>
      <c r="E635" s="122">
        <v>2.7153007682167889</v>
      </c>
      <c r="F635" s="122">
        <v>8.7256419147593753</v>
      </c>
      <c r="G635" s="122">
        <v>1.084552690154305</v>
      </c>
      <c r="H635" s="163">
        <v>1</v>
      </c>
      <c r="I635" s="12">
        <v>2.8264391558084231E-2</v>
      </c>
      <c r="J635" s="115">
        <v>7.2742591321289213E-2</v>
      </c>
      <c r="K635" s="115">
        <v>1.2982736850361429E-2</v>
      </c>
      <c r="L635" s="115">
        <v>1.214516408019806E-2</v>
      </c>
      <c r="P635" s="108">
        <v>0.19613652182921718</v>
      </c>
      <c r="Q635" s="108">
        <v>3.9227304365843425</v>
      </c>
      <c r="R635" s="49">
        <v>172538452.52844799</v>
      </c>
    </row>
    <row r="636" spans="1:18" x14ac:dyDescent="0.25">
      <c r="A636">
        <f t="shared" si="12"/>
        <v>624</v>
      </c>
      <c r="B636" s="168">
        <v>0.99779957548852405</v>
      </c>
      <c r="C636" s="122">
        <v>0.89912236088210307</v>
      </c>
      <c r="D636" s="122">
        <v>0.89046467489790215</v>
      </c>
      <c r="E636" s="122">
        <v>1.7047044043142696</v>
      </c>
      <c r="F636" s="122">
        <v>2.4883312114191196</v>
      </c>
      <c r="G636" s="122">
        <v>1.1117243286118255</v>
      </c>
      <c r="H636" s="163">
        <v>1</v>
      </c>
      <c r="I636" s="12">
        <v>1.9074102422008458E-2</v>
      </c>
      <c r="J636" s="115">
        <v>2.6910941083371564E-2</v>
      </c>
      <c r="K636" s="115">
        <v>-3.0719752540320135E-3</v>
      </c>
      <c r="L636" s="115">
        <v>2.7268874471781571E-2</v>
      </c>
      <c r="P636" s="108">
        <v>-6.0137615899241111E-2</v>
      </c>
      <c r="Q636" s="108">
        <v>-1.2027523179848221</v>
      </c>
      <c r="R636" s="49">
        <v>-52902188.176050335</v>
      </c>
    </row>
    <row r="637" spans="1:18" x14ac:dyDescent="0.25">
      <c r="A637">
        <f t="shared" si="12"/>
        <v>625</v>
      </c>
      <c r="B637" s="168">
        <v>1.0076497763500407</v>
      </c>
      <c r="C637" s="122">
        <v>0.94653396446621008</v>
      </c>
      <c r="D637" s="122">
        <v>0.91297979744934565</v>
      </c>
      <c r="E637" s="122">
        <v>2.7169495031748738</v>
      </c>
      <c r="F637" s="122">
        <v>2.921813265780675</v>
      </c>
      <c r="G637" s="122">
        <v>1.0778102338939264</v>
      </c>
      <c r="H637" s="163">
        <v>1</v>
      </c>
      <c r="I637" s="12">
        <v>3.9102398466800296E-2</v>
      </c>
      <c r="J637" s="115">
        <v>3.7309055199542543E-2</v>
      </c>
      <c r="K637" s="115">
        <v>3.3338508314245249E-3</v>
      </c>
      <c r="L637" s="115">
        <v>3.6099861382813458E-2</v>
      </c>
      <c r="P637" s="108">
        <v>2.5790219737871257E-2</v>
      </c>
      <c r="Q637" s="108">
        <v>0.51580439475742501</v>
      </c>
      <c r="R637" s="49">
        <v>22687282.115747616</v>
      </c>
    </row>
    <row r="638" spans="1:18" x14ac:dyDescent="0.25">
      <c r="A638">
        <f t="shared" si="12"/>
        <v>626</v>
      </c>
      <c r="B638" s="168">
        <v>0.99896309961491858</v>
      </c>
      <c r="C638" s="122">
        <v>0.87480530115965927</v>
      </c>
      <c r="D638" s="122">
        <v>0.909151952684639</v>
      </c>
      <c r="E638" s="122">
        <v>2.9024963220132323</v>
      </c>
      <c r="F638" s="122">
        <v>5.1711813294633382</v>
      </c>
      <c r="G638" s="122">
        <v>1.0810611774007233</v>
      </c>
      <c r="H638" s="163">
        <v>1</v>
      </c>
      <c r="I638" s="12">
        <v>1.9763655119091304E-2</v>
      </c>
      <c r="J638" s="115">
        <v>6.3479918614482073E-2</v>
      </c>
      <c r="K638" s="115">
        <v>1.0172507354531204E-2</v>
      </c>
      <c r="L638" s="115">
        <v>5.9939000711180732E-3</v>
      </c>
      <c r="P638" s="108">
        <v>0.11377756213086052</v>
      </c>
      <c r="Q638" s="108">
        <v>2.27555124261721</v>
      </c>
      <c r="R638" s="49">
        <v>100088470.61951785</v>
      </c>
    </row>
    <row r="639" spans="1:18" x14ac:dyDescent="0.25">
      <c r="A639">
        <f t="shared" si="12"/>
        <v>627</v>
      </c>
      <c r="B639" s="168">
        <v>0.98750497225548495</v>
      </c>
      <c r="C639" s="122">
        <v>0.89915752659895487</v>
      </c>
      <c r="D639" s="122">
        <v>0.90528151488969166</v>
      </c>
      <c r="E639" s="122">
        <v>1.9939590448947091</v>
      </c>
      <c r="F639" s="122">
        <v>4.5381538280604179</v>
      </c>
      <c r="G639" s="122">
        <v>1.0697179208739263</v>
      </c>
      <c r="H639" s="163">
        <v>1</v>
      </c>
      <c r="I639" s="12">
        <v>2.373807449278564E-2</v>
      </c>
      <c r="J639" s="115">
        <v>9.4333518788721898E-3</v>
      </c>
      <c r="K639" s="115">
        <v>-1.0871504478329134E-4</v>
      </c>
      <c r="L639" s="115">
        <v>-1.6013917394343481E-2</v>
      </c>
      <c r="P639" s="108">
        <v>-9.2870250126705536E-2</v>
      </c>
      <c r="Q639" s="108">
        <v>-1.8574050025341102</v>
      </c>
      <c r="R639" s="49">
        <v>-81696611.591512024</v>
      </c>
    </row>
    <row r="640" spans="1:18" x14ac:dyDescent="0.25">
      <c r="A640">
        <f t="shared" si="12"/>
        <v>628</v>
      </c>
      <c r="B640" s="168">
        <v>1.0016066393830911</v>
      </c>
      <c r="C640" s="122">
        <v>0.86452568142331865</v>
      </c>
      <c r="D640" s="122">
        <v>0.90901854865103371</v>
      </c>
      <c r="E640" s="122">
        <v>1.6443942715425497</v>
      </c>
      <c r="F640" s="122">
        <v>2.6726844771639922</v>
      </c>
      <c r="G640" s="122">
        <v>1.109445179720721</v>
      </c>
      <c r="H640" s="163">
        <v>1</v>
      </c>
      <c r="I640" s="12">
        <v>1.8965666210063899E-2</v>
      </c>
      <c r="J640" s="115">
        <v>2.8309981590608421E-2</v>
      </c>
      <c r="K640" s="115">
        <v>4.0515900175520612E-3</v>
      </c>
      <c r="L640" s="115">
        <v>4.5516385021616337E-3</v>
      </c>
      <c r="P640" s="108">
        <v>-6.5458000979872297E-2</v>
      </c>
      <c r="Q640" s="108">
        <v>-1.3091600195974455</v>
      </c>
      <c r="R640" s="49">
        <v>-57582453.738559157</v>
      </c>
    </row>
    <row r="641" spans="1:18" x14ac:dyDescent="0.25">
      <c r="A641">
        <f t="shared" si="12"/>
        <v>629</v>
      </c>
      <c r="B641" s="168">
        <v>1.0086694265067333</v>
      </c>
      <c r="C641" s="122">
        <v>0.89345476523177636</v>
      </c>
      <c r="D641" s="122">
        <v>0.87034030604522694</v>
      </c>
      <c r="E641" s="122">
        <v>1.2097351724161181</v>
      </c>
      <c r="F641" s="122">
        <v>4.3423347550404561</v>
      </c>
      <c r="G641" s="122">
        <v>1.0704442565503098</v>
      </c>
      <c r="H641" s="163">
        <v>1</v>
      </c>
      <c r="I641" s="12">
        <v>2.652806687076802E-2</v>
      </c>
      <c r="J641" s="115">
        <v>8.2432786393798196E-3</v>
      </c>
      <c r="K641" s="115">
        <v>8.5054863467669273E-3</v>
      </c>
      <c r="L641" s="115">
        <v>1.784260313765813E-2</v>
      </c>
      <c r="P641" s="108">
        <v>-6.4263669022001674E-2</v>
      </c>
      <c r="Q641" s="108">
        <v>-1.2852733804400331</v>
      </c>
      <c r="R641" s="49">
        <v>-56531817.243660487</v>
      </c>
    </row>
    <row r="642" spans="1:18" x14ac:dyDescent="0.25">
      <c r="A642">
        <f t="shared" si="12"/>
        <v>630</v>
      </c>
      <c r="B642" s="168">
        <v>1.0023961374428381</v>
      </c>
      <c r="C642" s="122">
        <v>0.91873398256821437</v>
      </c>
      <c r="D642" s="122">
        <v>0.89702037996985784</v>
      </c>
      <c r="E642" s="122">
        <v>2.3955810681787626</v>
      </c>
      <c r="F642" s="122">
        <v>4.6412625603410103</v>
      </c>
      <c r="G642" s="122">
        <v>1.0735763061453429</v>
      </c>
      <c r="H642" s="163">
        <v>1</v>
      </c>
      <c r="I642" s="12">
        <v>2.01416572610294E-2</v>
      </c>
      <c r="J642" s="115">
        <v>3.1971496368736037E-2</v>
      </c>
      <c r="K642" s="115">
        <v>1.0704826512067594E-2</v>
      </c>
      <c r="L642" s="115">
        <v>2.4381813653499354E-2</v>
      </c>
      <c r="P642" s="108">
        <v>1.551113914512835E-2</v>
      </c>
      <c r="Q642" s="108">
        <v>0.31022278290256694</v>
      </c>
      <c r="R642" s="49">
        <v>13644924.056439614</v>
      </c>
    </row>
    <row r="643" spans="1:18" x14ac:dyDescent="0.25">
      <c r="A643">
        <f t="shared" si="12"/>
        <v>631</v>
      </c>
      <c r="B643" s="168">
        <v>1.0039687947045099</v>
      </c>
      <c r="C643" s="122">
        <v>0.87885591413619613</v>
      </c>
      <c r="D643" s="122">
        <v>0.91191501141003106</v>
      </c>
      <c r="E643" s="122">
        <v>2.3790294045408409</v>
      </c>
      <c r="F643" s="122">
        <v>3.7058053514729834</v>
      </c>
      <c r="G643" s="122">
        <v>1.119660980166503</v>
      </c>
      <c r="H643" s="163">
        <v>1</v>
      </c>
      <c r="I643" s="12">
        <v>2.5573523011377136E-2</v>
      </c>
      <c r="J643" s="115">
        <v>3.5344695665406774E-2</v>
      </c>
      <c r="K643" s="115">
        <v>-5.9345038535840019E-3</v>
      </c>
      <c r="L643" s="115">
        <v>7.3960201304086488E-3</v>
      </c>
      <c r="P643" s="108">
        <v>-9.7712746035534294E-3</v>
      </c>
      <c r="Q643" s="108">
        <v>-0.19542549207106855</v>
      </c>
      <c r="R643" s="49">
        <v>-8595648.4983231276</v>
      </c>
    </row>
    <row r="644" spans="1:18" x14ac:dyDescent="0.25">
      <c r="A644">
        <f t="shared" si="12"/>
        <v>632</v>
      </c>
      <c r="B644" s="168">
        <v>0.99982425548103337</v>
      </c>
      <c r="C644" s="122">
        <v>0.96152062590060994</v>
      </c>
      <c r="D644" s="122">
        <v>0.89265634716317577</v>
      </c>
      <c r="E644" s="122">
        <v>1.3593442237715232</v>
      </c>
      <c r="F644" s="122">
        <v>4.1806759691362494</v>
      </c>
      <c r="G644" s="122">
        <v>1.1122135352212621</v>
      </c>
      <c r="H644" s="163">
        <v>1</v>
      </c>
      <c r="I644" s="12">
        <v>2.8790152414023822E-2</v>
      </c>
      <c r="J644" s="115">
        <v>3.6259675163408833E-2</v>
      </c>
      <c r="K644" s="115">
        <v>6.9697333125754617E-4</v>
      </c>
      <c r="L644" s="115">
        <v>5.7165749106187751E-3</v>
      </c>
      <c r="P644" s="108">
        <v>1.3376273162860264E-2</v>
      </c>
      <c r="Q644" s="108">
        <v>0.26752546325720522</v>
      </c>
      <c r="R644" s="49">
        <v>11766913.426390348</v>
      </c>
    </row>
    <row r="645" spans="1:18" x14ac:dyDescent="0.25">
      <c r="A645">
        <f t="shared" si="12"/>
        <v>633</v>
      </c>
      <c r="B645" s="168">
        <v>0.99117617765077848</v>
      </c>
      <c r="C645" s="122">
        <v>0.8744860924179757</v>
      </c>
      <c r="D645" s="122">
        <v>0.90118069389922195</v>
      </c>
      <c r="E645" s="122">
        <v>2.239945022288421</v>
      </c>
      <c r="F645" s="122">
        <v>5.6171575581081292</v>
      </c>
      <c r="G645" s="122">
        <v>1.1283477578029542</v>
      </c>
      <c r="H645" s="163">
        <v>1</v>
      </c>
      <c r="I645" s="12">
        <v>1.9402423437680838E-2</v>
      </c>
      <c r="J645" s="115">
        <v>4.0204185183913992E-2</v>
      </c>
      <c r="K645" s="115">
        <v>1.01098294651662E-3</v>
      </c>
      <c r="L645" s="115">
        <v>3.7750196018075902E-2</v>
      </c>
      <c r="P645" s="108">
        <v>5.7338144249420062E-2</v>
      </c>
      <c r="Q645" s="108">
        <v>1.1467628849884011</v>
      </c>
      <c r="R645" s="49">
        <v>50439533.582950294</v>
      </c>
    </row>
    <row r="646" spans="1:18" x14ac:dyDescent="0.25">
      <c r="A646">
        <f t="shared" si="12"/>
        <v>634</v>
      </c>
      <c r="B646" s="168">
        <v>0.9869275094846196</v>
      </c>
      <c r="C646" s="122">
        <v>0.89280892160814773</v>
      </c>
      <c r="D646" s="122">
        <v>0.90675454624025242</v>
      </c>
      <c r="E646" s="122">
        <v>1.6005310338824807</v>
      </c>
      <c r="F646" s="122">
        <v>5.4737049726993572</v>
      </c>
      <c r="G646" s="122">
        <v>1.0780937641953661</v>
      </c>
      <c r="H646" s="163">
        <v>1</v>
      </c>
      <c r="I646" s="12">
        <v>4.0400894404297734E-2</v>
      </c>
      <c r="J646" s="115">
        <v>4.4818437185449526E-2</v>
      </c>
      <c r="K646" s="115">
        <v>4.9747774238410409E-3</v>
      </c>
      <c r="L646" s="115">
        <v>2.2485912766152319E-3</v>
      </c>
      <c r="P646" s="108">
        <v>7.8751460084780636E-2</v>
      </c>
      <c r="Q646" s="108">
        <v>1.5750292016956127</v>
      </c>
      <c r="R646" s="49">
        <v>69276516.839709893</v>
      </c>
    </row>
    <row r="647" spans="1:18" x14ac:dyDescent="0.25">
      <c r="A647">
        <f t="shared" si="12"/>
        <v>635</v>
      </c>
      <c r="B647" s="168">
        <v>1.0047010974378621</v>
      </c>
      <c r="C647" s="122">
        <v>0.86855852284849644</v>
      </c>
      <c r="D647" s="122">
        <v>0.89349596610378457</v>
      </c>
      <c r="E647" s="122">
        <v>2.8018416439312142</v>
      </c>
      <c r="F647" s="122">
        <v>6.8001762132124384</v>
      </c>
      <c r="G647" s="122">
        <v>1.0691475012683818</v>
      </c>
      <c r="H647" s="163">
        <v>1</v>
      </c>
      <c r="I647" s="12">
        <v>4.438241260421906E-2</v>
      </c>
      <c r="J647" s="115">
        <v>5.7476818201418728E-2</v>
      </c>
      <c r="K647" s="115">
        <v>5.8107824203654686E-3</v>
      </c>
      <c r="L647" s="115">
        <v>2.6818822758797985E-2</v>
      </c>
      <c r="P647" s="108">
        <v>0.15070523571300742</v>
      </c>
      <c r="Q647" s="108">
        <v>3.014104714260148</v>
      </c>
      <c r="R647" s="49">
        <v>132573209.28989719</v>
      </c>
    </row>
    <row r="648" spans="1:18" x14ac:dyDescent="0.25">
      <c r="A648">
        <f t="shared" si="12"/>
        <v>636</v>
      </c>
      <c r="B648" s="168">
        <v>1.008501590637549</v>
      </c>
      <c r="C648" s="122">
        <v>0.93871320288236981</v>
      </c>
      <c r="D648" s="122">
        <v>0.90246855612951693</v>
      </c>
      <c r="E648" s="122">
        <v>2.3433117232091307</v>
      </c>
      <c r="F648" s="122">
        <v>3.5514526527192682</v>
      </c>
      <c r="G648" s="122">
        <v>1.0663228339060302</v>
      </c>
      <c r="H648" s="163">
        <v>1</v>
      </c>
      <c r="I648" s="12">
        <v>3.9962958512516515E-2</v>
      </c>
      <c r="J648" s="115">
        <v>5.6118178684478659E-2</v>
      </c>
      <c r="K648" s="115">
        <v>1.0699309853757942E-2</v>
      </c>
      <c r="L648" s="115">
        <v>-6.3517970649299808E-3</v>
      </c>
      <c r="P648" s="108">
        <v>7.5258815349361227E-2</v>
      </c>
      <c r="Q648" s="108">
        <v>1.5051763069872242</v>
      </c>
      <c r="R648" s="49">
        <v>66204087.94038634</v>
      </c>
    </row>
    <row r="649" spans="1:18" x14ac:dyDescent="0.25">
      <c r="A649">
        <f t="shared" si="12"/>
        <v>637</v>
      </c>
      <c r="B649" s="168">
        <v>0.99674061019095517</v>
      </c>
      <c r="C649" s="122">
        <v>0.87323823332203621</v>
      </c>
      <c r="D649" s="122">
        <v>0.89715288850324315</v>
      </c>
      <c r="E649" s="122">
        <v>1.5252349570024428</v>
      </c>
      <c r="F649" s="122">
        <v>1.8851590565438565</v>
      </c>
      <c r="G649" s="122">
        <v>1.0930289315433215</v>
      </c>
      <c r="H649" s="163">
        <v>1</v>
      </c>
      <c r="I649" s="12">
        <v>3.0500930427198401E-2</v>
      </c>
      <c r="J649" s="115">
        <v>3.1895726818261957E-2</v>
      </c>
      <c r="K649" s="115">
        <v>3.8719723161516123E-3</v>
      </c>
      <c r="L649" s="115">
        <v>2.9211520311555744E-2</v>
      </c>
      <c r="P649" s="108">
        <v>-5.1311214942622016E-2</v>
      </c>
      <c r="Q649" s="108">
        <v>-1.0262242988524402</v>
      </c>
      <c r="R649" s="49">
        <v>-45137731.315860346</v>
      </c>
    </row>
    <row r="650" spans="1:18" x14ac:dyDescent="0.25">
      <c r="A650">
        <f t="shared" si="12"/>
        <v>638</v>
      </c>
      <c r="B650" s="168">
        <v>0.99594892537691737</v>
      </c>
      <c r="C650" s="122">
        <v>0.88002183755081442</v>
      </c>
      <c r="D650" s="122">
        <v>0.90462560357186128</v>
      </c>
      <c r="E650" s="122">
        <v>2.3023009728574451</v>
      </c>
      <c r="F650" s="122">
        <v>3.0578846974240612</v>
      </c>
      <c r="G650" s="122">
        <v>1.0694348388654835</v>
      </c>
      <c r="H650" s="163">
        <v>1</v>
      </c>
      <c r="I650" s="12">
        <v>4.0374198433673542E-2</v>
      </c>
      <c r="J650" s="115">
        <v>3.6069798828536795E-2</v>
      </c>
      <c r="K650" s="115">
        <v>7.514855284501732E-3</v>
      </c>
      <c r="L650" s="115">
        <v>3.4275053938626412E-2</v>
      </c>
      <c r="P650" s="108">
        <v>2.4825260891730722E-2</v>
      </c>
      <c r="Q650" s="108">
        <v>0.49650521783461432</v>
      </c>
      <c r="R650" s="49">
        <v>21838421.81928689</v>
      </c>
    </row>
    <row r="651" spans="1:18" x14ac:dyDescent="0.25">
      <c r="A651">
        <f t="shared" si="12"/>
        <v>639</v>
      </c>
      <c r="B651" s="168">
        <v>1.0024606777480691</v>
      </c>
      <c r="C651" s="122">
        <v>0.8816915086096514</v>
      </c>
      <c r="D651" s="122">
        <v>0.91832015899338626</v>
      </c>
      <c r="E651" s="122">
        <v>0.48337563135395722</v>
      </c>
      <c r="F651" s="122">
        <v>6.4598993038281325</v>
      </c>
      <c r="G651" s="122">
        <v>1.1174995788261428</v>
      </c>
      <c r="H651" s="163">
        <v>1</v>
      </c>
      <c r="I651" s="12">
        <v>2.3918636182902686E-2</v>
      </c>
      <c r="J651" s="115">
        <v>2.8709898217803426E-2</v>
      </c>
      <c r="K651" s="115">
        <v>9.2255334774424737E-3</v>
      </c>
      <c r="L651" s="115">
        <v>5.0146428999770773E-2</v>
      </c>
      <c r="P651" s="108">
        <v>7.7536150716660451E-2</v>
      </c>
      <c r="Q651" s="108">
        <v>1.5507230143332087</v>
      </c>
      <c r="R651" s="49">
        <v>68207426.821373731</v>
      </c>
    </row>
    <row r="652" spans="1:18" x14ac:dyDescent="0.25">
      <c r="A652">
        <f t="shared" si="12"/>
        <v>640</v>
      </c>
      <c r="B652" s="168">
        <v>1.0139233126491942</v>
      </c>
      <c r="C652" s="122">
        <v>0.87114877582612127</v>
      </c>
      <c r="D652" s="122">
        <v>0.91745801473140853</v>
      </c>
      <c r="E652" s="122">
        <v>1.3090927958167007</v>
      </c>
      <c r="F652" s="122">
        <v>1.0192987285531627</v>
      </c>
      <c r="G652" s="122">
        <v>1.0950912990460879</v>
      </c>
      <c r="H652" s="163">
        <v>1</v>
      </c>
      <c r="I652" s="12">
        <v>2.5030543810524518E-2</v>
      </c>
      <c r="J652" s="115">
        <v>3.8963538158887152E-2</v>
      </c>
      <c r="K652" s="115">
        <v>3.7119803628021695E-3</v>
      </c>
      <c r="L652" s="115">
        <v>4.286367922477511E-2</v>
      </c>
      <c r="P652" s="108">
        <v>-7.7634963331263768E-2</v>
      </c>
      <c r="Q652" s="108">
        <v>-1.552699266625275</v>
      </c>
      <c r="R652" s="49">
        <v>-68294350.84477821</v>
      </c>
    </row>
    <row r="653" spans="1:18" x14ac:dyDescent="0.25">
      <c r="A653">
        <f t="shared" si="12"/>
        <v>641</v>
      </c>
      <c r="B653" s="168">
        <v>1.0080481968049346</v>
      </c>
      <c r="C653" s="122">
        <v>0.88783716826587178</v>
      </c>
      <c r="D653" s="122">
        <v>0.90173607631783081</v>
      </c>
      <c r="E653" s="122">
        <v>1.1819611834664292</v>
      </c>
      <c r="F653" s="122">
        <v>5.4190534877434517</v>
      </c>
      <c r="G653" s="122">
        <v>1.1425892159901001</v>
      </c>
      <c r="H653" s="163">
        <v>1</v>
      </c>
      <c r="I653" s="12">
        <v>4.8619898777369358E-3</v>
      </c>
      <c r="J653" s="115">
        <v>5.7385999774478648E-2</v>
      </c>
      <c r="K653" s="115">
        <v>1.3398320353070866E-2</v>
      </c>
      <c r="L653" s="115">
        <v>2.3510949450155961E-2</v>
      </c>
      <c r="P653" s="108">
        <v>0.10375143772250225</v>
      </c>
      <c r="Q653" s="108">
        <v>2.0750287544500448</v>
      </c>
      <c r="R653" s="49">
        <v>91268634.445497602</v>
      </c>
    </row>
    <row r="654" spans="1:18" x14ac:dyDescent="0.25">
      <c r="A654">
        <f t="shared" si="12"/>
        <v>642</v>
      </c>
      <c r="B654" s="168">
        <v>1.0061798966155902</v>
      </c>
      <c r="C654" s="122">
        <v>0.90084114891545264</v>
      </c>
      <c r="D654" s="122">
        <v>0.90623743988909489</v>
      </c>
      <c r="E654" s="122">
        <v>2.6790828846294525</v>
      </c>
      <c r="F654" s="122">
        <v>1.9650733474521886</v>
      </c>
      <c r="G654" s="122">
        <v>1.121207786140199</v>
      </c>
      <c r="H654" s="163">
        <v>1</v>
      </c>
      <c r="I654" s="12">
        <v>2.2915758849554893E-2</v>
      </c>
      <c r="J654" s="115">
        <v>5.2697848790304883E-2</v>
      </c>
      <c r="K654" s="115">
        <v>9.673548241289057E-3</v>
      </c>
      <c r="L654" s="115">
        <v>2.6286305423934394E-2</v>
      </c>
      <c r="P654" s="108">
        <v>2.7641983836217004E-2</v>
      </c>
      <c r="Q654" s="108">
        <v>0.55283967672433998</v>
      </c>
      <c r="R654" s="49">
        <v>24316252.126006663</v>
      </c>
    </row>
    <row r="655" spans="1:18" x14ac:dyDescent="0.25">
      <c r="A655">
        <f t="shared" ref="A655:A718" si="13">A654+1</f>
        <v>643</v>
      </c>
      <c r="B655" s="168">
        <v>1.0199345041110046</v>
      </c>
      <c r="C655" s="122">
        <v>0.94489260734789582</v>
      </c>
      <c r="D655" s="122">
        <v>0.91317219729492694</v>
      </c>
      <c r="E655" s="122">
        <v>1.6477539145393347</v>
      </c>
      <c r="F655" s="122">
        <v>5.2580666742902178</v>
      </c>
      <c r="G655" s="122">
        <v>1.1210881241756092</v>
      </c>
      <c r="H655" s="163">
        <v>1</v>
      </c>
      <c r="I655" s="12">
        <v>3.9207174696497579E-2</v>
      </c>
      <c r="J655" s="115">
        <v>2.981061345742823E-2</v>
      </c>
      <c r="K655" s="115">
        <v>7.1307062968932085E-3</v>
      </c>
      <c r="L655" s="115">
        <v>4.8784312246283809E-2</v>
      </c>
      <c r="P655" s="108">
        <v>4.9496057313890833E-2</v>
      </c>
      <c r="Q655" s="108">
        <v>0.98992114627781658</v>
      </c>
      <c r="R655" s="49">
        <v>43540963.485801689</v>
      </c>
    </row>
    <row r="656" spans="1:18" x14ac:dyDescent="0.25">
      <c r="A656">
        <f t="shared" si="13"/>
        <v>644</v>
      </c>
      <c r="B656" s="168">
        <v>0.9920326839918826</v>
      </c>
      <c r="C656" s="122">
        <v>0.9025143037934813</v>
      </c>
      <c r="D656" s="122">
        <v>0.91180861762667953</v>
      </c>
      <c r="E656" s="122">
        <v>2.0328894968010642</v>
      </c>
      <c r="F656" s="122">
        <v>3.8143753446932793</v>
      </c>
      <c r="G656" s="122">
        <v>1.0980699213117604</v>
      </c>
      <c r="H656" s="163">
        <v>1</v>
      </c>
      <c r="I656" s="12">
        <v>2.1346363650992163E-2</v>
      </c>
      <c r="J656" s="115">
        <v>5.7228047072818866E-2</v>
      </c>
      <c r="K656" s="115">
        <v>2.453851690232454E-3</v>
      </c>
      <c r="L656" s="115">
        <v>1.7293455067337902E-2</v>
      </c>
      <c r="P656" s="108">
        <v>7.8801579179531733E-2</v>
      </c>
      <c r="Q656" s="108">
        <v>1.5760315835906342</v>
      </c>
      <c r="R656" s="49">
        <v>69320605.880189598</v>
      </c>
    </row>
    <row r="657" spans="1:18" x14ac:dyDescent="0.25">
      <c r="A657">
        <f t="shared" si="13"/>
        <v>645</v>
      </c>
      <c r="B657" s="168">
        <v>1.0035737952442201</v>
      </c>
      <c r="C657" s="122">
        <v>0.92644414582752621</v>
      </c>
      <c r="D657" s="122">
        <v>0.91235768969731834</v>
      </c>
      <c r="E657" s="122">
        <v>2.7917447847800858</v>
      </c>
      <c r="F657" s="122">
        <v>4.8040933770683534</v>
      </c>
      <c r="G657" s="122">
        <v>1.0934070951030137</v>
      </c>
      <c r="H657" s="163">
        <v>1</v>
      </c>
      <c r="I657" s="12">
        <v>1.4856672173205106E-2</v>
      </c>
      <c r="J657" s="115">
        <v>2.6982509077304467E-2</v>
      </c>
      <c r="K657" s="115">
        <v>3.6929032633819915E-3</v>
      </c>
      <c r="L657" s="115">
        <v>1.6616459446015953E-2</v>
      </c>
      <c r="P657" s="108">
        <v>-1.6828553456031976E-2</v>
      </c>
      <c r="Q657" s="108">
        <v>-0.3365710691206395</v>
      </c>
      <c r="R657" s="49">
        <v>-14803834.311512183</v>
      </c>
    </row>
    <row r="658" spans="1:18" x14ac:dyDescent="0.25">
      <c r="A658">
        <f t="shared" si="13"/>
        <v>646</v>
      </c>
      <c r="B658" s="168">
        <v>0.98836517479211417</v>
      </c>
      <c r="C658" s="122">
        <v>0.92809798898304796</v>
      </c>
      <c r="D658" s="122">
        <v>0.9172783296441136</v>
      </c>
      <c r="E658" s="122">
        <v>2.5846678567916479</v>
      </c>
      <c r="F658" s="122">
        <v>4.2250045219890096</v>
      </c>
      <c r="G658" s="122">
        <v>1.1048977673411819</v>
      </c>
      <c r="H658" s="163">
        <v>1</v>
      </c>
      <c r="I658" s="12">
        <v>2.8352425188929664E-2</v>
      </c>
      <c r="J658" s="115">
        <v>2.8115978659730253E-2</v>
      </c>
      <c r="K658" s="115">
        <v>7.0428495358023906E-3</v>
      </c>
      <c r="L658" s="115">
        <v>3.590335934340045E-2</v>
      </c>
      <c r="P658" s="108">
        <v>3.820913676616443E-3</v>
      </c>
      <c r="Q658" s="108">
        <v>7.6418273532328843E-2</v>
      </c>
      <c r="R658" s="49">
        <v>3361202.3240741324</v>
      </c>
    </row>
    <row r="659" spans="1:18" x14ac:dyDescent="0.25">
      <c r="A659">
        <f t="shared" si="13"/>
        <v>647</v>
      </c>
      <c r="B659" s="168">
        <v>1.0027143534138465</v>
      </c>
      <c r="C659" s="122">
        <v>0.95586358014789696</v>
      </c>
      <c r="D659" s="122">
        <v>0.89673423215398163</v>
      </c>
      <c r="E659" s="122">
        <v>1.4355697983291056</v>
      </c>
      <c r="F659" s="122">
        <v>4.7095003358613541</v>
      </c>
      <c r="G659" s="122">
        <v>1.0737916746921761</v>
      </c>
      <c r="H659" s="163">
        <v>1</v>
      </c>
      <c r="I659" s="12">
        <v>2.2293130576844573E-2</v>
      </c>
      <c r="J659" s="115">
        <v>6.7295408160299386E-2</v>
      </c>
      <c r="K659" s="115">
        <v>4.0844036270849399E-3</v>
      </c>
      <c r="L659" s="115">
        <v>2.5193634827030985E-2</v>
      </c>
      <c r="P659" s="108">
        <v>0.14724608307851819</v>
      </c>
      <c r="Q659" s="108">
        <v>2.9449216615703633</v>
      </c>
      <c r="R659" s="49">
        <v>129530242.90582843</v>
      </c>
    </row>
    <row r="660" spans="1:18" x14ac:dyDescent="0.25">
      <c r="A660">
        <f t="shared" si="13"/>
        <v>648</v>
      </c>
      <c r="B660" s="168">
        <v>0.99917463111824689</v>
      </c>
      <c r="C660" s="122">
        <v>0.89021687512258874</v>
      </c>
      <c r="D660" s="122">
        <v>0.89478939350274111</v>
      </c>
      <c r="E660" s="122">
        <v>0.88422753118612385</v>
      </c>
      <c r="F660" s="122">
        <v>4.812841693306952</v>
      </c>
      <c r="G660" s="122">
        <v>1.1105977482855007</v>
      </c>
      <c r="H660" s="163">
        <v>1</v>
      </c>
      <c r="I660" s="12">
        <v>2.1705046676003592E-2</v>
      </c>
      <c r="J660" s="115">
        <v>1.4311967542208391E-2</v>
      </c>
      <c r="K660" s="115">
        <v>1.7829239004603561E-3</v>
      </c>
      <c r="L660" s="115">
        <v>1.4584370831826107E-2</v>
      </c>
      <c r="P660" s="108">
        <v>-4.2209620897953659E-2</v>
      </c>
      <c r="Q660" s="108">
        <v>-0.84419241795907307</v>
      </c>
      <c r="R660" s="49">
        <v>-37131191.088861749</v>
      </c>
    </row>
    <row r="661" spans="1:18" x14ac:dyDescent="0.25">
      <c r="A661">
        <f t="shared" si="13"/>
        <v>649</v>
      </c>
      <c r="B661" s="168">
        <v>0.99473555377727674</v>
      </c>
      <c r="C661" s="122">
        <v>0.92127870046580163</v>
      </c>
      <c r="D661" s="122">
        <v>0.88303676788715646</v>
      </c>
      <c r="E661" s="122">
        <v>2.3189033074604639</v>
      </c>
      <c r="F661" s="122">
        <v>2.3622991780056952</v>
      </c>
      <c r="G661" s="122">
        <v>1.0865342468216417</v>
      </c>
      <c r="H661" s="163">
        <v>1</v>
      </c>
      <c r="I661" s="12">
        <v>3.891731969865659E-3</v>
      </c>
      <c r="J661" s="115">
        <v>5.2135473531047E-2</v>
      </c>
      <c r="K661" s="115">
        <v>3.536514143942788E-3</v>
      </c>
      <c r="L661" s="115">
        <v>1.9665325553808521E-2</v>
      </c>
      <c r="P661" s="108">
        <v>1.7611131217801588E-2</v>
      </c>
      <c r="Q661" s="108">
        <v>0.35222262435603169</v>
      </c>
      <c r="R661" s="49">
        <v>15492256.614200281</v>
      </c>
    </row>
    <row r="662" spans="1:18" x14ac:dyDescent="0.25">
      <c r="A662">
        <f t="shared" si="13"/>
        <v>650</v>
      </c>
      <c r="B662" s="168">
        <v>1.0034683718363724</v>
      </c>
      <c r="C662" s="122">
        <v>0.8927794468627982</v>
      </c>
      <c r="D662" s="122">
        <v>0.90289181263171103</v>
      </c>
      <c r="E662" s="122">
        <v>2.3219514334772193</v>
      </c>
      <c r="F662" s="122">
        <v>2.2855159907409184</v>
      </c>
      <c r="G662" s="122">
        <v>1.1397884273760299</v>
      </c>
      <c r="H662" s="163">
        <v>1</v>
      </c>
      <c r="I662" s="12">
        <v>1.7644529060856541E-3</v>
      </c>
      <c r="J662" s="115">
        <v>4.3616797974231382E-2</v>
      </c>
      <c r="K662" s="115">
        <v>1.34725527627272E-2</v>
      </c>
      <c r="L662" s="115">
        <v>3.3266952676476405E-2</v>
      </c>
      <c r="P662" s="108">
        <v>-1.5446247274915871E-2</v>
      </c>
      <c r="Q662" s="108">
        <v>-0.30892494549831739</v>
      </c>
      <c r="R662" s="49">
        <v>-13587839.619723206</v>
      </c>
    </row>
    <row r="663" spans="1:18" x14ac:dyDescent="0.25">
      <c r="A663">
        <f t="shared" si="13"/>
        <v>651</v>
      </c>
      <c r="B663" s="168">
        <v>1.0021821851665795</v>
      </c>
      <c r="C663" s="122">
        <v>0.8782220553700838</v>
      </c>
      <c r="D663" s="122">
        <v>0.89808275005435934</v>
      </c>
      <c r="E663" s="122">
        <v>3.3021439527554954</v>
      </c>
      <c r="F663" s="122">
        <v>5.1668713624491502</v>
      </c>
      <c r="G663" s="122">
        <v>1.0845044062048868</v>
      </c>
      <c r="H663" s="163">
        <v>1</v>
      </c>
      <c r="I663" s="12">
        <v>2.7455822098032476E-2</v>
      </c>
      <c r="J663" s="115">
        <v>5.580011366013396E-3</v>
      </c>
      <c r="K663" s="115">
        <v>1.9819685000705925E-2</v>
      </c>
      <c r="L663" s="115">
        <v>1.9264110968659234E-2</v>
      </c>
      <c r="P663" s="108">
        <v>-7.216757375878155E-2</v>
      </c>
      <c r="Q663" s="108">
        <v>-1.4433514751756307</v>
      </c>
      <c r="R663" s="49">
        <v>-63484767.563661158</v>
      </c>
    </row>
    <row r="664" spans="1:18" x14ac:dyDescent="0.25">
      <c r="A664">
        <f t="shared" si="13"/>
        <v>652</v>
      </c>
      <c r="B664" s="168">
        <v>0.98731815454676908</v>
      </c>
      <c r="C664" s="122">
        <v>0.8548256693915306</v>
      </c>
      <c r="D664" s="122">
        <v>0.89653200141047773</v>
      </c>
      <c r="E664" s="122">
        <v>1.9689363971478151</v>
      </c>
      <c r="F664" s="122">
        <v>5.8397037134836802</v>
      </c>
      <c r="G664" s="122">
        <v>1.087121926694945</v>
      </c>
      <c r="H664" s="163">
        <v>1</v>
      </c>
      <c r="I664" s="12">
        <v>3.499604175270387E-2</v>
      </c>
      <c r="J664" s="115">
        <v>2.4748945307151056E-2</v>
      </c>
      <c r="K664" s="115">
        <v>2.5691039469268734E-4</v>
      </c>
      <c r="L664" s="115">
        <v>2.2053842859387017E-2</v>
      </c>
      <c r="P664" s="108">
        <v>1.753322507910117E-2</v>
      </c>
      <c r="Q664" s="108">
        <v>0.35066450158202334</v>
      </c>
      <c r="R664" s="49">
        <v>15423723.714317709</v>
      </c>
    </row>
    <row r="665" spans="1:18" x14ac:dyDescent="0.25">
      <c r="A665">
        <f t="shared" si="13"/>
        <v>653</v>
      </c>
      <c r="B665" s="168">
        <v>1.0012483915980475</v>
      </c>
      <c r="C665" s="122">
        <v>0.89837458477677568</v>
      </c>
      <c r="D665" s="122">
        <v>0.90322989887994032</v>
      </c>
      <c r="E665" s="122">
        <v>1.911729724841011</v>
      </c>
      <c r="F665" s="122">
        <v>6.6327519435567623</v>
      </c>
      <c r="G665" s="122">
        <v>1.070622353132981</v>
      </c>
      <c r="H665" s="163">
        <v>1</v>
      </c>
      <c r="I665" s="12">
        <v>3.1402872217512916E-2</v>
      </c>
      <c r="J665" s="115">
        <v>3.4490142438649875E-2</v>
      </c>
      <c r="K665" s="115">
        <v>8.1343740772166218E-3</v>
      </c>
      <c r="L665" s="115">
        <v>-1.3738158537566911E-2</v>
      </c>
      <c r="P665" s="108">
        <v>3.6726875265283052E-2</v>
      </c>
      <c r="Q665" s="108">
        <v>0.73453750530566098</v>
      </c>
      <c r="R665" s="49">
        <v>32308099.304396447</v>
      </c>
    </row>
    <row r="666" spans="1:18" x14ac:dyDescent="0.25">
      <c r="A666">
        <f t="shared" si="13"/>
        <v>654</v>
      </c>
      <c r="B666" s="168">
        <v>1.0065351986949229</v>
      </c>
      <c r="C666" s="122">
        <v>0.87534430253881013</v>
      </c>
      <c r="D666" s="122">
        <v>0.90314586431871302</v>
      </c>
      <c r="E666" s="122">
        <v>1.7377627322501183</v>
      </c>
      <c r="F666" s="122">
        <v>8.7453494355962</v>
      </c>
      <c r="G666" s="122">
        <v>1.1108033620948043</v>
      </c>
      <c r="H666" s="163">
        <v>1</v>
      </c>
      <c r="I666" s="12">
        <v>3.1349460902871634E-2</v>
      </c>
      <c r="J666" s="115">
        <v>2.6429386713073887E-2</v>
      </c>
      <c r="K666" s="115">
        <v>1.284185571909886E-4</v>
      </c>
      <c r="L666" s="115">
        <v>1.5104675148301086E-2</v>
      </c>
      <c r="P666" s="108">
        <v>4.6839416100114009E-2</v>
      </c>
      <c r="Q666" s="108">
        <v>0.93678832200228002</v>
      </c>
      <c r="R666" s="49">
        <v>41203954.754977614</v>
      </c>
    </row>
    <row r="667" spans="1:18" x14ac:dyDescent="0.25">
      <c r="A667">
        <f t="shared" si="13"/>
        <v>655</v>
      </c>
      <c r="B667" s="168">
        <v>1.0034711280448898</v>
      </c>
      <c r="C667" s="122">
        <v>0.8733256205075407</v>
      </c>
      <c r="D667" s="122">
        <v>0.90009445073026695</v>
      </c>
      <c r="E667" s="122">
        <v>2.7848649637662484</v>
      </c>
      <c r="F667" s="122">
        <v>4.5761536832094203</v>
      </c>
      <c r="G667" s="122">
        <v>1.0836995709745991</v>
      </c>
      <c r="H667" s="163">
        <v>1</v>
      </c>
      <c r="I667" s="12">
        <v>2.8408230486997036E-2</v>
      </c>
      <c r="J667" s="115">
        <v>5.4398894051212565E-2</v>
      </c>
      <c r="K667" s="115">
        <v>1.6578824848837808E-2</v>
      </c>
      <c r="L667" s="115">
        <v>4.3055402498849565E-2</v>
      </c>
      <c r="P667" s="108">
        <v>0.11075742873117463</v>
      </c>
      <c r="Q667" s="108">
        <v>2.215148574623492</v>
      </c>
      <c r="R667" s="49">
        <v>97431703.08662042</v>
      </c>
    </row>
    <row r="668" spans="1:18" x14ac:dyDescent="0.25">
      <c r="A668">
        <f t="shared" si="13"/>
        <v>656</v>
      </c>
      <c r="B668" s="168">
        <v>0.9942844627138675</v>
      </c>
      <c r="C668" s="122">
        <v>0.90965474563858084</v>
      </c>
      <c r="D668" s="122">
        <v>0.89910866354066266</v>
      </c>
      <c r="E668" s="122">
        <v>1.7970211479068556</v>
      </c>
      <c r="F668" s="122">
        <v>6.576804612040192</v>
      </c>
      <c r="G668" s="122">
        <v>1.1133533892411609</v>
      </c>
      <c r="H668" s="163">
        <v>1</v>
      </c>
      <c r="I668" s="12">
        <v>3.838149751960012E-2</v>
      </c>
      <c r="J668" s="115">
        <v>1.5318311750907969E-2</v>
      </c>
      <c r="K668" s="115">
        <v>6.4515719208537619E-4</v>
      </c>
      <c r="L668" s="115">
        <v>2.6034302276278214E-2</v>
      </c>
      <c r="P668" s="108">
        <v>-1.7643770718351285E-3</v>
      </c>
      <c r="Q668" s="108">
        <v>-3.5287541436702562E-2</v>
      </c>
      <c r="R668" s="49">
        <v>-1552096.9109270796</v>
      </c>
    </row>
    <row r="669" spans="1:18" x14ac:dyDescent="0.25">
      <c r="A669">
        <f t="shared" si="13"/>
        <v>657</v>
      </c>
      <c r="B669" s="168">
        <v>1.008219463530194</v>
      </c>
      <c r="C669" s="122">
        <v>0.92507145797338508</v>
      </c>
      <c r="D669" s="122">
        <v>0.91489194848517286</v>
      </c>
      <c r="E669" s="122">
        <v>2.619065623511156</v>
      </c>
      <c r="F669" s="122">
        <v>4.4430372385464656</v>
      </c>
      <c r="G669" s="122">
        <v>1.1046710110365989</v>
      </c>
      <c r="H669" s="163">
        <v>1</v>
      </c>
      <c r="I669" s="12">
        <v>3.2264136215467934E-2</v>
      </c>
      <c r="J669" s="115">
        <v>4.6616217242307689E-2</v>
      </c>
      <c r="K669" s="115">
        <v>8.6271576526583578E-3</v>
      </c>
      <c r="L669" s="115">
        <v>3.0368715105766081E-2</v>
      </c>
      <c r="P669" s="108">
        <v>7.1136339732257359E-2</v>
      </c>
      <c r="Q669" s="108">
        <v>1.422726794645147</v>
      </c>
      <c r="R669" s="49">
        <v>62577605.952596709</v>
      </c>
    </row>
    <row r="670" spans="1:18" x14ac:dyDescent="0.25">
      <c r="A670">
        <f t="shared" si="13"/>
        <v>658</v>
      </c>
      <c r="B670" s="168">
        <v>1.003008411786025</v>
      </c>
      <c r="C670" s="122">
        <v>0.90750261989724057</v>
      </c>
      <c r="D670" s="122">
        <v>0.90502304074896511</v>
      </c>
      <c r="E670" s="122">
        <v>2.0863961160672422</v>
      </c>
      <c r="F670" s="122">
        <v>1.8568823112009749</v>
      </c>
      <c r="G670" s="122">
        <v>1.1173277361785101</v>
      </c>
      <c r="H670" s="163">
        <v>1</v>
      </c>
      <c r="I670" s="12">
        <v>2.8411546279166693E-2</v>
      </c>
      <c r="J670" s="115">
        <v>2.2673338992056334E-2</v>
      </c>
      <c r="K670" s="115">
        <v>-5.4637580652016305E-3</v>
      </c>
      <c r="L670" s="115">
        <v>3.0948333341441314E-2</v>
      </c>
      <c r="P670" s="108">
        <v>-8.2093720788249447E-2</v>
      </c>
      <c r="Q670" s="108">
        <v>-1.6418744157649887</v>
      </c>
      <c r="R670" s="49">
        <v>-72216655.08803305</v>
      </c>
    </row>
    <row r="671" spans="1:18" x14ac:dyDescent="0.25">
      <c r="A671">
        <f t="shared" si="13"/>
        <v>659</v>
      </c>
      <c r="B671" s="168">
        <v>0.99538119529822833</v>
      </c>
      <c r="C671" s="122">
        <v>0.91550622477850285</v>
      </c>
      <c r="D671" s="122">
        <v>0.89448356331629431</v>
      </c>
      <c r="E671" s="122">
        <v>3.7821099281642532</v>
      </c>
      <c r="F671" s="122">
        <v>7.2614104762837144</v>
      </c>
      <c r="G671" s="122">
        <v>1.0826149253013455</v>
      </c>
      <c r="H671" s="163">
        <v>1</v>
      </c>
      <c r="I671" s="12">
        <v>2.1681556055802974E-2</v>
      </c>
      <c r="J671" s="115">
        <v>5.1648113079769901E-2</v>
      </c>
      <c r="K671" s="115">
        <v>-4.8883958904350254E-3</v>
      </c>
      <c r="L671" s="115">
        <v>2.9611446354345108E-2</v>
      </c>
      <c r="P671" s="108">
        <v>0.10691124742290845</v>
      </c>
      <c r="Q671" s="108">
        <v>2.1382249484581686</v>
      </c>
      <c r="R671" s="49">
        <v>94048273.193589509</v>
      </c>
    </row>
    <row r="672" spans="1:18" x14ac:dyDescent="0.25">
      <c r="A672">
        <f t="shared" si="13"/>
        <v>660</v>
      </c>
      <c r="B672" s="168">
        <v>1.0025472720067008</v>
      </c>
      <c r="C672" s="122">
        <v>0.87997205868150996</v>
      </c>
      <c r="D672" s="122">
        <v>0.90562279495084796</v>
      </c>
      <c r="E672" s="122">
        <v>2.5878252982022922</v>
      </c>
      <c r="F672" s="122">
        <v>5.8214716970354123</v>
      </c>
      <c r="G672" s="122">
        <v>1.1102304974136978</v>
      </c>
      <c r="H672" s="163">
        <v>1</v>
      </c>
      <c r="I672" s="12">
        <v>2.767535384497934E-2</v>
      </c>
      <c r="J672" s="115">
        <v>4.8888335184299497E-2</v>
      </c>
      <c r="K672" s="115">
        <v>4.1005688697204395E-3</v>
      </c>
      <c r="L672" s="115">
        <v>2.8625823206782836E-2</v>
      </c>
      <c r="P672" s="108">
        <v>9.1432346680953111E-2</v>
      </c>
      <c r="Q672" s="108">
        <v>1.8286469336190618</v>
      </c>
      <c r="R672" s="49">
        <v>80431708.792677492</v>
      </c>
    </row>
    <row r="673" spans="1:18" x14ac:dyDescent="0.25">
      <c r="A673">
        <f t="shared" si="13"/>
        <v>661</v>
      </c>
      <c r="B673" s="168">
        <v>1.007819380285619</v>
      </c>
      <c r="C673" s="122">
        <v>0.87304071549529583</v>
      </c>
      <c r="D673" s="122">
        <v>0.91159218983271195</v>
      </c>
      <c r="E673" s="122">
        <v>3.0003828124989607</v>
      </c>
      <c r="F673" s="122">
        <v>3.0959951097151919</v>
      </c>
      <c r="G673" s="122">
        <v>1.1077574244002599</v>
      </c>
      <c r="H673" s="163">
        <v>1</v>
      </c>
      <c r="I673" s="12">
        <v>3.0335306339286109E-2</v>
      </c>
      <c r="J673" s="115">
        <v>4.6400875028997257E-2</v>
      </c>
      <c r="K673" s="115">
        <v>1.2953011241847567E-2</v>
      </c>
      <c r="L673" s="115">
        <v>-7.3039077133574964E-4</v>
      </c>
      <c r="P673" s="108">
        <v>2.1911719651021209E-2</v>
      </c>
      <c r="Q673" s="108">
        <v>0.43823439302042411</v>
      </c>
      <c r="R673" s="49">
        <v>19275421.862106316</v>
      </c>
    </row>
    <row r="674" spans="1:18" x14ac:dyDescent="0.25">
      <c r="A674">
        <f t="shared" si="13"/>
        <v>662</v>
      </c>
      <c r="B674" s="168">
        <v>1.0163434757592715</v>
      </c>
      <c r="C674" s="122">
        <v>0.91556893375391002</v>
      </c>
      <c r="D674" s="122">
        <v>0.90583195909823833</v>
      </c>
      <c r="E674" s="122">
        <v>2.8903844703567811</v>
      </c>
      <c r="F674" s="122">
        <v>3.4146356146388426</v>
      </c>
      <c r="G674" s="122">
        <v>1.1411780416908119</v>
      </c>
      <c r="H674" s="163">
        <v>1</v>
      </c>
      <c r="I674" s="12">
        <v>2.3593957917139537E-2</v>
      </c>
      <c r="J674" s="115">
        <v>4.8545493023753612E-2</v>
      </c>
      <c r="K674" s="115">
        <v>1.4518621046615172E-2</v>
      </c>
      <c r="L674" s="115">
        <v>9.6128717848185975E-3</v>
      </c>
      <c r="P674" s="108">
        <v>3.1063651178083938E-2</v>
      </c>
      <c r="Q674" s="108">
        <v>0.62127302356167868</v>
      </c>
      <c r="R674" s="49">
        <v>27326243.242025863</v>
      </c>
    </row>
    <row r="675" spans="1:18" x14ac:dyDescent="0.25">
      <c r="A675">
        <f t="shared" si="13"/>
        <v>663</v>
      </c>
      <c r="B675" s="168">
        <v>1.003643889147535</v>
      </c>
      <c r="C675" s="122">
        <v>0.88295127757848102</v>
      </c>
      <c r="D675" s="122">
        <v>0.91309480766943096</v>
      </c>
      <c r="E675" s="122">
        <v>1.149255776662407</v>
      </c>
      <c r="F675" s="122">
        <v>6.0810361709000311</v>
      </c>
      <c r="G675" s="122">
        <v>1.1152512486377506</v>
      </c>
      <c r="H675" s="163">
        <v>1</v>
      </c>
      <c r="I675" s="12">
        <v>2.9331964680572538E-2</v>
      </c>
      <c r="J675" s="115">
        <v>6.0195909353327783E-2</v>
      </c>
      <c r="K675" s="115">
        <v>1.2420804736907553E-2</v>
      </c>
      <c r="L675" s="115">
        <v>3.5525823876992116E-4</v>
      </c>
      <c r="P675" s="108">
        <v>0.13271730650780245</v>
      </c>
      <c r="Q675" s="108">
        <v>2.6543461301560485</v>
      </c>
      <c r="R675" s="49">
        <v>116749488.95310159</v>
      </c>
    </row>
    <row r="676" spans="1:18" x14ac:dyDescent="0.25">
      <c r="A676">
        <f t="shared" si="13"/>
        <v>664</v>
      </c>
      <c r="B676" s="168">
        <v>1.0055712342222076</v>
      </c>
      <c r="C676" s="122">
        <v>0.85898524682267507</v>
      </c>
      <c r="D676" s="122">
        <v>0.9058899794877211</v>
      </c>
      <c r="E676" s="122">
        <v>2.3988340664918613</v>
      </c>
      <c r="F676" s="122">
        <v>6.8936068401595492</v>
      </c>
      <c r="G676" s="122">
        <v>1.1255626853442886</v>
      </c>
      <c r="H676" s="163">
        <v>1</v>
      </c>
      <c r="I676" s="12">
        <v>4.9263767826109341E-3</v>
      </c>
      <c r="J676" s="115">
        <v>1.9924345768929614E-2</v>
      </c>
      <c r="K676" s="115">
        <v>5.8894407151653793E-3</v>
      </c>
      <c r="L676" s="115">
        <v>2.3555910124443823E-2</v>
      </c>
      <c r="P676" s="108">
        <v>-2.1307206118759813E-2</v>
      </c>
      <c r="Q676" s="108">
        <v>-0.42614412237519617</v>
      </c>
      <c r="R676" s="49">
        <v>-18743640.078600913</v>
      </c>
    </row>
    <row r="677" spans="1:18" x14ac:dyDescent="0.25">
      <c r="A677">
        <f t="shared" si="13"/>
        <v>665</v>
      </c>
      <c r="B677" s="168">
        <v>1.0060832190213702</v>
      </c>
      <c r="C677" s="122">
        <v>0.83383764023887785</v>
      </c>
      <c r="D677" s="122">
        <v>0.90442071207543928</v>
      </c>
      <c r="E677" s="122">
        <v>1.7529850680379593</v>
      </c>
      <c r="F677" s="122">
        <v>5.3930954882702045</v>
      </c>
      <c r="G677" s="122">
        <v>1.0755722185291181</v>
      </c>
      <c r="H677" s="163">
        <v>1</v>
      </c>
      <c r="I677" s="12">
        <v>2.8415366703767743E-2</v>
      </c>
      <c r="J677" s="115">
        <v>4.1386349973452627E-2</v>
      </c>
      <c r="K677" s="115">
        <v>3.8384120809037631E-3</v>
      </c>
      <c r="L677" s="115">
        <v>2.8323747431222651E-2</v>
      </c>
      <c r="P677" s="108">
        <v>7.2687917647788924E-2</v>
      </c>
      <c r="Q677" s="108">
        <v>1.4537583529557783</v>
      </c>
      <c r="R677" s="49">
        <v>63942506.533204705</v>
      </c>
    </row>
    <row r="678" spans="1:18" x14ac:dyDescent="0.25">
      <c r="A678">
        <f t="shared" si="13"/>
        <v>666</v>
      </c>
      <c r="B678" s="168">
        <v>0.98799303865640442</v>
      </c>
      <c r="C678" s="122">
        <v>0.8882770184511718</v>
      </c>
      <c r="D678" s="122">
        <v>0.88976478216310495</v>
      </c>
      <c r="E678" s="122">
        <v>2.7287532917347166</v>
      </c>
      <c r="F678" s="122">
        <v>6.424259377912473</v>
      </c>
      <c r="G678" s="122">
        <v>1.0815449190547137</v>
      </c>
      <c r="H678" s="163">
        <v>1</v>
      </c>
      <c r="I678" s="12">
        <v>2.994080646380189E-2</v>
      </c>
      <c r="J678" s="115">
        <v>2.7493874088198908E-2</v>
      </c>
      <c r="K678" s="115">
        <v>-3.827229230831169E-3</v>
      </c>
      <c r="L678" s="115">
        <v>-5.6148357445298044E-3</v>
      </c>
      <c r="P678" s="108">
        <v>2.5304273807992676E-3</v>
      </c>
      <c r="Q678" s="108">
        <v>5.0608547615985343E-2</v>
      </c>
      <c r="R678" s="49">
        <v>2225980.2531773252</v>
      </c>
    </row>
    <row r="679" spans="1:18" x14ac:dyDescent="0.25">
      <c r="A679">
        <f t="shared" si="13"/>
        <v>667</v>
      </c>
      <c r="B679" s="168">
        <v>0.99205795378462158</v>
      </c>
      <c r="C679" s="122">
        <v>0.86822814646287971</v>
      </c>
      <c r="D679" s="122">
        <v>0.91763727153993579</v>
      </c>
      <c r="E679" s="122">
        <v>3.0338024235658647</v>
      </c>
      <c r="F679" s="122">
        <v>5.5370071901566007</v>
      </c>
      <c r="G679" s="122">
        <v>1.1097927045117624</v>
      </c>
      <c r="H679" s="163">
        <v>1</v>
      </c>
      <c r="I679" s="12">
        <v>2.2169728974146864E-2</v>
      </c>
      <c r="J679" s="115">
        <v>2.1704613704599113E-2</v>
      </c>
      <c r="K679" s="115">
        <v>-1.4293027051174622E-3</v>
      </c>
      <c r="L679" s="115">
        <v>2.8863810401464352E-2</v>
      </c>
      <c r="P679" s="108">
        <v>-1.5686508383684048E-2</v>
      </c>
      <c r="Q679" s="108">
        <v>-0.31373016767368089</v>
      </c>
      <c r="R679" s="49">
        <v>-13799193.831182748</v>
      </c>
    </row>
    <row r="680" spans="1:18" x14ac:dyDescent="0.25">
      <c r="A680">
        <f t="shared" si="13"/>
        <v>668</v>
      </c>
      <c r="B680" s="168">
        <v>0.98233659587517308</v>
      </c>
      <c r="C680" s="122">
        <v>0.87872806230064349</v>
      </c>
      <c r="D680" s="122">
        <v>0.88798557549913781</v>
      </c>
      <c r="E680" s="122">
        <v>2.3885041261345377</v>
      </c>
      <c r="F680" s="122">
        <v>4.5590947111476545</v>
      </c>
      <c r="G680" s="122">
        <v>1.1166800124899845</v>
      </c>
      <c r="H680" s="163">
        <v>1</v>
      </c>
      <c r="I680" s="12">
        <v>2.4686821955112851E-2</v>
      </c>
      <c r="J680" s="115">
        <v>3.5704092614380789E-2</v>
      </c>
      <c r="K680" s="115">
        <v>1.0054958720378392E-2</v>
      </c>
      <c r="L680" s="115">
        <v>-1.7987451510712953E-3</v>
      </c>
      <c r="P680" s="108">
        <v>3.5516274871948855E-3</v>
      </c>
      <c r="Q680" s="108">
        <v>7.1032549743897708E-2</v>
      </c>
      <c r="R680" s="49">
        <v>3124315.1702857567</v>
      </c>
    </row>
    <row r="681" spans="1:18" x14ac:dyDescent="0.25">
      <c r="A681">
        <f t="shared" si="13"/>
        <v>669</v>
      </c>
      <c r="B681" s="168">
        <v>0.99277393084887255</v>
      </c>
      <c r="C681" s="122">
        <v>0.90922107317721401</v>
      </c>
      <c r="D681" s="122">
        <v>0.88914148943855298</v>
      </c>
      <c r="E681" s="122">
        <v>2.4260935996590525</v>
      </c>
      <c r="F681" s="122">
        <v>4.7947847169301641</v>
      </c>
      <c r="G681" s="122">
        <v>1.1061940143420255</v>
      </c>
      <c r="H681" s="163">
        <v>1</v>
      </c>
      <c r="I681" s="12">
        <v>1.5524688891099023E-2</v>
      </c>
      <c r="J681" s="115">
        <v>5.7964273176812964E-2</v>
      </c>
      <c r="K681" s="115">
        <v>1.1454283986135211E-2</v>
      </c>
      <c r="L681" s="115">
        <v>1.4455568841131427E-2</v>
      </c>
      <c r="P681" s="108">
        <v>9.0917291881605314E-2</v>
      </c>
      <c r="Q681" s="108">
        <v>1.818345837632106</v>
      </c>
      <c r="R681" s="49">
        <v>79978622.558568597</v>
      </c>
    </row>
    <row r="682" spans="1:18" x14ac:dyDescent="0.25">
      <c r="A682">
        <f t="shared" si="13"/>
        <v>670</v>
      </c>
      <c r="B682" s="168">
        <v>0.99936613227645243</v>
      </c>
      <c r="C682" s="122">
        <v>0.91266295889208793</v>
      </c>
      <c r="D682" s="122">
        <v>0.90279304099347946</v>
      </c>
      <c r="E682" s="122">
        <v>2.3403033930151342</v>
      </c>
      <c r="F682" s="122">
        <v>5.6706189301531129</v>
      </c>
      <c r="G682" s="122">
        <v>1.1051165724399923</v>
      </c>
      <c r="H682" s="163">
        <v>1</v>
      </c>
      <c r="I682" s="12">
        <v>2.742724778457508E-2</v>
      </c>
      <c r="J682" s="115">
        <v>3.959610944165147E-2</v>
      </c>
      <c r="K682" s="115">
        <v>6.9729924248527917E-3</v>
      </c>
      <c r="L682" s="115">
        <v>1.3431868932774517E-3</v>
      </c>
      <c r="P682" s="108">
        <v>4.0209537086659752E-2</v>
      </c>
      <c r="Q682" s="108">
        <v>0.80419074173319494</v>
      </c>
      <c r="R682" s="49">
        <v>35371746.37907774</v>
      </c>
    </row>
    <row r="683" spans="1:18" x14ac:dyDescent="0.25">
      <c r="A683">
        <f t="shared" si="13"/>
        <v>671</v>
      </c>
      <c r="B683" s="168">
        <v>1.0095455321516182</v>
      </c>
      <c r="C683" s="122">
        <v>0.89602166930287208</v>
      </c>
      <c r="D683" s="122">
        <v>0.91294107198013164</v>
      </c>
      <c r="E683" s="122">
        <v>2.9697270200320673</v>
      </c>
      <c r="F683" s="122">
        <v>5.4910696643988972</v>
      </c>
      <c r="G683" s="122">
        <v>1.1137294393950281</v>
      </c>
      <c r="H683" s="163">
        <v>1</v>
      </c>
      <c r="I683" s="12">
        <v>4.1538842345519744E-2</v>
      </c>
      <c r="J683" s="115">
        <v>5.6549363162800993E-2</v>
      </c>
      <c r="K683" s="115">
        <v>4.2905029667346887E-3</v>
      </c>
      <c r="L683" s="115">
        <v>2.8479521880587867E-2</v>
      </c>
      <c r="P683" s="108">
        <v>0.12235403671198526</v>
      </c>
      <c r="Q683" s="108">
        <v>2.4470807342397047</v>
      </c>
      <c r="R683" s="49">
        <v>107633070.87334165</v>
      </c>
    </row>
    <row r="684" spans="1:18" x14ac:dyDescent="0.25">
      <c r="A684">
        <f t="shared" si="13"/>
        <v>672</v>
      </c>
      <c r="B684" s="168">
        <v>1.0155527778954259</v>
      </c>
      <c r="C684" s="122">
        <v>0.906805658494377</v>
      </c>
      <c r="D684" s="122">
        <v>0.90353451132585505</v>
      </c>
      <c r="E684" s="122">
        <v>2.4621921043787762</v>
      </c>
      <c r="F684" s="122">
        <v>2.9768174107239131</v>
      </c>
      <c r="G684" s="122">
        <v>1.1157468204897241</v>
      </c>
      <c r="H684" s="163">
        <v>1</v>
      </c>
      <c r="I684" s="12">
        <v>4.717491971147119E-2</v>
      </c>
      <c r="J684" s="115">
        <v>1.1643330104508961E-2</v>
      </c>
      <c r="K684" s="115">
        <v>-6.4615204846277079E-4</v>
      </c>
      <c r="L684" s="115">
        <v>3.2997410499697663E-2</v>
      </c>
      <c r="P684" s="108">
        <v>-6.8121549628260641E-2</v>
      </c>
      <c r="Q684" s="108">
        <v>-1.3624309925652127</v>
      </c>
      <c r="R684" s="49">
        <v>-59925538.839391768</v>
      </c>
    </row>
    <row r="685" spans="1:18" x14ac:dyDescent="0.25">
      <c r="A685">
        <f t="shared" si="13"/>
        <v>673</v>
      </c>
      <c r="B685" s="168">
        <v>0.9777816614227739</v>
      </c>
      <c r="C685" s="122">
        <v>0.92643108143940522</v>
      </c>
      <c r="D685" s="122">
        <v>0.88963273417577848</v>
      </c>
      <c r="E685" s="122">
        <v>1.9385534796092323</v>
      </c>
      <c r="F685" s="122">
        <v>3.2646787600685796</v>
      </c>
      <c r="G685" s="122">
        <v>1.0614000373657999</v>
      </c>
      <c r="H685" s="163">
        <v>1</v>
      </c>
      <c r="I685" s="12">
        <v>2.5504891037647741E-2</v>
      </c>
      <c r="J685" s="115">
        <v>4.7467361164406224E-2</v>
      </c>
      <c r="K685" s="115">
        <v>1.7847412477121294E-2</v>
      </c>
      <c r="L685" s="115">
        <v>3.6279855183290577E-2</v>
      </c>
      <c r="P685" s="108">
        <v>6.1586667832213358E-2</v>
      </c>
      <c r="Q685" s="108">
        <v>1.231733356644267</v>
      </c>
      <c r="R685" s="49">
        <v>54176898.13733989</v>
      </c>
    </row>
    <row r="686" spans="1:18" x14ac:dyDescent="0.25">
      <c r="A686">
        <f t="shared" si="13"/>
        <v>674</v>
      </c>
      <c r="B686" s="168">
        <v>0.99700308520628622</v>
      </c>
      <c r="C686" s="122">
        <v>0.8800684436939662</v>
      </c>
      <c r="D686" s="122">
        <v>0.91720434851086241</v>
      </c>
      <c r="E686" s="122">
        <v>2.2348685816689922</v>
      </c>
      <c r="F686" s="122">
        <v>4.9680558832950457</v>
      </c>
      <c r="G686" s="122">
        <v>1.1348011495565702</v>
      </c>
      <c r="H686" s="163">
        <v>1</v>
      </c>
      <c r="I686" s="12">
        <v>3.3099848675100164E-2</v>
      </c>
      <c r="J686" s="115">
        <v>2.3229392841089054E-2</v>
      </c>
      <c r="K686" s="115">
        <v>9.9710998664834715E-4</v>
      </c>
      <c r="L686" s="115">
        <v>3.2439726968497257E-2</v>
      </c>
      <c r="P686" s="108">
        <v>-5.1581636418493535E-3</v>
      </c>
      <c r="Q686" s="108">
        <v>-0.10316327283698706</v>
      </c>
      <c r="R686" s="49">
        <v>-4537561.71646671</v>
      </c>
    </row>
    <row r="687" spans="1:18" x14ac:dyDescent="0.25">
      <c r="A687">
        <f t="shared" si="13"/>
        <v>675</v>
      </c>
      <c r="B687" s="168">
        <v>0.99529958129664975</v>
      </c>
      <c r="C687" s="122">
        <v>0.93243433118988195</v>
      </c>
      <c r="D687" s="122">
        <v>0.89058187152513923</v>
      </c>
      <c r="E687" s="122">
        <v>2.5930238594641963</v>
      </c>
      <c r="F687" s="122">
        <v>7.304616137319659</v>
      </c>
      <c r="G687" s="122">
        <v>1.1357296771433747</v>
      </c>
      <c r="H687" s="163">
        <v>1</v>
      </c>
      <c r="I687" s="12">
        <v>2.0524126428020057E-2</v>
      </c>
      <c r="J687" s="115">
        <v>6.0361789393684535E-2</v>
      </c>
      <c r="K687" s="115">
        <v>8.7917228993170879E-3</v>
      </c>
      <c r="L687" s="115">
        <v>1.0179967254482964E-2</v>
      </c>
      <c r="P687" s="108">
        <v>0.12528528938802452</v>
      </c>
      <c r="Q687" s="108">
        <v>2.50570578776049</v>
      </c>
      <c r="R687" s="49">
        <v>110211651.32320842</v>
      </c>
    </row>
    <row r="688" spans="1:18" x14ac:dyDescent="0.25">
      <c r="A688">
        <f t="shared" si="13"/>
        <v>676</v>
      </c>
      <c r="B688" s="168">
        <v>0.99339785209874842</v>
      </c>
      <c r="C688" s="122">
        <v>0.92172481211529356</v>
      </c>
      <c r="D688" s="122">
        <v>0.90144836599754685</v>
      </c>
      <c r="E688" s="122">
        <v>3.1260096119347498</v>
      </c>
      <c r="F688" s="122">
        <v>7.2271059907215829</v>
      </c>
      <c r="G688" s="122">
        <v>1.1303818060243522</v>
      </c>
      <c r="H688" s="163">
        <v>1</v>
      </c>
      <c r="I688" s="12">
        <v>2.2855020909711407E-2</v>
      </c>
      <c r="J688" s="115">
        <v>5.8102652515289302E-2</v>
      </c>
      <c r="K688" s="115">
        <v>2.0207929307530172E-3</v>
      </c>
      <c r="L688" s="115">
        <v>-2.6485262025350113E-3</v>
      </c>
      <c r="P688" s="108">
        <v>0.10356721644590058</v>
      </c>
      <c r="Q688" s="108">
        <v>2.0713443289180113</v>
      </c>
      <c r="R688" s="49">
        <v>91106577.661318779</v>
      </c>
    </row>
    <row r="689" spans="1:18" x14ac:dyDescent="0.25">
      <c r="A689">
        <f t="shared" si="13"/>
        <v>677</v>
      </c>
      <c r="B689" s="168">
        <v>1.0012889088177044</v>
      </c>
      <c r="C689" s="122">
        <v>0.92009079265518656</v>
      </c>
      <c r="D689" s="122">
        <v>0.89926335289591597</v>
      </c>
      <c r="E689" s="122">
        <v>2.5058887789432749</v>
      </c>
      <c r="F689" s="122">
        <v>6.8072952321909215</v>
      </c>
      <c r="G689" s="122">
        <v>1.0803356069850039</v>
      </c>
      <c r="H689" s="163">
        <v>1</v>
      </c>
      <c r="I689" s="12">
        <v>1.8828485451780425E-2</v>
      </c>
      <c r="J689" s="115">
        <v>9.3279009370487026E-3</v>
      </c>
      <c r="K689" s="115">
        <v>4.222008021327231E-3</v>
      </c>
      <c r="L689" s="115">
        <v>1.8975973034792062E-2</v>
      </c>
      <c r="P689" s="108">
        <v>-4.4754727669788066E-2</v>
      </c>
      <c r="Q689" s="108">
        <v>-0.89509455339576116</v>
      </c>
      <c r="R689" s="49">
        <v>-39370084.589350894</v>
      </c>
    </row>
    <row r="690" spans="1:18" x14ac:dyDescent="0.25">
      <c r="A690">
        <f t="shared" si="13"/>
        <v>678</v>
      </c>
      <c r="B690" s="168">
        <v>1.0044396727369105</v>
      </c>
      <c r="C690" s="122">
        <v>0.88211410134933943</v>
      </c>
      <c r="D690" s="122">
        <v>0.90389885801123671</v>
      </c>
      <c r="E690" s="122">
        <v>2.8451890776078441</v>
      </c>
      <c r="F690" s="122">
        <v>4.4395056657291363</v>
      </c>
      <c r="G690" s="122">
        <v>1.1317407943390791</v>
      </c>
      <c r="H690" s="163">
        <v>1</v>
      </c>
      <c r="I690" s="12">
        <v>2.5536230733674375E-2</v>
      </c>
      <c r="J690" s="115">
        <v>4.7032107854559996E-2</v>
      </c>
      <c r="K690" s="115">
        <v>9.6425419780015592E-4</v>
      </c>
      <c r="L690" s="115">
        <v>-3.6826462875669749E-3</v>
      </c>
      <c r="P690" s="108">
        <v>3.3505731511082007E-2</v>
      </c>
      <c r="Q690" s="108">
        <v>0.67011463022163997</v>
      </c>
      <c r="R690" s="49">
        <v>29474505.879070751</v>
      </c>
    </row>
    <row r="691" spans="1:18" x14ac:dyDescent="0.25">
      <c r="A691">
        <f t="shared" si="13"/>
        <v>679</v>
      </c>
      <c r="B691" s="168">
        <v>1.013408186466416</v>
      </c>
      <c r="C691" s="122">
        <v>0.8650080359664144</v>
      </c>
      <c r="D691" s="122">
        <v>0.88514086951164661</v>
      </c>
      <c r="E691" s="122">
        <v>3.5296290802171217</v>
      </c>
      <c r="F691" s="122">
        <v>2.2716766460083031</v>
      </c>
      <c r="G691" s="122">
        <v>1.1246879820735891</v>
      </c>
      <c r="H691" s="163">
        <v>1</v>
      </c>
      <c r="I691" s="12">
        <v>3.4188188665619797E-2</v>
      </c>
      <c r="J691" s="115">
        <v>4.8501920943504376E-2</v>
      </c>
      <c r="K691" s="115">
        <v>-2.6524325165149095E-3</v>
      </c>
      <c r="L691" s="115">
        <v>3.320524837372215E-3</v>
      </c>
      <c r="P691" s="108">
        <v>1.6203733368751767E-2</v>
      </c>
      <c r="Q691" s="108">
        <v>0.32407466737503526</v>
      </c>
      <c r="R691" s="49">
        <v>14254189.146182457</v>
      </c>
    </row>
    <row r="692" spans="1:18" x14ac:dyDescent="0.25">
      <c r="A692">
        <f t="shared" si="13"/>
        <v>680</v>
      </c>
      <c r="B692" s="168">
        <v>1.0215421099564357</v>
      </c>
      <c r="C692" s="122">
        <v>0.92074224599615706</v>
      </c>
      <c r="D692" s="122">
        <v>0.91483489953786623</v>
      </c>
      <c r="E692" s="122">
        <v>1.1333665891160791</v>
      </c>
      <c r="F692" s="122">
        <v>5.7714937194150613</v>
      </c>
      <c r="G692" s="122">
        <v>1.0913458484859671</v>
      </c>
      <c r="H692" s="163">
        <v>1</v>
      </c>
      <c r="I692" s="12">
        <v>2.9293630502316294E-2</v>
      </c>
      <c r="J692" s="115">
        <v>5.6231340214460912E-2</v>
      </c>
      <c r="K692" s="115">
        <v>1.0693429956507702E-3</v>
      </c>
      <c r="L692" s="115">
        <v>2.5951516656212033E-2</v>
      </c>
      <c r="P692" s="108">
        <v>0.13523992661544099</v>
      </c>
      <c r="Q692" s="108">
        <v>2.7047985323088195</v>
      </c>
      <c r="R692" s="49">
        <v>118968601.26135433</v>
      </c>
    </row>
    <row r="693" spans="1:18" x14ac:dyDescent="0.25">
      <c r="A693">
        <f t="shared" si="13"/>
        <v>681</v>
      </c>
      <c r="B693" s="168">
        <v>1.0020946717817791</v>
      </c>
      <c r="C693" s="122">
        <v>0.92835382913453346</v>
      </c>
      <c r="D693" s="122">
        <v>0.91339291405024692</v>
      </c>
      <c r="E693" s="122">
        <v>1.5444958057380531</v>
      </c>
      <c r="F693" s="122">
        <v>5.9625002202188604</v>
      </c>
      <c r="G693" s="122">
        <v>1.0912913882763096</v>
      </c>
      <c r="H693" s="163">
        <v>1</v>
      </c>
      <c r="I693" s="12">
        <v>7.1631148295313585E-3</v>
      </c>
      <c r="J693" s="115">
        <v>4.4601249471499474E-2</v>
      </c>
      <c r="K693" s="115">
        <v>4.3860365185050447E-3</v>
      </c>
      <c r="L693" s="115">
        <v>1.3825735397294311E-2</v>
      </c>
      <c r="P693" s="108">
        <v>6.4059978296645406E-2</v>
      </c>
      <c r="Q693" s="108">
        <v>1.2811995659329078</v>
      </c>
      <c r="R693" s="49">
        <v>56352633.467892438</v>
      </c>
    </row>
    <row r="694" spans="1:18" x14ac:dyDescent="0.25">
      <c r="A694">
        <f t="shared" si="13"/>
        <v>682</v>
      </c>
      <c r="B694" s="168">
        <v>0.99997994308739613</v>
      </c>
      <c r="C694" s="122">
        <v>0.94461802964446306</v>
      </c>
      <c r="D694" s="122">
        <v>0.88866533151740967</v>
      </c>
      <c r="E694" s="122">
        <v>3.01956561325101</v>
      </c>
      <c r="F694" s="122">
        <v>6.2876001656680049</v>
      </c>
      <c r="G694" s="122">
        <v>1.1290598125017506</v>
      </c>
      <c r="H694" s="163">
        <v>1</v>
      </c>
      <c r="I694" s="12">
        <v>2.8741502975957321E-2</v>
      </c>
      <c r="J694" s="115">
        <v>4.5696172594345282E-2</v>
      </c>
      <c r="K694" s="115">
        <v>-3.9406522748547312E-3</v>
      </c>
      <c r="L694" s="115">
        <v>1.3957383201510708E-2</v>
      </c>
      <c r="P694" s="108">
        <v>6.8574501879002922E-2</v>
      </c>
      <c r="Q694" s="108">
        <v>1.3714900375800583</v>
      </c>
      <c r="R694" s="49">
        <v>60323994.362531908</v>
      </c>
    </row>
    <row r="695" spans="1:18" x14ac:dyDescent="0.25">
      <c r="A695">
        <f t="shared" si="13"/>
        <v>683</v>
      </c>
      <c r="B695" s="168">
        <v>0.99376084200406534</v>
      </c>
      <c r="C695" s="122">
        <v>0.89318671685226758</v>
      </c>
      <c r="D695" s="122">
        <v>0.89318462273273036</v>
      </c>
      <c r="E695" s="122">
        <v>3.5911304055230655</v>
      </c>
      <c r="F695" s="122">
        <v>5.5452516996132601</v>
      </c>
      <c r="G695" s="122">
        <v>1.0431195032360217</v>
      </c>
      <c r="H695" s="163">
        <v>1</v>
      </c>
      <c r="I695" s="12">
        <v>1.5359326920695042E-2</v>
      </c>
      <c r="J695" s="115">
        <v>4.6638897994512166E-2</v>
      </c>
      <c r="K695" s="115">
        <v>8.1306694586587569E-3</v>
      </c>
      <c r="L695" s="115">
        <v>2.2276905839948066E-2</v>
      </c>
      <c r="P695" s="108">
        <v>7.22313378603201E-2</v>
      </c>
      <c r="Q695" s="108">
        <v>1.4446267572064018</v>
      </c>
      <c r="R695" s="49">
        <v>63540859.918637767</v>
      </c>
    </row>
    <row r="696" spans="1:18" x14ac:dyDescent="0.25">
      <c r="A696">
        <f t="shared" si="13"/>
        <v>684</v>
      </c>
      <c r="B696" s="168">
        <v>1.0161669670858886</v>
      </c>
      <c r="C696" s="122">
        <v>0.92485449840649836</v>
      </c>
      <c r="D696" s="122">
        <v>0.89582694804186402</v>
      </c>
      <c r="E696" s="122">
        <v>2.1951626782416014</v>
      </c>
      <c r="F696" s="122">
        <v>5.8634193237132157</v>
      </c>
      <c r="G696" s="122">
        <v>1.1147913351325389</v>
      </c>
      <c r="H696" s="163">
        <v>1</v>
      </c>
      <c r="I696" s="12">
        <v>1.415559722266338E-2</v>
      </c>
      <c r="J696" s="115">
        <v>4.7070241021956408E-2</v>
      </c>
      <c r="K696" s="115">
        <v>-6.2483295141300852E-3</v>
      </c>
      <c r="L696" s="115">
        <v>4.4009458299548124E-2</v>
      </c>
      <c r="P696" s="108">
        <v>8.6097455254467506E-2</v>
      </c>
      <c r="Q696" s="108">
        <v>1.7219491050893498</v>
      </c>
      <c r="R696" s="49">
        <v>75738682.208191603</v>
      </c>
    </row>
    <row r="697" spans="1:18" x14ac:dyDescent="0.25">
      <c r="A697">
        <f t="shared" si="13"/>
        <v>685</v>
      </c>
      <c r="B697" s="168">
        <v>0.98714201041237903</v>
      </c>
      <c r="C697" s="122">
        <v>0.94645672749216703</v>
      </c>
      <c r="D697" s="122">
        <v>0.89790020833714868</v>
      </c>
      <c r="E697" s="122">
        <v>2.2210792000136577</v>
      </c>
      <c r="F697" s="122">
        <v>2.7999217519443289</v>
      </c>
      <c r="G697" s="122">
        <v>1.123169610287762</v>
      </c>
      <c r="H697" s="163">
        <v>1</v>
      </c>
      <c r="I697" s="12">
        <v>3.3057961569730378E-2</v>
      </c>
      <c r="J697" s="115">
        <v>3.7327598120800803E-2</v>
      </c>
      <c r="K697" s="115">
        <v>3.5097217918648137E-3</v>
      </c>
      <c r="L697" s="115">
        <v>4.7864031766730042E-3</v>
      </c>
      <c r="P697" s="108">
        <v>-1.6496210438057116E-2</v>
      </c>
      <c r="Q697" s="108">
        <v>-0.32992420876114226</v>
      </c>
      <c r="R697" s="49">
        <v>-14511476.980530515</v>
      </c>
    </row>
    <row r="698" spans="1:18" x14ac:dyDescent="0.25">
      <c r="A698">
        <f t="shared" si="13"/>
        <v>686</v>
      </c>
      <c r="B698" s="168">
        <v>0.99765523706389136</v>
      </c>
      <c r="C698" s="122">
        <v>0.87723983157782792</v>
      </c>
      <c r="D698" s="122">
        <v>0.89937991666742678</v>
      </c>
      <c r="E698" s="122">
        <v>0.89416895134536634</v>
      </c>
      <c r="F698" s="122">
        <v>7.4554043810869688</v>
      </c>
      <c r="G698" s="122">
        <v>1.108446631522414</v>
      </c>
      <c r="H698" s="163">
        <v>1</v>
      </c>
      <c r="I698" s="12">
        <v>7.2983840230421565E-3</v>
      </c>
      <c r="J698" s="115">
        <v>4.0594312985729748E-2</v>
      </c>
      <c r="K698" s="115">
        <v>1.0245300671198419E-3</v>
      </c>
      <c r="L698" s="115">
        <v>6.8709082664363194E-3</v>
      </c>
      <c r="P698" s="108">
        <v>7.3478746791248828E-2</v>
      </c>
      <c r="Q698" s="108">
        <v>1.4695749358249761</v>
      </c>
      <c r="R698" s="49">
        <v>64638187.456647307</v>
      </c>
    </row>
    <row r="699" spans="1:18" x14ac:dyDescent="0.25">
      <c r="A699">
        <f t="shared" si="13"/>
        <v>687</v>
      </c>
      <c r="B699" s="168">
        <v>0.99264088834259068</v>
      </c>
      <c r="C699" s="122">
        <v>0.86224599117874601</v>
      </c>
      <c r="D699" s="122">
        <v>0.90610692138336646</v>
      </c>
      <c r="E699" s="122">
        <v>2.0371012265492512</v>
      </c>
      <c r="F699" s="122">
        <v>5.2124740916200452</v>
      </c>
      <c r="G699" s="122">
        <v>1.1051432115336397</v>
      </c>
      <c r="H699" s="163">
        <v>1</v>
      </c>
      <c r="I699" s="12">
        <v>2.1384647868897592E-2</v>
      </c>
      <c r="J699" s="115">
        <v>3.7249077976663332E-2</v>
      </c>
      <c r="K699" s="115">
        <v>-2.7107223637466357E-5</v>
      </c>
      <c r="L699" s="115">
        <v>2.9640574960123268E-2</v>
      </c>
      <c r="P699" s="108">
        <v>4.2090380062702333E-2</v>
      </c>
      <c r="Q699" s="108">
        <v>0.84180760125404652</v>
      </c>
      <c r="R699" s="49">
        <v>37026296.656144202</v>
      </c>
    </row>
    <row r="700" spans="1:18" x14ac:dyDescent="0.25">
      <c r="A700">
        <f t="shared" si="13"/>
        <v>688</v>
      </c>
      <c r="B700" s="168">
        <v>0.98904294940180626</v>
      </c>
      <c r="C700" s="122">
        <v>0.84531643596791306</v>
      </c>
      <c r="D700" s="122">
        <v>0.90468177657494409</v>
      </c>
      <c r="E700" s="122">
        <v>2.088816738633835</v>
      </c>
      <c r="F700" s="122">
        <v>7.4615606732729738</v>
      </c>
      <c r="G700" s="122">
        <v>1.1111902522814983</v>
      </c>
      <c r="H700" s="163">
        <v>1</v>
      </c>
      <c r="I700" s="12">
        <v>2.0232340243381278E-2</v>
      </c>
      <c r="J700" s="115">
        <v>2.2309025162751517E-2</v>
      </c>
      <c r="K700" s="115">
        <v>4.5027060266778123E-3</v>
      </c>
      <c r="L700" s="115">
        <v>-8.0481938628690006E-3</v>
      </c>
      <c r="P700" s="108">
        <v>-1.161366268466036E-2</v>
      </c>
      <c r="Q700" s="108">
        <v>-0.23227325369320714</v>
      </c>
      <c r="R700" s="49">
        <v>-10216370.562252853</v>
      </c>
    </row>
    <row r="701" spans="1:18" x14ac:dyDescent="0.25">
      <c r="A701">
        <f t="shared" si="13"/>
        <v>689</v>
      </c>
      <c r="B701" s="168">
        <v>1.0108035939279398</v>
      </c>
      <c r="C701" s="122">
        <v>0.87855412488094553</v>
      </c>
      <c r="D701" s="122">
        <v>0.8927529616870471</v>
      </c>
      <c r="E701" s="122">
        <v>0.82829645900641879</v>
      </c>
      <c r="F701" s="122">
        <v>4.7337670229586788</v>
      </c>
      <c r="G701" s="122">
        <v>1.1025844006390813</v>
      </c>
      <c r="H701" s="163">
        <v>1</v>
      </c>
      <c r="I701" s="12">
        <v>1.431515109416405E-2</v>
      </c>
      <c r="J701" s="115">
        <v>1.7040070424025337E-2</v>
      </c>
      <c r="K701" s="115">
        <v>-3.2419174547753575E-3</v>
      </c>
      <c r="L701" s="115">
        <v>1.2583163175086086E-2</v>
      </c>
      <c r="P701" s="108">
        <v>-4.1077711713737607E-2</v>
      </c>
      <c r="Q701" s="108">
        <v>-0.82155423427475194</v>
      </c>
      <c r="R701" s="49">
        <v>-36135467.002261348</v>
      </c>
    </row>
    <row r="702" spans="1:18" x14ac:dyDescent="0.25">
      <c r="A702">
        <f t="shared" si="13"/>
        <v>690</v>
      </c>
      <c r="B702" s="168">
        <v>1.0032125495637476</v>
      </c>
      <c r="C702" s="122">
        <v>0.87907672395911918</v>
      </c>
      <c r="D702" s="122">
        <v>0.9047532950449555</v>
      </c>
      <c r="E702" s="122">
        <v>2.7558848486694334</v>
      </c>
      <c r="F702" s="122">
        <v>7.1068445838495862</v>
      </c>
      <c r="G702" s="122">
        <v>1.1095787123800662</v>
      </c>
      <c r="H702" s="163">
        <v>1</v>
      </c>
      <c r="I702" s="12">
        <v>3.0654053420720695E-2</v>
      </c>
      <c r="J702" s="115">
        <v>3.3660896399847845E-2</v>
      </c>
      <c r="K702" s="115">
        <v>3.9933426383871509E-3</v>
      </c>
      <c r="L702" s="115">
        <v>3.0467245605953201E-2</v>
      </c>
      <c r="P702" s="108">
        <v>5.585213028854958E-2</v>
      </c>
      <c r="Q702" s="108">
        <v>1.1170426057709915</v>
      </c>
      <c r="R702" s="49">
        <v>49132308.661996961</v>
      </c>
    </row>
    <row r="703" spans="1:18" x14ac:dyDescent="0.25">
      <c r="A703">
        <f t="shared" si="13"/>
        <v>691</v>
      </c>
      <c r="B703" s="168">
        <v>1.019201732179587</v>
      </c>
      <c r="C703" s="122">
        <v>0.86491155931912878</v>
      </c>
      <c r="D703" s="122">
        <v>0.89395023255833317</v>
      </c>
      <c r="E703" s="122">
        <v>2.6247141802743563</v>
      </c>
      <c r="F703" s="122">
        <v>4.5332965940722332</v>
      </c>
      <c r="G703" s="122">
        <v>1.0655878635903826</v>
      </c>
      <c r="H703" s="163">
        <v>1</v>
      </c>
      <c r="I703" s="12">
        <v>2.9991375463149388E-2</v>
      </c>
      <c r="J703" s="115">
        <v>6.8507206146128125E-2</v>
      </c>
      <c r="K703" s="115">
        <v>1.4835996811202991E-2</v>
      </c>
      <c r="L703" s="115">
        <v>-9.679178182310063E-3</v>
      </c>
      <c r="P703" s="108">
        <v>0.12347609815990455</v>
      </c>
      <c r="Q703" s="108">
        <v>2.4695219631980905</v>
      </c>
      <c r="R703" s="49">
        <v>108620132.04920158</v>
      </c>
    </row>
    <row r="704" spans="1:18" x14ac:dyDescent="0.25">
      <c r="A704">
        <f t="shared" si="13"/>
        <v>692</v>
      </c>
      <c r="B704" s="168">
        <v>1.0062505089356417</v>
      </c>
      <c r="C704" s="122">
        <v>0.89629529242505224</v>
      </c>
      <c r="D704" s="122">
        <v>0.88539271431562971</v>
      </c>
      <c r="E704" s="122">
        <v>2.6258707087654809</v>
      </c>
      <c r="F704" s="122">
        <v>9.4042670979269616</v>
      </c>
      <c r="G704" s="122">
        <v>1.1018193040413258</v>
      </c>
      <c r="H704" s="163">
        <v>1</v>
      </c>
      <c r="I704" s="12">
        <v>2.0197669692746417E-2</v>
      </c>
      <c r="J704" s="115">
        <v>3.9857249289433593E-2</v>
      </c>
      <c r="K704" s="115">
        <v>7.7290255679659621E-3</v>
      </c>
      <c r="L704" s="115">
        <v>1.5754297702017892E-2</v>
      </c>
      <c r="P704" s="108">
        <v>8.1279370310855761E-2</v>
      </c>
      <c r="Q704" s="108">
        <v>1.6255874062171149</v>
      </c>
      <c r="R704" s="49">
        <v>71500282.788397521</v>
      </c>
    </row>
    <row r="705" spans="1:18" x14ac:dyDescent="0.25">
      <c r="A705">
        <f t="shared" si="13"/>
        <v>693</v>
      </c>
      <c r="B705" s="168">
        <v>1.0029104298039682</v>
      </c>
      <c r="C705" s="122">
        <v>0.89651577142794769</v>
      </c>
      <c r="D705" s="122">
        <v>0.90669193734030384</v>
      </c>
      <c r="E705" s="122">
        <v>2.4939984867677079</v>
      </c>
      <c r="F705" s="122">
        <v>5.4109838393371783</v>
      </c>
      <c r="G705" s="122">
        <v>1.1545009414329028</v>
      </c>
      <c r="H705" s="163">
        <v>1</v>
      </c>
      <c r="I705" s="12">
        <v>2.177174554009783E-2</v>
      </c>
      <c r="J705" s="115">
        <v>6.5522749933735649E-2</v>
      </c>
      <c r="K705" s="115">
        <v>1.3884018860782416E-3</v>
      </c>
      <c r="L705" s="115">
        <v>6.8194150438041085E-5</v>
      </c>
      <c r="P705" s="108">
        <v>0.10891232800944124</v>
      </c>
      <c r="Q705" s="108">
        <v>2.1782465601888243</v>
      </c>
      <c r="R705" s="49">
        <v>95808594.752089068</v>
      </c>
    </row>
    <row r="706" spans="1:18" x14ac:dyDescent="0.25">
      <c r="A706">
        <f t="shared" si="13"/>
        <v>694</v>
      </c>
      <c r="B706" s="168">
        <v>0.99692041617941773</v>
      </c>
      <c r="C706" s="122">
        <v>0.90130260644931159</v>
      </c>
      <c r="D706" s="122">
        <v>0.91495322968338599</v>
      </c>
      <c r="E706" s="122">
        <v>2.7266666851594925</v>
      </c>
      <c r="F706" s="122">
        <v>2.5180215863680098</v>
      </c>
      <c r="G706" s="122">
        <v>1.120159075274566</v>
      </c>
      <c r="H706" s="163">
        <v>1</v>
      </c>
      <c r="I706" s="12">
        <v>2.2193300445155086E-2</v>
      </c>
      <c r="J706" s="115">
        <v>3.5620940038922654E-2</v>
      </c>
      <c r="K706" s="115">
        <v>-1.5066372047954201E-4</v>
      </c>
      <c r="L706" s="115">
        <v>2.8367779429104914E-4</v>
      </c>
      <c r="P706" s="108">
        <v>-3.981059602020097E-2</v>
      </c>
      <c r="Q706" s="108">
        <v>-0.79621192040401922</v>
      </c>
      <c r="R706" s="49">
        <v>-35020803.711109027</v>
      </c>
    </row>
    <row r="707" spans="1:18" x14ac:dyDescent="0.25">
      <c r="A707">
        <f t="shared" si="13"/>
        <v>695</v>
      </c>
      <c r="B707" s="168">
        <v>1.008926102831216</v>
      </c>
      <c r="C707" s="122">
        <v>0.88010579837777825</v>
      </c>
      <c r="D707" s="122">
        <v>0.89248840755676495</v>
      </c>
      <c r="E707" s="122">
        <v>-0.1867685687940126</v>
      </c>
      <c r="F707" s="122">
        <v>5.7827473927318973</v>
      </c>
      <c r="G707" s="122">
        <v>1.0862585633316317</v>
      </c>
      <c r="H707" s="163">
        <v>1</v>
      </c>
      <c r="I707" s="12">
        <v>1.8141334419654723E-2</v>
      </c>
      <c r="J707" s="115">
        <v>5.7573953898717022E-2</v>
      </c>
      <c r="K707" s="115">
        <v>-4.2305248682424773E-5</v>
      </c>
      <c r="L707" s="115">
        <v>3.4807300050281362E-2</v>
      </c>
      <c r="P707" s="108">
        <v>0.1829075706262201</v>
      </c>
      <c r="Q707" s="108">
        <v>3.6581514125244015</v>
      </c>
      <c r="R707" s="49">
        <v>160901136.09267005</v>
      </c>
    </row>
    <row r="708" spans="1:18" x14ac:dyDescent="0.25">
      <c r="A708">
        <f t="shared" si="13"/>
        <v>696</v>
      </c>
      <c r="B708" s="168">
        <v>0.99862033832943153</v>
      </c>
      <c r="C708" s="122">
        <v>0.91357350474296795</v>
      </c>
      <c r="D708" s="122">
        <v>0.9011901470784317</v>
      </c>
      <c r="E708" s="122">
        <v>3.7129267015407308</v>
      </c>
      <c r="F708" s="122">
        <v>7.37307047890428</v>
      </c>
      <c r="G708" s="122">
        <v>1.1060405897184291</v>
      </c>
      <c r="H708" s="163">
        <v>1</v>
      </c>
      <c r="I708" s="12">
        <v>2.4692857689512578E-2</v>
      </c>
      <c r="J708" s="115">
        <v>2.807300203764633E-2</v>
      </c>
      <c r="K708" s="115">
        <v>6.1868810509977017E-3</v>
      </c>
      <c r="L708" s="115">
        <v>2.0011100596197644E-3</v>
      </c>
      <c r="P708" s="108">
        <v>6.4498037159156814E-3</v>
      </c>
      <c r="Q708" s="108">
        <v>0.12899607431831361</v>
      </c>
      <c r="R708" s="49">
        <v>5673798.749349257</v>
      </c>
    </row>
    <row r="709" spans="1:18" x14ac:dyDescent="0.25">
      <c r="A709">
        <f t="shared" si="13"/>
        <v>697</v>
      </c>
      <c r="B709" s="168">
        <v>0.99266052642867664</v>
      </c>
      <c r="C709" s="122">
        <v>0.89737349875822237</v>
      </c>
      <c r="D709" s="122">
        <v>0.89187992552511097</v>
      </c>
      <c r="E709" s="122">
        <v>2.5275833151411069</v>
      </c>
      <c r="F709" s="122">
        <v>7.9590302482177737</v>
      </c>
      <c r="G709" s="122">
        <v>1.1204843537741394</v>
      </c>
      <c r="H709" s="163">
        <v>1</v>
      </c>
      <c r="I709" s="12">
        <v>5.864513829380448E-3</v>
      </c>
      <c r="J709" s="115">
        <v>4.6739280953705331E-2</v>
      </c>
      <c r="K709" s="115">
        <v>-5.8281887275882932E-4</v>
      </c>
      <c r="L709" s="115">
        <v>3.3004550661205452E-2</v>
      </c>
      <c r="P709" s="108">
        <v>9.0091284092305754E-2</v>
      </c>
      <c r="Q709" s="108">
        <v>1.8018256818461147</v>
      </c>
      <c r="R709" s="49">
        <v>79251995.490784228</v>
      </c>
    </row>
    <row r="710" spans="1:18" x14ac:dyDescent="0.25">
      <c r="A710">
        <f t="shared" si="13"/>
        <v>698</v>
      </c>
      <c r="B710" s="168">
        <v>1.0022571144252141</v>
      </c>
      <c r="C710" s="122">
        <v>0.89880717980971681</v>
      </c>
      <c r="D710" s="122">
        <v>0.92623304795549188</v>
      </c>
      <c r="E710" s="122">
        <v>2.2927430618293583</v>
      </c>
      <c r="F710" s="122">
        <v>3.894322888421156</v>
      </c>
      <c r="G710" s="122">
        <v>1.1033391773231964</v>
      </c>
      <c r="H710" s="163">
        <v>1</v>
      </c>
      <c r="I710" s="12">
        <v>3.1862913000627963E-2</v>
      </c>
      <c r="J710" s="115">
        <v>3.27889864612846E-2</v>
      </c>
      <c r="K710" s="115">
        <v>-5.8461816427751974E-3</v>
      </c>
      <c r="L710" s="115">
        <v>6.2047193641458897E-3</v>
      </c>
      <c r="P710" s="108">
        <v>-7.1662335704800175E-3</v>
      </c>
      <c r="Q710" s="108">
        <v>-0.14332467140960034</v>
      </c>
      <c r="R710" s="49">
        <v>-6304031.6978020882</v>
      </c>
    </row>
    <row r="711" spans="1:18" x14ac:dyDescent="0.25">
      <c r="A711">
        <f t="shared" si="13"/>
        <v>699</v>
      </c>
      <c r="B711" s="168">
        <v>1.0012877246396779</v>
      </c>
      <c r="C711" s="122">
        <v>0.91167387165851199</v>
      </c>
      <c r="D711" s="122">
        <v>0.89287127127801869</v>
      </c>
      <c r="E711" s="122">
        <v>0.97481245198475763</v>
      </c>
      <c r="F711" s="122">
        <v>7.7880345717835953</v>
      </c>
      <c r="G711" s="122">
        <v>1.0907517100843502</v>
      </c>
      <c r="H711" s="163">
        <v>1</v>
      </c>
      <c r="I711" s="12">
        <v>1.0753966592067564E-2</v>
      </c>
      <c r="J711" s="115">
        <v>4.4693575064382096E-2</v>
      </c>
      <c r="K711" s="115">
        <v>7.2131117407922855E-4</v>
      </c>
      <c r="L711" s="115">
        <v>4.1512822244318785E-2</v>
      </c>
      <c r="P711" s="108">
        <v>0.12103888992695032</v>
      </c>
      <c r="Q711" s="108">
        <v>2.4207777985390058</v>
      </c>
      <c r="R711" s="49">
        <v>106476155.32787643</v>
      </c>
    </row>
    <row r="712" spans="1:18" x14ac:dyDescent="0.25">
      <c r="A712">
        <f t="shared" si="13"/>
        <v>700</v>
      </c>
      <c r="B712" s="168">
        <v>0.9846644307792235</v>
      </c>
      <c r="C712" s="122">
        <v>0.93006014741739707</v>
      </c>
      <c r="D712" s="122">
        <v>0.90544174570626657</v>
      </c>
      <c r="E712" s="122">
        <v>1.9780419864738294</v>
      </c>
      <c r="F712" s="122">
        <v>6.3188517353294866</v>
      </c>
      <c r="G712" s="122">
        <v>1.1191903450918061</v>
      </c>
      <c r="H712" s="163">
        <v>1</v>
      </c>
      <c r="I712" s="12">
        <v>1.97714185974419E-2</v>
      </c>
      <c r="J712" s="115">
        <v>1.8511125855403418E-2</v>
      </c>
      <c r="K712" s="115">
        <v>1.2371901201502711E-2</v>
      </c>
      <c r="L712" s="115">
        <v>-1.5073308962736849E-3</v>
      </c>
      <c r="P712" s="108">
        <v>-3.13205074225626E-2</v>
      </c>
      <c r="Q712" s="108">
        <v>-0.62641014845125187</v>
      </c>
      <c r="R712" s="49">
        <v>-27552195.953592788</v>
      </c>
    </row>
    <row r="713" spans="1:18" x14ac:dyDescent="0.25">
      <c r="A713">
        <f t="shared" si="13"/>
        <v>701</v>
      </c>
      <c r="B713" s="168">
        <v>0.99731925560384627</v>
      </c>
      <c r="C713" s="122">
        <v>0.90283205617073126</v>
      </c>
      <c r="D713" s="122">
        <v>0.90083300961413659</v>
      </c>
      <c r="E713" s="122">
        <v>1.2795542992044482</v>
      </c>
      <c r="F713" s="122">
        <v>4.1335993524020882</v>
      </c>
      <c r="G713" s="122">
        <v>1.0764796706821627</v>
      </c>
      <c r="H713" s="163">
        <v>1</v>
      </c>
      <c r="I713" s="12">
        <v>3.6010353316303159E-2</v>
      </c>
      <c r="J713" s="115">
        <v>5.9865490380732578E-2</v>
      </c>
      <c r="K713" s="115">
        <v>2.3159287541024091E-3</v>
      </c>
      <c r="L713" s="115">
        <v>1.1311611802299242E-2</v>
      </c>
      <c r="P713" s="108">
        <v>0.1112569708888381</v>
      </c>
      <c r="Q713" s="108">
        <v>2.2251394177767616</v>
      </c>
      <c r="R713" s="49">
        <v>97871143.074910969</v>
      </c>
    </row>
    <row r="714" spans="1:18" x14ac:dyDescent="0.25">
      <c r="A714">
        <f t="shared" si="13"/>
        <v>702</v>
      </c>
      <c r="B714" s="168">
        <v>1.0029438629395195</v>
      </c>
      <c r="C714" s="122">
        <v>0.95174893867434796</v>
      </c>
      <c r="D714" s="122">
        <v>0.87266927271818573</v>
      </c>
      <c r="E714" s="122">
        <v>0.80503028031451973</v>
      </c>
      <c r="F714" s="122">
        <v>4.1598980202987272</v>
      </c>
      <c r="G714" s="122">
        <v>1.0595028015731851</v>
      </c>
      <c r="H714" s="163">
        <v>1</v>
      </c>
      <c r="I714" s="12">
        <v>3.5478632446240548E-2</v>
      </c>
      <c r="J714" s="115">
        <v>2.0733072785980688E-2</v>
      </c>
      <c r="K714" s="115">
        <v>1.1361965925526747E-2</v>
      </c>
      <c r="L714" s="115">
        <v>6.056430231197292E-2</v>
      </c>
      <c r="P714" s="108">
        <v>2.3656273638369734E-2</v>
      </c>
      <c r="Q714" s="108">
        <v>0.47312547276739464</v>
      </c>
      <c r="R714" s="49">
        <v>20810080.693221595</v>
      </c>
    </row>
    <row r="715" spans="1:18" x14ac:dyDescent="0.25">
      <c r="A715">
        <f t="shared" si="13"/>
        <v>703</v>
      </c>
      <c r="B715" s="168">
        <v>0.99977230464968903</v>
      </c>
      <c r="C715" s="122">
        <v>0.91636484542591434</v>
      </c>
      <c r="D715" s="122">
        <v>0.90971012447492716</v>
      </c>
      <c r="E715" s="122">
        <v>1.7038678948827672</v>
      </c>
      <c r="F715" s="122">
        <v>0.75540337733854024</v>
      </c>
      <c r="G715" s="122">
        <v>1.1353915162585577</v>
      </c>
      <c r="H715" s="163">
        <v>1</v>
      </c>
      <c r="I715" s="12">
        <v>1.1866187423059059E-2</v>
      </c>
      <c r="J715" s="115">
        <v>4.5402254587065941E-2</v>
      </c>
      <c r="K715" s="115">
        <v>1.8115430539845313E-3</v>
      </c>
      <c r="L715" s="115">
        <v>4.806076732386174E-2</v>
      </c>
      <c r="P715" s="108">
        <v>-6.8018021362287226E-2</v>
      </c>
      <c r="Q715" s="108">
        <v>-1.3603604272457444</v>
      </c>
      <c r="R715" s="49">
        <v>-59834466.525895946</v>
      </c>
    </row>
    <row r="716" spans="1:18" x14ac:dyDescent="0.25">
      <c r="A716">
        <f t="shared" si="13"/>
        <v>704</v>
      </c>
      <c r="B716" s="168">
        <v>0.98290467744097132</v>
      </c>
      <c r="C716" s="122">
        <v>0.91342734429775485</v>
      </c>
      <c r="D716" s="122">
        <v>0.90596787142742141</v>
      </c>
      <c r="E716" s="122">
        <v>3.0073273356717101</v>
      </c>
      <c r="F716" s="122">
        <v>3.4538976991709691</v>
      </c>
      <c r="G716" s="122">
        <v>1.0739618139314877</v>
      </c>
      <c r="H716" s="163">
        <v>1</v>
      </c>
      <c r="I716" s="12">
        <v>2.9975870459651503E-2</v>
      </c>
      <c r="J716" s="115">
        <v>4.6733721645046883E-2</v>
      </c>
      <c r="K716" s="115">
        <v>1.8449344788255976E-3</v>
      </c>
      <c r="L716" s="115">
        <v>3.8364475796472175E-2</v>
      </c>
      <c r="P716" s="108">
        <v>6.3321383338330206E-2</v>
      </c>
      <c r="Q716" s="108">
        <v>1.2664276667666039</v>
      </c>
      <c r="R716" s="49">
        <v>55702902.199261211</v>
      </c>
    </row>
    <row r="717" spans="1:18" x14ac:dyDescent="0.25">
      <c r="A717">
        <f t="shared" si="13"/>
        <v>705</v>
      </c>
      <c r="B717" s="168">
        <v>1.0017335980136377</v>
      </c>
      <c r="C717" s="122">
        <v>0.93866341292354483</v>
      </c>
      <c r="D717" s="122">
        <v>0.90723583947406594</v>
      </c>
      <c r="E717" s="122">
        <v>2.1115386310797164</v>
      </c>
      <c r="F717" s="122">
        <v>2.9528142833640154</v>
      </c>
      <c r="G717" s="122">
        <v>1.1202465381478246</v>
      </c>
      <c r="H717" s="163">
        <v>1</v>
      </c>
      <c r="I717" s="12">
        <v>7.3719385779460016E-3</v>
      </c>
      <c r="J717" s="115">
        <v>1.6144212119193761E-2</v>
      </c>
      <c r="K717" s="115">
        <v>1.15567218278349E-2</v>
      </c>
      <c r="L717" s="115">
        <v>2.6743025584514784E-2</v>
      </c>
      <c r="P717" s="108">
        <v>-9.1466427419907292E-2</v>
      </c>
      <c r="Q717" s="108">
        <v>-1.8293285483981456</v>
      </c>
      <c r="R717" s="49">
        <v>-80461689.124261558</v>
      </c>
    </row>
    <row r="718" spans="1:18" x14ac:dyDescent="0.25">
      <c r="A718">
        <f t="shared" si="13"/>
        <v>706</v>
      </c>
      <c r="B718" s="168">
        <v>0.99392662477556293</v>
      </c>
      <c r="C718" s="122">
        <v>0.9033508286640437</v>
      </c>
      <c r="D718" s="122">
        <v>0.90659941907002728</v>
      </c>
      <c r="E718" s="122">
        <v>2.0974357608092058</v>
      </c>
      <c r="F718" s="122">
        <v>3.9904816846803079</v>
      </c>
      <c r="G718" s="122">
        <v>1.060178819641431</v>
      </c>
      <c r="H718" s="163">
        <v>1</v>
      </c>
      <c r="I718" s="12">
        <v>3.6331901573859342E-2</v>
      </c>
      <c r="J718" s="115">
        <v>4.1326986588656849E-2</v>
      </c>
      <c r="K718" s="115">
        <v>9.2470835958677298E-3</v>
      </c>
      <c r="L718" s="115">
        <v>3.0737721777332201E-2</v>
      </c>
      <c r="P718" s="108">
        <v>5.873067241317257E-2</v>
      </c>
      <c r="Q718" s="108">
        <v>1.1746134482634512</v>
      </c>
      <c r="R718" s="49">
        <v>51664520.404554814</v>
      </c>
    </row>
    <row r="719" spans="1:18" x14ac:dyDescent="0.25">
      <c r="A719">
        <f t="shared" ref="A719:A782" si="14">A718+1</f>
        <v>707</v>
      </c>
      <c r="B719" s="168">
        <v>0.99472076804762966</v>
      </c>
      <c r="C719" s="122">
        <v>0.92839669093103738</v>
      </c>
      <c r="D719" s="122">
        <v>0.90392780437891596</v>
      </c>
      <c r="E719" s="122">
        <v>1.9102281601918454</v>
      </c>
      <c r="F719" s="122">
        <v>2.6851345246388552</v>
      </c>
      <c r="G719" s="122">
        <v>1.0921324694277879</v>
      </c>
      <c r="H719" s="163">
        <v>1</v>
      </c>
      <c r="I719" s="12">
        <v>3.44910229815878E-2</v>
      </c>
      <c r="J719" s="115">
        <v>5.3333131895595021E-2</v>
      </c>
      <c r="K719" s="115">
        <v>5.0140835230359079E-3</v>
      </c>
      <c r="L719" s="115">
        <v>1.6133951160963278E-2</v>
      </c>
      <c r="P719" s="108">
        <v>5.0176958642358618E-2</v>
      </c>
      <c r="Q719" s="108">
        <v>1.0035391728471723</v>
      </c>
      <c r="R719" s="49">
        <v>44139942.505327165</v>
      </c>
    </row>
    <row r="720" spans="1:18" x14ac:dyDescent="0.25">
      <c r="A720">
        <f t="shared" si="14"/>
        <v>708</v>
      </c>
      <c r="B720" s="168">
        <v>0.99337369382866547</v>
      </c>
      <c r="C720" s="122">
        <v>0.85087510330750338</v>
      </c>
      <c r="D720" s="122">
        <v>0.91418879528100072</v>
      </c>
      <c r="E720" s="122">
        <v>1.8829045843363701</v>
      </c>
      <c r="F720" s="122">
        <v>6.2311075345512812</v>
      </c>
      <c r="G720" s="122">
        <v>1.0887086767713956</v>
      </c>
      <c r="H720" s="163">
        <v>1</v>
      </c>
      <c r="I720" s="12">
        <v>6.380877303548832E-3</v>
      </c>
      <c r="J720" s="115">
        <v>7.8690173077372388E-2</v>
      </c>
      <c r="K720" s="115">
        <v>4.0515612262475246E-3</v>
      </c>
      <c r="L720" s="115">
        <v>2.1011974160405088E-2</v>
      </c>
      <c r="P720" s="108">
        <v>0.18492255563663798</v>
      </c>
      <c r="Q720" s="108">
        <v>3.6984511127327591</v>
      </c>
      <c r="R720" s="49">
        <v>162673689.17112347</v>
      </c>
    </row>
    <row r="721" spans="1:18" x14ac:dyDescent="0.25">
      <c r="A721">
        <f t="shared" si="14"/>
        <v>709</v>
      </c>
      <c r="B721" s="168">
        <v>0.99427053051500858</v>
      </c>
      <c r="C721" s="122">
        <v>0.94447755504473885</v>
      </c>
      <c r="D721" s="122">
        <v>0.91065903789912472</v>
      </c>
      <c r="E721" s="122">
        <v>1.2225942926483582</v>
      </c>
      <c r="F721" s="122">
        <v>4.7589725852254476</v>
      </c>
      <c r="G721" s="122">
        <v>1.1004991163193911</v>
      </c>
      <c r="H721" s="163">
        <v>1</v>
      </c>
      <c r="I721" s="12">
        <v>1.0436795694688274E-2</v>
      </c>
      <c r="J721" s="115">
        <v>9.9370889458148433E-3</v>
      </c>
      <c r="K721" s="115">
        <v>-1.0743741192340697E-2</v>
      </c>
      <c r="L721" s="115">
        <v>1.9283308610447865E-2</v>
      </c>
      <c r="P721" s="108">
        <v>-7.1611897636366273E-2</v>
      </c>
      <c r="Q721" s="108">
        <v>-1.432237952727325</v>
      </c>
      <c r="R721" s="49">
        <v>-62995947.34102039</v>
      </c>
    </row>
    <row r="722" spans="1:18" x14ac:dyDescent="0.25">
      <c r="A722">
        <f t="shared" si="14"/>
        <v>710</v>
      </c>
      <c r="B722" s="168">
        <v>1.0123859103605293</v>
      </c>
      <c r="C722" s="122">
        <v>0.87622533409462955</v>
      </c>
      <c r="D722" s="122">
        <v>0.90463052100798569</v>
      </c>
      <c r="E722" s="122">
        <v>1.7857514428785433</v>
      </c>
      <c r="F722" s="122">
        <v>12.056459943368601</v>
      </c>
      <c r="G722" s="122">
        <v>1.0890999767656742</v>
      </c>
      <c r="H722" s="163">
        <v>1</v>
      </c>
      <c r="I722" s="12">
        <v>2.504421538582836E-2</v>
      </c>
      <c r="J722" s="115">
        <v>3.6190063563252745E-2</v>
      </c>
      <c r="K722" s="115">
        <v>1.1088386896155961E-2</v>
      </c>
      <c r="L722" s="115">
        <v>-7.4877409230113129E-3</v>
      </c>
      <c r="P722" s="108">
        <v>8.5957955429651456E-2</v>
      </c>
      <c r="Q722" s="108">
        <v>1.7191591085930289</v>
      </c>
      <c r="R722" s="49">
        <v>75615966.23628962</v>
      </c>
    </row>
    <row r="723" spans="1:18" x14ac:dyDescent="0.25">
      <c r="A723">
        <f t="shared" si="14"/>
        <v>711</v>
      </c>
      <c r="B723" s="168">
        <v>0.97893525835846518</v>
      </c>
      <c r="C723" s="122">
        <v>0.90094611566768956</v>
      </c>
      <c r="D723" s="122">
        <v>0.90802296050927089</v>
      </c>
      <c r="E723" s="122">
        <v>3.4454921320088729</v>
      </c>
      <c r="F723" s="122">
        <v>4.9169494788533008</v>
      </c>
      <c r="G723" s="122">
        <v>1.0457960610269592</v>
      </c>
      <c r="H723" s="163">
        <v>1</v>
      </c>
      <c r="I723" s="12">
        <v>1.9916137424127407E-2</v>
      </c>
      <c r="J723" s="115">
        <v>1.180722771871566E-2</v>
      </c>
      <c r="K723" s="115">
        <v>-4.4784860790193408E-3</v>
      </c>
      <c r="L723" s="115">
        <v>1.6710684045372785E-2</v>
      </c>
      <c r="P723" s="108">
        <v>-6.0106117500278125E-2</v>
      </c>
      <c r="Q723" s="108">
        <v>-1.2021223500055622</v>
      </c>
      <c r="R723" s="49">
        <v>-52874479.491489649</v>
      </c>
    </row>
    <row r="724" spans="1:18" x14ac:dyDescent="0.25">
      <c r="A724">
        <f t="shared" si="14"/>
        <v>712</v>
      </c>
      <c r="B724" s="168">
        <v>1.0091201496731386</v>
      </c>
      <c r="C724" s="122">
        <v>0.90026424585933507</v>
      </c>
      <c r="D724" s="122">
        <v>0.90042101086179538</v>
      </c>
      <c r="E724" s="122">
        <v>0.35947865622876662</v>
      </c>
      <c r="F724" s="122">
        <v>7.5038663109054635</v>
      </c>
      <c r="G724" s="122">
        <v>1.1077041943775527</v>
      </c>
      <c r="H724" s="163">
        <v>1</v>
      </c>
      <c r="I724" s="12">
        <v>1.2072615321096561E-2</v>
      </c>
      <c r="J724" s="115">
        <v>2.781924839699567E-2</v>
      </c>
      <c r="K724" s="115">
        <v>9.6671783450565096E-4</v>
      </c>
      <c r="L724" s="115">
        <v>3.7958939243179023E-2</v>
      </c>
      <c r="P724" s="108">
        <v>7.2289938919066779E-2</v>
      </c>
      <c r="Q724" s="108">
        <v>1.4457987783813353</v>
      </c>
      <c r="R724" s="49">
        <v>63592410.419780448</v>
      </c>
    </row>
    <row r="725" spans="1:18" x14ac:dyDescent="0.25">
      <c r="A725">
        <f t="shared" si="14"/>
        <v>713</v>
      </c>
      <c r="B725" s="168">
        <v>0.99720901272595008</v>
      </c>
      <c r="C725" s="122">
        <v>0.83871692809191911</v>
      </c>
      <c r="D725" s="122">
        <v>0.90777982930089296</v>
      </c>
      <c r="E725" s="122">
        <v>1.8255007293379886</v>
      </c>
      <c r="F725" s="122">
        <v>3.7829678824168145</v>
      </c>
      <c r="G725" s="122">
        <v>1.1252410297175022</v>
      </c>
      <c r="H725" s="163">
        <v>1</v>
      </c>
      <c r="I725" s="12">
        <v>2.4804654798688524E-2</v>
      </c>
      <c r="J725" s="115">
        <v>4.4075504773301855E-2</v>
      </c>
      <c r="K725" s="115">
        <v>1.7584087405920646E-2</v>
      </c>
      <c r="L725" s="115">
        <v>2.1969043671914157E-4</v>
      </c>
      <c r="P725" s="108">
        <v>2.0907398235350452E-2</v>
      </c>
      <c r="Q725" s="108">
        <v>0.41814796470700899</v>
      </c>
      <c r="R725" s="49">
        <v>18391934.884337343</v>
      </c>
    </row>
    <row r="726" spans="1:18" x14ac:dyDescent="0.25">
      <c r="A726">
        <f t="shared" si="14"/>
        <v>714</v>
      </c>
      <c r="B726" s="168">
        <v>0.99490248700698503</v>
      </c>
      <c r="C726" s="122">
        <v>0.88058501902904118</v>
      </c>
      <c r="D726" s="122">
        <v>0.89982705256200402</v>
      </c>
      <c r="E726" s="122">
        <v>0.47740177240518689</v>
      </c>
      <c r="F726" s="122">
        <v>3.9049394760024185</v>
      </c>
      <c r="G726" s="122">
        <v>1.0994050302211755</v>
      </c>
      <c r="H726" s="163">
        <v>1</v>
      </c>
      <c r="I726" s="12">
        <v>4.3980491345402439E-2</v>
      </c>
      <c r="J726" s="115">
        <v>2.164197445395007E-2</v>
      </c>
      <c r="K726" s="115">
        <v>4.5476318156518385E-3</v>
      </c>
      <c r="L726" s="115">
        <v>1.3218658065678401E-2</v>
      </c>
      <c r="P726" s="108">
        <v>-1.0354456034871434E-2</v>
      </c>
      <c r="Q726" s="108">
        <v>-0.20708912069742863</v>
      </c>
      <c r="R726" s="49">
        <v>-9108664.7421339024</v>
      </c>
    </row>
    <row r="727" spans="1:18" x14ac:dyDescent="0.25">
      <c r="A727">
        <f t="shared" si="14"/>
        <v>715</v>
      </c>
      <c r="B727" s="168">
        <v>1.0172284495364612</v>
      </c>
      <c r="C727" s="122">
        <v>0.93907766562428074</v>
      </c>
      <c r="D727" s="122">
        <v>0.90778184366763048</v>
      </c>
      <c r="E727" s="122">
        <v>1.6285744408957594</v>
      </c>
      <c r="F727" s="122">
        <v>5.2108572623923992</v>
      </c>
      <c r="G727" s="122">
        <v>1.1138552200973411</v>
      </c>
      <c r="H727" s="163">
        <v>1</v>
      </c>
      <c r="I727" s="12">
        <v>1.7281087119003002E-2</v>
      </c>
      <c r="J727" s="115">
        <v>1.6974054113392173E-2</v>
      </c>
      <c r="K727" s="115">
        <v>7.2904583716799885E-3</v>
      </c>
      <c r="L727" s="115">
        <v>7.9965080704921636E-3</v>
      </c>
      <c r="P727" s="108">
        <v>-4.4482310368715007E-2</v>
      </c>
      <c r="Q727" s="108">
        <v>-0.8896462073743</v>
      </c>
      <c r="R727" s="49">
        <v>-39130443.042071648</v>
      </c>
    </row>
    <row r="728" spans="1:18" x14ac:dyDescent="0.25">
      <c r="A728">
        <f t="shared" si="14"/>
        <v>716</v>
      </c>
      <c r="B728" s="168">
        <v>0.98336117952899182</v>
      </c>
      <c r="C728" s="122">
        <v>0.86633032680559707</v>
      </c>
      <c r="D728" s="122">
        <v>0.90746031593067511</v>
      </c>
      <c r="E728" s="122">
        <v>1.4092822135702257</v>
      </c>
      <c r="F728" s="122">
        <v>3.2713559953789302</v>
      </c>
      <c r="G728" s="122">
        <v>1.0520275708659501</v>
      </c>
      <c r="H728" s="163">
        <v>1</v>
      </c>
      <c r="I728" s="12">
        <v>2.9866779434038322E-2</v>
      </c>
      <c r="J728" s="115">
        <v>4.1093396922233218E-2</v>
      </c>
      <c r="K728" s="115">
        <v>7.8381844895514642E-4</v>
      </c>
      <c r="L728" s="115">
        <v>-1.5141240005669219E-2</v>
      </c>
      <c r="P728" s="108">
        <v>2.0965835560360952E-3</v>
      </c>
      <c r="Q728" s="108">
        <v>4.1931671120721895E-2</v>
      </c>
      <c r="R728" s="49">
        <v>1844334.1351288036</v>
      </c>
    </row>
    <row r="729" spans="1:18" x14ac:dyDescent="0.25">
      <c r="A729">
        <f t="shared" si="14"/>
        <v>717</v>
      </c>
      <c r="B729" s="168">
        <v>1.0135756201740371</v>
      </c>
      <c r="C729" s="122">
        <v>0.95481002751914745</v>
      </c>
      <c r="D729" s="122">
        <v>0.90033328815039171</v>
      </c>
      <c r="E729" s="122">
        <v>2.1773369327717234</v>
      </c>
      <c r="F729" s="122">
        <v>8.9387821647097958</v>
      </c>
      <c r="G729" s="122">
        <v>1.0710719054878175</v>
      </c>
      <c r="H729" s="163">
        <v>1</v>
      </c>
      <c r="I729" s="12">
        <v>2.1844688391461458E-2</v>
      </c>
      <c r="J729" s="115">
        <v>4.0902999399500144E-2</v>
      </c>
      <c r="K729" s="115">
        <v>-4.4436835234620596E-3</v>
      </c>
      <c r="L729" s="115">
        <v>-1.2254015516051792E-3</v>
      </c>
      <c r="P729" s="108">
        <v>7.7246730583798023E-2</v>
      </c>
      <c r="Q729" s="108">
        <v>1.5449346116759604</v>
      </c>
      <c r="R729" s="49">
        <v>67952828.129661784</v>
      </c>
    </row>
    <row r="730" spans="1:18" x14ac:dyDescent="0.25">
      <c r="A730">
        <f t="shared" si="14"/>
        <v>718</v>
      </c>
      <c r="B730" s="168">
        <v>0.9854354136064527</v>
      </c>
      <c r="C730" s="122">
        <v>0.92566658023620507</v>
      </c>
      <c r="D730" s="122">
        <v>0.89772843343361897</v>
      </c>
      <c r="E730" s="122">
        <v>0.9609656894322629</v>
      </c>
      <c r="F730" s="122">
        <v>6.1913369842645292</v>
      </c>
      <c r="G730" s="122">
        <v>1.113817104743221</v>
      </c>
      <c r="H730" s="163">
        <v>1</v>
      </c>
      <c r="I730" s="12">
        <v>2.9265879857805547E-2</v>
      </c>
      <c r="J730" s="115">
        <v>2.4282976582703987E-2</v>
      </c>
      <c r="K730" s="115">
        <v>1.0746934553588428E-2</v>
      </c>
      <c r="L730" s="115">
        <v>2.0094758439690493E-2</v>
      </c>
      <c r="P730" s="108">
        <v>2.888705989219886E-2</v>
      </c>
      <c r="Q730" s="108">
        <v>0.57774119784397715</v>
      </c>
      <c r="R730" s="49">
        <v>25411527.467772879</v>
      </c>
    </row>
    <row r="731" spans="1:18" x14ac:dyDescent="0.25">
      <c r="A731">
        <f t="shared" si="14"/>
        <v>719</v>
      </c>
      <c r="B731" s="168">
        <v>1.0129124907698632</v>
      </c>
      <c r="C731" s="122">
        <v>0.97782529863722201</v>
      </c>
      <c r="D731" s="122">
        <v>0.8970094630195431</v>
      </c>
      <c r="E731" s="122">
        <v>1.3118486908470741</v>
      </c>
      <c r="F731" s="122">
        <v>4.6167934627495404</v>
      </c>
      <c r="G731" s="122">
        <v>1.105494888564905</v>
      </c>
      <c r="H731" s="163">
        <v>1</v>
      </c>
      <c r="I731" s="12">
        <v>5.0510462293033763E-2</v>
      </c>
      <c r="J731" s="115">
        <v>2.8498566536946622E-2</v>
      </c>
      <c r="K731" s="115">
        <v>1.731672448313906E-3</v>
      </c>
      <c r="L731" s="115">
        <v>1.4889132081644361E-2</v>
      </c>
      <c r="P731" s="108">
        <v>2.3455800653660784E-2</v>
      </c>
      <c r="Q731" s="108">
        <v>0.4691160130732156</v>
      </c>
      <c r="R731" s="49">
        <v>20633727.517215163</v>
      </c>
    </row>
    <row r="732" spans="1:18" x14ac:dyDescent="0.25">
      <c r="A732">
        <f t="shared" si="14"/>
        <v>720</v>
      </c>
      <c r="B732" s="168">
        <v>0.96932097544889606</v>
      </c>
      <c r="C732" s="122">
        <v>0.88575058582511523</v>
      </c>
      <c r="D732" s="122">
        <v>0.91660928419969756</v>
      </c>
      <c r="E732" s="122">
        <v>1.9357873488739437</v>
      </c>
      <c r="F732" s="122">
        <v>5.9337112777898922</v>
      </c>
      <c r="G732" s="122">
        <v>1.1011825265613555</v>
      </c>
      <c r="H732" s="163">
        <v>1</v>
      </c>
      <c r="I732" s="12">
        <v>3.5817391765073647E-2</v>
      </c>
      <c r="J732" s="115">
        <v>4.2117536516228432E-2</v>
      </c>
      <c r="K732" s="115">
        <v>7.7381046592038694E-3</v>
      </c>
      <c r="L732" s="115">
        <v>1.4815405445132894E-2</v>
      </c>
      <c r="P732" s="108">
        <v>7.466747135380912E-2</v>
      </c>
      <c r="Q732" s="108">
        <v>1.4933494270761822</v>
      </c>
      <c r="R732" s="49">
        <v>65683891.207248621</v>
      </c>
    </row>
    <row r="733" spans="1:18" x14ac:dyDescent="0.25">
      <c r="A733">
        <f t="shared" si="14"/>
        <v>721</v>
      </c>
      <c r="B733" s="168">
        <v>0.99597997157829743</v>
      </c>
      <c r="C733" s="122">
        <v>0.95203008609441009</v>
      </c>
      <c r="D733" s="122">
        <v>0.88691994959567177</v>
      </c>
      <c r="E733" s="122">
        <v>3.3716205219252422</v>
      </c>
      <c r="F733" s="122">
        <v>7.482523691031707</v>
      </c>
      <c r="G733" s="122">
        <v>1.128494590677503</v>
      </c>
      <c r="H733" s="163">
        <v>1</v>
      </c>
      <c r="I733" s="12">
        <v>2.1073277556531329E-2</v>
      </c>
      <c r="J733" s="115">
        <v>5.4479459555309168E-2</v>
      </c>
      <c r="K733" s="115">
        <v>7.632388919086245E-4</v>
      </c>
      <c r="L733" s="115">
        <v>7.6458436444976404E-3</v>
      </c>
      <c r="P733" s="108">
        <v>9.8305368127653697E-2</v>
      </c>
      <c r="Q733" s="108">
        <v>1.9661073625530736</v>
      </c>
      <c r="R733" s="49">
        <v>86477806.039375514</v>
      </c>
    </row>
    <row r="734" spans="1:18" x14ac:dyDescent="0.25">
      <c r="A734">
        <f t="shared" si="14"/>
        <v>722</v>
      </c>
      <c r="B734" s="168">
        <v>1.000575310851038</v>
      </c>
      <c r="C734" s="122">
        <v>0.89381788041011956</v>
      </c>
      <c r="D734" s="122">
        <v>0.90061417831126778</v>
      </c>
      <c r="E734" s="122">
        <v>1.5688429181734542</v>
      </c>
      <c r="F734" s="122">
        <v>4.2688512554564539</v>
      </c>
      <c r="G734" s="122">
        <v>1.1095410196826456</v>
      </c>
      <c r="H734" s="163">
        <v>1</v>
      </c>
      <c r="I734" s="12">
        <v>2.4318806457055885E-2</v>
      </c>
      <c r="J734" s="115">
        <v>3.4781958648632157E-2</v>
      </c>
      <c r="K734" s="115">
        <v>6.7778675366034586E-3</v>
      </c>
      <c r="L734" s="115">
        <v>9.4126065730553224E-3</v>
      </c>
      <c r="P734" s="108">
        <v>8.4588835716979636E-3</v>
      </c>
      <c r="Q734" s="108">
        <v>0.16917767143395923</v>
      </c>
      <c r="R734" s="49">
        <v>7441157.148946994</v>
      </c>
    </row>
    <row r="735" spans="1:18" x14ac:dyDescent="0.25">
      <c r="A735">
        <f t="shared" si="14"/>
        <v>723</v>
      </c>
      <c r="B735" s="168">
        <v>1.0054570516754466</v>
      </c>
      <c r="C735" s="122">
        <v>0.90306168396821129</v>
      </c>
      <c r="D735" s="122">
        <v>0.89264057662098062</v>
      </c>
      <c r="E735" s="122">
        <v>0.76954058587379937</v>
      </c>
      <c r="F735" s="122">
        <v>3.4082047855005539</v>
      </c>
      <c r="G735" s="122">
        <v>1.1467388143245516</v>
      </c>
      <c r="H735" s="163">
        <v>1</v>
      </c>
      <c r="I735" s="12">
        <v>4.1540033677827118E-2</v>
      </c>
      <c r="J735" s="115">
        <v>2.6316852519334667E-2</v>
      </c>
      <c r="K735" s="115">
        <v>1.6338273659574742E-2</v>
      </c>
      <c r="L735" s="115">
        <v>3.3282784441090549E-2</v>
      </c>
      <c r="P735" s="108">
        <v>-9.5299223767692631E-3</v>
      </c>
      <c r="Q735" s="108">
        <v>-0.19059844753538524</v>
      </c>
      <c r="R735" s="49">
        <v>-8383334.4461758565</v>
      </c>
    </row>
    <row r="736" spans="1:18" x14ac:dyDescent="0.25">
      <c r="A736">
        <f t="shared" si="14"/>
        <v>724</v>
      </c>
      <c r="B736" s="168">
        <v>1.0014511620267958</v>
      </c>
      <c r="C736" s="122">
        <v>0.88993549114763726</v>
      </c>
      <c r="D736" s="122">
        <v>0.88437016007926739</v>
      </c>
      <c r="E736" s="122">
        <v>2.220250953354939</v>
      </c>
      <c r="F736" s="122">
        <v>6.0709345254133593</v>
      </c>
      <c r="G736" s="122">
        <v>1.1476006790169822</v>
      </c>
      <c r="H736" s="163">
        <v>1</v>
      </c>
      <c r="I736" s="12">
        <v>3.5303373798974566E-2</v>
      </c>
      <c r="J736" s="115">
        <v>5.9144710929049965E-2</v>
      </c>
      <c r="K736" s="115">
        <v>5.9135225911268472E-4</v>
      </c>
      <c r="L736" s="115">
        <v>2.7766784660908875E-2</v>
      </c>
      <c r="P736" s="108">
        <v>0.13221189666261282</v>
      </c>
      <c r="Q736" s="108">
        <v>2.6442379332522563</v>
      </c>
      <c r="R736" s="49">
        <v>116304887.24522796</v>
      </c>
    </row>
    <row r="737" spans="1:18" x14ac:dyDescent="0.25">
      <c r="A737">
        <f t="shared" si="14"/>
        <v>725</v>
      </c>
      <c r="B737" s="168">
        <v>1.0127132696810959</v>
      </c>
      <c r="C737" s="122">
        <v>0.89578548326850171</v>
      </c>
      <c r="D737" s="122">
        <v>0.89787647800050374</v>
      </c>
      <c r="E737" s="122">
        <v>3.382996828691117</v>
      </c>
      <c r="F737" s="122">
        <v>7.3106774391696607</v>
      </c>
      <c r="G737" s="122">
        <v>1.1025494732370038</v>
      </c>
      <c r="H737" s="163">
        <v>1</v>
      </c>
      <c r="I737" s="12">
        <v>1.897134159607794E-2</v>
      </c>
      <c r="J737" s="115">
        <v>4.4008886106076783E-2</v>
      </c>
      <c r="K737" s="115">
        <v>1.3699796757479562E-2</v>
      </c>
      <c r="L737" s="115">
        <v>1.4082548351775921E-2</v>
      </c>
      <c r="P737" s="108">
        <v>6.9851746224075653E-2</v>
      </c>
      <c r="Q737" s="108">
        <v>1.3970349244815128</v>
      </c>
      <c r="R737" s="49">
        <v>61447567.681484945</v>
      </c>
    </row>
    <row r="738" spans="1:18" x14ac:dyDescent="0.25">
      <c r="A738">
        <f t="shared" si="14"/>
        <v>726</v>
      </c>
      <c r="B738" s="168">
        <v>0.98921362706833216</v>
      </c>
      <c r="C738" s="122">
        <v>0.89320361924758129</v>
      </c>
      <c r="D738" s="122">
        <v>0.89772489702973413</v>
      </c>
      <c r="E738" s="122">
        <v>3.2416364783748906</v>
      </c>
      <c r="F738" s="122">
        <v>5.5652544590791138</v>
      </c>
      <c r="G738" s="122">
        <v>1.09707681985591</v>
      </c>
      <c r="H738" s="163">
        <v>1</v>
      </c>
      <c r="I738" s="12">
        <v>1.3101601805630279E-2</v>
      </c>
      <c r="J738" s="115">
        <v>4.0907552769611666E-2</v>
      </c>
      <c r="K738" s="115">
        <v>8.39791424374281E-3</v>
      </c>
      <c r="L738" s="115">
        <v>3.7758418143125874E-2</v>
      </c>
      <c r="P738" s="108">
        <v>5.4352477478728636E-2</v>
      </c>
      <c r="Q738" s="108">
        <v>1.0870495495745724</v>
      </c>
      <c r="R738" s="49">
        <v>47813085.843506545</v>
      </c>
    </row>
    <row r="739" spans="1:18" x14ac:dyDescent="0.25">
      <c r="A739">
        <f t="shared" si="14"/>
        <v>727</v>
      </c>
      <c r="B739" s="168">
        <v>1.0010939178451925</v>
      </c>
      <c r="C739" s="122">
        <v>0.90974823939482719</v>
      </c>
      <c r="D739" s="122">
        <v>0.90858833961894891</v>
      </c>
      <c r="E739" s="122">
        <v>2.4442624296085995</v>
      </c>
      <c r="F739" s="122">
        <v>5.8984756557105715</v>
      </c>
      <c r="G739" s="122">
        <v>1.0659393237239483</v>
      </c>
      <c r="H739" s="163">
        <v>1</v>
      </c>
      <c r="I739" s="12">
        <v>4.1532687727927356E-2</v>
      </c>
      <c r="J739" s="115">
        <v>2.8858239781425654E-2</v>
      </c>
      <c r="K739" s="115">
        <v>6.3116246929122788E-3</v>
      </c>
      <c r="L739" s="115">
        <v>4.2208477492467721E-2</v>
      </c>
      <c r="P739" s="108">
        <v>5.396378593483208E-2</v>
      </c>
      <c r="Q739" s="108">
        <v>1.0792757186966413</v>
      </c>
      <c r="R739" s="49">
        <v>47471159.531826563</v>
      </c>
    </row>
    <row r="740" spans="1:18" x14ac:dyDescent="0.25">
      <c r="A740">
        <f t="shared" si="14"/>
        <v>728</v>
      </c>
      <c r="B740" s="168">
        <v>1.0033403207570297</v>
      </c>
      <c r="C740" s="122">
        <v>0.90267523215360901</v>
      </c>
      <c r="D740" s="122">
        <v>0.90322775773817854</v>
      </c>
      <c r="E740" s="122">
        <v>1.6363511725131923</v>
      </c>
      <c r="F740" s="122">
        <v>6.0677001998587352</v>
      </c>
      <c r="G740" s="122">
        <v>1.0990155424239678</v>
      </c>
      <c r="H740" s="163">
        <v>1</v>
      </c>
      <c r="I740" s="12">
        <v>4.4264094024030226E-2</v>
      </c>
      <c r="J740" s="115">
        <v>4.4693701382197096E-2</v>
      </c>
      <c r="K740" s="115">
        <v>-1.8622482088755596E-3</v>
      </c>
      <c r="L740" s="115">
        <v>-3.2536520752402501E-2</v>
      </c>
      <c r="P740" s="108">
        <v>5.8296912026167172E-2</v>
      </c>
      <c r="Q740" s="108">
        <v>1.1659382405233432</v>
      </c>
      <c r="R740" s="49">
        <v>51282947.685491256</v>
      </c>
    </row>
    <row r="741" spans="1:18" x14ac:dyDescent="0.25">
      <c r="A741">
        <f t="shared" si="14"/>
        <v>729</v>
      </c>
      <c r="B741" s="168">
        <v>0.99150888648087665</v>
      </c>
      <c r="C741" s="122">
        <v>0.88923091130677179</v>
      </c>
      <c r="D741" s="122">
        <v>0.88463733864339944</v>
      </c>
      <c r="E741" s="122">
        <v>2.229534523807652</v>
      </c>
      <c r="F741" s="122">
        <v>5.681431530183044</v>
      </c>
      <c r="G741" s="122">
        <v>1.0757969083318581</v>
      </c>
      <c r="H741" s="163">
        <v>1</v>
      </c>
      <c r="I741" s="12">
        <v>3.186163540299166E-2</v>
      </c>
      <c r="J741" s="115">
        <v>3.6128128002776802E-2</v>
      </c>
      <c r="K741" s="115">
        <v>8.6186813564804489E-3</v>
      </c>
      <c r="L741" s="115">
        <v>1.1844800449759756E-2</v>
      </c>
      <c r="P741" s="108">
        <v>4.6317502891901431E-2</v>
      </c>
      <c r="Q741" s="108">
        <v>0.92635005783802837</v>
      </c>
      <c r="R741" s="49">
        <v>40744835.278098308</v>
      </c>
    </row>
    <row r="742" spans="1:18" x14ac:dyDescent="0.25">
      <c r="A742">
        <f t="shared" si="14"/>
        <v>730</v>
      </c>
      <c r="B742" s="168">
        <v>1.0001946975651503</v>
      </c>
      <c r="C742" s="122">
        <v>0.8634914359374477</v>
      </c>
      <c r="D742" s="122">
        <v>0.89931383639232099</v>
      </c>
      <c r="E742" s="122">
        <v>2.2263420413297657</v>
      </c>
      <c r="F742" s="122">
        <v>6.1549035929724356</v>
      </c>
      <c r="G742" s="122">
        <v>1.1111080966185916</v>
      </c>
      <c r="H742" s="163">
        <v>1</v>
      </c>
      <c r="I742" s="12">
        <v>2.0949823926102021E-2</v>
      </c>
      <c r="J742" s="115">
        <v>8.089859724794049E-2</v>
      </c>
      <c r="K742" s="115">
        <v>-4.2936210098351883E-3</v>
      </c>
      <c r="L742" s="115">
        <v>2.1669998097173838E-2</v>
      </c>
      <c r="P742" s="108">
        <v>0.19523010696462814</v>
      </c>
      <c r="Q742" s="108">
        <v>3.9046021392925621</v>
      </c>
      <c r="R742" s="49">
        <v>171741092.52314949</v>
      </c>
    </row>
    <row r="743" spans="1:18" x14ac:dyDescent="0.25">
      <c r="A743">
        <f t="shared" si="14"/>
        <v>731</v>
      </c>
      <c r="B743" s="168">
        <v>0.98400899081867699</v>
      </c>
      <c r="C743" s="122">
        <v>0.85826599781877266</v>
      </c>
      <c r="D743" s="122">
        <v>0.90730964888228449</v>
      </c>
      <c r="E743" s="122">
        <v>2.1277643745960111</v>
      </c>
      <c r="F743" s="122">
        <v>2.8756459345545631</v>
      </c>
      <c r="G743" s="122">
        <v>1.0829577105474857</v>
      </c>
      <c r="H743" s="163">
        <v>1</v>
      </c>
      <c r="I743" s="12">
        <v>2.2338667995875944E-2</v>
      </c>
      <c r="J743" s="115">
        <v>2.1859285750914063E-2</v>
      </c>
      <c r="K743" s="115">
        <v>-4.9352587625091744E-3</v>
      </c>
      <c r="L743" s="115">
        <v>3.3247246828590718E-2</v>
      </c>
      <c r="P743" s="108">
        <v>-5.1722786379407956E-2</v>
      </c>
      <c r="Q743" s="108">
        <v>-1.034455727588159</v>
      </c>
      <c r="R743" s="49">
        <v>-45499784.737353094</v>
      </c>
    </row>
    <row r="744" spans="1:18" x14ac:dyDescent="0.25">
      <c r="A744">
        <f t="shared" si="14"/>
        <v>732</v>
      </c>
      <c r="B744" s="168">
        <v>0.98282785683517948</v>
      </c>
      <c r="C744" s="122">
        <v>0.87171147589142151</v>
      </c>
      <c r="D744" s="122">
        <v>0.89661339631787207</v>
      </c>
      <c r="E744" s="122">
        <v>3.088548355192541</v>
      </c>
      <c r="F744" s="122">
        <v>7.3605748930044061</v>
      </c>
      <c r="G744" s="122">
        <v>1.1270326579225287</v>
      </c>
      <c r="H744" s="163">
        <v>1</v>
      </c>
      <c r="I744" s="12">
        <v>2.6789216129003226E-2</v>
      </c>
      <c r="J744" s="115">
        <v>3.4858294214926755E-2</v>
      </c>
      <c r="K744" s="115">
        <v>5.1846297233802529E-3</v>
      </c>
      <c r="L744" s="115">
        <v>4.0863459582229672E-2</v>
      </c>
      <c r="P744" s="108">
        <v>6.1701282442436986E-2</v>
      </c>
      <c r="Q744" s="108">
        <v>1.2340256488487396</v>
      </c>
      <c r="R744" s="49">
        <v>54277722.947021946</v>
      </c>
    </row>
    <row r="745" spans="1:18" x14ac:dyDescent="0.25">
      <c r="A745">
        <f t="shared" si="14"/>
        <v>733</v>
      </c>
      <c r="B745" s="168">
        <v>0.98587982048098244</v>
      </c>
      <c r="C745" s="122">
        <v>0.92183083666930077</v>
      </c>
      <c r="D745" s="122">
        <v>0.90508916454433752</v>
      </c>
      <c r="E745" s="122">
        <v>2.5016798919480929</v>
      </c>
      <c r="F745" s="122">
        <v>9.7563699220326363</v>
      </c>
      <c r="G745" s="122">
        <v>1.1136233450745758</v>
      </c>
      <c r="H745" s="163">
        <v>1</v>
      </c>
      <c r="I745" s="12">
        <v>2.7514710271879825E-2</v>
      </c>
      <c r="J745" s="115">
        <v>2.0974916554676721E-2</v>
      </c>
      <c r="K745" s="115">
        <v>6.1246018457001544E-3</v>
      </c>
      <c r="L745" s="115">
        <v>-8.2801061227500555E-4</v>
      </c>
      <c r="P745" s="108">
        <v>1.1057033099901865E-2</v>
      </c>
      <c r="Q745" s="108">
        <v>0.22114066199803728</v>
      </c>
      <c r="R745" s="49">
        <v>9726711.5926224664</v>
      </c>
    </row>
    <row r="746" spans="1:18" x14ac:dyDescent="0.25">
      <c r="A746">
        <f t="shared" si="14"/>
        <v>734</v>
      </c>
      <c r="B746" s="168">
        <v>0.98674818083950844</v>
      </c>
      <c r="C746" s="122">
        <v>0.90190505456406023</v>
      </c>
      <c r="D746" s="122">
        <v>0.90538756371886264</v>
      </c>
      <c r="E746" s="122">
        <v>1.928822313588787</v>
      </c>
      <c r="F746" s="122">
        <v>1.6361357035727604</v>
      </c>
      <c r="G746" s="122">
        <v>1.0726014031103444</v>
      </c>
      <c r="H746" s="163">
        <v>1</v>
      </c>
      <c r="I746" s="12">
        <v>-1.2669405147957523E-3</v>
      </c>
      <c r="J746" s="115">
        <v>3.5862472000126766E-2</v>
      </c>
      <c r="K746" s="115">
        <v>1.0510848327405217E-2</v>
      </c>
      <c r="L746" s="115">
        <v>2.8923385510462224E-2</v>
      </c>
      <c r="P746" s="108">
        <v>-6.0539295525997058E-2</v>
      </c>
      <c r="Q746" s="108">
        <v>-1.210785910519941</v>
      </c>
      <c r="R746" s="49">
        <v>-53255539.915778965</v>
      </c>
    </row>
    <row r="747" spans="1:18" x14ac:dyDescent="0.25">
      <c r="A747">
        <f t="shared" si="14"/>
        <v>735</v>
      </c>
      <c r="B747" s="168">
        <v>1.0043231689673138</v>
      </c>
      <c r="C747" s="122">
        <v>0.88832636180370594</v>
      </c>
      <c r="D747" s="122">
        <v>0.8999933272816516</v>
      </c>
      <c r="E747" s="122">
        <v>0.74516070378892252</v>
      </c>
      <c r="F747" s="122">
        <v>4.6511940239560978</v>
      </c>
      <c r="G747" s="122">
        <v>1.0468020492806094</v>
      </c>
      <c r="H747" s="163">
        <v>1</v>
      </c>
      <c r="I747" s="12">
        <v>3.574632994322275E-2</v>
      </c>
      <c r="J747" s="115">
        <v>1.778047353042092E-2</v>
      </c>
      <c r="K747" s="115">
        <v>-1.2324907499272342E-3</v>
      </c>
      <c r="L747" s="115">
        <v>1.2655433916854177E-3</v>
      </c>
      <c r="P747" s="108">
        <v>-1.8898077557214319E-2</v>
      </c>
      <c r="Q747" s="108">
        <v>-0.37796155114428626</v>
      </c>
      <c r="R747" s="49">
        <v>-16624364.636808982</v>
      </c>
    </row>
    <row r="748" spans="1:18" x14ac:dyDescent="0.25">
      <c r="A748">
        <f t="shared" si="14"/>
        <v>736</v>
      </c>
      <c r="B748" s="168">
        <v>0.97800976275879714</v>
      </c>
      <c r="C748" s="122">
        <v>0.87875502677510353</v>
      </c>
      <c r="D748" s="122">
        <v>0.88850525409637038</v>
      </c>
      <c r="E748" s="122">
        <v>0.96759414725877746</v>
      </c>
      <c r="F748" s="122">
        <v>6.0914377325806388</v>
      </c>
      <c r="G748" s="122">
        <v>1.1024077079922614</v>
      </c>
      <c r="H748" s="163">
        <v>1</v>
      </c>
      <c r="I748" s="12">
        <v>1.5185133269286869E-2</v>
      </c>
      <c r="J748" s="115">
        <v>5.9440979373478642E-2</v>
      </c>
      <c r="K748" s="115">
        <v>6.797594439835161E-3</v>
      </c>
      <c r="L748" s="115">
        <v>1.0527847366422358E-2</v>
      </c>
      <c r="P748" s="108">
        <v>0.13076389671546737</v>
      </c>
      <c r="Q748" s="108">
        <v>2.6152779343093471</v>
      </c>
      <c r="R748" s="49">
        <v>115031102.70060708</v>
      </c>
    </row>
    <row r="749" spans="1:18" x14ac:dyDescent="0.25">
      <c r="A749">
        <f t="shared" si="14"/>
        <v>737</v>
      </c>
      <c r="B749" s="168">
        <v>1.007415620610657</v>
      </c>
      <c r="C749" s="122">
        <v>0.90935142973620453</v>
      </c>
      <c r="D749" s="122">
        <v>0.89422264368209714</v>
      </c>
      <c r="E749" s="122">
        <v>2.8372702974761523</v>
      </c>
      <c r="F749" s="122">
        <v>8.2767607716546738</v>
      </c>
      <c r="G749" s="122">
        <v>1.0866592760564111</v>
      </c>
      <c r="H749" s="163">
        <v>1</v>
      </c>
      <c r="I749" s="12">
        <v>2.5732134159220765E-2</v>
      </c>
      <c r="J749" s="115">
        <v>2.2319689396753564E-2</v>
      </c>
      <c r="K749" s="115">
        <v>-1.8397750383099378E-3</v>
      </c>
      <c r="L749" s="115">
        <v>-1.1997254991617176E-3</v>
      </c>
      <c r="P749" s="108">
        <v>6.4219695983313663E-4</v>
      </c>
      <c r="Q749" s="108">
        <v>1.284393919666273E-2</v>
      </c>
      <c r="R749" s="49">
        <v>564931.34799527004</v>
      </c>
    </row>
    <row r="750" spans="1:18" x14ac:dyDescent="0.25">
      <c r="A750">
        <f t="shared" si="14"/>
        <v>738</v>
      </c>
      <c r="B750" s="168">
        <v>1.0029638510767624</v>
      </c>
      <c r="C750" s="122">
        <v>0.86679180523693855</v>
      </c>
      <c r="D750" s="122">
        <v>0.90060180835749792</v>
      </c>
      <c r="E750" s="122">
        <v>2.0500987223374247</v>
      </c>
      <c r="F750" s="122">
        <v>5.9953094159541092</v>
      </c>
      <c r="G750" s="122">
        <v>1.1220345096908535</v>
      </c>
      <c r="H750" s="163">
        <v>1</v>
      </c>
      <c r="I750" s="12">
        <v>2.7535491325900559E-2</v>
      </c>
      <c r="J750" s="115">
        <v>1.6807257456336235E-2</v>
      </c>
      <c r="K750" s="115">
        <v>7.2258752614912259E-3</v>
      </c>
      <c r="L750" s="115">
        <v>6.1384879979111701E-3</v>
      </c>
      <c r="P750" s="108">
        <v>-3.2031776834295159E-2</v>
      </c>
      <c r="Q750" s="108">
        <v>-0.64063553668590301</v>
      </c>
      <c r="R750" s="49">
        <v>-28177889.335358847</v>
      </c>
    </row>
    <row r="751" spans="1:18" x14ac:dyDescent="0.25">
      <c r="A751">
        <f t="shared" si="14"/>
        <v>739</v>
      </c>
      <c r="B751" s="168">
        <v>0.99417033971768265</v>
      </c>
      <c r="C751" s="122">
        <v>0.85751478304639339</v>
      </c>
      <c r="D751" s="122">
        <v>0.9168100112764398</v>
      </c>
      <c r="E751" s="122">
        <v>1.3825734348058702</v>
      </c>
      <c r="F751" s="122">
        <v>5.6923663985147055</v>
      </c>
      <c r="G751" s="122">
        <v>1.0707940143061185</v>
      </c>
      <c r="H751" s="163">
        <v>1</v>
      </c>
      <c r="I751" s="12">
        <v>3.1222069191515323E-2</v>
      </c>
      <c r="J751" s="115">
        <v>4.0246245311447597E-2</v>
      </c>
      <c r="K751" s="115">
        <v>5.8506973081288525E-3</v>
      </c>
      <c r="L751" s="115">
        <v>3.3561509481626763E-2</v>
      </c>
      <c r="P751" s="108">
        <v>8.5881900772060718E-2</v>
      </c>
      <c r="Q751" s="108">
        <v>1.7176380154412139</v>
      </c>
      <c r="R751" s="49">
        <v>75549062.057476267</v>
      </c>
    </row>
    <row r="752" spans="1:18" x14ac:dyDescent="0.25">
      <c r="A752">
        <f t="shared" si="14"/>
        <v>740</v>
      </c>
      <c r="B752" s="168">
        <v>0.99396870007648463</v>
      </c>
      <c r="C752" s="122">
        <v>0.89845232955103693</v>
      </c>
      <c r="D752" s="122">
        <v>0.89224510143249136</v>
      </c>
      <c r="E752" s="122">
        <v>1.7174412889496464</v>
      </c>
      <c r="F752" s="122">
        <v>2.8690675859902566</v>
      </c>
      <c r="G752" s="122">
        <v>1.0985028463705113</v>
      </c>
      <c r="H752" s="163">
        <v>1</v>
      </c>
      <c r="I752" s="12">
        <v>2.8743056484736958E-2</v>
      </c>
      <c r="J752" s="115">
        <v>4.3109379147299731E-2</v>
      </c>
      <c r="K752" s="115">
        <v>3.7071918164407404E-3</v>
      </c>
      <c r="L752" s="115">
        <v>1.5138163818986831E-2</v>
      </c>
      <c r="P752" s="108">
        <v>1.1770719734362133E-2</v>
      </c>
      <c r="Q752" s="108">
        <v>0.23541439468724262</v>
      </c>
      <c r="R752" s="49">
        <v>10354531.370150857</v>
      </c>
    </row>
    <row r="753" spans="1:18" x14ac:dyDescent="0.25">
      <c r="A753">
        <f t="shared" si="14"/>
        <v>741</v>
      </c>
      <c r="B753" s="168">
        <v>1.0065123602404205</v>
      </c>
      <c r="C753" s="122">
        <v>0.88564155836253344</v>
      </c>
      <c r="D753" s="122">
        <v>0.89541136015299438</v>
      </c>
      <c r="E753" s="122">
        <v>2.22346954829972</v>
      </c>
      <c r="F753" s="122">
        <v>5.0061402935657062</v>
      </c>
      <c r="G753" s="122">
        <v>1.063876806839203</v>
      </c>
      <c r="H753" s="163">
        <v>1</v>
      </c>
      <c r="I753" s="12">
        <v>3.6274326042771129E-2</v>
      </c>
      <c r="J753" s="115">
        <v>4.9169838058094356E-2</v>
      </c>
      <c r="K753" s="115">
        <v>9.6162379193665895E-3</v>
      </c>
      <c r="L753" s="115">
        <v>2.3809120577672496E-2</v>
      </c>
      <c r="P753" s="108">
        <v>9.6657711223373882E-2</v>
      </c>
      <c r="Q753" s="108">
        <v>1.9331542244674773</v>
      </c>
      <c r="R753" s="49">
        <v>85028386.166365892</v>
      </c>
    </row>
    <row r="754" spans="1:18" x14ac:dyDescent="0.25">
      <c r="A754">
        <f t="shared" si="14"/>
        <v>742</v>
      </c>
      <c r="B754" s="168">
        <v>1.0003415490800693</v>
      </c>
      <c r="C754" s="122">
        <v>0.8928651185610279</v>
      </c>
      <c r="D754" s="122">
        <v>0.91454564857659459</v>
      </c>
      <c r="E754" s="122">
        <v>0.86827658968162913</v>
      </c>
      <c r="F754" s="122">
        <v>3.1091247471915491</v>
      </c>
      <c r="G754" s="122">
        <v>1.0908263700618317</v>
      </c>
      <c r="H754" s="163">
        <v>1</v>
      </c>
      <c r="I754" s="12">
        <v>3.5374931257734561E-2</v>
      </c>
      <c r="J754" s="115">
        <v>5.2404941859000596E-2</v>
      </c>
      <c r="K754" s="115">
        <v>1.4340602200148887E-3</v>
      </c>
      <c r="L754" s="115">
        <v>2.9012949439166599E-2</v>
      </c>
      <c r="P754" s="108">
        <v>6.802164065124576E-2</v>
      </c>
      <c r="Q754" s="108">
        <v>1.360432813024915</v>
      </c>
      <c r="R754" s="49">
        <v>59837650.361880898</v>
      </c>
    </row>
    <row r="755" spans="1:18" x14ac:dyDescent="0.25">
      <c r="A755">
        <f t="shared" si="14"/>
        <v>743</v>
      </c>
      <c r="B755" s="168">
        <v>0.9956361789361875</v>
      </c>
      <c r="C755" s="122">
        <v>0.8741883740380183</v>
      </c>
      <c r="D755" s="122">
        <v>0.90574488360216054</v>
      </c>
      <c r="E755" s="122">
        <v>1.5758856009134821</v>
      </c>
      <c r="F755" s="122">
        <v>2.7329445613174452</v>
      </c>
      <c r="G755" s="122">
        <v>1.1160947949735718</v>
      </c>
      <c r="H755" s="163">
        <v>1</v>
      </c>
      <c r="I755" s="12">
        <v>3.0443174925339305E-2</v>
      </c>
      <c r="J755" s="115">
        <v>3.2449554133493486E-2</v>
      </c>
      <c r="K755" s="115">
        <v>7.9173110648759603E-4</v>
      </c>
      <c r="L755" s="115">
        <v>1.5201143511723783E-2</v>
      </c>
      <c r="P755" s="108">
        <v>-3.3318101667350872E-2</v>
      </c>
      <c r="Q755" s="108">
        <v>-0.66636203334701727</v>
      </c>
      <c r="R755" s="49">
        <v>-29309450.627842646</v>
      </c>
    </row>
    <row r="756" spans="1:18" x14ac:dyDescent="0.25">
      <c r="A756">
        <f t="shared" si="14"/>
        <v>744</v>
      </c>
      <c r="B756" s="168">
        <v>1.0038543986428361</v>
      </c>
      <c r="C756" s="122">
        <v>0.92356764851576723</v>
      </c>
      <c r="D756" s="122">
        <v>0.90107981156177896</v>
      </c>
      <c r="E756" s="122">
        <v>2.0865281033304011</v>
      </c>
      <c r="F756" s="122">
        <v>0.92654072684933197</v>
      </c>
      <c r="G756" s="122">
        <v>1.1073062241696598</v>
      </c>
      <c r="H756" s="163">
        <v>1</v>
      </c>
      <c r="I756" s="12">
        <v>2.938435794006421E-2</v>
      </c>
      <c r="J756" s="115">
        <v>2.8955242814937734E-2</v>
      </c>
      <c r="K756" s="115">
        <v>1.4150539460836196E-2</v>
      </c>
      <c r="L756" s="115">
        <v>3.5949296576764121E-2</v>
      </c>
      <c r="P756" s="108">
        <v>-8.4165485351427261E-2</v>
      </c>
      <c r="Q756" s="108">
        <v>-1.6833097070285448</v>
      </c>
      <c r="R756" s="49">
        <v>-74039156.315240666</v>
      </c>
    </row>
    <row r="757" spans="1:18" x14ac:dyDescent="0.25">
      <c r="A757">
        <f t="shared" si="14"/>
        <v>745</v>
      </c>
      <c r="B757" s="168">
        <v>0.99769142913168063</v>
      </c>
      <c r="C757" s="122">
        <v>0.90388112654755237</v>
      </c>
      <c r="D757" s="122">
        <v>0.91567771854646185</v>
      </c>
      <c r="E757" s="122">
        <v>1.4669641511073921</v>
      </c>
      <c r="F757" s="122">
        <v>3.9270328610888532</v>
      </c>
      <c r="G757" s="122">
        <v>1.0894550643698677</v>
      </c>
      <c r="H757" s="163">
        <v>1</v>
      </c>
      <c r="I757" s="12">
        <v>3.8141326770471461E-2</v>
      </c>
      <c r="J757" s="115">
        <v>5.8107471737905328E-2</v>
      </c>
      <c r="K757" s="115">
        <v>1.1448732285717952E-2</v>
      </c>
      <c r="L757" s="115">
        <v>3.0716366471226615E-2</v>
      </c>
      <c r="P757" s="108">
        <v>0.11462054461614184</v>
      </c>
      <c r="Q757" s="108">
        <v>2.2924108923228363</v>
      </c>
      <c r="R757" s="49">
        <v>100830030.08107322</v>
      </c>
    </row>
    <row r="758" spans="1:18" x14ac:dyDescent="0.25">
      <c r="A758">
        <f t="shared" si="14"/>
        <v>746</v>
      </c>
      <c r="B758" s="168">
        <v>0.99560696138062643</v>
      </c>
      <c r="C758" s="122">
        <v>0.86905866414493416</v>
      </c>
      <c r="D758" s="122">
        <v>0.88880089896835268</v>
      </c>
      <c r="E758" s="122">
        <v>2.139838890370688</v>
      </c>
      <c r="F758" s="122">
        <v>0.77128558499095323</v>
      </c>
      <c r="G758" s="122">
        <v>1.0711411584076476</v>
      </c>
      <c r="H758" s="163">
        <v>1</v>
      </c>
      <c r="I758" s="12">
        <v>1.9915352402945612E-2</v>
      </c>
      <c r="J758" s="115">
        <v>1.957124355505133E-2</v>
      </c>
      <c r="K758" s="115">
        <v>5.3636071182759969E-3</v>
      </c>
      <c r="L758" s="115">
        <v>2.257267626357326E-2</v>
      </c>
      <c r="P758" s="108">
        <v>-0.13367434861271382</v>
      </c>
      <c r="Q758" s="108">
        <v>-2.6734869722542758</v>
      </c>
      <c r="R758" s="49">
        <v>-117591385.00716618</v>
      </c>
    </row>
    <row r="759" spans="1:18" x14ac:dyDescent="0.25">
      <c r="A759">
        <f t="shared" si="14"/>
        <v>747</v>
      </c>
      <c r="B759" s="168">
        <v>1.0072695329301049</v>
      </c>
      <c r="C759" s="122">
        <v>0.86871984138806979</v>
      </c>
      <c r="D759" s="122">
        <v>0.89717070062077497</v>
      </c>
      <c r="E759" s="122">
        <v>1.210399124631985</v>
      </c>
      <c r="F759" s="122">
        <v>7.4095717922478936</v>
      </c>
      <c r="G759" s="122">
        <v>1.1190428160162549</v>
      </c>
      <c r="H759" s="163">
        <v>1</v>
      </c>
      <c r="I759" s="12">
        <v>3.3816985164132903E-2</v>
      </c>
      <c r="J759" s="115">
        <v>6.2768696273089605E-2</v>
      </c>
      <c r="K759" s="115">
        <v>7.7182375739114264E-3</v>
      </c>
      <c r="L759" s="115">
        <v>3.0972560662437566E-2</v>
      </c>
      <c r="P759" s="108">
        <v>0.18324228701255713</v>
      </c>
      <c r="Q759" s="108">
        <v>3.6648457402511418</v>
      </c>
      <c r="R759" s="49">
        <v>161195581.24136496</v>
      </c>
    </row>
    <row r="760" spans="1:18" x14ac:dyDescent="0.25">
      <c r="A760">
        <f t="shared" si="14"/>
        <v>748</v>
      </c>
      <c r="B760" s="168">
        <v>1.000694389650314</v>
      </c>
      <c r="C760" s="122">
        <v>0.87753781465883718</v>
      </c>
      <c r="D760" s="122">
        <v>0.89329185882351636</v>
      </c>
      <c r="E760" s="122">
        <v>3.6085394295142459</v>
      </c>
      <c r="F760" s="122">
        <v>4.5875911813399926</v>
      </c>
      <c r="G760" s="122">
        <v>1.1086566568955751</v>
      </c>
      <c r="H760" s="163">
        <v>1</v>
      </c>
      <c r="I760" s="12">
        <v>3.0069615494658163E-2</v>
      </c>
      <c r="J760" s="115">
        <v>4.4463517603866624E-2</v>
      </c>
      <c r="K760" s="115">
        <v>1.1640192771650463E-2</v>
      </c>
      <c r="L760" s="115">
        <v>3.6847177455989213E-2</v>
      </c>
      <c r="P760" s="108">
        <v>6.5898885063300661E-2</v>
      </c>
      <c r="Q760" s="108">
        <v>1.317977701266013</v>
      </c>
      <c r="R760" s="49">
        <v>57970293.070009068</v>
      </c>
    </row>
    <row r="761" spans="1:18" x14ac:dyDescent="0.25">
      <c r="A761">
        <f t="shared" si="14"/>
        <v>749</v>
      </c>
      <c r="B761" s="168">
        <v>0.99846182974400211</v>
      </c>
      <c r="C761" s="122">
        <v>0.94296471360986533</v>
      </c>
      <c r="D761" s="122">
        <v>0.89828171381830324</v>
      </c>
      <c r="E761" s="122">
        <v>2.6186504858321165</v>
      </c>
      <c r="F761" s="122">
        <v>8.9253180377163641</v>
      </c>
      <c r="G761" s="122">
        <v>1.0724906963070924</v>
      </c>
      <c r="H761" s="163">
        <v>1</v>
      </c>
      <c r="I761" s="12">
        <v>2.5174403365296135E-2</v>
      </c>
      <c r="J761" s="115">
        <v>4.0263699954688759E-2</v>
      </c>
      <c r="K761" s="115">
        <v>1.6221503698342263E-3</v>
      </c>
      <c r="L761" s="115">
        <v>6.1210352640290303E-2</v>
      </c>
      <c r="P761" s="108">
        <v>0.12030884443588928</v>
      </c>
      <c r="Q761" s="108">
        <v>2.4061768887177855</v>
      </c>
      <c r="R761" s="49">
        <v>105833944.90154533</v>
      </c>
    </row>
    <row r="762" spans="1:18" x14ac:dyDescent="0.25">
      <c r="A762">
        <f t="shared" si="14"/>
        <v>750</v>
      </c>
      <c r="B762" s="168">
        <v>0.99880118274895446</v>
      </c>
      <c r="C762" s="122">
        <v>0.85424841392589235</v>
      </c>
      <c r="D762" s="122">
        <v>0.87751661083954557</v>
      </c>
      <c r="E762" s="122">
        <v>0.9164529729751707</v>
      </c>
      <c r="F762" s="122">
        <v>6.4264411176010467</v>
      </c>
      <c r="G762" s="122">
        <v>1.1112146951422217</v>
      </c>
      <c r="H762" s="163">
        <v>1</v>
      </c>
      <c r="I762" s="12">
        <v>1.3612336743416055E-2</v>
      </c>
      <c r="J762" s="115">
        <v>5.6009509656060566E-2</v>
      </c>
      <c r="K762" s="115">
        <v>-1.0336497737712572E-2</v>
      </c>
      <c r="L762" s="115">
        <v>8.5660810832549634E-3</v>
      </c>
      <c r="P762" s="108">
        <v>0.11705573419429612</v>
      </c>
      <c r="Q762" s="108">
        <v>2.3411146838859218</v>
      </c>
      <c r="R762" s="49">
        <v>102972231.02105929</v>
      </c>
    </row>
    <row r="763" spans="1:18" x14ac:dyDescent="0.25">
      <c r="A763">
        <f t="shared" si="14"/>
        <v>751</v>
      </c>
      <c r="B763" s="168">
        <v>0.98779698805310834</v>
      </c>
      <c r="C763" s="122">
        <v>0.89936131000978015</v>
      </c>
      <c r="D763" s="122">
        <v>0.89559390210456369</v>
      </c>
      <c r="E763" s="122">
        <v>1.2991209538378834</v>
      </c>
      <c r="F763" s="122">
        <v>2.4107407927216018</v>
      </c>
      <c r="G763" s="122">
        <v>1.0790241109510232</v>
      </c>
      <c r="H763" s="163">
        <v>1</v>
      </c>
      <c r="I763" s="12">
        <v>4.7097045487530777E-2</v>
      </c>
      <c r="J763" s="115">
        <v>3.22439235373672E-3</v>
      </c>
      <c r="K763" s="115">
        <v>1.41656845965734E-2</v>
      </c>
      <c r="L763" s="115">
        <v>5.5643050439839296E-3</v>
      </c>
      <c r="P763" s="108">
        <v>-0.13179068501424487</v>
      </c>
      <c r="Q763" s="108">
        <v>-2.6358137002848969</v>
      </c>
      <c r="R763" s="49">
        <v>-115934353.46947537</v>
      </c>
    </row>
    <row r="764" spans="1:18" x14ac:dyDescent="0.25">
      <c r="A764">
        <f t="shared" si="14"/>
        <v>752</v>
      </c>
      <c r="B764" s="168">
        <v>0.98385771009063172</v>
      </c>
      <c r="C764" s="122">
        <v>0.90160702534890058</v>
      </c>
      <c r="D764" s="122">
        <v>0.89115666402018379</v>
      </c>
      <c r="E764" s="122">
        <v>1.2363528213419315</v>
      </c>
      <c r="F764" s="122">
        <v>6.1996628369065716</v>
      </c>
      <c r="G764" s="122">
        <v>1.0793146374763927</v>
      </c>
      <c r="H764" s="163">
        <v>1</v>
      </c>
      <c r="I764" s="12">
        <v>4.7305235037023267E-3</v>
      </c>
      <c r="J764" s="115">
        <v>5.2839955954443393E-3</v>
      </c>
      <c r="K764" s="115">
        <v>2.0845815438358367E-2</v>
      </c>
      <c r="L764" s="115">
        <v>1.3711843351447123E-2</v>
      </c>
      <c r="P764" s="108">
        <v>-6.3111624265955443E-2</v>
      </c>
      <c r="Q764" s="108">
        <v>-1.2622324853191087</v>
      </c>
      <c r="R764" s="49">
        <v>-55518380.186666071</v>
      </c>
    </row>
    <row r="765" spans="1:18" x14ac:dyDescent="0.25">
      <c r="A765">
        <f t="shared" si="14"/>
        <v>753</v>
      </c>
      <c r="B765" s="168">
        <v>1.0039988756521876</v>
      </c>
      <c r="C765" s="122">
        <v>0.92573538392174082</v>
      </c>
      <c r="D765" s="122">
        <v>0.9073162298419013</v>
      </c>
      <c r="E765" s="122">
        <v>2.0210020601412477</v>
      </c>
      <c r="F765" s="122">
        <v>2.7405012710090317</v>
      </c>
      <c r="G765" s="122">
        <v>1.122985220292597</v>
      </c>
      <c r="H765" s="163">
        <v>1</v>
      </c>
      <c r="I765" s="12">
        <v>3.909254515994294E-2</v>
      </c>
      <c r="J765" s="115">
        <v>4.5401678911843393E-2</v>
      </c>
      <c r="K765" s="115">
        <v>8.1022362014778436E-3</v>
      </c>
      <c r="L765" s="115">
        <v>2.6849677300942464E-2</v>
      </c>
      <c r="P765" s="108">
        <v>3.1142520424470851E-2</v>
      </c>
      <c r="Q765" s="108">
        <v>0.62285040848941686</v>
      </c>
      <c r="R765" s="49">
        <v>27395623.373766605</v>
      </c>
    </row>
    <row r="766" spans="1:18" x14ac:dyDescent="0.25">
      <c r="A766">
        <f t="shared" si="14"/>
        <v>754</v>
      </c>
      <c r="B766" s="168">
        <v>0.98635168908713033</v>
      </c>
      <c r="C766" s="122">
        <v>0.89279016398932343</v>
      </c>
      <c r="D766" s="122">
        <v>0.91005544916667236</v>
      </c>
      <c r="E766" s="122">
        <v>2.6040230454036557</v>
      </c>
      <c r="F766" s="122">
        <v>6.0836528728769386</v>
      </c>
      <c r="G766" s="122">
        <v>1.1148360333402407</v>
      </c>
      <c r="H766" s="163">
        <v>1</v>
      </c>
      <c r="I766" s="12">
        <v>1.1941396909955763E-2</v>
      </c>
      <c r="J766" s="115">
        <v>3.5479222316057067E-2</v>
      </c>
      <c r="K766" s="115">
        <v>3.1038953968988104E-3</v>
      </c>
      <c r="L766" s="115">
        <v>1.69581286121149E-2</v>
      </c>
      <c r="P766" s="108">
        <v>2.4858920208795467E-2</v>
      </c>
      <c r="Q766" s="108">
        <v>0.49717840417590925</v>
      </c>
      <c r="R766" s="49">
        <v>21868031.432149164</v>
      </c>
    </row>
    <row r="767" spans="1:18" x14ac:dyDescent="0.25">
      <c r="A767">
        <f t="shared" si="14"/>
        <v>755</v>
      </c>
      <c r="B767" s="168">
        <v>1.0096906394444345</v>
      </c>
      <c r="C767" s="122">
        <v>0.8837281797592067</v>
      </c>
      <c r="D767" s="122">
        <v>0.88202010110653484</v>
      </c>
      <c r="E767" s="122">
        <v>2.9786809758399908</v>
      </c>
      <c r="F767" s="122">
        <v>4.5127540572404703</v>
      </c>
      <c r="G767" s="122">
        <v>1.0555498357470157</v>
      </c>
      <c r="H767" s="163">
        <v>1</v>
      </c>
      <c r="I767" s="12">
        <v>2.9352082158581358E-2</v>
      </c>
      <c r="J767" s="115">
        <v>4.6510069151764456E-2</v>
      </c>
      <c r="K767" s="115">
        <v>1.3246240550742562E-2</v>
      </c>
      <c r="L767" s="115">
        <v>1.0438630824047347E-2</v>
      </c>
      <c r="P767" s="108">
        <v>6.3095090199360326E-2</v>
      </c>
      <c r="Q767" s="108">
        <v>1.2619018039872063</v>
      </c>
      <c r="R767" s="49">
        <v>55503835.408173382</v>
      </c>
    </row>
    <row r="768" spans="1:18" x14ac:dyDescent="0.25">
      <c r="A768">
        <f t="shared" si="14"/>
        <v>756</v>
      </c>
      <c r="B768" s="168">
        <v>1.0091545099105845</v>
      </c>
      <c r="C768" s="122">
        <v>0.84664291371096623</v>
      </c>
      <c r="D768" s="122">
        <v>0.88596449492279372</v>
      </c>
      <c r="E768" s="122">
        <v>2.0267818660746904</v>
      </c>
      <c r="F768" s="122">
        <v>6.6871818915423651</v>
      </c>
      <c r="G768" s="122">
        <v>1.0939473606557031</v>
      </c>
      <c r="H768" s="163">
        <v>1</v>
      </c>
      <c r="I768" s="12">
        <v>2.5925988099406466E-2</v>
      </c>
      <c r="J768" s="115">
        <v>2.5204981332428766E-2</v>
      </c>
      <c r="K768" s="115">
        <v>4.316792524119718E-3</v>
      </c>
      <c r="L768" s="115">
        <v>2.3122962147890724E-2</v>
      </c>
      <c r="P768" s="108">
        <v>2.1898405229271854E-2</v>
      </c>
      <c r="Q768" s="108">
        <v>0.437968104585437</v>
      </c>
      <c r="R768" s="49">
        <v>19263709.358470969</v>
      </c>
    </row>
    <row r="769" spans="1:18" x14ac:dyDescent="0.25">
      <c r="A769">
        <f t="shared" si="14"/>
        <v>757</v>
      </c>
      <c r="B769" s="168">
        <v>1.0075217643520475</v>
      </c>
      <c r="C769" s="122">
        <v>0.9232595320563961</v>
      </c>
      <c r="D769" s="122">
        <v>0.89744151863383814</v>
      </c>
      <c r="E769" s="122">
        <v>1.9588993790378961</v>
      </c>
      <c r="F769" s="122">
        <v>5.6882352274298382</v>
      </c>
      <c r="G769" s="122">
        <v>1.1189022801203312</v>
      </c>
      <c r="H769" s="163">
        <v>1</v>
      </c>
      <c r="I769" s="12">
        <v>2.7531356606467619E-2</v>
      </c>
      <c r="J769" s="115">
        <v>3.9729955424494749E-2</v>
      </c>
      <c r="K769" s="115">
        <v>3.0332196222408779E-3</v>
      </c>
      <c r="L769" s="115">
        <v>5.1374148185978949E-2</v>
      </c>
      <c r="P769" s="108">
        <v>7.8794704149885444E-2</v>
      </c>
      <c r="Q769" s="108">
        <v>1.5758940829977086</v>
      </c>
      <c r="R769" s="49">
        <v>69314558.016358882</v>
      </c>
    </row>
    <row r="770" spans="1:18" x14ac:dyDescent="0.25">
      <c r="A770">
        <f t="shared" si="14"/>
        <v>758</v>
      </c>
      <c r="B770" s="168">
        <v>1.0280522025474823</v>
      </c>
      <c r="C770" s="122">
        <v>0.91841106354120383</v>
      </c>
      <c r="D770" s="122">
        <v>0.91193364329035687</v>
      </c>
      <c r="E770" s="122">
        <v>2.8849819106535239</v>
      </c>
      <c r="F770" s="122">
        <v>9.6781189924806625</v>
      </c>
      <c r="G770" s="122">
        <v>1.0866184219824053</v>
      </c>
      <c r="H770" s="163">
        <v>1</v>
      </c>
      <c r="I770" s="12">
        <v>1.9703022967046083E-2</v>
      </c>
      <c r="J770" s="115">
        <v>5.1484203778973205E-2</v>
      </c>
      <c r="K770" s="115">
        <v>-5.3124893815215775E-3</v>
      </c>
      <c r="L770" s="115">
        <v>1.3585165935163571E-2</v>
      </c>
      <c r="P770" s="108">
        <v>0.11798167833838907</v>
      </c>
      <c r="Q770" s="108">
        <v>2.3596335667677812</v>
      </c>
      <c r="R770" s="49">
        <v>103786770.65018909</v>
      </c>
    </row>
    <row r="771" spans="1:18" x14ac:dyDescent="0.25">
      <c r="A771">
        <f t="shared" si="14"/>
        <v>759</v>
      </c>
      <c r="B771" s="168">
        <v>0.99942340873115931</v>
      </c>
      <c r="C771" s="122">
        <v>0.89356428901985063</v>
      </c>
      <c r="D771" s="122">
        <v>0.8965350475845878</v>
      </c>
      <c r="E771" s="122">
        <v>2.1924054928405394</v>
      </c>
      <c r="F771" s="122">
        <v>2.2860325142546905</v>
      </c>
      <c r="G771" s="122">
        <v>1.1008254232273498</v>
      </c>
      <c r="H771" s="163">
        <v>1</v>
      </c>
      <c r="I771" s="12">
        <v>3.3966005084266782E-2</v>
      </c>
      <c r="J771" s="115">
        <v>9.2056705567425678E-3</v>
      </c>
      <c r="K771" s="115">
        <v>7.2519259022498315E-3</v>
      </c>
      <c r="L771" s="115">
        <v>2.8203078146967049E-2</v>
      </c>
      <c r="P771" s="108">
        <v>-0.10606277807261519</v>
      </c>
      <c r="Q771" s="108">
        <v>-2.1212555614523034</v>
      </c>
      <c r="R771" s="49">
        <v>-93301887.016491473</v>
      </c>
    </row>
    <row r="772" spans="1:18" x14ac:dyDescent="0.25">
      <c r="A772">
        <f t="shared" si="14"/>
        <v>760</v>
      </c>
      <c r="B772" s="168">
        <v>1.0094397933072004</v>
      </c>
      <c r="C772" s="122">
        <v>0.89063941580506756</v>
      </c>
      <c r="D772" s="122">
        <v>0.90933247627451785</v>
      </c>
      <c r="E772" s="122">
        <v>2.381017339001962</v>
      </c>
      <c r="F772" s="122">
        <v>2.3272760376136028</v>
      </c>
      <c r="G772" s="122">
        <v>1.0953423902780972</v>
      </c>
      <c r="H772" s="163">
        <v>1</v>
      </c>
      <c r="I772" s="12">
        <v>3.9563318917516584E-2</v>
      </c>
      <c r="J772" s="115">
        <v>7.1832257439687963E-2</v>
      </c>
      <c r="K772" s="115">
        <v>1.1948910223622308E-2</v>
      </c>
      <c r="L772" s="115">
        <v>1.8075326486438777E-2</v>
      </c>
      <c r="P772" s="108">
        <v>0.11319608289834988</v>
      </c>
      <c r="Q772" s="108">
        <v>2.2639216579669972</v>
      </c>
      <c r="R772" s="49">
        <v>99576951.775300875</v>
      </c>
    </row>
    <row r="773" spans="1:18" x14ac:dyDescent="0.25">
      <c r="A773">
        <f t="shared" si="14"/>
        <v>761</v>
      </c>
      <c r="B773" s="168">
        <v>1.0111240021253989</v>
      </c>
      <c r="C773" s="122">
        <v>0.90755933649675624</v>
      </c>
      <c r="D773" s="122">
        <v>0.91207143490482012</v>
      </c>
      <c r="E773" s="122">
        <v>1.8188481205984099</v>
      </c>
      <c r="F773" s="122">
        <v>2.7948808009579884</v>
      </c>
      <c r="G773" s="122">
        <v>1.1266248409688584</v>
      </c>
      <c r="H773" s="163">
        <v>1</v>
      </c>
      <c r="I773" s="12">
        <v>3.7589096089698883E-2</v>
      </c>
      <c r="J773" s="115">
        <v>6.4567218327761675E-2</v>
      </c>
      <c r="K773" s="115">
        <v>-1.8948774885652183E-3</v>
      </c>
      <c r="L773" s="115">
        <v>4.0915676994672384E-2</v>
      </c>
      <c r="P773" s="108">
        <v>0.10320779749212715</v>
      </c>
      <c r="Q773" s="108">
        <v>2.0641559498425428</v>
      </c>
      <c r="R773" s="49">
        <v>90790402.022457093</v>
      </c>
    </row>
    <row r="774" spans="1:18" x14ac:dyDescent="0.25">
      <c r="A774">
        <f t="shared" si="14"/>
        <v>762</v>
      </c>
      <c r="B774" s="168">
        <v>1.0071916873616251</v>
      </c>
      <c r="C774" s="122">
        <v>0.89528363336278061</v>
      </c>
      <c r="D774" s="122">
        <v>0.88342870178550548</v>
      </c>
      <c r="E774" s="122">
        <v>1.9388640601374201</v>
      </c>
      <c r="F774" s="122">
        <v>3.7262515204563273</v>
      </c>
      <c r="G774" s="122">
        <v>1.0768044256064619</v>
      </c>
      <c r="H774" s="163">
        <v>1</v>
      </c>
      <c r="I774" s="12">
        <v>2.7417565034966479E-2</v>
      </c>
      <c r="J774" s="115">
        <v>5.1738983684581817E-2</v>
      </c>
      <c r="K774" s="115">
        <v>-1.0388167341660225E-2</v>
      </c>
      <c r="L774" s="115">
        <v>2.9150926448191599E-2</v>
      </c>
      <c r="P774" s="108">
        <v>7.3723959518513876E-2</v>
      </c>
      <c r="Q774" s="108">
        <v>1.4744791903702772</v>
      </c>
      <c r="R774" s="49">
        <v>64853897.535056017</v>
      </c>
    </row>
    <row r="775" spans="1:18" x14ac:dyDescent="0.25">
      <c r="A775">
        <f t="shared" si="14"/>
        <v>763</v>
      </c>
      <c r="B775" s="168">
        <v>1.0013506147508866</v>
      </c>
      <c r="C775" s="122">
        <v>0.88274288894198594</v>
      </c>
      <c r="D775" s="122">
        <v>0.89833242164627625</v>
      </c>
      <c r="E775" s="122">
        <v>2.2920792639610523</v>
      </c>
      <c r="F775" s="122">
        <v>1.5633600893242741</v>
      </c>
      <c r="G775" s="122">
        <v>1.0850048334252909</v>
      </c>
      <c r="H775" s="163">
        <v>1</v>
      </c>
      <c r="I775" s="12">
        <v>4.0156176999104592E-2</v>
      </c>
      <c r="J775" s="115">
        <v>1.8174254994604837E-2</v>
      </c>
      <c r="K775" s="115">
        <v>3.3767700227995811E-4</v>
      </c>
      <c r="L775" s="115">
        <v>2.2806031636735273E-2</v>
      </c>
      <c r="P775" s="108">
        <v>-9.1593887867428281E-2</v>
      </c>
      <c r="Q775" s="108">
        <v>-1.8318777573485652</v>
      </c>
      <c r="R775" s="49">
        <v>-80573814.230635151</v>
      </c>
    </row>
    <row r="776" spans="1:18" x14ac:dyDescent="0.25">
      <c r="A776">
        <f t="shared" si="14"/>
        <v>764</v>
      </c>
      <c r="B776" s="168">
        <v>1.0047951428726689</v>
      </c>
      <c r="C776" s="122">
        <v>0.86873611844519083</v>
      </c>
      <c r="D776" s="122">
        <v>0.89830472010853479</v>
      </c>
      <c r="E776" s="122">
        <v>2.0750413985747396</v>
      </c>
      <c r="F776" s="122">
        <v>5.1729017724833488</v>
      </c>
      <c r="G776" s="122">
        <v>1.1013947491166944</v>
      </c>
      <c r="H776" s="163">
        <v>1</v>
      </c>
      <c r="I776" s="12">
        <v>2.2771369723256708E-2</v>
      </c>
      <c r="J776" s="115">
        <v>2.1945887322718589E-2</v>
      </c>
      <c r="K776" s="115">
        <v>-5.8960209795240011E-3</v>
      </c>
      <c r="L776" s="115">
        <v>7.3747649768356877E-3</v>
      </c>
      <c r="P776" s="108">
        <v>-2.8630610558868244E-2</v>
      </c>
      <c r="Q776" s="108">
        <v>-0.57261221117736483</v>
      </c>
      <c r="R776" s="49">
        <v>-25185932.710039061</v>
      </c>
    </row>
    <row r="777" spans="1:18" x14ac:dyDescent="0.25">
      <c r="A777">
        <f t="shared" si="14"/>
        <v>765</v>
      </c>
      <c r="B777" s="168">
        <v>0.99285277709838182</v>
      </c>
      <c r="C777" s="122">
        <v>0.91537948513877698</v>
      </c>
      <c r="D777" s="122">
        <v>0.89964378508215137</v>
      </c>
      <c r="E777" s="122">
        <v>3.7983893911433224</v>
      </c>
      <c r="F777" s="122">
        <v>7.5635965262954352</v>
      </c>
      <c r="G777" s="122">
        <v>1.0979309373291368</v>
      </c>
      <c r="H777" s="163">
        <v>1</v>
      </c>
      <c r="I777" s="12">
        <v>1.376587117018185E-2</v>
      </c>
      <c r="J777" s="115">
        <v>3.1462134715294604E-2</v>
      </c>
      <c r="K777" s="115">
        <v>6.6832370478484889E-3</v>
      </c>
      <c r="L777" s="115">
        <v>-5.1165426233548625E-3</v>
      </c>
      <c r="P777" s="108">
        <v>6.0060929863966729E-3</v>
      </c>
      <c r="Q777" s="108">
        <v>0.12012185972793345</v>
      </c>
      <c r="R777" s="49">
        <v>5283472.8583449349</v>
      </c>
    </row>
    <row r="778" spans="1:18" x14ac:dyDescent="0.25">
      <c r="A778">
        <f t="shared" si="14"/>
        <v>766</v>
      </c>
      <c r="B778" s="168">
        <v>1.0003212501624739</v>
      </c>
      <c r="C778" s="122">
        <v>0.88323992395276407</v>
      </c>
      <c r="D778" s="122">
        <v>0.91700808645282705</v>
      </c>
      <c r="E778" s="122">
        <v>2.3079583348247876</v>
      </c>
      <c r="F778" s="122">
        <v>2.2145043038995857</v>
      </c>
      <c r="G778" s="122">
        <v>1.1471290766533933</v>
      </c>
      <c r="H778" s="163">
        <v>1</v>
      </c>
      <c r="I778" s="12">
        <v>4.1889073304208879E-2</v>
      </c>
      <c r="J778" s="115">
        <v>1.1559290646601453E-2</v>
      </c>
      <c r="K778" s="115">
        <v>1.0575068317257979E-2</v>
      </c>
      <c r="L778" s="115">
        <v>8.3187746844238086E-3</v>
      </c>
      <c r="P778" s="108">
        <v>-0.11599364765035682</v>
      </c>
      <c r="Q778" s="108">
        <v>-2.319872953007136</v>
      </c>
      <c r="R778" s="49">
        <v>-102037928.8980608</v>
      </c>
    </row>
    <row r="779" spans="1:18" x14ac:dyDescent="0.25">
      <c r="A779">
        <f t="shared" si="14"/>
        <v>767</v>
      </c>
      <c r="B779" s="168">
        <v>1.0015798173938257</v>
      </c>
      <c r="C779" s="122">
        <v>0.88786576115772109</v>
      </c>
      <c r="D779" s="122">
        <v>0.89170552325476937</v>
      </c>
      <c r="E779" s="122">
        <v>2.8294842489753611</v>
      </c>
      <c r="F779" s="122">
        <v>4.1403332916189992</v>
      </c>
      <c r="G779" s="122">
        <v>1.1024970720406737</v>
      </c>
      <c r="H779" s="163">
        <v>1</v>
      </c>
      <c r="I779" s="12">
        <v>3.2424530089017189E-2</v>
      </c>
      <c r="J779" s="115">
        <v>1.6143238155598046E-2</v>
      </c>
      <c r="K779" s="115">
        <v>7.4623451513968764E-3</v>
      </c>
      <c r="L779" s="115">
        <v>-1.2646209380388459E-2</v>
      </c>
      <c r="P779" s="108">
        <v>-7.3087112102134949E-2</v>
      </c>
      <c r="Q779" s="108">
        <v>-1.4617422420426989</v>
      </c>
      <c r="R779" s="49">
        <v>-64293672.102821447</v>
      </c>
    </row>
    <row r="780" spans="1:18" x14ac:dyDescent="0.25">
      <c r="A780">
        <f t="shared" si="14"/>
        <v>768</v>
      </c>
      <c r="B780" s="168">
        <v>1.002587068802951</v>
      </c>
      <c r="C780" s="122">
        <v>0.88856850865694104</v>
      </c>
      <c r="D780" s="122">
        <v>0.88515173674600689</v>
      </c>
      <c r="E780" s="122">
        <v>2.2441579215524765</v>
      </c>
      <c r="F780" s="122">
        <v>5.8950906371371401</v>
      </c>
      <c r="G780" s="122">
        <v>1.1458657004980204</v>
      </c>
      <c r="H780" s="163">
        <v>1</v>
      </c>
      <c r="I780" s="12">
        <v>2.4366834916070453E-2</v>
      </c>
      <c r="J780" s="115">
        <v>1.3089459039711135E-2</v>
      </c>
      <c r="K780" s="115">
        <v>2.1175456314853066E-2</v>
      </c>
      <c r="L780" s="115">
        <v>-2.957652313155857E-3</v>
      </c>
      <c r="P780" s="108">
        <v>-5.8893231623747752E-2</v>
      </c>
      <c r="Q780" s="108">
        <v>-1.1778646324749549</v>
      </c>
      <c r="R780" s="49">
        <v>-51807521.38354288</v>
      </c>
    </row>
    <row r="781" spans="1:18" x14ac:dyDescent="0.25">
      <c r="A781">
        <f t="shared" si="14"/>
        <v>769</v>
      </c>
      <c r="B781" s="168">
        <v>1.0116675114170242</v>
      </c>
      <c r="C781" s="122">
        <v>0.91914094962896098</v>
      </c>
      <c r="D781" s="122">
        <v>0.87967900108434716</v>
      </c>
      <c r="E781" s="122">
        <v>3.3902085510988424</v>
      </c>
      <c r="F781" s="122">
        <v>1.1129698033504329</v>
      </c>
      <c r="G781" s="122">
        <v>1.0821877205157344</v>
      </c>
      <c r="H781" s="163">
        <v>1</v>
      </c>
      <c r="I781" s="12">
        <v>2.4964348655749379E-2</v>
      </c>
      <c r="J781" s="115">
        <v>2.9186583628307752E-2</v>
      </c>
      <c r="K781" s="115">
        <v>6.1243418123344429E-3</v>
      </c>
      <c r="L781" s="115">
        <v>4.1831566531049566E-2</v>
      </c>
      <c r="P781" s="108">
        <v>-4.3985064315855263E-2</v>
      </c>
      <c r="Q781" s="108">
        <v>-0.8797012863171052</v>
      </c>
      <c r="R781" s="49">
        <v>-38693022.90386302</v>
      </c>
    </row>
    <row r="782" spans="1:18" x14ac:dyDescent="0.25">
      <c r="A782">
        <f t="shared" si="14"/>
        <v>770</v>
      </c>
      <c r="B782" s="168">
        <v>1.0012753735225244</v>
      </c>
      <c r="C782" s="122">
        <v>0.9208653444143845</v>
      </c>
      <c r="D782" s="122">
        <v>0.91160173943811784</v>
      </c>
      <c r="E782" s="122">
        <v>1.8231862564613506</v>
      </c>
      <c r="F782" s="122">
        <v>3.462273166640581</v>
      </c>
      <c r="G782" s="122">
        <v>1.0582773495711413</v>
      </c>
      <c r="H782" s="163">
        <v>1</v>
      </c>
      <c r="I782" s="12">
        <v>2.1814334765672405E-2</v>
      </c>
      <c r="J782" s="115">
        <v>2.4471764359685361E-2</v>
      </c>
      <c r="K782" s="115">
        <v>1.4904032762398305E-2</v>
      </c>
      <c r="L782" s="115">
        <v>3.630585633825404E-2</v>
      </c>
      <c r="P782" s="108">
        <v>-1.7662027358624807E-2</v>
      </c>
      <c r="Q782" s="108">
        <v>-0.35324054717249609</v>
      </c>
      <c r="R782" s="49">
        <v>-15537029.210835598</v>
      </c>
    </row>
    <row r="783" spans="1:18" x14ac:dyDescent="0.25">
      <c r="A783">
        <f t="shared" ref="A783:A846" si="15">A782+1</f>
        <v>771</v>
      </c>
      <c r="B783" s="168">
        <v>1.0036489078998279</v>
      </c>
      <c r="C783" s="122">
        <v>0.8998396855880394</v>
      </c>
      <c r="D783" s="122">
        <v>0.90144949268935759</v>
      </c>
      <c r="E783" s="122">
        <v>2.1202807217083151</v>
      </c>
      <c r="F783" s="122">
        <v>6.9321264132770448</v>
      </c>
      <c r="G783" s="122">
        <v>1.1262073461027162</v>
      </c>
      <c r="H783" s="163">
        <v>1</v>
      </c>
      <c r="I783" s="12">
        <v>2.3232680625070168E-2</v>
      </c>
      <c r="J783" s="115">
        <v>4.5913329424802744E-2</v>
      </c>
      <c r="K783" s="115">
        <v>1.5941956646099407E-2</v>
      </c>
      <c r="L783" s="115">
        <v>2.916288422539548E-2</v>
      </c>
      <c r="P783" s="108">
        <v>9.5802369368309187E-2</v>
      </c>
      <c r="Q783" s="108">
        <v>1.9160473873661834</v>
      </c>
      <c r="R783" s="49">
        <v>84275954.346532881</v>
      </c>
    </row>
    <row r="784" spans="1:18" x14ac:dyDescent="0.25">
      <c r="A784">
        <f t="shared" si="15"/>
        <v>772</v>
      </c>
      <c r="B784" s="168">
        <v>0.99968655590401767</v>
      </c>
      <c r="C784" s="122">
        <v>0.91073335291406499</v>
      </c>
      <c r="D784" s="122">
        <v>0.88821803365006247</v>
      </c>
      <c r="E784" s="122">
        <v>1.7650275360073739</v>
      </c>
      <c r="F784" s="122">
        <v>1.9310555790371713</v>
      </c>
      <c r="G784" s="122">
        <v>1.10095274033408</v>
      </c>
      <c r="H784" s="163">
        <v>1</v>
      </c>
      <c r="I784" s="12">
        <v>2.6592171480273735E-2</v>
      </c>
      <c r="J784" s="115">
        <v>2.5250706688917445E-2</v>
      </c>
      <c r="K784" s="115">
        <v>-9.3248355403437871E-4</v>
      </c>
      <c r="L784" s="115">
        <v>4.8869595899379576E-3</v>
      </c>
      <c r="P784" s="108">
        <v>-9.2134530189140862E-2</v>
      </c>
      <c r="Q784" s="108">
        <v>-1.842690603782817</v>
      </c>
      <c r="R784" s="49">
        <v>-81049409.436921626</v>
      </c>
    </row>
    <row r="785" spans="1:18" x14ac:dyDescent="0.25">
      <c r="A785">
        <f t="shared" si="15"/>
        <v>773</v>
      </c>
      <c r="B785" s="168">
        <v>1.001097495809196</v>
      </c>
      <c r="C785" s="122">
        <v>0.86021103703082891</v>
      </c>
      <c r="D785" s="122">
        <v>0.89523994014105901</v>
      </c>
      <c r="E785" s="122">
        <v>3.2441670420570317</v>
      </c>
      <c r="F785" s="122">
        <v>4.2020958685957464</v>
      </c>
      <c r="G785" s="122">
        <v>1.0773480940280038</v>
      </c>
      <c r="H785" s="163">
        <v>1</v>
      </c>
      <c r="I785" s="12">
        <v>2.98197319963119E-2</v>
      </c>
      <c r="J785" s="115">
        <v>3.1926020809946637E-2</v>
      </c>
      <c r="K785" s="115">
        <v>5.6743983995939471E-3</v>
      </c>
      <c r="L785" s="115">
        <v>4.0245147976497489E-2</v>
      </c>
      <c r="P785" s="108">
        <v>2.4257365879787815E-2</v>
      </c>
      <c r="Q785" s="108">
        <v>0.48514731759575624</v>
      </c>
      <c r="R785" s="49">
        <v>21338852.816811308</v>
      </c>
    </row>
    <row r="786" spans="1:18" x14ac:dyDescent="0.25">
      <c r="A786">
        <f t="shared" si="15"/>
        <v>774</v>
      </c>
      <c r="B786" s="168">
        <v>1.0079252921008461</v>
      </c>
      <c r="C786" s="122">
        <v>0.89064135452600346</v>
      </c>
      <c r="D786" s="122">
        <v>0.90480041088970142</v>
      </c>
      <c r="E786" s="122">
        <v>2.3613516856559502</v>
      </c>
      <c r="F786" s="122">
        <v>5.8415385928125509</v>
      </c>
      <c r="G786" s="122">
        <v>1.0815558320170542</v>
      </c>
      <c r="H786" s="163">
        <v>1</v>
      </c>
      <c r="I786" s="12">
        <v>3.2765969589796114E-2</v>
      </c>
      <c r="J786" s="115">
        <v>2.7385736632393728E-2</v>
      </c>
      <c r="K786" s="115">
        <v>1.1630374822860123E-2</v>
      </c>
      <c r="L786" s="115">
        <v>4.5544344344959797E-2</v>
      </c>
      <c r="P786" s="108">
        <v>4.1971068659863643E-2</v>
      </c>
      <c r="Q786" s="108">
        <v>0.83942137319727272</v>
      </c>
      <c r="R786" s="49">
        <v>36921340.146143936</v>
      </c>
    </row>
    <row r="787" spans="1:18" x14ac:dyDescent="0.25">
      <c r="A787">
        <f t="shared" si="15"/>
        <v>775</v>
      </c>
      <c r="B787" s="168">
        <v>0.99518003861725091</v>
      </c>
      <c r="C787" s="122">
        <v>0.86728769906938763</v>
      </c>
      <c r="D787" s="122">
        <v>0.89987744801421876</v>
      </c>
      <c r="E787" s="122">
        <v>2.8713236277560936</v>
      </c>
      <c r="F787" s="122">
        <v>2.3324484162212342</v>
      </c>
      <c r="G787" s="122">
        <v>1.0976271482582394</v>
      </c>
      <c r="H787" s="163">
        <v>1</v>
      </c>
      <c r="I787" s="12">
        <v>1.2627972124732881E-2</v>
      </c>
      <c r="J787" s="115">
        <v>3.0956875734577304E-2</v>
      </c>
      <c r="K787" s="115">
        <v>-1.0113612556486257E-2</v>
      </c>
      <c r="L787" s="115">
        <v>1.8841381348701332E-2</v>
      </c>
      <c r="P787" s="108">
        <v>-5.1158446298754816E-2</v>
      </c>
      <c r="Q787" s="108">
        <v>-1.0231689259750962</v>
      </c>
      <c r="R787" s="49">
        <v>-45003342.956354976</v>
      </c>
    </row>
    <row r="788" spans="1:18" x14ac:dyDescent="0.25">
      <c r="A788">
        <f t="shared" si="15"/>
        <v>776</v>
      </c>
      <c r="B788" s="168">
        <v>1.0119634225735501</v>
      </c>
      <c r="C788" s="122">
        <v>0.95777665971904924</v>
      </c>
      <c r="D788" s="122">
        <v>0.91493277602089729</v>
      </c>
      <c r="E788" s="122">
        <v>1.6883491132231814</v>
      </c>
      <c r="F788" s="122">
        <v>3.9546170028816694</v>
      </c>
      <c r="G788" s="122">
        <v>1.0341995171395519</v>
      </c>
      <c r="H788" s="163">
        <v>1</v>
      </c>
      <c r="I788" s="12">
        <v>2.2584409814221728E-2</v>
      </c>
      <c r="J788" s="115">
        <v>2.8392391899075282E-2</v>
      </c>
      <c r="K788" s="115">
        <v>6.0805793554290864E-3</v>
      </c>
      <c r="L788" s="115">
        <v>1.2498034679807445E-2</v>
      </c>
      <c r="P788" s="108">
        <v>-6.8516359121854071E-3</v>
      </c>
      <c r="Q788" s="108">
        <v>-0.13703271824370811</v>
      </c>
      <c r="R788" s="49">
        <v>-6027284.7022655411</v>
      </c>
    </row>
    <row r="789" spans="1:18" x14ac:dyDescent="0.25">
      <c r="A789">
        <f t="shared" si="15"/>
        <v>777</v>
      </c>
      <c r="B789" s="168">
        <v>1.0002647680683552</v>
      </c>
      <c r="C789" s="122">
        <v>0.87655272700186515</v>
      </c>
      <c r="D789" s="122">
        <v>0.91128369805736986</v>
      </c>
      <c r="E789" s="122">
        <v>0.93464667765604759</v>
      </c>
      <c r="F789" s="122">
        <v>3.1716032416550766</v>
      </c>
      <c r="G789" s="122">
        <v>1.0714203477099096</v>
      </c>
      <c r="H789" s="163">
        <v>1</v>
      </c>
      <c r="I789" s="12">
        <v>1.4437349135251533E-2</v>
      </c>
      <c r="J789" s="115">
        <v>5.0426372560716616E-2</v>
      </c>
      <c r="K789" s="115">
        <v>1.5900661903474902E-2</v>
      </c>
      <c r="L789" s="115">
        <v>3.4910565932037188E-2</v>
      </c>
      <c r="P789" s="108">
        <v>5.6284695518419907E-2</v>
      </c>
      <c r="Q789" s="108">
        <v>1.1256939103683981</v>
      </c>
      <c r="R789" s="49">
        <v>49512830.018669255</v>
      </c>
    </row>
    <row r="790" spans="1:18" x14ac:dyDescent="0.25">
      <c r="A790">
        <f t="shared" si="15"/>
        <v>778</v>
      </c>
      <c r="B790" s="168">
        <v>0.98675876425911713</v>
      </c>
      <c r="C790" s="122">
        <v>0.89033311222937928</v>
      </c>
      <c r="D790" s="122">
        <v>0.90514275005826828</v>
      </c>
      <c r="E790" s="122">
        <v>1.5387043256880175</v>
      </c>
      <c r="F790" s="122">
        <v>1.8305579359056923</v>
      </c>
      <c r="G790" s="122">
        <v>1.1074488987051845</v>
      </c>
      <c r="H790" s="163">
        <v>1</v>
      </c>
      <c r="I790" s="12">
        <v>3.1565953385797034E-2</v>
      </c>
      <c r="J790" s="115">
        <v>5.1609823973528118E-2</v>
      </c>
      <c r="K790" s="115">
        <v>-1.2026115577633247E-2</v>
      </c>
      <c r="L790" s="115">
        <v>1.8601079127893733E-2</v>
      </c>
      <c r="P790" s="108">
        <v>1.4060599962525053E-3</v>
      </c>
      <c r="Q790" s="108">
        <v>2.8121199925050099E-2</v>
      </c>
      <c r="R790" s="49">
        <v>1236890.5783228017</v>
      </c>
    </row>
    <row r="791" spans="1:18" x14ac:dyDescent="0.25">
      <c r="A791">
        <f t="shared" si="15"/>
        <v>779</v>
      </c>
      <c r="B791" s="168">
        <v>1.0122760968171458</v>
      </c>
      <c r="C791" s="122">
        <v>0.91667369982551272</v>
      </c>
      <c r="D791" s="122">
        <v>0.87507779182169176</v>
      </c>
      <c r="E791" s="122">
        <v>3.442295984104077</v>
      </c>
      <c r="F791" s="122">
        <v>8.9630669133188725</v>
      </c>
      <c r="G791" s="122">
        <v>1.0819107222703781</v>
      </c>
      <c r="H791" s="163">
        <v>1</v>
      </c>
      <c r="I791" s="12">
        <v>3.3386180459867069E-2</v>
      </c>
      <c r="J791" s="115">
        <v>8.7355595941707623E-2</v>
      </c>
      <c r="K791" s="115">
        <v>4.3245005503480495E-3</v>
      </c>
      <c r="L791" s="115">
        <v>2.1897831047073265E-2</v>
      </c>
      <c r="P791" s="108">
        <v>0.25082847348635784</v>
      </c>
      <c r="Q791" s="108">
        <v>5.0165694697271555</v>
      </c>
      <c r="R791" s="49">
        <v>220650168.88130754</v>
      </c>
    </row>
    <row r="792" spans="1:18" x14ac:dyDescent="0.25">
      <c r="A792">
        <f t="shared" si="15"/>
        <v>780</v>
      </c>
      <c r="B792" s="168">
        <v>0.997491621367814</v>
      </c>
      <c r="C792" s="122">
        <v>0.92431209429557426</v>
      </c>
      <c r="D792" s="122">
        <v>0.88464273375017977</v>
      </c>
      <c r="E792" s="122">
        <v>2.609543084138084</v>
      </c>
      <c r="F792" s="122">
        <v>9.1907246836887744</v>
      </c>
      <c r="G792" s="122">
        <v>1.1234458734108657</v>
      </c>
      <c r="H792" s="163">
        <v>1</v>
      </c>
      <c r="I792" s="12">
        <v>1.9836851965008846E-2</v>
      </c>
      <c r="J792" s="115">
        <v>3.1062127435103656E-2</v>
      </c>
      <c r="K792" s="115">
        <v>-4.0639918340072689E-5</v>
      </c>
      <c r="L792" s="115">
        <v>1.3213355708288655E-2</v>
      </c>
      <c r="P792" s="108">
        <v>4.2275878871980373E-2</v>
      </c>
      <c r="Q792" s="108">
        <v>0.84551757743960732</v>
      </c>
      <c r="R792" s="49">
        <v>37189477.267282873</v>
      </c>
    </row>
    <row r="793" spans="1:18" x14ac:dyDescent="0.25">
      <c r="A793">
        <f t="shared" si="15"/>
        <v>781</v>
      </c>
      <c r="B793" s="168">
        <v>1.0059151042264101</v>
      </c>
      <c r="C793" s="122">
        <v>0.89176957452914363</v>
      </c>
      <c r="D793" s="122">
        <v>0.91318508277485388</v>
      </c>
      <c r="E793" s="122">
        <v>1.4807482635512659</v>
      </c>
      <c r="F793" s="122">
        <v>7.6566179224062036</v>
      </c>
      <c r="G793" s="122">
        <v>1.1081164535625685</v>
      </c>
      <c r="H793" s="163">
        <v>1</v>
      </c>
      <c r="I793" s="12">
        <v>2.6621138055385324E-2</v>
      </c>
      <c r="J793" s="115">
        <v>3.5079839975162071E-2</v>
      </c>
      <c r="K793" s="115">
        <v>-4.6449633853025505E-4</v>
      </c>
      <c r="L793" s="115">
        <v>2.8729838506159483E-3</v>
      </c>
      <c r="P793" s="108">
        <v>5.7798668766940918E-2</v>
      </c>
      <c r="Q793" s="108">
        <v>1.1559733753388182</v>
      </c>
      <c r="R793" s="49">
        <v>50844650.319310322</v>
      </c>
    </row>
    <row r="794" spans="1:18" x14ac:dyDescent="0.25">
      <c r="A794">
        <f t="shared" si="15"/>
        <v>782</v>
      </c>
      <c r="B794" s="168">
        <v>1.0044098128417445</v>
      </c>
      <c r="C794" s="122">
        <v>0.88396822938926911</v>
      </c>
      <c r="D794" s="122">
        <v>0.9147748077060478</v>
      </c>
      <c r="E794" s="122">
        <v>1.1739055173259283</v>
      </c>
      <c r="F794" s="122">
        <v>6.5893068026733781</v>
      </c>
      <c r="G794" s="122">
        <v>1.1150125472694508</v>
      </c>
      <c r="H794" s="163">
        <v>1</v>
      </c>
      <c r="I794" s="12">
        <v>3.1236242822505745E-2</v>
      </c>
      <c r="J794" s="115">
        <v>5.080622600627005E-2</v>
      </c>
      <c r="K794" s="115">
        <v>9.8530606124610058E-3</v>
      </c>
      <c r="L794" s="115">
        <v>3.3426675313702539E-3</v>
      </c>
      <c r="P794" s="108">
        <v>0.11067407793255138</v>
      </c>
      <c r="Q794" s="108">
        <v>2.2134815586510275</v>
      </c>
      <c r="R794" s="49">
        <v>97358380.598399758</v>
      </c>
    </row>
    <row r="795" spans="1:18" x14ac:dyDescent="0.25">
      <c r="A795">
        <f t="shared" si="15"/>
        <v>783</v>
      </c>
      <c r="B795" s="168">
        <v>0.99126697804113328</v>
      </c>
      <c r="C795" s="122">
        <v>0.9395199230920257</v>
      </c>
      <c r="D795" s="122">
        <v>0.90967895485822936</v>
      </c>
      <c r="E795" s="122">
        <v>1.8606995230824572</v>
      </c>
      <c r="F795" s="122">
        <v>6.1795744308965945</v>
      </c>
      <c r="G795" s="122">
        <v>1.0918812401115825</v>
      </c>
      <c r="H795" s="163">
        <v>1</v>
      </c>
      <c r="I795" s="12">
        <v>2.3502221893060088E-2</v>
      </c>
      <c r="J795" s="115">
        <v>4.3382176897324223E-2</v>
      </c>
      <c r="K795" s="115">
        <v>-1.174993002410544E-3</v>
      </c>
      <c r="L795" s="115">
        <v>1.2255929265767386E-2</v>
      </c>
      <c r="P795" s="108">
        <v>7.0589353848710637E-2</v>
      </c>
      <c r="Q795" s="108">
        <v>1.4117870769742125</v>
      </c>
      <c r="R795" s="49">
        <v>62096430.407002829</v>
      </c>
    </row>
    <row r="796" spans="1:18" x14ac:dyDescent="0.25">
      <c r="A796">
        <f t="shared" si="15"/>
        <v>784</v>
      </c>
      <c r="B796" s="168">
        <v>1.0043595406351353</v>
      </c>
      <c r="C796" s="122">
        <v>0.90475530271459181</v>
      </c>
      <c r="D796" s="122">
        <v>0.90707189044786818</v>
      </c>
      <c r="E796" s="122">
        <v>2.8197179678038893</v>
      </c>
      <c r="F796" s="122">
        <v>1.5352345903315259</v>
      </c>
      <c r="G796" s="122">
        <v>1.1222851772789668</v>
      </c>
      <c r="H796" s="163">
        <v>1</v>
      </c>
      <c r="I796" s="12">
        <v>4.8521654414007936E-2</v>
      </c>
      <c r="J796" s="115">
        <v>2.8190021021324115E-2</v>
      </c>
      <c r="K796" s="115">
        <v>5.3727508137607861E-3</v>
      </c>
      <c r="L796" s="115">
        <v>3.0102248307123349E-2</v>
      </c>
      <c r="P796" s="108">
        <v>-4.2897604383111167E-2</v>
      </c>
      <c r="Q796" s="108">
        <v>-0.8579520876622232</v>
      </c>
      <c r="R796" s="49">
        <v>-37736400.178872854</v>
      </c>
    </row>
    <row r="797" spans="1:18" x14ac:dyDescent="0.25">
      <c r="A797">
        <f t="shared" si="15"/>
        <v>785</v>
      </c>
      <c r="B797" s="168">
        <v>0.99629578077424452</v>
      </c>
      <c r="C797" s="122">
        <v>0.91006566011297885</v>
      </c>
      <c r="D797" s="122">
        <v>0.89785967644233811</v>
      </c>
      <c r="E797" s="122">
        <v>1.5342332896789592</v>
      </c>
      <c r="F797" s="122">
        <v>5.7112064360173163</v>
      </c>
      <c r="G797" s="122">
        <v>1.0678964426358259</v>
      </c>
      <c r="H797" s="163">
        <v>1</v>
      </c>
      <c r="I797" s="12">
        <v>2.0682872544081049E-2</v>
      </c>
      <c r="J797" s="115">
        <v>3.645212778407108E-2</v>
      </c>
      <c r="K797" s="115">
        <v>1.5591089489350302E-2</v>
      </c>
      <c r="L797" s="115">
        <v>-3.3138623029321489E-3</v>
      </c>
      <c r="P797" s="108">
        <v>3.6980337239099145E-2</v>
      </c>
      <c r="Q797" s="108">
        <v>0.73960674478198285</v>
      </c>
      <c r="R797" s="49">
        <v>32531066.125308644</v>
      </c>
    </row>
    <row r="798" spans="1:18" x14ac:dyDescent="0.25">
      <c r="A798">
        <f t="shared" si="15"/>
        <v>786</v>
      </c>
      <c r="B798" s="168">
        <v>0.99368188327767026</v>
      </c>
      <c r="C798" s="122">
        <v>0.89798544581447304</v>
      </c>
      <c r="D798" s="122">
        <v>0.90504981446587873</v>
      </c>
      <c r="E798" s="122">
        <v>3.2013743603350004</v>
      </c>
      <c r="F798" s="122">
        <v>6.7552379725768219</v>
      </c>
      <c r="G798" s="122">
        <v>1.1179634490710131</v>
      </c>
      <c r="H798" s="163">
        <v>1</v>
      </c>
      <c r="I798" s="12">
        <v>5.0641856538705336E-2</v>
      </c>
      <c r="J798" s="115">
        <v>2.7223364818944551E-2</v>
      </c>
      <c r="K798" s="115">
        <v>1.5503297764221768E-2</v>
      </c>
      <c r="L798" s="115">
        <v>4.0579252401151331E-2</v>
      </c>
      <c r="P798" s="108">
        <v>5.2245123362285942E-2</v>
      </c>
      <c r="Q798" s="108">
        <v>1.0449024672457186</v>
      </c>
      <c r="R798" s="49">
        <v>45959277.002657041</v>
      </c>
    </row>
    <row r="799" spans="1:18" x14ac:dyDescent="0.25">
      <c r="A799">
        <f t="shared" si="15"/>
        <v>787</v>
      </c>
      <c r="B799" s="168">
        <v>0.99444048638176952</v>
      </c>
      <c r="C799" s="122">
        <v>0.91299768015739546</v>
      </c>
      <c r="D799" s="122">
        <v>0.88667504804360142</v>
      </c>
      <c r="E799" s="122">
        <v>2.9616979800819969</v>
      </c>
      <c r="F799" s="122">
        <v>6.3432679520841688</v>
      </c>
      <c r="G799" s="122">
        <v>1.0642033334928096</v>
      </c>
      <c r="H799" s="163">
        <v>1</v>
      </c>
      <c r="I799" s="12">
        <v>4.3774308887528667E-2</v>
      </c>
      <c r="J799" s="115">
        <v>5.4609235884012459E-2</v>
      </c>
      <c r="K799" s="115">
        <v>1.4808914662919198E-2</v>
      </c>
      <c r="L799" s="115">
        <v>1.770786143822994E-2</v>
      </c>
      <c r="P799" s="108">
        <v>0.13067197336190459</v>
      </c>
      <c r="Q799" s="108">
        <v>2.6134394672380914</v>
      </c>
      <c r="R799" s="49">
        <v>114950239.06018443</v>
      </c>
    </row>
    <row r="800" spans="1:18" x14ac:dyDescent="0.25">
      <c r="A800">
        <f t="shared" si="15"/>
        <v>788</v>
      </c>
      <c r="B800" s="168">
        <v>0.98102384787420249</v>
      </c>
      <c r="C800" s="122">
        <v>0.91106366468196653</v>
      </c>
      <c r="D800" s="122">
        <v>0.90497375797839807</v>
      </c>
      <c r="E800" s="122">
        <v>1.6850887863696142</v>
      </c>
      <c r="F800" s="122">
        <v>5.0596292688843141</v>
      </c>
      <c r="G800" s="122">
        <v>1.0589962152644028</v>
      </c>
      <c r="H800" s="163">
        <v>1</v>
      </c>
      <c r="I800" s="12">
        <v>3.9403946422354126E-2</v>
      </c>
      <c r="J800" s="115">
        <v>5.3577543783990246E-2</v>
      </c>
      <c r="K800" s="115">
        <v>2.1282593685557185E-3</v>
      </c>
      <c r="L800" s="115">
        <v>2.3560538338614243E-2</v>
      </c>
      <c r="P800" s="108">
        <v>0.11926590451436303</v>
      </c>
      <c r="Q800" s="108">
        <v>2.3853180902872602</v>
      </c>
      <c r="R800" s="49">
        <v>104916485.78448725</v>
      </c>
    </row>
    <row r="801" spans="1:18" x14ac:dyDescent="0.25">
      <c r="A801">
        <f t="shared" si="15"/>
        <v>789</v>
      </c>
      <c r="B801" s="168">
        <v>0.9786894091711823</v>
      </c>
      <c r="C801" s="122">
        <v>0.92171418242397773</v>
      </c>
      <c r="D801" s="122">
        <v>0.90930771086401163</v>
      </c>
      <c r="E801" s="122">
        <v>1.9902257986532066</v>
      </c>
      <c r="F801" s="122">
        <v>2.2136506561464091</v>
      </c>
      <c r="G801" s="122">
        <v>1.063475479401137</v>
      </c>
      <c r="H801" s="163">
        <v>1</v>
      </c>
      <c r="I801" s="12">
        <v>2.8753460517504506E-2</v>
      </c>
      <c r="J801" s="115">
        <v>6.0697588345433311E-2</v>
      </c>
      <c r="K801" s="115">
        <v>1.1544813713593075E-2</v>
      </c>
      <c r="L801" s="115">
        <v>1.3107852903041622E-2</v>
      </c>
      <c r="P801" s="108">
        <v>6.2470303415546317E-2</v>
      </c>
      <c r="Q801" s="108">
        <v>1.249406068310926</v>
      </c>
      <c r="R801" s="49">
        <v>54954219.539419681</v>
      </c>
    </row>
    <row r="802" spans="1:18" x14ac:dyDescent="0.25">
      <c r="A802">
        <f t="shared" si="15"/>
        <v>790</v>
      </c>
      <c r="B802" s="168">
        <v>1.000442052790681</v>
      </c>
      <c r="C802" s="122">
        <v>0.95103572227466793</v>
      </c>
      <c r="D802" s="122">
        <v>0.90521031939314711</v>
      </c>
      <c r="E802" s="122">
        <v>1.3505205505035887</v>
      </c>
      <c r="F802" s="122">
        <v>10.11257366400892</v>
      </c>
      <c r="G802" s="122">
        <v>1.0995679321123453</v>
      </c>
      <c r="H802" s="163">
        <v>1</v>
      </c>
      <c r="I802" s="12">
        <v>3.7807217008866183E-2</v>
      </c>
      <c r="J802" s="115">
        <v>3.9530846091808694E-2</v>
      </c>
      <c r="K802" s="115">
        <v>1.3814822176340467E-2</v>
      </c>
      <c r="L802" s="115">
        <v>1.7528834877192721E-2</v>
      </c>
      <c r="P802" s="108">
        <v>0.12267741484279228</v>
      </c>
      <c r="Q802" s="108">
        <v>2.4535482968558453</v>
      </c>
      <c r="R802" s="49">
        <v>107917541.92315239</v>
      </c>
    </row>
    <row r="803" spans="1:18" x14ac:dyDescent="0.25">
      <c r="A803">
        <f t="shared" si="15"/>
        <v>791</v>
      </c>
      <c r="B803" s="168">
        <v>0.99144301109267197</v>
      </c>
      <c r="C803" s="122">
        <v>0.86101671806281399</v>
      </c>
      <c r="D803" s="122">
        <v>0.8992504232396471</v>
      </c>
      <c r="E803" s="122">
        <v>2.6446124682890053</v>
      </c>
      <c r="F803" s="122">
        <v>7.9963689145105556</v>
      </c>
      <c r="G803" s="122">
        <v>1.081696255791146</v>
      </c>
      <c r="H803" s="163">
        <v>1</v>
      </c>
      <c r="I803" s="12">
        <v>4.7827905923494778E-2</v>
      </c>
      <c r="J803" s="115">
        <v>6.2135311353257644E-2</v>
      </c>
      <c r="K803" s="115">
        <v>3.1003290394504522E-3</v>
      </c>
      <c r="L803" s="115">
        <v>2.8472706620793809E-2</v>
      </c>
      <c r="P803" s="108">
        <v>0.18127941146627796</v>
      </c>
      <c r="Q803" s="108">
        <v>3.6255882293255586</v>
      </c>
      <c r="R803" s="49">
        <v>159468868.10246354</v>
      </c>
    </row>
    <row r="804" spans="1:18" x14ac:dyDescent="0.25">
      <c r="A804">
        <f t="shared" si="15"/>
        <v>792</v>
      </c>
      <c r="B804" s="168">
        <v>1.0062770007013022</v>
      </c>
      <c r="C804" s="122">
        <v>0.87883607017081977</v>
      </c>
      <c r="D804" s="122">
        <v>0.90223882159689439</v>
      </c>
      <c r="E804" s="122">
        <v>1.4896270784830259</v>
      </c>
      <c r="F804" s="122">
        <v>3.4168702875654811</v>
      </c>
      <c r="G804" s="122">
        <v>1.0972074777097502</v>
      </c>
      <c r="H804" s="163">
        <v>1</v>
      </c>
      <c r="I804" s="12">
        <v>2.6735037538643161E-2</v>
      </c>
      <c r="J804" s="115">
        <v>3.1724595243363907E-2</v>
      </c>
      <c r="K804" s="115">
        <v>-1.6332176988493406E-3</v>
      </c>
      <c r="L804" s="115">
        <v>3.2985274684335118E-2</v>
      </c>
      <c r="P804" s="108">
        <v>-2.3032376238006813E-3</v>
      </c>
      <c r="Q804" s="108">
        <v>-4.6064752476013625E-2</v>
      </c>
      <c r="R804" s="49">
        <v>-2026124.7202185914</v>
      </c>
    </row>
    <row r="805" spans="1:18" x14ac:dyDescent="0.25">
      <c r="A805">
        <f t="shared" si="15"/>
        <v>793</v>
      </c>
      <c r="B805" s="168">
        <v>0.99447775013450557</v>
      </c>
      <c r="C805" s="122">
        <v>0.89545215477746876</v>
      </c>
      <c r="D805" s="122">
        <v>0.88512654733472451</v>
      </c>
      <c r="E805" s="122">
        <v>2.3876105425726197</v>
      </c>
      <c r="F805" s="122">
        <v>2.9468976630406321</v>
      </c>
      <c r="G805" s="122">
        <v>1.1212372025038568</v>
      </c>
      <c r="H805" s="163">
        <v>1</v>
      </c>
      <c r="I805" s="12">
        <v>2.1296983713515023E-2</v>
      </c>
      <c r="J805" s="115">
        <v>3.3548276443996584E-2</v>
      </c>
      <c r="K805" s="115">
        <v>-8.2424286023568757E-4</v>
      </c>
      <c r="L805" s="115">
        <v>8.5141542166939851E-4</v>
      </c>
      <c r="P805" s="108">
        <v>-3.9526645487759589E-2</v>
      </c>
      <c r="Q805" s="108">
        <v>-0.79053290975519164</v>
      </c>
      <c r="R805" s="49">
        <v>-34771016.547529541</v>
      </c>
    </row>
    <row r="806" spans="1:18" x14ac:dyDescent="0.25">
      <c r="A806">
        <f t="shared" si="15"/>
        <v>794</v>
      </c>
      <c r="B806" s="168">
        <v>1.0190485536831422</v>
      </c>
      <c r="C806" s="122">
        <v>0.88520653534389626</v>
      </c>
      <c r="D806" s="122">
        <v>0.9139780210968198</v>
      </c>
      <c r="E806" s="122">
        <v>1.5469585322143717</v>
      </c>
      <c r="F806" s="122">
        <v>5.5405945540024426</v>
      </c>
      <c r="G806" s="122">
        <v>1.0893708886040234</v>
      </c>
      <c r="H806" s="163">
        <v>1</v>
      </c>
      <c r="I806" s="12">
        <v>3.3130507507449301E-2</v>
      </c>
      <c r="J806" s="115">
        <v>2.4628852357776381E-2</v>
      </c>
      <c r="K806" s="115">
        <v>1.29386295651631E-3</v>
      </c>
      <c r="L806" s="115">
        <v>2.2465332100230072E-2</v>
      </c>
      <c r="P806" s="108">
        <v>1.5999250487760294E-2</v>
      </c>
      <c r="Q806" s="108">
        <v>0.31998500975520583</v>
      </c>
      <c r="R806" s="49">
        <v>14074308.52259543</v>
      </c>
    </row>
    <row r="807" spans="1:18" x14ac:dyDescent="0.25">
      <c r="A807">
        <f t="shared" si="15"/>
        <v>795</v>
      </c>
      <c r="B807" s="168">
        <v>0.99488752987803997</v>
      </c>
      <c r="C807" s="122">
        <v>0.87943441527989208</v>
      </c>
      <c r="D807" s="122">
        <v>0.89386854394386583</v>
      </c>
      <c r="E807" s="122">
        <v>1.5661312682275528</v>
      </c>
      <c r="F807" s="122">
        <v>5.4709146369476116</v>
      </c>
      <c r="G807" s="122">
        <v>1.085365170852238</v>
      </c>
      <c r="H807" s="163">
        <v>1</v>
      </c>
      <c r="I807" s="12">
        <v>2.8762377218200744E-2</v>
      </c>
      <c r="J807" s="115">
        <v>3.2306397896762734E-2</v>
      </c>
      <c r="K807" s="115">
        <v>1.4497609030298252E-2</v>
      </c>
      <c r="L807" s="115">
        <v>2.0496084865263171E-2</v>
      </c>
      <c r="P807" s="108">
        <v>4.0103364764367558E-2</v>
      </c>
      <c r="Q807" s="108">
        <v>0.80206729528735099</v>
      </c>
      <c r="R807" s="49">
        <v>35278348.12760064</v>
      </c>
    </row>
    <row r="808" spans="1:18" x14ac:dyDescent="0.25">
      <c r="A808">
        <f t="shared" si="15"/>
        <v>796</v>
      </c>
      <c r="B808" s="168">
        <v>0.99920649246803839</v>
      </c>
      <c r="C808" s="122">
        <v>0.90779253993863862</v>
      </c>
      <c r="D808" s="122">
        <v>0.89608921051681012</v>
      </c>
      <c r="E808" s="122">
        <v>2.0558675691464803</v>
      </c>
      <c r="F808" s="122">
        <v>6.285368926790535</v>
      </c>
      <c r="G808" s="122">
        <v>1.093741469468499</v>
      </c>
      <c r="H808" s="163">
        <v>1</v>
      </c>
      <c r="I808" s="12">
        <v>3.8062518093811559E-2</v>
      </c>
      <c r="J808" s="115">
        <v>2.3873683139168305E-2</v>
      </c>
      <c r="K808" s="115">
        <v>2.6668758399937854E-3</v>
      </c>
      <c r="L808" s="115">
        <v>3.4597307513836925E-2</v>
      </c>
      <c r="P808" s="108">
        <v>3.1184870658367159E-2</v>
      </c>
      <c r="Q808" s="108">
        <v>0.62369741316734306</v>
      </c>
      <c r="R808" s="49">
        <v>27432878.260069974</v>
      </c>
    </row>
    <row r="809" spans="1:18" x14ac:dyDescent="0.25">
      <c r="A809">
        <f t="shared" si="15"/>
        <v>797</v>
      </c>
      <c r="B809" s="168">
        <v>1.0181658819454296</v>
      </c>
      <c r="C809" s="122">
        <v>0.88216433934439364</v>
      </c>
      <c r="D809" s="122">
        <v>0.91125550808867273</v>
      </c>
      <c r="E809" s="122">
        <v>3.227561790912731</v>
      </c>
      <c r="F809" s="122">
        <v>7.3105723090588004</v>
      </c>
      <c r="G809" s="122">
        <v>1.1133513800753125</v>
      </c>
      <c r="H809" s="163">
        <v>1</v>
      </c>
      <c r="I809" s="12">
        <v>2.0662017414598222E-2</v>
      </c>
      <c r="J809" s="115">
        <v>2.0906112072570541E-2</v>
      </c>
      <c r="K809" s="115">
        <v>-9.2760141954326934E-3</v>
      </c>
      <c r="L809" s="115">
        <v>9.1605328038055073E-3</v>
      </c>
      <c r="P809" s="108">
        <v>-1.9108814258402763E-2</v>
      </c>
      <c r="Q809" s="108">
        <v>-0.38217628516805519</v>
      </c>
      <c r="R809" s="49">
        <v>-16809746.655287236</v>
      </c>
    </row>
    <row r="810" spans="1:18" x14ac:dyDescent="0.25">
      <c r="A810">
        <f t="shared" si="15"/>
        <v>798</v>
      </c>
      <c r="B810" s="168">
        <v>1.0014473583787429</v>
      </c>
      <c r="C810" s="122">
        <v>0.88372648794813202</v>
      </c>
      <c r="D810" s="122">
        <v>0.8857801893897278</v>
      </c>
      <c r="E810" s="122">
        <v>2.2889453631882346</v>
      </c>
      <c r="F810" s="122">
        <v>4.5441957194631675</v>
      </c>
      <c r="G810" s="122">
        <v>1.153398862919266</v>
      </c>
      <c r="H810" s="163">
        <v>1</v>
      </c>
      <c r="I810" s="12">
        <v>1.465470360861062E-2</v>
      </c>
      <c r="J810" s="115">
        <v>1.9598561122244496E-2</v>
      </c>
      <c r="K810" s="115">
        <v>-4.8317795444670188E-3</v>
      </c>
      <c r="L810" s="115">
        <v>2.3537937300818719E-2</v>
      </c>
      <c r="P810" s="108">
        <v>-5.2427581220860227E-2</v>
      </c>
      <c r="Q810" s="108">
        <v>-1.0485516244172044</v>
      </c>
      <c r="R810" s="49">
        <v>-46119782.533582464</v>
      </c>
    </row>
    <row r="811" spans="1:18" x14ac:dyDescent="0.25">
      <c r="A811">
        <f t="shared" si="15"/>
        <v>799</v>
      </c>
      <c r="B811" s="168">
        <v>0.99618201336951695</v>
      </c>
      <c r="C811" s="122">
        <v>0.88559925304305831</v>
      </c>
      <c r="D811" s="122">
        <v>0.9046809978546938</v>
      </c>
      <c r="E811" s="122">
        <v>2.2595828896391312</v>
      </c>
      <c r="F811" s="122">
        <v>4.0094069602717992</v>
      </c>
      <c r="G811" s="122">
        <v>1.1068869632350211</v>
      </c>
      <c r="H811" s="163">
        <v>1</v>
      </c>
      <c r="I811" s="12">
        <v>2.4346731694397338E-2</v>
      </c>
      <c r="J811" s="115">
        <v>4.1589894756969746E-2</v>
      </c>
      <c r="K811" s="115">
        <v>1.2407121537930353E-2</v>
      </c>
      <c r="L811" s="115">
        <v>-2.6673497428374656E-2</v>
      </c>
      <c r="P811" s="108">
        <v>-2.5470815417789174E-3</v>
      </c>
      <c r="Q811" s="108">
        <v>-5.0941630835578344E-2</v>
      </c>
      <c r="R811" s="49">
        <v>-2240630.6769575886</v>
      </c>
    </row>
    <row r="812" spans="1:18" x14ac:dyDescent="0.25">
      <c r="A812">
        <f t="shared" si="15"/>
        <v>800</v>
      </c>
      <c r="B812" s="168">
        <v>1.0028061395617101</v>
      </c>
      <c r="C812" s="122">
        <v>0.86061222984683883</v>
      </c>
      <c r="D812" s="122">
        <v>0.89569842109133002</v>
      </c>
      <c r="E812" s="122">
        <v>2.2572789287454511</v>
      </c>
      <c r="F812" s="122">
        <v>7.3682619242178671</v>
      </c>
      <c r="G812" s="122">
        <v>1.1055141495842822</v>
      </c>
      <c r="H812" s="163">
        <v>1</v>
      </c>
      <c r="I812" s="12">
        <v>1.3082934711892815E-2</v>
      </c>
      <c r="J812" s="115">
        <v>2.3950818387241946E-2</v>
      </c>
      <c r="K812" s="115">
        <v>1.4697192690487091E-3</v>
      </c>
      <c r="L812" s="115">
        <v>3.3746823280922773E-2</v>
      </c>
      <c r="P812" s="108">
        <v>1.672788450201244E-2</v>
      </c>
      <c r="Q812" s="108">
        <v>0.33455769004024877</v>
      </c>
      <c r="R812" s="49">
        <v>14715277.293256741</v>
      </c>
    </row>
    <row r="813" spans="1:18" x14ac:dyDescent="0.25">
      <c r="A813">
        <f t="shared" si="15"/>
        <v>801</v>
      </c>
      <c r="B813" s="168">
        <v>1.0080856091658963</v>
      </c>
      <c r="C813" s="122">
        <v>0.88901098425237546</v>
      </c>
      <c r="D813" s="122">
        <v>0.90327817819681955</v>
      </c>
      <c r="E813" s="122">
        <v>1.5760409392155039</v>
      </c>
      <c r="F813" s="122">
        <v>2.0816446248178289</v>
      </c>
      <c r="G813" s="122">
        <v>1.0952704640073421</v>
      </c>
      <c r="H813" s="163">
        <v>1</v>
      </c>
      <c r="I813" s="12">
        <v>4.3003799170930487E-2</v>
      </c>
      <c r="J813" s="115">
        <v>3.6935143407619379E-2</v>
      </c>
      <c r="K813" s="115">
        <v>-1.0981982955372126E-3</v>
      </c>
      <c r="L813" s="115">
        <v>2.1195235757291809E-2</v>
      </c>
      <c r="P813" s="108">
        <v>-2.1519242270724527E-2</v>
      </c>
      <c r="Q813" s="108">
        <v>-0.43038484541449046</v>
      </c>
      <c r="R813" s="49">
        <v>-18930165.205073442</v>
      </c>
    </row>
    <row r="814" spans="1:18" x14ac:dyDescent="0.25">
      <c r="A814">
        <f t="shared" si="15"/>
        <v>802</v>
      </c>
      <c r="B814" s="168">
        <v>0.99319689773753705</v>
      </c>
      <c r="C814" s="122">
        <v>0.89844522610896949</v>
      </c>
      <c r="D814" s="122">
        <v>0.9064950858790144</v>
      </c>
      <c r="E814" s="122">
        <v>1.8035706044117132</v>
      </c>
      <c r="F814" s="122">
        <v>4.8371168319644822</v>
      </c>
      <c r="G814" s="122">
        <v>1.076095988004881</v>
      </c>
      <c r="H814" s="163">
        <v>1</v>
      </c>
      <c r="I814" s="12">
        <v>3.4884933487333875E-2</v>
      </c>
      <c r="J814" s="115">
        <v>5.4002349959059198E-2</v>
      </c>
      <c r="K814" s="115">
        <v>4.1454799491799574E-3</v>
      </c>
      <c r="L814" s="115">
        <v>4.0937262418598908E-2</v>
      </c>
      <c r="P814" s="108">
        <v>0.12213466364569311</v>
      </c>
      <c r="Q814" s="108">
        <v>2.442693272913862</v>
      </c>
      <c r="R814" s="49">
        <v>107440091.56978582</v>
      </c>
    </row>
    <row r="815" spans="1:18" x14ac:dyDescent="0.25">
      <c r="A815">
        <f t="shared" si="15"/>
        <v>803</v>
      </c>
      <c r="B815" s="168">
        <v>0.98864018199937453</v>
      </c>
      <c r="C815" s="122">
        <v>0.95457476351172132</v>
      </c>
      <c r="D815" s="122">
        <v>0.89059124561130842</v>
      </c>
      <c r="E815" s="122">
        <v>2.1991689447313494</v>
      </c>
      <c r="F815" s="122">
        <v>4.4096271315836537</v>
      </c>
      <c r="G815" s="122">
        <v>1.0893535897976547</v>
      </c>
      <c r="H815" s="163">
        <v>1</v>
      </c>
      <c r="I815" s="12">
        <v>3.3917402272407367E-2</v>
      </c>
      <c r="J815" s="115">
        <v>3.4224820750000925E-2</v>
      </c>
      <c r="K815" s="115">
        <v>-4.4793310881309821E-3</v>
      </c>
      <c r="L815" s="115">
        <v>2.9113653588357429E-2</v>
      </c>
      <c r="P815" s="108">
        <v>3.0404769578877167E-2</v>
      </c>
      <c r="Q815" s="108">
        <v>0.60809539157754322</v>
      </c>
      <c r="R815" s="49">
        <v>26746634.658849314</v>
      </c>
    </row>
    <row r="816" spans="1:18" x14ac:dyDescent="0.25">
      <c r="A816">
        <f t="shared" si="15"/>
        <v>804</v>
      </c>
      <c r="B816" s="168">
        <v>1.0153573159890219</v>
      </c>
      <c r="C816" s="122">
        <v>0.91336383771873519</v>
      </c>
      <c r="D816" s="122">
        <v>0.90840784165667954</v>
      </c>
      <c r="E816" s="122">
        <v>1.1215026049939241</v>
      </c>
      <c r="F816" s="122">
        <v>3.0701519042149763</v>
      </c>
      <c r="G816" s="122">
        <v>1.0943562744499467</v>
      </c>
      <c r="H816" s="163">
        <v>1</v>
      </c>
      <c r="I816" s="12">
        <v>4.1379963591230626E-2</v>
      </c>
      <c r="J816" s="115">
        <v>3.0277439292131798E-2</v>
      </c>
      <c r="K816" s="115">
        <v>-6.0417438172702684E-3</v>
      </c>
      <c r="L816" s="115">
        <v>9.704214132248189E-3</v>
      </c>
      <c r="P816" s="108">
        <v>-2.2290853317462042E-2</v>
      </c>
      <c r="Q816" s="108">
        <v>-0.44581706634924073</v>
      </c>
      <c r="R816" s="49">
        <v>-19608940.247662753</v>
      </c>
    </row>
    <row r="817" spans="1:18" x14ac:dyDescent="0.25">
      <c r="A817">
        <f t="shared" si="15"/>
        <v>805</v>
      </c>
      <c r="B817" s="168">
        <v>1.0152628055020911</v>
      </c>
      <c r="C817" s="122">
        <v>0.9144073820852574</v>
      </c>
      <c r="D817" s="122">
        <v>0.90467933750694118</v>
      </c>
      <c r="E817" s="122">
        <v>1.2430583574185712</v>
      </c>
      <c r="F817" s="122">
        <v>6.5679782337938706</v>
      </c>
      <c r="G817" s="122">
        <v>1.1305578144148001</v>
      </c>
      <c r="H817" s="163">
        <v>1</v>
      </c>
      <c r="I817" s="12">
        <v>1.6483500689756538E-2</v>
      </c>
      <c r="J817" s="115">
        <v>5.2479919873814909E-2</v>
      </c>
      <c r="K817" s="115">
        <v>4.5054846972560018E-3</v>
      </c>
      <c r="L817" s="115">
        <v>3.732247914165359E-2</v>
      </c>
      <c r="P817" s="108">
        <v>0.12429999706904007</v>
      </c>
      <c r="Q817" s="108">
        <v>2.4859999413808014</v>
      </c>
      <c r="R817" s="49">
        <v>109344903.96570316</v>
      </c>
    </row>
    <row r="818" spans="1:18" x14ac:dyDescent="0.25">
      <c r="A818">
        <f t="shared" si="15"/>
        <v>806</v>
      </c>
      <c r="B818" s="168">
        <v>1.006375816614089</v>
      </c>
      <c r="C818" s="122">
        <v>0.90302215446382783</v>
      </c>
      <c r="D818" s="122">
        <v>0.91076873021804816</v>
      </c>
      <c r="E818" s="122">
        <v>2.5011239993489136</v>
      </c>
      <c r="F818" s="122">
        <v>7.4689316655459468</v>
      </c>
      <c r="G818" s="122">
        <v>1.1137084413905702</v>
      </c>
      <c r="H818" s="163">
        <v>1</v>
      </c>
      <c r="I818" s="12">
        <v>2.8139005846282643E-2</v>
      </c>
      <c r="J818" s="115">
        <v>4.2356886596939244E-2</v>
      </c>
      <c r="K818" s="115">
        <v>6.7387731925107755E-3</v>
      </c>
      <c r="L818" s="115">
        <v>3.0723620865963391E-2</v>
      </c>
      <c r="P818" s="108">
        <v>9.034657002760399E-2</v>
      </c>
      <c r="Q818" s="108">
        <v>1.8069314005520796</v>
      </c>
      <c r="R818" s="49">
        <v>79476566.824148551</v>
      </c>
    </row>
    <row r="819" spans="1:18" x14ac:dyDescent="0.25">
      <c r="A819">
        <f t="shared" si="15"/>
        <v>807</v>
      </c>
      <c r="B819" s="168">
        <v>0.97491198168043891</v>
      </c>
      <c r="C819" s="122">
        <v>0.87958743925960414</v>
      </c>
      <c r="D819" s="122">
        <v>0.88527015473978476</v>
      </c>
      <c r="E819" s="122">
        <v>1.9276451904837004</v>
      </c>
      <c r="F819" s="122">
        <v>7.2660175882352034</v>
      </c>
      <c r="G819" s="122">
        <v>1.051360668932432</v>
      </c>
      <c r="H819" s="163">
        <v>1</v>
      </c>
      <c r="I819" s="12">
        <v>4.0628852861597002E-2</v>
      </c>
      <c r="J819" s="115">
        <v>2.9098059178496012E-2</v>
      </c>
      <c r="K819" s="115">
        <v>3.9162407855459058E-3</v>
      </c>
      <c r="L819" s="115">
        <v>9.1041087864220469E-3</v>
      </c>
      <c r="P819" s="108">
        <v>5.243436406659048E-2</v>
      </c>
      <c r="Q819" s="108">
        <v>1.0486872813318093</v>
      </c>
      <c r="R819" s="49">
        <v>46125749.304559737</v>
      </c>
    </row>
    <row r="820" spans="1:18" x14ac:dyDescent="0.25">
      <c r="A820">
        <f t="shared" si="15"/>
        <v>808</v>
      </c>
      <c r="B820" s="168">
        <v>0.98978106806417199</v>
      </c>
      <c r="C820" s="122">
        <v>0.87555337093442964</v>
      </c>
      <c r="D820" s="122">
        <v>0.88440648841555591</v>
      </c>
      <c r="E820" s="122">
        <v>1.4412276406528028</v>
      </c>
      <c r="F820" s="122">
        <v>8.827275481383122</v>
      </c>
      <c r="G820" s="122">
        <v>1.0508855024705126</v>
      </c>
      <c r="H820" s="163">
        <v>1</v>
      </c>
      <c r="I820" s="12">
        <v>2.119926403785815E-2</v>
      </c>
      <c r="J820" s="115">
        <v>5.6897244498498409E-2</v>
      </c>
      <c r="K820" s="115">
        <v>1.2151241163383685E-2</v>
      </c>
      <c r="L820" s="115">
        <v>3.1741183686828336E-2</v>
      </c>
      <c r="P820" s="108">
        <v>0.17324162156399711</v>
      </c>
      <c r="Q820" s="108">
        <v>3.4648324312799419</v>
      </c>
      <c r="R820" s="49">
        <v>152398140.94489783</v>
      </c>
    </row>
    <row r="821" spans="1:18" x14ac:dyDescent="0.25">
      <c r="A821">
        <f t="shared" si="15"/>
        <v>809</v>
      </c>
      <c r="B821" s="168">
        <v>0.98254029148239663</v>
      </c>
      <c r="C821" s="122">
        <v>0.91344060844927988</v>
      </c>
      <c r="D821" s="122">
        <v>0.88524012272495778</v>
      </c>
      <c r="E821" s="122">
        <v>3.1582746663724528</v>
      </c>
      <c r="F821" s="122">
        <v>7.6946545923179137</v>
      </c>
      <c r="G821" s="122">
        <v>1.0817730669889012</v>
      </c>
      <c r="H821" s="163">
        <v>1</v>
      </c>
      <c r="I821" s="12">
        <v>2.0315212871820889E-2</v>
      </c>
      <c r="J821" s="115">
        <v>3.8170654667897486E-2</v>
      </c>
      <c r="K821" s="115">
        <v>-4.8886398658825056E-3</v>
      </c>
      <c r="L821" s="115">
        <v>-6.8967002722751559E-3</v>
      </c>
      <c r="P821" s="108">
        <v>3.9721352767883064E-2</v>
      </c>
      <c r="Q821" s="108">
        <v>0.79442705535766112</v>
      </c>
      <c r="R821" s="49">
        <v>34942297.716866173</v>
      </c>
    </row>
    <row r="822" spans="1:18" x14ac:dyDescent="0.25">
      <c r="A822">
        <f t="shared" si="15"/>
        <v>810</v>
      </c>
      <c r="B822" s="168">
        <v>1.004300022034869</v>
      </c>
      <c r="C822" s="122">
        <v>0.8970656021760155</v>
      </c>
      <c r="D822" s="122">
        <v>0.90180719070729032</v>
      </c>
      <c r="E822" s="122">
        <v>2.1549608473941997</v>
      </c>
      <c r="F822" s="122">
        <v>7.3848352624395739</v>
      </c>
      <c r="G822" s="122">
        <v>1.0665483987639401</v>
      </c>
      <c r="H822" s="163">
        <v>1</v>
      </c>
      <c r="I822" s="12">
        <v>3.0058785642016285E-2</v>
      </c>
      <c r="J822" s="115">
        <v>4.684180866613509E-2</v>
      </c>
      <c r="K822" s="115">
        <v>-1.7080937221885042E-4</v>
      </c>
      <c r="L822" s="115">
        <v>1.9795571767070124E-2</v>
      </c>
      <c r="P822" s="108">
        <v>0.10825864946827604</v>
      </c>
      <c r="Q822" s="108">
        <v>2.1651729893655203</v>
      </c>
      <c r="R822" s="49">
        <v>95233563.223581046</v>
      </c>
    </row>
    <row r="823" spans="1:18" x14ac:dyDescent="0.25">
      <c r="A823">
        <f t="shared" si="15"/>
        <v>811</v>
      </c>
      <c r="B823" s="168">
        <v>1.0069621090689287</v>
      </c>
      <c r="C823" s="122">
        <v>0.90169855016220568</v>
      </c>
      <c r="D823" s="122">
        <v>0.88061919721309789</v>
      </c>
      <c r="E823" s="122">
        <v>2.4235724378325796</v>
      </c>
      <c r="F823" s="122">
        <v>4.87505193836276</v>
      </c>
      <c r="G823" s="122">
        <v>1.0687166884959856</v>
      </c>
      <c r="H823" s="163">
        <v>1</v>
      </c>
      <c r="I823" s="12">
        <v>2.8827121011610175E-2</v>
      </c>
      <c r="J823" s="115">
        <v>4.3770810840759913E-2</v>
      </c>
      <c r="K823" s="115">
        <v>9.3516809251658513E-3</v>
      </c>
      <c r="L823" s="115">
        <v>1.3613691807876898E-2</v>
      </c>
      <c r="P823" s="108">
        <v>6.0074446081507936E-2</v>
      </c>
      <c r="Q823" s="108">
        <v>1.2014889216301585</v>
      </c>
      <c r="R823" s="49">
        <v>52846618.603914872</v>
      </c>
    </row>
    <row r="824" spans="1:18" x14ac:dyDescent="0.25">
      <c r="A824">
        <f t="shared" si="15"/>
        <v>812</v>
      </c>
      <c r="B824" s="168">
        <v>0.98582510383902466</v>
      </c>
      <c r="C824" s="122">
        <v>0.8749310475947939</v>
      </c>
      <c r="D824" s="122">
        <v>0.89583946508303691</v>
      </c>
      <c r="E824" s="122">
        <v>1.9362908226124409</v>
      </c>
      <c r="F824" s="122">
        <v>5.6146888848071566</v>
      </c>
      <c r="G824" s="122">
        <v>1.1121123134833912</v>
      </c>
      <c r="H824" s="163">
        <v>1</v>
      </c>
      <c r="I824" s="12">
        <v>1.5387031838152914E-2</v>
      </c>
      <c r="J824" s="115">
        <v>2.6559974154348399E-2</v>
      </c>
      <c r="K824" s="115">
        <v>3.5574928339308005E-3</v>
      </c>
      <c r="L824" s="115">
        <v>4.7426181557505595E-2</v>
      </c>
      <c r="P824" s="108">
        <v>1.9495145443515469E-2</v>
      </c>
      <c r="Q824" s="108">
        <v>0.38990290887030932</v>
      </c>
      <c r="R824" s="49">
        <v>17149596.593591258</v>
      </c>
    </row>
    <row r="825" spans="1:18" x14ac:dyDescent="0.25">
      <c r="A825">
        <f t="shared" si="15"/>
        <v>813</v>
      </c>
      <c r="B825" s="168">
        <v>1.0117494109546978</v>
      </c>
      <c r="C825" s="122">
        <v>0.89281088138606757</v>
      </c>
      <c r="D825" s="122">
        <v>0.88525319339723074</v>
      </c>
      <c r="E825" s="122">
        <v>0.34902235336571685</v>
      </c>
      <c r="F825" s="122">
        <v>3.5551089942156864</v>
      </c>
      <c r="G825" s="122">
        <v>1.0874113213792227</v>
      </c>
      <c r="H825" s="163">
        <v>1</v>
      </c>
      <c r="I825" s="12">
        <v>3.8208956494720753E-2</v>
      </c>
      <c r="J825" s="115">
        <v>4.1535285437249714E-2</v>
      </c>
      <c r="K825" s="115">
        <v>1.6027988098841216E-2</v>
      </c>
      <c r="L825" s="115">
        <v>1.4286628509446857E-2</v>
      </c>
      <c r="P825" s="108">
        <v>5.0667450616372442E-2</v>
      </c>
      <c r="Q825" s="108">
        <v>1.0133490123274487</v>
      </c>
      <c r="R825" s="49">
        <v>44571421.178369276</v>
      </c>
    </row>
    <row r="826" spans="1:18" x14ac:dyDescent="0.25">
      <c r="A826">
        <f t="shared" si="15"/>
        <v>814</v>
      </c>
      <c r="B826" s="168">
        <v>0.99835948173008393</v>
      </c>
      <c r="C826" s="122">
        <v>0.91453075325035327</v>
      </c>
      <c r="D826" s="122">
        <v>0.9197877773753208</v>
      </c>
      <c r="E826" s="122">
        <v>2.14924236584555</v>
      </c>
      <c r="F826" s="122">
        <v>4.8479743373700854</v>
      </c>
      <c r="G826" s="122">
        <v>1.10211416327975</v>
      </c>
      <c r="H826" s="163">
        <v>1</v>
      </c>
      <c r="I826" s="12">
        <v>2.8561525001022641E-2</v>
      </c>
      <c r="J826" s="115">
        <v>4.5898265493545767E-2</v>
      </c>
      <c r="K826" s="115">
        <v>5.4432174728376902E-3</v>
      </c>
      <c r="L826" s="115">
        <v>6.4261106484795778E-3</v>
      </c>
      <c r="P826" s="108">
        <v>5.6163193391435641E-2</v>
      </c>
      <c r="Q826" s="108">
        <v>1.1232638678287126</v>
      </c>
      <c r="R826" s="49">
        <v>49405946.360423118</v>
      </c>
    </row>
    <row r="827" spans="1:18" x14ac:dyDescent="0.25">
      <c r="A827">
        <f t="shared" si="15"/>
        <v>815</v>
      </c>
      <c r="B827" s="168">
        <v>1.0079612896355208</v>
      </c>
      <c r="C827" s="122">
        <v>0.84031710484484612</v>
      </c>
      <c r="D827" s="122">
        <v>0.9086467967052555</v>
      </c>
      <c r="E827" s="122">
        <v>2.8810868478895713</v>
      </c>
      <c r="F827" s="122">
        <v>5.3230513004852753</v>
      </c>
      <c r="G827" s="122">
        <v>1.1416816363745834</v>
      </c>
      <c r="H827" s="163">
        <v>1</v>
      </c>
      <c r="I827" s="12">
        <v>2.8139192313020131E-2</v>
      </c>
      <c r="J827" s="115">
        <v>3.7064844231522412E-2</v>
      </c>
      <c r="K827" s="115">
        <v>8.9148614504067601E-3</v>
      </c>
      <c r="L827" s="115">
        <v>3.6045130709459805E-2</v>
      </c>
      <c r="P827" s="108">
        <v>4.2984371450178901E-2</v>
      </c>
      <c r="Q827" s="108">
        <v>0.85968742900357786</v>
      </c>
      <c r="R827" s="49">
        <v>37812727.908877827</v>
      </c>
    </row>
    <row r="828" spans="1:18" x14ac:dyDescent="0.25">
      <c r="A828">
        <f t="shared" si="15"/>
        <v>816</v>
      </c>
      <c r="B828" s="168">
        <v>0.96828043140241193</v>
      </c>
      <c r="C828" s="122">
        <v>0.94436409341886629</v>
      </c>
      <c r="D828" s="122">
        <v>0.90003878832957729</v>
      </c>
      <c r="E828" s="122">
        <v>2.6826436351657206</v>
      </c>
      <c r="F828" s="122">
        <v>6.1301760823378277</v>
      </c>
      <c r="G828" s="122">
        <v>1.0728196644788908</v>
      </c>
      <c r="H828" s="163">
        <v>1</v>
      </c>
      <c r="I828" s="12">
        <v>2.6291244211868101E-2</v>
      </c>
      <c r="J828" s="115">
        <v>5.6593512696748227E-2</v>
      </c>
      <c r="K828" s="115">
        <v>8.9769900689994631E-3</v>
      </c>
      <c r="L828" s="115">
        <v>6.1390028200029104E-3</v>
      </c>
      <c r="P828" s="108">
        <v>0.11112221691052315</v>
      </c>
      <c r="Q828" s="108">
        <v>2.2224443382104626</v>
      </c>
      <c r="R828" s="49">
        <v>97752601.955318972</v>
      </c>
    </row>
    <row r="829" spans="1:18" x14ac:dyDescent="0.25">
      <c r="A829">
        <f t="shared" si="15"/>
        <v>817</v>
      </c>
      <c r="B829" s="168">
        <v>0.97938826106420407</v>
      </c>
      <c r="C829" s="122">
        <v>0.91290138324100556</v>
      </c>
      <c r="D829" s="122">
        <v>0.89946486621694632</v>
      </c>
      <c r="E829" s="122">
        <v>2.0645170599899849</v>
      </c>
      <c r="F829" s="122">
        <v>1.3347831017295264</v>
      </c>
      <c r="G829" s="122">
        <v>1.0696234134387026</v>
      </c>
      <c r="H829" s="163">
        <v>1</v>
      </c>
      <c r="I829" s="12">
        <v>4.0655064605418637E-2</v>
      </c>
      <c r="J829" s="115">
        <v>5.9472720597744722E-2</v>
      </c>
      <c r="K829" s="115">
        <v>-5.9269859298208922E-3</v>
      </c>
      <c r="L829" s="115">
        <v>9.7410188967286589E-3</v>
      </c>
      <c r="P829" s="108">
        <v>3.2120363738647274E-2</v>
      </c>
      <c r="Q829" s="108">
        <v>0.64240727477294546</v>
      </c>
      <c r="R829" s="49">
        <v>28255817.949819088</v>
      </c>
    </row>
    <row r="830" spans="1:18" x14ac:dyDescent="0.25">
      <c r="A830">
        <f t="shared" si="15"/>
        <v>818</v>
      </c>
      <c r="B830" s="168">
        <v>0.98837719423237413</v>
      </c>
      <c r="C830" s="122">
        <v>0.86111683061371336</v>
      </c>
      <c r="D830" s="122">
        <v>0.88799073767024517</v>
      </c>
      <c r="E830" s="122">
        <v>2.2898293107999557</v>
      </c>
      <c r="F830" s="122">
        <v>7.789093766555383</v>
      </c>
      <c r="G830" s="122">
        <v>1.0819612087396218</v>
      </c>
      <c r="H830" s="163">
        <v>1</v>
      </c>
      <c r="I830" s="12">
        <v>2.9654861431897602E-2</v>
      </c>
      <c r="J830" s="115">
        <v>2.1015619325015059E-2</v>
      </c>
      <c r="K830" s="115">
        <v>-3.4170851762980927E-3</v>
      </c>
      <c r="L830" s="115">
        <v>5.1130000572363846E-2</v>
      </c>
      <c r="P830" s="108">
        <v>4.0250624707799963E-2</v>
      </c>
      <c r="Q830" s="108">
        <v>0.80501249415599907</v>
      </c>
      <c r="R830" s="49">
        <v>35407890.563258663</v>
      </c>
    </row>
    <row r="831" spans="1:18" x14ac:dyDescent="0.25">
      <c r="A831">
        <f t="shared" si="15"/>
        <v>819</v>
      </c>
      <c r="B831" s="168">
        <v>0.99664407985789283</v>
      </c>
      <c r="C831" s="122">
        <v>0.88113497440327349</v>
      </c>
      <c r="D831" s="122">
        <v>0.90645940439393102</v>
      </c>
      <c r="E831" s="122">
        <v>2.0764482226110181</v>
      </c>
      <c r="F831" s="122">
        <v>6.6400165554706811</v>
      </c>
      <c r="G831" s="122">
        <v>1.0993122696889919</v>
      </c>
      <c r="H831" s="163">
        <v>1</v>
      </c>
      <c r="I831" s="12">
        <v>2.8982707194491357E-2</v>
      </c>
      <c r="J831" s="115">
        <v>7.3021962683284009E-2</v>
      </c>
      <c r="K831" s="115">
        <v>3.8004213505361444E-3</v>
      </c>
      <c r="L831" s="115">
        <v>3.4146149550577556E-2</v>
      </c>
      <c r="P831" s="108">
        <v>0.1960914300019734</v>
      </c>
      <c r="Q831" s="108">
        <v>3.9218286000394671</v>
      </c>
      <c r="R831" s="49">
        <v>172498785.90225437</v>
      </c>
    </row>
    <row r="832" spans="1:18" x14ac:dyDescent="0.25">
      <c r="A832">
        <f t="shared" si="15"/>
        <v>820</v>
      </c>
      <c r="B832" s="168">
        <v>1.0023029678962498</v>
      </c>
      <c r="C832" s="122">
        <v>0.88038170536821114</v>
      </c>
      <c r="D832" s="122">
        <v>0.898257215902316</v>
      </c>
      <c r="E832" s="122">
        <v>1.1284431656049609</v>
      </c>
      <c r="F832" s="122">
        <v>4.6641660980465574</v>
      </c>
      <c r="G832" s="122">
        <v>1.059538679869898</v>
      </c>
      <c r="H832" s="163">
        <v>1</v>
      </c>
      <c r="I832" s="12">
        <v>2.912705394169933E-2</v>
      </c>
      <c r="J832" s="115">
        <v>3.1820436625284304E-2</v>
      </c>
      <c r="K832" s="115">
        <v>4.9589938011620717E-3</v>
      </c>
      <c r="L832" s="115">
        <v>-2.3188100623874851E-3</v>
      </c>
      <c r="P832" s="108">
        <v>1.4841170218155536E-2</v>
      </c>
      <c r="Q832" s="108">
        <v>0.29682340436311067</v>
      </c>
      <c r="R832" s="49">
        <v>13055562.111892208</v>
      </c>
    </row>
    <row r="833" spans="1:18" x14ac:dyDescent="0.25">
      <c r="A833">
        <f t="shared" si="15"/>
        <v>821</v>
      </c>
      <c r="B833" s="168">
        <v>1.0012257565902245</v>
      </c>
      <c r="C833" s="122">
        <v>0.87800122493061949</v>
      </c>
      <c r="D833" s="122">
        <v>0.91312028107491361</v>
      </c>
      <c r="E833" s="122">
        <v>2.1305362029217068</v>
      </c>
      <c r="F833" s="122">
        <v>6.4533974366552211</v>
      </c>
      <c r="G833" s="122">
        <v>1.1219541772610662</v>
      </c>
      <c r="H833" s="163">
        <v>1</v>
      </c>
      <c r="I833" s="12">
        <v>8.713350931109181E-3</v>
      </c>
      <c r="J833" s="115">
        <v>3.8195839156524615E-2</v>
      </c>
      <c r="K833" s="115">
        <v>2.8686576671134532E-3</v>
      </c>
      <c r="L833" s="115">
        <v>2.1085549851916074E-2</v>
      </c>
      <c r="P833" s="108">
        <v>4.2166650917101096E-2</v>
      </c>
      <c r="Q833" s="108">
        <v>0.84333301834202179</v>
      </c>
      <c r="R833" s="49">
        <v>37093391.020152777</v>
      </c>
    </row>
    <row r="834" spans="1:18" x14ac:dyDescent="0.25">
      <c r="A834">
        <f t="shared" si="15"/>
        <v>822</v>
      </c>
      <c r="B834" s="168">
        <v>0.99004768895716988</v>
      </c>
      <c r="C834" s="122">
        <v>0.84570001852436694</v>
      </c>
      <c r="D834" s="122">
        <v>0.89796773334810087</v>
      </c>
      <c r="E834" s="122">
        <v>2.134874792101074</v>
      </c>
      <c r="F834" s="122">
        <v>6.7358798042560837</v>
      </c>
      <c r="G834" s="122">
        <v>1.0803059929051313</v>
      </c>
      <c r="H834" s="163">
        <v>1</v>
      </c>
      <c r="I834" s="12">
        <v>4.0917204694954468E-2</v>
      </c>
      <c r="J834" s="115">
        <v>7.139482555305042E-2</v>
      </c>
      <c r="K834" s="115">
        <v>7.0593781976227938E-3</v>
      </c>
      <c r="L834" s="115">
        <v>2.1125292549565942E-2</v>
      </c>
      <c r="P834" s="108">
        <v>0.1950441049386544</v>
      </c>
      <c r="Q834" s="108">
        <v>3.9008820987730872</v>
      </c>
      <c r="R834" s="49">
        <v>171577469.23958474</v>
      </c>
    </row>
    <row r="835" spans="1:18" x14ac:dyDescent="0.25">
      <c r="A835">
        <f t="shared" si="15"/>
        <v>823</v>
      </c>
      <c r="B835" s="168">
        <v>1.0030047172701446</v>
      </c>
      <c r="C835" s="122">
        <v>0.91146371761458289</v>
      </c>
      <c r="D835" s="122">
        <v>0.91213169510393732</v>
      </c>
      <c r="E835" s="122">
        <v>1.7282062888318841</v>
      </c>
      <c r="F835" s="122">
        <v>1.2373664409584038</v>
      </c>
      <c r="G835" s="122">
        <v>1.0889475035945786</v>
      </c>
      <c r="H835" s="163">
        <v>1</v>
      </c>
      <c r="I835" s="12">
        <v>3.4063894708241435E-2</v>
      </c>
      <c r="J835" s="115">
        <v>1.4601232352292517E-2</v>
      </c>
      <c r="K835" s="115">
        <v>-6.0360058972434589E-4</v>
      </c>
      <c r="L835" s="115">
        <v>1.4466500432249677E-2</v>
      </c>
      <c r="P835" s="108">
        <v>-0.14363979279634359</v>
      </c>
      <c r="Q835" s="108">
        <v>-2.8727958559268711</v>
      </c>
      <c r="R835" s="49">
        <v>-126357841.6678959</v>
      </c>
    </row>
    <row r="836" spans="1:18" x14ac:dyDescent="0.25">
      <c r="A836">
        <f t="shared" si="15"/>
        <v>824</v>
      </c>
      <c r="B836" s="168">
        <v>1.0078236628059873</v>
      </c>
      <c r="C836" s="122">
        <v>0.93985671616335964</v>
      </c>
      <c r="D836" s="122">
        <v>0.90127488564216185</v>
      </c>
      <c r="E836" s="122">
        <v>1.5630484788617589</v>
      </c>
      <c r="F836" s="122">
        <v>3.2751363388603671</v>
      </c>
      <c r="G836" s="122">
        <v>1.044427316604122</v>
      </c>
      <c r="H836" s="163">
        <v>1</v>
      </c>
      <c r="I836" s="12">
        <v>3.5078926740414462E-2</v>
      </c>
      <c r="J836" s="115">
        <v>3.6674907118403814E-2</v>
      </c>
      <c r="K836" s="115">
        <v>-1.0161271269620034E-2</v>
      </c>
      <c r="L836" s="115">
        <v>2.6627984253760471E-2</v>
      </c>
      <c r="P836" s="108">
        <v>2.2428440134912318E-2</v>
      </c>
      <c r="Q836" s="108">
        <v>0.44856880269824634</v>
      </c>
      <c r="R836" s="49">
        <v>19729973.37474072</v>
      </c>
    </row>
    <row r="837" spans="1:18" x14ac:dyDescent="0.25">
      <c r="A837">
        <f t="shared" si="15"/>
        <v>825</v>
      </c>
      <c r="B837" s="168">
        <v>1.0107572009809909</v>
      </c>
      <c r="C837" s="122">
        <v>0.88596844728248281</v>
      </c>
      <c r="D837" s="122">
        <v>0.90717959140380822</v>
      </c>
      <c r="E837" s="122">
        <v>1.9689940242719994</v>
      </c>
      <c r="F837" s="122">
        <v>3.5219742459847962</v>
      </c>
      <c r="G837" s="122">
        <v>1.1025554499341965</v>
      </c>
      <c r="H837" s="163">
        <v>1</v>
      </c>
      <c r="I837" s="12">
        <v>3.2642985485837779E-2</v>
      </c>
      <c r="J837" s="115">
        <v>2.9491748443917012E-2</v>
      </c>
      <c r="K837" s="115">
        <v>1.0466517150794268E-2</v>
      </c>
      <c r="L837" s="115">
        <v>2.1564347566892586E-2</v>
      </c>
      <c r="P837" s="108">
        <v>-1.0113572670460366E-2</v>
      </c>
      <c r="Q837" s="108">
        <v>-0.20227145340920727</v>
      </c>
      <c r="R837" s="49">
        <v>-8896763.1414135583</v>
      </c>
    </row>
    <row r="838" spans="1:18" x14ac:dyDescent="0.25">
      <c r="A838">
        <f t="shared" si="15"/>
        <v>826</v>
      </c>
      <c r="B838" s="168">
        <v>0.98799713358290109</v>
      </c>
      <c r="C838" s="122">
        <v>0.86158222961526454</v>
      </c>
      <c r="D838" s="122">
        <v>0.89251134844914726</v>
      </c>
      <c r="E838" s="122">
        <v>1.2673664640938036</v>
      </c>
      <c r="F838" s="122">
        <v>5.7713005738934759</v>
      </c>
      <c r="G838" s="122">
        <v>1.0862871941381553</v>
      </c>
      <c r="H838" s="163">
        <v>1</v>
      </c>
      <c r="I838" s="12">
        <v>3.1495844682885077E-2</v>
      </c>
      <c r="J838" s="115">
        <v>3.9653026962490255E-2</v>
      </c>
      <c r="K838" s="115">
        <v>1.9242751151415882E-2</v>
      </c>
      <c r="L838" s="115">
        <v>-2.1348757563301492E-3</v>
      </c>
      <c r="P838" s="108">
        <v>6.0970374574752427E-2</v>
      </c>
      <c r="Q838" s="108">
        <v>1.2194074914950483</v>
      </c>
      <c r="R838" s="49">
        <v>53634753.900487281</v>
      </c>
    </row>
    <row r="839" spans="1:18" x14ac:dyDescent="0.25">
      <c r="A839">
        <f t="shared" si="15"/>
        <v>827</v>
      </c>
      <c r="B839" s="168">
        <v>1.0063040591092347</v>
      </c>
      <c r="C839" s="122">
        <v>0.91645868576808409</v>
      </c>
      <c r="D839" s="122">
        <v>0.89562254616377635</v>
      </c>
      <c r="E839" s="122">
        <v>2.4159916914477422</v>
      </c>
      <c r="F839" s="122">
        <v>3.7707199843972821</v>
      </c>
      <c r="G839" s="122">
        <v>1.0743410855366422</v>
      </c>
      <c r="H839" s="163">
        <v>1</v>
      </c>
      <c r="I839" s="12">
        <v>3.118410917699109E-2</v>
      </c>
      <c r="J839" s="115">
        <v>5.1857582306948646E-2</v>
      </c>
      <c r="K839" s="115">
        <v>3.0111599133677905E-3</v>
      </c>
      <c r="L839" s="115">
        <v>2.7991118021096911E-3</v>
      </c>
      <c r="P839" s="108">
        <v>6.1004619878444959E-2</v>
      </c>
      <c r="Q839" s="108">
        <v>1.2200923975688991</v>
      </c>
      <c r="R839" s="49">
        <v>53664878.997284003</v>
      </c>
    </row>
    <row r="840" spans="1:18" x14ac:dyDescent="0.25">
      <c r="A840">
        <f t="shared" si="15"/>
        <v>828</v>
      </c>
      <c r="B840" s="168">
        <v>1.0137695690962945</v>
      </c>
      <c r="C840" s="122">
        <v>0.90905919214357678</v>
      </c>
      <c r="D840" s="122">
        <v>0.9081655957957806</v>
      </c>
      <c r="E840" s="122">
        <v>3.7314089540820161</v>
      </c>
      <c r="F840" s="122">
        <v>3.4669311677162584</v>
      </c>
      <c r="G840" s="122">
        <v>1.0523391546278906</v>
      </c>
      <c r="H840" s="163">
        <v>1</v>
      </c>
      <c r="I840" s="12">
        <v>3.4703845878428854E-2</v>
      </c>
      <c r="J840" s="115">
        <v>4.9218823645343301E-2</v>
      </c>
      <c r="K840" s="115">
        <v>1.3410554896944996E-2</v>
      </c>
      <c r="L840" s="115">
        <v>2.7749960780772701E-2</v>
      </c>
      <c r="P840" s="108">
        <v>7.5338190789607962E-2</v>
      </c>
      <c r="Q840" s="108">
        <v>1.5067638157921588</v>
      </c>
      <c r="R840" s="49">
        <v>66273913.363521263</v>
      </c>
    </row>
    <row r="841" spans="1:18" x14ac:dyDescent="0.25">
      <c r="A841">
        <f t="shared" si="15"/>
        <v>829</v>
      </c>
      <c r="B841" s="168">
        <v>0.99915188322747128</v>
      </c>
      <c r="C841" s="122">
        <v>0.92263099042679053</v>
      </c>
      <c r="D841" s="122">
        <v>0.87560947998712646</v>
      </c>
      <c r="E841" s="122">
        <v>3.2273792273261512</v>
      </c>
      <c r="F841" s="122">
        <v>4.9557829566396512</v>
      </c>
      <c r="G841" s="122">
        <v>1.0887612960564039</v>
      </c>
      <c r="H841" s="163">
        <v>1</v>
      </c>
      <c r="I841" s="12">
        <v>4.0663138933599109E-2</v>
      </c>
      <c r="J841" s="115">
        <v>4.6601103238404246E-2</v>
      </c>
      <c r="K841" s="115">
        <v>9.9654448204871196E-3</v>
      </c>
      <c r="L841" s="115">
        <v>2.6993485916723722E-2</v>
      </c>
      <c r="P841" s="108">
        <v>8.4574913707384167E-2</v>
      </c>
      <c r="Q841" s="108">
        <v>1.6914982741476832</v>
      </c>
      <c r="R841" s="49">
        <v>74399324.499621809</v>
      </c>
    </row>
    <row r="842" spans="1:18" x14ac:dyDescent="0.25">
      <c r="A842">
        <f t="shared" si="15"/>
        <v>830</v>
      </c>
      <c r="B842" s="168">
        <v>1.0042004452268987</v>
      </c>
      <c r="C842" s="122">
        <v>0.88136694248928571</v>
      </c>
      <c r="D842" s="122">
        <v>0.90954283740362019</v>
      </c>
      <c r="E842" s="122">
        <v>1.971483106302004</v>
      </c>
      <c r="F842" s="122">
        <v>6.7019676959392989</v>
      </c>
      <c r="G842" s="122">
        <v>1.1241263304545634</v>
      </c>
      <c r="H842" s="163">
        <v>1</v>
      </c>
      <c r="I842" s="12">
        <v>3.3587204097766145E-2</v>
      </c>
      <c r="J842" s="115">
        <v>3.843785907494765E-2</v>
      </c>
      <c r="K842" s="115">
        <v>6.2623280733740084E-3</v>
      </c>
      <c r="L842" s="115">
        <v>-5.740687318055767E-3</v>
      </c>
      <c r="P842" s="108">
        <v>4.961933212029717E-2</v>
      </c>
      <c r="Q842" s="108">
        <v>0.99238664240594321</v>
      </c>
      <c r="R842" s="49">
        <v>43649406.544415839</v>
      </c>
    </row>
    <row r="843" spans="1:18" x14ac:dyDescent="0.25">
      <c r="A843">
        <f t="shared" si="15"/>
        <v>831</v>
      </c>
      <c r="B843" s="168">
        <v>1.0148275253506358</v>
      </c>
      <c r="C843" s="122">
        <v>0.88239317901904868</v>
      </c>
      <c r="D843" s="122">
        <v>0.89615854277843821</v>
      </c>
      <c r="E843" s="122">
        <v>2.4486051882185689</v>
      </c>
      <c r="F843" s="122">
        <v>1.9005117192344843</v>
      </c>
      <c r="G843" s="122">
        <v>1.0953824000792143</v>
      </c>
      <c r="H843" s="163">
        <v>1</v>
      </c>
      <c r="I843" s="12">
        <v>3.433906890994104E-2</v>
      </c>
      <c r="J843" s="115">
        <v>6.9710926295079495E-2</v>
      </c>
      <c r="K843" s="115">
        <v>8.324167605356949E-3</v>
      </c>
      <c r="L843" s="115">
        <v>1.8291076244328762E-2</v>
      </c>
      <c r="P843" s="108">
        <v>9.014010523675077E-2</v>
      </c>
      <c r="Q843" s="108">
        <v>1.8028021047350151</v>
      </c>
      <c r="R843" s="49">
        <v>79294942.743211508</v>
      </c>
    </row>
    <row r="844" spans="1:18" x14ac:dyDescent="0.25">
      <c r="A844">
        <f t="shared" si="15"/>
        <v>832</v>
      </c>
      <c r="B844" s="168">
        <v>1.0002642813877463</v>
      </c>
      <c r="C844" s="122">
        <v>0.94807824942337116</v>
      </c>
      <c r="D844" s="122">
        <v>0.90986741233074797</v>
      </c>
      <c r="E844" s="122">
        <v>2.3269580092549287</v>
      </c>
      <c r="F844" s="122">
        <v>9.3937166845081777</v>
      </c>
      <c r="G844" s="122">
        <v>1.1255116201077038</v>
      </c>
      <c r="H844" s="163">
        <v>1</v>
      </c>
      <c r="I844" s="12">
        <v>2.875977542005061E-2</v>
      </c>
      <c r="J844" s="115">
        <v>4.4257277011601787E-2</v>
      </c>
      <c r="K844" s="115">
        <v>-6.0689209167794781E-3</v>
      </c>
      <c r="L844" s="115">
        <v>7.6621627712654961E-3</v>
      </c>
      <c r="P844" s="108">
        <v>9.5231474785212794E-2</v>
      </c>
      <c r="Q844" s="108">
        <v>1.9046294957042555</v>
      </c>
      <c r="R844" s="49">
        <v>83773746.664834067</v>
      </c>
    </row>
    <row r="845" spans="1:18" x14ac:dyDescent="0.25">
      <c r="A845">
        <f t="shared" si="15"/>
        <v>833</v>
      </c>
      <c r="B845" s="168">
        <v>1.0030923425790057</v>
      </c>
      <c r="C845" s="122">
        <v>0.90215736236971678</v>
      </c>
      <c r="D845" s="122">
        <v>0.90362014000334956</v>
      </c>
      <c r="E845" s="122">
        <v>1.7574565265097497</v>
      </c>
      <c r="F845" s="122">
        <v>7.9011783449333759</v>
      </c>
      <c r="G845" s="122">
        <v>1.0983636345444368</v>
      </c>
      <c r="H845" s="163">
        <v>1</v>
      </c>
      <c r="I845" s="12">
        <v>3.0400124535582759E-2</v>
      </c>
      <c r="J845" s="115">
        <v>4.2150734386405327E-2</v>
      </c>
      <c r="K845" s="115">
        <v>5.0099798137810099E-3</v>
      </c>
      <c r="L845" s="115">
        <v>1.1981792800345798E-2</v>
      </c>
      <c r="P845" s="108">
        <v>9.3378241929859981E-2</v>
      </c>
      <c r="Q845" s="108">
        <v>1.8675648385971992</v>
      </c>
      <c r="R845" s="49">
        <v>82143484.61034593</v>
      </c>
    </row>
    <row r="846" spans="1:18" x14ac:dyDescent="0.25">
      <c r="A846">
        <f t="shared" si="15"/>
        <v>834</v>
      </c>
      <c r="B846" s="168">
        <v>1.0101419025118721</v>
      </c>
      <c r="C846" s="122">
        <v>0.90230489974093475</v>
      </c>
      <c r="D846" s="122">
        <v>0.87898617028569248</v>
      </c>
      <c r="E846" s="122">
        <v>2.193413539413863</v>
      </c>
      <c r="F846" s="122">
        <v>6.2535740830089148</v>
      </c>
      <c r="G846" s="122">
        <v>1.0905479640942688</v>
      </c>
      <c r="H846" s="163">
        <v>1</v>
      </c>
      <c r="I846" s="12">
        <v>1.1024843347523393E-2</v>
      </c>
      <c r="J846" s="115">
        <v>4.5886750060199322E-2</v>
      </c>
      <c r="K846" s="115">
        <v>9.7544073570067572E-3</v>
      </c>
      <c r="L846" s="115">
        <v>2.9595524521144112E-2</v>
      </c>
      <c r="P846" s="108">
        <v>8.1117784031699849E-2</v>
      </c>
      <c r="Q846" s="108">
        <v>1.6223556806339967</v>
      </c>
      <c r="R846" s="49">
        <v>71358137.683062851</v>
      </c>
    </row>
    <row r="847" spans="1:18" x14ac:dyDescent="0.25">
      <c r="A847">
        <f t="shared" ref="A847:A910" si="16">A846+1</f>
        <v>835</v>
      </c>
      <c r="B847" s="168">
        <v>1.0014305611543495</v>
      </c>
      <c r="C847" s="122">
        <v>0.92244809268430039</v>
      </c>
      <c r="D847" s="122">
        <v>0.88892142463155854</v>
      </c>
      <c r="E847" s="122">
        <v>1.7033565666898196</v>
      </c>
      <c r="F847" s="122">
        <v>5.3865557209340738</v>
      </c>
      <c r="G847" s="122">
        <v>1.0459997111436972</v>
      </c>
      <c r="H847" s="163">
        <v>1</v>
      </c>
      <c r="I847" s="12">
        <v>2.3438965113669205E-2</v>
      </c>
      <c r="J847" s="115">
        <v>5.2835924450730973E-2</v>
      </c>
      <c r="K847" s="115">
        <v>5.6790848921292143E-3</v>
      </c>
      <c r="L847" s="115">
        <v>1.2768720560066376E-2</v>
      </c>
      <c r="P847" s="108">
        <v>0.10293393933819224</v>
      </c>
      <c r="Q847" s="108">
        <v>2.0586787867638447</v>
      </c>
      <c r="R847" s="49">
        <v>90549492.977820456</v>
      </c>
    </row>
    <row r="848" spans="1:18" x14ac:dyDescent="0.25">
      <c r="A848">
        <f t="shared" si="16"/>
        <v>836</v>
      </c>
      <c r="B848" s="168">
        <v>0.99140496633916242</v>
      </c>
      <c r="C848" s="122">
        <v>0.90246885266417687</v>
      </c>
      <c r="D848" s="122">
        <v>0.89204152459603414</v>
      </c>
      <c r="E848" s="122">
        <v>2.654478837116601</v>
      </c>
      <c r="F848" s="122">
        <v>4.8538779072866021</v>
      </c>
      <c r="G848" s="122">
        <v>1.0913574312943763</v>
      </c>
      <c r="H848" s="163">
        <v>1</v>
      </c>
      <c r="I848" s="12">
        <v>8.3912477079306075E-3</v>
      </c>
      <c r="J848" s="115">
        <v>4.3714501580466407E-2</v>
      </c>
      <c r="K848" s="115">
        <v>6.5876289891925888E-3</v>
      </c>
      <c r="L848" s="115">
        <v>4.1823321168956235E-2</v>
      </c>
      <c r="P848" s="108">
        <v>5.7216871601648005E-2</v>
      </c>
      <c r="Q848" s="108">
        <v>1.14433743203296</v>
      </c>
      <c r="R848" s="49">
        <v>50332851.794237651</v>
      </c>
    </row>
    <row r="849" spans="1:18" x14ac:dyDescent="0.25">
      <c r="A849">
        <f t="shared" si="16"/>
        <v>837</v>
      </c>
      <c r="B849" s="168">
        <v>1.0049848444685143</v>
      </c>
      <c r="C849" s="122">
        <v>0.88899472740006802</v>
      </c>
      <c r="D849" s="122">
        <v>0.90164706533760342</v>
      </c>
      <c r="E849" s="122">
        <v>2.1669333925560883</v>
      </c>
      <c r="F849" s="122">
        <v>5.0020227410247236</v>
      </c>
      <c r="G849" s="122">
        <v>1.1041551958637006</v>
      </c>
      <c r="H849" s="163">
        <v>1</v>
      </c>
      <c r="I849" s="12">
        <v>1.4070836615658845E-2</v>
      </c>
      <c r="J849" s="115">
        <v>2.5272451829533814E-2</v>
      </c>
      <c r="K849" s="115">
        <v>6.7520627505598813E-3</v>
      </c>
      <c r="L849" s="115">
        <v>7.571905284882146E-3</v>
      </c>
      <c r="P849" s="108">
        <v>-2.5394119320195814E-2</v>
      </c>
      <c r="Q849" s="108">
        <v>-0.50788238640391614</v>
      </c>
      <c r="R849" s="49">
        <v>-22338838.325298946</v>
      </c>
    </row>
    <row r="850" spans="1:18" x14ac:dyDescent="0.25">
      <c r="A850">
        <f t="shared" si="16"/>
        <v>838</v>
      </c>
      <c r="B850" s="168">
        <v>0.99986544451735082</v>
      </c>
      <c r="C850" s="122">
        <v>0.91485320928536651</v>
      </c>
      <c r="D850" s="122">
        <v>0.93143928977399248</v>
      </c>
      <c r="E850" s="122">
        <v>2.9524435977908654</v>
      </c>
      <c r="F850" s="122">
        <v>2.4388432603451986</v>
      </c>
      <c r="G850" s="122">
        <v>1.1044349783071494</v>
      </c>
      <c r="H850" s="163">
        <v>1</v>
      </c>
      <c r="I850" s="12">
        <v>2.6936046721074414E-2</v>
      </c>
      <c r="J850" s="115">
        <v>3.9103830843833384E-2</v>
      </c>
      <c r="K850" s="115">
        <v>7.0981467025053478E-3</v>
      </c>
      <c r="L850" s="115">
        <v>1.7926103267340638E-2</v>
      </c>
      <c r="P850" s="108">
        <v>-5.739124690223224E-3</v>
      </c>
      <c r="Q850" s="108">
        <v>-0.11478249380446445</v>
      </c>
      <c r="R850" s="49">
        <v>-5048624.721616826</v>
      </c>
    </row>
    <row r="851" spans="1:18" x14ac:dyDescent="0.25">
      <c r="A851">
        <f t="shared" si="16"/>
        <v>839</v>
      </c>
      <c r="B851" s="168">
        <v>1.0058061909403198</v>
      </c>
      <c r="C851" s="122">
        <v>0.8895771236708726</v>
      </c>
      <c r="D851" s="122">
        <v>0.89582236860743103</v>
      </c>
      <c r="E851" s="122">
        <v>1.356413500047182</v>
      </c>
      <c r="F851" s="122">
        <v>3.7252453972076935</v>
      </c>
      <c r="G851" s="122">
        <v>1.0949328545088812</v>
      </c>
      <c r="H851" s="163">
        <v>1</v>
      </c>
      <c r="I851" s="12">
        <v>9.7075334970914418E-3</v>
      </c>
      <c r="J851" s="115">
        <v>4.9906024032673295E-2</v>
      </c>
      <c r="K851" s="115">
        <v>3.9141307298408657E-3</v>
      </c>
      <c r="L851" s="115">
        <v>2.0509717633503639E-2</v>
      </c>
      <c r="P851" s="108">
        <v>4.7385998384779977E-2</v>
      </c>
      <c r="Q851" s="108">
        <v>0.94771996769559941</v>
      </c>
      <c r="R851" s="49">
        <v>41684775.260491855</v>
      </c>
    </row>
    <row r="852" spans="1:18" x14ac:dyDescent="0.25">
      <c r="A852">
        <f t="shared" si="16"/>
        <v>840</v>
      </c>
      <c r="B852" s="168">
        <v>0.99928045091364082</v>
      </c>
      <c r="C852" s="122">
        <v>0.85533990549920502</v>
      </c>
      <c r="D852" s="122">
        <v>0.90907491359579784</v>
      </c>
      <c r="E852" s="122">
        <v>1.7348252815013232</v>
      </c>
      <c r="F852" s="122">
        <v>3.9048064328853207</v>
      </c>
      <c r="G852" s="122">
        <v>1.1043854422525123</v>
      </c>
      <c r="H852" s="163">
        <v>1</v>
      </c>
      <c r="I852" s="12">
        <v>3.0772661335979279E-2</v>
      </c>
      <c r="J852" s="115">
        <v>1.5625456724037139E-2</v>
      </c>
      <c r="K852" s="115">
        <v>9.0442544913065144E-4</v>
      </c>
      <c r="L852" s="115">
        <v>-1.2780647935933007E-2</v>
      </c>
      <c r="P852" s="108">
        <v>-7.9877889091064219E-2</v>
      </c>
      <c r="Q852" s="108">
        <v>-1.5975577818212843</v>
      </c>
      <c r="R852" s="49">
        <v>-70267420.093294457</v>
      </c>
    </row>
    <row r="853" spans="1:18" x14ac:dyDescent="0.25">
      <c r="A853">
        <f t="shared" si="16"/>
        <v>841</v>
      </c>
      <c r="B853" s="168">
        <v>0.99683710522277469</v>
      </c>
      <c r="C853" s="122">
        <v>0.90506961691720655</v>
      </c>
      <c r="D853" s="122">
        <v>0.90775618291899329</v>
      </c>
      <c r="E853" s="122">
        <v>2.9218721783376762</v>
      </c>
      <c r="F853" s="122">
        <v>5.1982099724725206</v>
      </c>
      <c r="G853" s="122">
        <v>1.0731482180207035</v>
      </c>
      <c r="H853" s="163">
        <v>1</v>
      </c>
      <c r="I853" s="12">
        <v>3.8826673685658175E-2</v>
      </c>
      <c r="J853" s="115">
        <v>4.0260356918803288E-2</v>
      </c>
      <c r="K853" s="115">
        <v>8.2742394771819008E-3</v>
      </c>
      <c r="L853" s="115">
        <v>4.142742311767008E-2</v>
      </c>
      <c r="P853" s="108">
        <v>7.8091724808500698E-2</v>
      </c>
      <c r="Q853" s="108">
        <v>1.5618344961700137</v>
      </c>
      <c r="R853" s="49">
        <v>68696157.289197996</v>
      </c>
    </row>
    <row r="854" spans="1:18" x14ac:dyDescent="0.25">
      <c r="A854">
        <f t="shared" si="16"/>
        <v>842</v>
      </c>
      <c r="B854" s="168">
        <v>1.0042876213986989</v>
      </c>
      <c r="C854" s="122">
        <v>0.88413188675396026</v>
      </c>
      <c r="D854" s="122">
        <v>0.90095323135668126</v>
      </c>
      <c r="E854" s="122">
        <v>3.672246560734362</v>
      </c>
      <c r="F854" s="122">
        <v>7.0817493286228252</v>
      </c>
      <c r="G854" s="122">
        <v>1.1170369238313564</v>
      </c>
      <c r="H854" s="163">
        <v>1</v>
      </c>
      <c r="I854" s="12">
        <v>3.6496836620351567E-2</v>
      </c>
      <c r="J854" s="115">
        <v>5.10695802060704E-2</v>
      </c>
      <c r="K854" s="115">
        <v>5.4913635522874527E-3</v>
      </c>
      <c r="L854" s="115">
        <v>4.3386694200226505E-2</v>
      </c>
      <c r="P854" s="108">
        <v>0.12301086694416229</v>
      </c>
      <c r="Q854" s="108">
        <v>2.4602173388832451</v>
      </c>
      <c r="R854" s="49">
        <v>108210874.89870518</v>
      </c>
    </row>
    <row r="855" spans="1:18" x14ac:dyDescent="0.25">
      <c r="A855">
        <f t="shared" si="16"/>
        <v>843</v>
      </c>
      <c r="B855" s="168">
        <v>1.0026837068193013</v>
      </c>
      <c r="C855" s="122">
        <v>0.92347527399411233</v>
      </c>
      <c r="D855" s="122">
        <v>0.89885943826712411</v>
      </c>
      <c r="E855" s="122">
        <v>1.0514812531991633</v>
      </c>
      <c r="F855" s="122">
        <v>7.6099135164011278</v>
      </c>
      <c r="G855" s="122">
        <v>1.1070070789435735</v>
      </c>
      <c r="H855" s="163">
        <v>1</v>
      </c>
      <c r="I855" s="12">
        <v>1.8938436610180992E-2</v>
      </c>
      <c r="J855" s="115">
        <v>4.7046592402866148E-2</v>
      </c>
      <c r="K855" s="115">
        <v>-1.9827159647157833E-3</v>
      </c>
      <c r="L855" s="115">
        <v>3.5833756572848999E-2</v>
      </c>
      <c r="P855" s="108">
        <v>0.12565658588046399</v>
      </c>
      <c r="Q855" s="108">
        <v>2.5131317176092796</v>
      </c>
      <c r="R855" s="49">
        <v>110538275.46050461</v>
      </c>
    </row>
    <row r="856" spans="1:18" x14ac:dyDescent="0.25">
      <c r="A856">
        <f t="shared" si="16"/>
        <v>844</v>
      </c>
      <c r="B856" s="168">
        <v>1.0155669093399327</v>
      </c>
      <c r="C856" s="122">
        <v>0.87880965391519728</v>
      </c>
      <c r="D856" s="122">
        <v>0.91609332623367601</v>
      </c>
      <c r="E856" s="122">
        <v>1.6391149164166228</v>
      </c>
      <c r="F856" s="122">
        <v>7.1070583563090075</v>
      </c>
      <c r="G856" s="122">
        <v>1.0776152473543603</v>
      </c>
      <c r="H856" s="163">
        <v>1</v>
      </c>
      <c r="I856" s="12">
        <v>5.2290764652943439E-3</v>
      </c>
      <c r="J856" s="115">
        <v>4.8463091266790034E-2</v>
      </c>
      <c r="K856" s="115">
        <v>-3.1009366462437533E-3</v>
      </c>
      <c r="L856" s="115">
        <v>1.6366378644886319E-2</v>
      </c>
      <c r="P856" s="108">
        <v>9.1131115119465367E-2</v>
      </c>
      <c r="Q856" s="108">
        <v>1.8226223023893071</v>
      </c>
      <c r="R856" s="49">
        <v>80166719.758574605</v>
      </c>
    </row>
    <row r="857" spans="1:18" x14ac:dyDescent="0.25">
      <c r="A857">
        <f t="shared" si="16"/>
        <v>845</v>
      </c>
      <c r="B857" s="168">
        <v>1.0140760677652187</v>
      </c>
      <c r="C857" s="122">
        <v>0.93821838480265651</v>
      </c>
      <c r="D857" s="122">
        <v>0.89931349037501651</v>
      </c>
      <c r="E857" s="122">
        <v>1.4785975441253525</v>
      </c>
      <c r="F857" s="122">
        <v>3.5464851466492542</v>
      </c>
      <c r="G857" s="122">
        <v>1.0947761200156609</v>
      </c>
      <c r="H857" s="163">
        <v>1</v>
      </c>
      <c r="I857" s="12">
        <v>2.7101845292698708E-2</v>
      </c>
      <c r="J857" s="115">
        <v>5.8483546197862765E-2</v>
      </c>
      <c r="K857" s="115">
        <v>2.6302743214331051E-3</v>
      </c>
      <c r="L857" s="115">
        <v>2.5335141958645151E-2</v>
      </c>
      <c r="P857" s="108">
        <v>9.0282893798719552E-2</v>
      </c>
      <c r="Q857" s="108">
        <v>1.8056578759743906</v>
      </c>
      <c r="R857" s="49">
        <v>79420551.769470811</v>
      </c>
    </row>
    <row r="858" spans="1:18" x14ac:dyDescent="0.25">
      <c r="A858">
        <f t="shared" si="16"/>
        <v>846</v>
      </c>
      <c r="B858" s="168">
        <v>0.9950789252552954</v>
      </c>
      <c r="C858" s="122">
        <v>0.85645753494602561</v>
      </c>
      <c r="D858" s="122">
        <v>0.89352262382953684</v>
      </c>
      <c r="E858" s="122">
        <v>2.0509634703515514</v>
      </c>
      <c r="F858" s="122">
        <v>6.3059053564835077</v>
      </c>
      <c r="G858" s="122">
        <v>1.0917836098610991</v>
      </c>
      <c r="H858" s="163">
        <v>1</v>
      </c>
      <c r="I858" s="12">
        <v>3.5738239730607378E-2</v>
      </c>
      <c r="J858" s="115">
        <v>7.2138997846624503E-2</v>
      </c>
      <c r="K858" s="115">
        <v>-1.0605951656991838E-2</v>
      </c>
      <c r="L858" s="115">
        <v>3.0469849345131399E-2</v>
      </c>
      <c r="P858" s="108">
        <v>0.19036880230139949</v>
      </c>
      <c r="Q858" s="108">
        <v>3.8073760460279895</v>
      </c>
      <c r="R858" s="49">
        <v>167464673.34307894</v>
      </c>
    </row>
    <row r="859" spans="1:18" x14ac:dyDescent="0.25">
      <c r="A859">
        <f t="shared" si="16"/>
        <v>847</v>
      </c>
      <c r="B859" s="168">
        <v>0.99973473251111011</v>
      </c>
      <c r="C859" s="122">
        <v>0.89123122726628057</v>
      </c>
      <c r="D859" s="122">
        <v>0.89687655524557852</v>
      </c>
      <c r="E859" s="122">
        <v>2.6351307300900269</v>
      </c>
      <c r="F859" s="122">
        <v>2.80037177345165</v>
      </c>
      <c r="G859" s="122">
        <v>1.1365739335251819</v>
      </c>
      <c r="H859" s="163">
        <v>1</v>
      </c>
      <c r="I859" s="12">
        <v>3.7264206076037601E-2</v>
      </c>
      <c r="J859" s="115">
        <v>4.664269662208724E-2</v>
      </c>
      <c r="K859" s="115">
        <v>2.0851048448386617E-3</v>
      </c>
      <c r="L859" s="115">
        <v>3.2046220350234383E-2</v>
      </c>
      <c r="P859" s="108">
        <v>3.8221096336276315E-2</v>
      </c>
      <c r="Q859" s="108">
        <v>0.76442192672552611</v>
      </c>
      <c r="R859" s="49">
        <v>33622543.901048675</v>
      </c>
    </row>
    <row r="860" spans="1:18" x14ac:dyDescent="0.25">
      <c r="A860">
        <f t="shared" si="16"/>
        <v>848</v>
      </c>
      <c r="B860" s="168">
        <v>0.98798541301327625</v>
      </c>
      <c r="C860" s="122">
        <v>0.84555521452552473</v>
      </c>
      <c r="D860" s="122">
        <v>0.88134589383238748</v>
      </c>
      <c r="E860" s="122">
        <v>1.270058187864072</v>
      </c>
      <c r="F860" s="122">
        <v>4.2018112791974005</v>
      </c>
      <c r="G860" s="122">
        <v>1.1059644375461155</v>
      </c>
      <c r="H860" s="163">
        <v>1</v>
      </c>
      <c r="I860" s="12">
        <v>3.4671889518613316E-2</v>
      </c>
      <c r="J860" s="115">
        <v>2.4009930026572406E-2</v>
      </c>
      <c r="K860" s="115">
        <v>5.5023604146585692E-3</v>
      </c>
      <c r="L860" s="115">
        <v>4.9530341463943348E-2</v>
      </c>
      <c r="P860" s="108">
        <v>1.1039586062799683E-2</v>
      </c>
      <c r="Q860" s="108">
        <v>0.22079172125599361</v>
      </c>
      <c r="R860" s="49">
        <v>9711363.6872209422</v>
      </c>
    </row>
    <row r="861" spans="1:18" x14ac:dyDescent="0.25">
      <c r="A861">
        <f t="shared" si="16"/>
        <v>849</v>
      </c>
      <c r="B861" s="168">
        <v>1.0105180748380871</v>
      </c>
      <c r="C861" s="122">
        <v>0.88979167912550183</v>
      </c>
      <c r="D861" s="122">
        <v>0.90430923230437665</v>
      </c>
      <c r="E861" s="122">
        <v>2.6139517543352886</v>
      </c>
      <c r="F861" s="122">
        <v>6.2962183800942713</v>
      </c>
      <c r="G861" s="122">
        <v>1.1237149789153407</v>
      </c>
      <c r="H861" s="163">
        <v>1</v>
      </c>
      <c r="I861" s="12">
        <v>2.0312972207501157E-2</v>
      </c>
      <c r="J861" s="115">
        <v>4.8535748645260647E-2</v>
      </c>
      <c r="K861" s="115">
        <v>1.4859996664366316E-3</v>
      </c>
      <c r="L861" s="115">
        <v>1.1709074000434336E-2</v>
      </c>
      <c r="P861" s="108">
        <v>7.4016796787726977E-2</v>
      </c>
      <c r="Q861" s="108">
        <v>1.4803359357545391</v>
      </c>
      <c r="R861" s="49">
        <v>65111502.232036814</v>
      </c>
    </row>
    <row r="862" spans="1:18" x14ac:dyDescent="0.25">
      <c r="A862">
        <f t="shared" si="16"/>
        <v>850</v>
      </c>
      <c r="B862" s="168">
        <v>0.99662324250323719</v>
      </c>
      <c r="C862" s="122">
        <v>0.87843946696318509</v>
      </c>
      <c r="D862" s="122">
        <v>0.90193429360801736</v>
      </c>
      <c r="E862" s="122">
        <v>2.9952263127783318</v>
      </c>
      <c r="F862" s="122">
        <v>4.6300229948352758</v>
      </c>
      <c r="G862" s="122">
        <v>1.1018721218893224</v>
      </c>
      <c r="H862" s="163">
        <v>1</v>
      </c>
      <c r="I862" s="12">
        <v>2.7349630994163713E-2</v>
      </c>
      <c r="J862" s="115">
        <v>6.958756601215263E-2</v>
      </c>
      <c r="K862" s="115">
        <v>2.4004435244670366E-3</v>
      </c>
      <c r="L862" s="115">
        <v>-8.4070125158947143E-3</v>
      </c>
      <c r="P862" s="108">
        <v>0.11705603419204194</v>
      </c>
      <c r="Q862" s="108">
        <v>2.3411206838408383</v>
      </c>
      <c r="R862" s="49">
        <v>102972494.92472367</v>
      </c>
    </row>
    <row r="863" spans="1:18" x14ac:dyDescent="0.25">
      <c r="A863">
        <f t="shared" si="16"/>
        <v>851</v>
      </c>
      <c r="B863" s="168">
        <v>0.99639562387536829</v>
      </c>
      <c r="C863" s="122">
        <v>0.94339683516641226</v>
      </c>
      <c r="D863" s="122">
        <v>0.90713240431835496</v>
      </c>
      <c r="E863" s="122">
        <v>1.5878432431150855</v>
      </c>
      <c r="F863" s="122">
        <v>5.2502394335411866</v>
      </c>
      <c r="G863" s="122">
        <v>1.1402219184290001</v>
      </c>
      <c r="H863" s="163">
        <v>1</v>
      </c>
      <c r="I863" s="12">
        <v>1.4394865389918734E-2</v>
      </c>
      <c r="J863" s="115">
        <v>5.5406839108990719E-2</v>
      </c>
      <c r="K863" s="115">
        <v>1.35306190261699E-2</v>
      </c>
      <c r="L863" s="115">
        <v>1.9792687846829304E-2</v>
      </c>
      <c r="P863" s="108">
        <v>9.4282778733089392E-2</v>
      </c>
      <c r="Q863" s="108">
        <v>1.8856555746617873</v>
      </c>
      <c r="R863" s="49">
        <v>82939192.51231499</v>
      </c>
    </row>
    <row r="864" spans="1:18" x14ac:dyDescent="0.25">
      <c r="A864">
        <f t="shared" si="16"/>
        <v>852</v>
      </c>
      <c r="B864" s="168">
        <v>1.0029924505603394</v>
      </c>
      <c r="C864" s="122">
        <v>0.90258971203426652</v>
      </c>
      <c r="D864" s="122">
        <v>0.91370191864921224</v>
      </c>
      <c r="E864" s="122">
        <v>0.82471874154124292</v>
      </c>
      <c r="F864" s="122">
        <v>5.6738335708739918</v>
      </c>
      <c r="G864" s="122">
        <v>1.1308211417925542</v>
      </c>
      <c r="H864" s="163">
        <v>1</v>
      </c>
      <c r="I864" s="12">
        <v>4.0001675975058541E-2</v>
      </c>
      <c r="J864" s="115">
        <v>6.6628392947153336E-2</v>
      </c>
      <c r="K864" s="115">
        <v>1.9479021443112063E-3</v>
      </c>
      <c r="L864" s="115">
        <v>1.860332908878333E-2</v>
      </c>
      <c r="P864" s="108">
        <v>0.1733481674940196</v>
      </c>
      <c r="Q864" s="108">
        <v>3.4669633498803916</v>
      </c>
      <c r="R864" s="49">
        <v>152491867.85367465</v>
      </c>
    </row>
    <row r="865" spans="1:18" x14ac:dyDescent="0.25">
      <c r="A865">
        <f t="shared" si="16"/>
        <v>853</v>
      </c>
      <c r="B865" s="168">
        <v>1.0152676742225417</v>
      </c>
      <c r="C865" s="122">
        <v>0.86996264278833801</v>
      </c>
      <c r="D865" s="122">
        <v>0.88973888972128534</v>
      </c>
      <c r="E865" s="122">
        <v>2.239810608429003</v>
      </c>
      <c r="F865" s="122">
        <v>4.2990316519690577</v>
      </c>
      <c r="G865" s="122">
        <v>1.1290989694235938</v>
      </c>
      <c r="H865" s="163">
        <v>1</v>
      </c>
      <c r="I865" s="12">
        <v>4.1263684431374216E-2</v>
      </c>
      <c r="J865" s="115">
        <v>6.1772212218828393E-2</v>
      </c>
      <c r="K865" s="115">
        <v>5.6922690568276873E-3</v>
      </c>
      <c r="L865" s="115">
        <v>2.9460841407879145E-2</v>
      </c>
      <c r="P865" s="108">
        <v>0.12374732566728495</v>
      </c>
      <c r="Q865" s="108">
        <v>2.4749465133456985</v>
      </c>
      <c r="R865" s="49">
        <v>108858726.95223194</v>
      </c>
    </row>
    <row r="866" spans="1:18" x14ac:dyDescent="0.25">
      <c r="A866">
        <f t="shared" si="16"/>
        <v>854</v>
      </c>
      <c r="B866" s="168">
        <v>0.99538954983682049</v>
      </c>
      <c r="C866" s="122">
        <v>0.87016755971311299</v>
      </c>
      <c r="D866" s="122">
        <v>0.89712641144175731</v>
      </c>
      <c r="E866" s="122">
        <v>2.5607658302924037</v>
      </c>
      <c r="F866" s="122">
        <v>4.7260933464786774</v>
      </c>
      <c r="G866" s="122">
        <v>1.1340685285752194</v>
      </c>
      <c r="H866" s="163">
        <v>1</v>
      </c>
      <c r="I866" s="12">
        <v>1.6606717770911737E-2</v>
      </c>
      <c r="J866" s="115">
        <v>2.0127571448765577E-2</v>
      </c>
      <c r="K866" s="115">
        <v>6.5051811229020779E-3</v>
      </c>
      <c r="L866" s="115">
        <v>7.6801153476979914E-3</v>
      </c>
      <c r="P866" s="108">
        <v>-5.3323601219162728E-2</v>
      </c>
      <c r="Q866" s="108">
        <v>-1.0664720243832544</v>
      </c>
      <c r="R866" s="49">
        <v>-46907998.325826734</v>
      </c>
    </row>
    <row r="867" spans="1:18" x14ac:dyDescent="0.25">
      <c r="A867">
        <f t="shared" si="16"/>
        <v>855</v>
      </c>
      <c r="B867" s="168">
        <v>1.0026511138752934</v>
      </c>
      <c r="C867" s="122">
        <v>0.89762948009602173</v>
      </c>
      <c r="D867" s="122">
        <v>0.90815606066986165</v>
      </c>
      <c r="E867" s="122">
        <v>2.3138478558923539</v>
      </c>
      <c r="F867" s="122">
        <v>7.1754030447918176</v>
      </c>
      <c r="G867" s="122">
        <v>1.095545633473705</v>
      </c>
      <c r="H867" s="163">
        <v>1</v>
      </c>
      <c r="I867" s="12">
        <v>2.3723123168242079E-2</v>
      </c>
      <c r="J867" s="115">
        <v>6.3654339799427001E-2</v>
      </c>
      <c r="K867" s="115">
        <v>1.6400482020614712E-2</v>
      </c>
      <c r="L867" s="115">
        <v>3.6696309089674813E-3</v>
      </c>
      <c r="P867" s="108">
        <v>0.14352391772828829</v>
      </c>
      <c r="Q867" s="108">
        <v>2.8704783545657655</v>
      </c>
      <c r="R867" s="49">
        <v>126255908.0517472</v>
      </c>
    </row>
    <row r="868" spans="1:18" x14ac:dyDescent="0.25">
      <c r="A868">
        <f t="shared" si="16"/>
        <v>856</v>
      </c>
      <c r="B868" s="168">
        <v>1.004090735816314</v>
      </c>
      <c r="C868" s="122">
        <v>0.88242422304567913</v>
      </c>
      <c r="D868" s="122">
        <v>0.90207612922004876</v>
      </c>
      <c r="E868" s="122">
        <v>1.6477738363982322</v>
      </c>
      <c r="F868" s="122">
        <v>3.4816276060840909</v>
      </c>
      <c r="G868" s="122">
        <v>1.0624394906812868</v>
      </c>
      <c r="H868" s="163">
        <v>1</v>
      </c>
      <c r="I868" s="12">
        <v>2.4240275148436997E-2</v>
      </c>
      <c r="J868" s="115">
        <v>3.7083508702644652E-2</v>
      </c>
      <c r="K868" s="115">
        <v>-3.5685557654619232E-3</v>
      </c>
      <c r="L868" s="115">
        <v>1.0368883493882215E-2</v>
      </c>
      <c r="P868" s="108">
        <v>4.9766923274906019E-3</v>
      </c>
      <c r="Q868" s="108">
        <v>9.9533846549812025E-2</v>
      </c>
      <c r="R868" s="49">
        <v>4377924.0341740306</v>
      </c>
    </row>
    <row r="869" spans="1:18" x14ac:dyDescent="0.25">
      <c r="A869">
        <f t="shared" si="16"/>
        <v>857</v>
      </c>
      <c r="B869" s="168">
        <v>1.0018957993205848</v>
      </c>
      <c r="C869" s="122">
        <v>0.97452699859799996</v>
      </c>
      <c r="D869" s="122">
        <v>0.89879127859653274</v>
      </c>
      <c r="E869" s="122">
        <v>3.0994125213893362</v>
      </c>
      <c r="F869" s="122">
        <v>6.1115956556556146</v>
      </c>
      <c r="G869" s="122">
        <v>1.1183405260759789</v>
      </c>
      <c r="H869" s="163">
        <v>1</v>
      </c>
      <c r="I869" s="12">
        <v>4.375406635242525E-2</v>
      </c>
      <c r="J869" s="115">
        <v>5.7028075475512245E-2</v>
      </c>
      <c r="K869" s="115">
        <v>-9.3135243456796395E-4</v>
      </c>
      <c r="L869" s="115">
        <v>6.3486148231084224E-3</v>
      </c>
      <c r="P869" s="108">
        <v>0.11477521498707169</v>
      </c>
      <c r="Q869" s="108">
        <v>2.2955042997414332</v>
      </c>
      <c r="R869" s="49">
        <v>100966091.36228365</v>
      </c>
    </row>
    <row r="870" spans="1:18" x14ac:dyDescent="0.25">
      <c r="A870">
        <f t="shared" si="16"/>
        <v>858</v>
      </c>
      <c r="B870" s="168">
        <v>0.99888548965264989</v>
      </c>
      <c r="C870" s="122">
        <v>0.92847418184674135</v>
      </c>
      <c r="D870" s="122">
        <v>0.92073086212356903</v>
      </c>
      <c r="E870" s="122">
        <v>1.7427551974448192</v>
      </c>
      <c r="F870" s="122">
        <v>6.9859942970898805</v>
      </c>
      <c r="G870" s="122">
        <v>1.0806228847050392</v>
      </c>
      <c r="H870" s="163">
        <v>1</v>
      </c>
      <c r="I870" s="12">
        <v>2.5724867874391752E-2</v>
      </c>
      <c r="J870" s="115">
        <v>6.2124819371742454E-2</v>
      </c>
      <c r="K870" s="115">
        <v>-5.1170423835369848E-3</v>
      </c>
      <c r="L870" s="115">
        <v>3.2042316526379511E-2</v>
      </c>
      <c r="P870" s="108">
        <v>0.16424232204893063</v>
      </c>
      <c r="Q870" s="108">
        <v>3.2848464409786122</v>
      </c>
      <c r="R870" s="49">
        <v>144481587.73140913</v>
      </c>
    </row>
    <row r="871" spans="1:18" x14ac:dyDescent="0.25">
      <c r="A871">
        <f t="shared" si="16"/>
        <v>859</v>
      </c>
      <c r="B871" s="168">
        <v>1.0009072554097695</v>
      </c>
      <c r="C871" s="122">
        <v>0.91534265741811749</v>
      </c>
      <c r="D871" s="122">
        <v>0.90923339886144239</v>
      </c>
      <c r="E871" s="122">
        <v>1.8918725632466891</v>
      </c>
      <c r="F871" s="122">
        <v>5.5293350575508819</v>
      </c>
      <c r="G871" s="122">
        <v>1.0952840620393753</v>
      </c>
      <c r="H871" s="163">
        <v>1</v>
      </c>
      <c r="I871" s="12">
        <v>1.8595527515665851E-2</v>
      </c>
      <c r="J871" s="115">
        <v>4.7323530154943172E-2</v>
      </c>
      <c r="K871" s="115">
        <v>9.4934967581327395E-3</v>
      </c>
      <c r="L871" s="115">
        <v>-1.4218273480282092E-2</v>
      </c>
      <c r="P871" s="108">
        <v>5.1755416331909186E-2</v>
      </c>
      <c r="Q871" s="108">
        <v>1.0351083266381835</v>
      </c>
      <c r="R871" s="49">
        <v>45528488.833143786</v>
      </c>
    </row>
    <row r="872" spans="1:18" x14ac:dyDescent="0.25">
      <c r="A872">
        <f t="shared" si="16"/>
        <v>860</v>
      </c>
      <c r="B872" s="168">
        <v>0.97977311434763847</v>
      </c>
      <c r="C872" s="122">
        <v>0.92885990902419302</v>
      </c>
      <c r="D872" s="122">
        <v>0.89812924331861266</v>
      </c>
      <c r="E872" s="122">
        <v>1.4585138285037902</v>
      </c>
      <c r="F872" s="122">
        <v>2.7987771539124044</v>
      </c>
      <c r="G872" s="122">
        <v>1.0795598624581673</v>
      </c>
      <c r="H872" s="163">
        <v>1</v>
      </c>
      <c r="I872" s="12">
        <v>3.1097014589121362E-2</v>
      </c>
      <c r="J872" s="115">
        <v>3.4056741325161968E-2</v>
      </c>
      <c r="K872" s="115">
        <v>-2.2832710272867388E-3</v>
      </c>
      <c r="L872" s="115">
        <v>1.7453443272919721E-2</v>
      </c>
      <c r="P872" s="108">
        <v>-1.6246857291876596E-2</v>
      </c>
      <c r="Q872" s="108">
        <v>-0.32493714583753192</v>
      </c>
      <c r="R872" s="49">
        <v>-14292124.635674786</v>
      </c>
    </row>
    <row r="873" spans="1:18" x14ac:dyDescent="0.25">
      <c r="A873">
        <f t="shared" si="16"/>
        <v>861</v>
      </c>
      <c r="B873" s="168">
        <v>1.0108087873565355</v>
      </c>
      <c r="C873" s="122">
        <v>0.90721805291988789</v>
      </c>
      <c r="D873" s="122">
        <v>0.89078312842162966</v>
      </c>
      <c r="E873" s="122">
        <v>1.40992291583741</v>
      </c>
      <c r="F873" s="122">
        <v>2.6083577012502834</v>
      </c>
      <c r="G873" s="122">
        <v>1.0784788451655936</v>
      </c>
      <c r="H873" s="163">
        <v>1</v>
      </c>
      <c r="I873" s="12">
        <v>2.1976855172574632E-2</v>
      </c>
      <c r="J873" s="115">
        <v>5.9545001105472728E-2</v>
      </c>
      <c r="K873" s="115">
        <v>1.0663646750541677E-3</v>
      </c>
      <c r="L873" s="115">
        <v>2.4889769264602596E-2</v>
      </c>
      <c r="P873" s="108">
        <v>6.3226415159079272E-2</v>
      </c>
      <c r="Q873" s="108">
        <v>1.2645283031815853</v>
      </c>
      <c r="R873" s="49">
        <v>55619360.069857754</v>
      </c>
    </row>
    <row r="874" spans="1:18" x14ac:dyDescent="0.25">
      <c r="A874">
        <f t="shared" si="16"/>
        <v>862</v>
      </c>
      <c r="B874" s="168">
        <v>1.0116703583272015</v>
      </c>
      <c r="C874" s="122">
        <v>0.8909872900667386</v>
      </c>
      <c r="D874" s="122">
        <v>0.89867799870580634</v>
      </c>
      <c r="E874" s="122">
        <v>2.7183309452424318</v>
      </c>
      <c r="F874" s="122">
        <v>4.4989040259447943</v>
      </c>
      <c r="G874" s="122">
        <v>1.0809380724853639</v>
      </c>
      <c r="H874" s="163">
        <v>1</v>
      </c>
      <c r="I874" s="12">
        <v>3.0463046473068866E-2</v>
      </c>
      <c r="J874" s="115">
        <v>2.0475133752797584E-2</v>
      </c>
      <c r="K874" s="115">
        <v>-4.5042357721134232E-3</v>
      </c>
      <c r="L874" s="115">
        <v>1.6136755688205356E-2</v>
      </c>
      <c r="P874" s="108">
        <v>-3.0500022815033969E-2</v>
      </c>
      <c r="Q874" s="108">
        <v>-0.61000045630067934</v>
      </c>
      <c r="R874" s="49">
        <v>-26830427.54867702</v>
      </c>
    </row>
    <row r="875" spans="1:18" x14ac:dyDescent="0.25">
      <c r="A875">
        <f t="shared" si="16"/>
        <v>863</v>
      </c>
      <c r="B875" s="168">
        <v>0.98807433318515325</v>
      </c>
      <c r="C875" s="122">
        <v>0.86451554455259372</v>
      </c>
      <c r="D875" s="122">
        <v>0.92635770732542977</v>
      </c>
      <c r="E875" s="122">
        <v>3.2546805220775523</v>
      </c>
      <c r="F875" s="122">
        <v>5.5384380676144014</v>
      </c>
      <c r="G875" s="122">
        <v>1.1244603317172395</v>
      </c>
      <c r="H875" s="163">
        <v>1</v>
      </c>
      <c r="I875" s="12">
        <v>3.8479477838359977E-2</v>
      </c>
      <c r="J875" s="115">
        <v>5.4587263107234801E-2</v>
      </c>
      <c r="K875" s="115">
        <v>-1.7308660289626288E-2</v>
      </c>
      <c r="L875" s="115">
        <v>-9.7044363991347082E-4</v>
      </c>
      <c r="P875" s="108">
        <v>8.3252379283392006E-2</v>
      </c>
      <c r="Q875" s="108">
        <v>1.6650475856678397</v>
      </c>
      <c r="R875" s="49">
        <v>73235910.155352488</v>
      </c>
    </row>
    <row r="876" spans="1:18" x14ac:dyDescent="0.25">
      <c r="A876">
        <f t="shared" si="16"/>
        <v>864</v>
      </c>
      <c r="B876" s="168">
        <v>0.99643807605568302</v>
      </c>
      <c r="C876" s="122">
        <v>0.94212726632475785</v>
      </c>
      <c r="D876" s="122">
        <v>0.90355731323369848</v>
      </c>
      <c r="E876" s="122">
        <v>3.262749485481415</v>
      </c>
      <c r="F876" s="122">
        <v>6.1970090801310613</v>
      </c>
      <c r="G876" s="122">
        <v>1.0510970668814592</v>
      </c>
      <c r="H876" s="163">
        <v>1</v>
      </c>
      <c r="I876" s="12">
        <v>3.4966528683042807E-2</v>
      </c>
      <c r="J876" s="115">
        <v>1.7468886513953001E-2</v>
      </c>
      <c r="K876" s="115">
        <v>5.906928161817173E-3</v>
      </c>
      <c r="L876" s="115">
        <v>4.0912556407363181E-2</v>
      </c>
      <c r="P876" s="108">
        <v>7.8051136897357197E-3</v>
      </c>
      <c r="Q876" s="108">
        <v>0.15610227379471436</v>
      </c>
      <c r="R876" s="49">
        <v>6866045.2692650743</v>
      </c>
    </row>
    <row r="877" spans="1:18" x14ac:dyDescent="0.25">
      <c r="A877">
        <f t="shared" si="16"/>
        <v>865</v>
      </c>
      <c r="B877" s="168">
        <v>0.99909325819845518</v>
      </c>
      <c r="C877" s="122">
        <v>0.89840629743401634</v>
      </c>
      <c r="D877" s="122">
        <v>0.89691789391369259</v>
      </c>
      <c r="E877" s="122">
        <v>3.5019384283771355</v>
      </c>
      <c r="F877" s="122">
        <v>5.9862527403051891</v>
      </c>
      <c r="G877" s="122">
        <v>1.0673368613186642</v>
      </c>
      <c r="H877" s="163">
        <v>1</v>
      </c>
      <c r="I877" s="12">
        <v>1.377556301274336E-2</v>
      </c>
      <c r="J877" s="115">
        <v>3.9556150466599348E-2</v>
      </c>
      <c r="K877" s="115">
        <v>1.3068976605320456E-2</v>
      </c>
      <c r="L877" s="115">
        <v>1.6537347470255995E-2</v>
      </c>
      <c r="P877" s="108">
        <v>4.3870377272136073E-2</v>
      </c>
      <c r="Q877" s="108">
        <v>0.87740754544272126</v>
      </c>
      <c r="R877" s="49">
        <v>38592134.3754858</v>
      </c>
    </row>
    <row r="878" spans="1:18" x14ac:dyDescent="0.25">
      <c r="A878">
        <f t="shared" si="16"/>
        <v>866</v>
      </c>
      <c r="B878" s="168">
        <v>1.0265866879479695</v>
      </c>
      <c r="C878" s="122">
        <v>0.89706424015222808</v>
      </c>
      <c r="D878" s="122">
        <v>0.88684663400308528</v>
      </c>
      <c r="E878" s="122">
        <v>3.1550856229969408</v>
      </c>
      <c r="F878" s="122">
        <v>3.4911612363980904</v>
      </c>
      <c r="G878" s="122">
        <v>1.1102344760795302</v>
      </c>
      <c r="H878" s="163">
        <v>1</v>
      </c>
      <c r="I878" s="12">
        <v>5.2529571270368919E-2</v>
      </c>
      <c r="J878" s="115">
        <v>4.1745051085381117E-2</v>
      </c>
      <c r="K878" s="115">
        <v>-1.3426913149939622E-2</v>
      </c>
      <c r="L878" s="115">
        <v>4.5318272552452316E-3</v>
      </c>
      <c r="P878" s="108">
        <v>3.0207777342398056E-2</v>
      </c>
      <c r="Q878" s="108">
        <v>0.60415554684796102</v>
      </c>
      <c r="R878" s="49">
        <v>26573343.446558848</v>
      </c>
    </row>
    <row r="879" spans="1:18" x14ac:dyDescent="0.25">
      <c r="A879">
        <f t="shared" si="16"/>
        <v>867</v>
      </c>
      <c r="B879" s="168">
        <v>1.013189955705655</v>
      </c>
      <c r="C879" s="122">
        <v>0.87684832452322348</v>
      </c>
      <c r="D879" s="122">
        <v>0.8782583212165006</v>
      </c>
      <c r="E879" s="122">
        <v>1.4417103131432301</v>
      </c>
      <c r="F879" s="122">
        <v>2.1868410286504285</v>
      </c>
      <c r="G879" s="122">
        <v>1.0866741544579674</v>
      </c>
      <c r="H879" s="163">
        <v>1</v>
      </c>
      <c r="I879" s="12">
        <v>1.0921258639640009E-2</v>
      </c>
      <c r="J879" s="115">
        <v>3.7542685431062199E-2</v>
      </c>
      <c r="K879" s="115">
        <v>-2.631247860877926E-3</v>
      </c>
      <c r="L879" s="115">
        <v>1.4685819962721964E-2</v>
      </c>
      <c r="P879" s="108">
        <v>-4.8306491842104039E-2</v>
      </c>
      <c r="Q879" s="108">
        <v>-0.96612983684208054</v>
      </c>
      <c r="R879" s="49">
        <v>-42494519.999554507</v>
      </c>
    </row>
    <row r="880" spans="1:18" x14ac:dyDescent="0.25">
      <c r="A880">
        <f t="shared" si="16"/>
        <v>868</v>
      </c>
      <c r="B880" s="168">
        <v>0.9976814434991913</v>
      </c>
      <c r="C880" s="122">
        <v>0.90881674363262466</v>
      </c>
      <c r="D880" s="122">
        <v>0.89413173264969648</v>
      </c>
      <c r="E880" s="122">
        <v>2.0234038931438629</v>
      </c>
      <c r="F880" s="122">
        <v>4.595169555042701</v>
      </c>
      <c r="G880" s="122">
        <v>1.1108601620071432</v>
      </c>
      <c r="H880" s="163">
        <v>1</v>
      </c>
      <c r="I880" s="12">
        <v>3.3509779817216333E-2</v>
      </c>
      <c r="J880" s="115">
        <v>4.3548706773141398E-2</v>
      </c>
      <c r="K880" s="115">
        <v>1.6467731552300057E-3</v>
      </c>
      <c r="L880" s="115">
        <v>5.8202347147080467E-3</v>
      </c>
      <c r="P880" s="108">
        <v>4.6156929622332803E-2</v>
      </c>
      <c r="Q880" s="108">
        <v>0.92313859244665586</v>
      </c>
      <c r="R880" s="49">
        <v>40603581.302599929</v>
      </c>
    </row>
    <row r="881" spans="1:18" x14ac:dyDescent="0.25">
      <c r="A881">
        <f t="shared" si="16"/>
        <v>869</v>
      </c>
      <c r="B881" s="168">
        <v>0.98354420000557607</v>
      </c>
      <c r="C881" s="122">
        <v>0.88728675728326867</v>
      </c>
      <c r="D881" s="122">
        <v>0.89620302406467478</v>
      </c>
      <c r="E881" s="122">
        <v>1.7271866855042537</v>
      </c>
      <c r="F881" s="122">
        <v>3.6529789970768007</v>
      </c>
      <c r="G881" s="122">
        <v>1.0656334697792715</v>
      </c>
      <c r="H881" s="163">
        <v>1</v>
      </c>
      <c r="I881" s="12">
        <v>2.8623210751107356E-2</v>
      </c>
      <c r="J881" s="115">
        <v>4.2379207348408304E-2</v>
      </c>
      <c r="K881" s="115">
        <v>-5.0936618635950446E-3</v>
      </c>
      <c r="L881" s="115">
        <v>2.5089947558896267E-2</v>
      </c>
      <c r="P881" s="108">
        <v>4.1550901686555758E-2</v>
      </c>
      <c r="Q881" s="108">
        <v>0.83101803373111494</v>
      </c>
      <c r="R881" s="49">
        <v>36551725.355884597</v>
      </c>
    </row>
    <row r="882" spans="1:18" x14ac:dyDescent="0.25">
      <c r="A882">
        <f t="shared" si="16"/>
        <v>870</v>
      </c>
      <c r="B882" s="168">
        <v>0.97635621659520977</v>
      </c>
      <c r="C882" s="122">
        <v>0.90636256224386635</v>
      </c>
      <c r="D882" s="122">
        <v>0.90705753608087247</v>
      </c>
      <c r="E882" s="122">
        <v>2.08574572312282</v>
      </c>
      <c r="F882" s="122">
        <v>2.1940704779088005</v>
      </c>
      <c r="G882" s="122">
        <v>1.0801272598581435</v>
      </c>
      <c r="H882" s="163">
        <v>1</v>
      </c>
      <c r="I882" s="12">
        <v>2.9361465128453709E-2</v>
      </c>
      <c r="J882" s="115">
        <v>6.711868854729397E-2</v>
      </c>
      <c r="K882" s="115">
        <v>-3.0288472831655018E-3</v>
      </c>
      <c r="L882" s="115">
        <v>2.1384058322036961E-2</v>
      </c>
      <c r="P882" s="108">
        <v>8.4869961740840993E-2</v>
      </c>
      <c r="Q882" s="108">
        <v>1.6973992348168196</v>
      </c>
      <c r="R882" s="49">
        <v>74658873.973832086</v>
      </c>
    </row>
    <row r="883" spans="1:18" x14ac:dyDescent="0.25">
      <c r="A883">
        <f t="shared" si="16"/>
        <v>871</v>
      </c>
      <c r="B883" s="168">
        <v>1.0054765044450966</v>
      </c>
      <c r="C883" s="122">
        <v>0.9408424874743786</v>
      </c>
      <c r="D883" s="122">
        <v>0.89912784117818578</v>
      </c>
      <c r="E883" s="122">
        <v>0.62843344046410765</v>
      </c>
      <c r="F883" s="122">
        <v>6.4103417240237306</v>
      </c>
      <c r="G883" s="122">
        <v>1.0661421381533527</v>
      </c>
      <c r="H883" s="163">
        <v>1</v>
      </c>
      <c r="I883" s="12">
        <v>2.8862787154016738E-2</v>
      </c>
      <c r="J883" s="115">
        <v>1.9917152213560191E-2</v>
      </c>
      <c r="K883" s="115">
        <v>1.9555522326880586E-3</v>
      </c>
      <c r="L883" s="115">
        <v>2.5468854187749277E-2</v>
      </c>
      <c r="P883" s="108">
        <v>3.3499035648449971E-2</v>
      </c>
      <c r="Q883" s="108">
        <v>0.6699807129689993</v>
      </c>
      <c r="R883" s="49">
        <v>29468615.625862904</v>
      </c>
    </row>
    <row r="884" spans="1:18" x14ac:dyDescent="0.25">
      <c r="A884">
        <f t="shared" si="16"/>
        <v>872</v>
      </c>
      <c r="B884" s="168">
        <v>1.0004363278939714</v>
      </c>
      <c r="C884" s="122">
        <v>0.92032546643985758</v>
      </c>
      <c r="D884" s="122">
        <v>0.89900056102356485</v>
      </c>
      <c r="E884" s="122">
        <v>2.4132949146734699</v>
      </c>
      <c r="F884" s="122">
        <v>4.9752353503735938</v>
      </c>
      <c r="G884" s="122">
        <v>1.0510487821373167</v>
      </c>
      <c r="H884" s="163">
        <v>1</v>
      </c>
      <c r="I884" s="12">
        <v>2.2894686643959935E-2</v>
      </c>
      <c r="J884" s="115">
        <v>3.2427773221877586E-2</v>
      </c>
      <c r="K884" s="115">
        <v>1.639182970969137E-3</v>
      </c>
      <c r="L884" s="115">
        <v>-1.7640501304923284E-3</v>
      </c>
      <c r="P884" s="108">
        <v>6.7395726569279982E-3</v>
      </c>
      <c r="Q884" s="108">
        <v>0.13479145313855995</v>
      </c>
      <c r="R884" s="49">
        <v>5928704.2825298924</v>
      </c>
    </row>
    <row r="885" spans="1:18" x14ac:dyDescent="0.25">
      <c r="A885">
        <f t="shared" si="16"/>
        <v>873</v>
      </c>
      <c r="B885" s="168">
        <v>0.99943043343697779</v>
      </c>
      <c r="C885" s="122">
        <v>0.93315675206678717</v>
      </c>
      <c r="D885" s="122">
        <v>0.89925516210710033</v>
      </c>
      <c r="E885" s="122">
        <v>0.65152938014737893</v>
      </c>
      <c r="F885" s="122">
        <v>2.7981284024579574</v>
      </c>
      <c r="G885" s="122">
        <v>1.0683474980180874</v>
      </c>
      <c r="H885" s="163">
        <v>1</v>
      </c>
      <c r="I885" s="12">
        <v>4.5191419414577633E-2</v>
      </c>
      <c r="J885" s="115">
        <v>3.1233169956738395E-2</v>
      </c>
      <c r="K885" s="115">
        <v>1.1197225915737283E-2</v>
      </c>
      <c r="L885" s="115">
        <v>-3.1080268847369363E-3</v>
      </c>
      <c r="P885" s="108">
        <v>-2.6125101873446861E-2</v>
      </c>
      <c r="Q885" s="108">
        <v>-0.5225020374689372</v>
      </c>
      <c r="R885" s="49">
        <v>-22981873.071642857</v>
      </c>
    </row>
    <row r="886" spans="1:18" x14ac:dyDescent="0.25">
      <c r="A886">
        <f t="shared" si="16"/>
        <v>874</v>
      </c>
      <c r="B886" s="168">
        <v>0.99757743906862573</v>
      </c>
      <c r="C886" s="122">
        <v>0.92285384219105882</v>
      </c>
      <c r="D886" s="122">
        <v>0.89527226920805958</v>
      </c>
      <c r="E886" s="122">
        <v>1.7506200504060936</v>
      </c>
      <c r="F886" s="122">
        <v>6.7408330786681354</v>
      </c>
      <c r="G886" s="122">
        <v>1.1351880751526604</v>
      </c>
      <c r="H886" s="163">
        <v>1</v>
      </c>
      <c r="I886" s="12">
        <v>4.2426922587328705E-2</v>
      </c>
      <c r="J886" s="115">
        <v>3.9446061500526243E-2</v>
      </c>
      <c r="K886" s="115">
        <v>6.6508766715736014E-3</v>
      </c>
      <c r="L886" s="115">
        <v>-1.1951424676178778E-2</v>
      </c>
      <c r="P886" s="108">
        <v>5.8217446233146133E-2</v>
      </c>
      <c r="Q886" s="108">
        <v>1.1643489246629224</v>
      </c>
      <c r="R886" s="49">
        <v>51213042.780331686</v>
      </c>
    </row>
    <row r="887" spans="1:18" x14ac:dyDescent="0.25">
      <c r="A887">
        <f t="shared" si="16"/>
        <v>875</v>
      </c>
      <c r="B887" s="168">
        <v>1.0089876362561772</v>
      </c>
      <c r="C887" s="122">
        <v>0.88436100321314359</v>
      </c>
      <c r="D887" s="122">
        <v>0.90397739637360719</v>
      </c>
      <c r="E887" s="122">
        <v>0.98211055846170314</v>
      </c>
      <c r="F887" s="122">
        <v>7.1337316868995178</v>
      </c>
      <c r="G887" s="122">
        <v>1.1079921081259094</v>
      </c>
      <c r="H887" s="163">
        <v>1</v>
      </c>
      <c r="I887" s="12">
        <v>2.0820829637568213E-2</v>
      </c>
      <c r="J887" s="115">
        <v>3.2969895640317742E-2</v>
      </c>
      <c r="K887" s="115">
        <v>9.6645403566278203E-3</v>
      </c>
      <c r="L887" s="115">
        <v>2.3491740280937992E-2</v>
      </c>
      <c r="P887" s="108">
        <v>6.7037843192463253E-2</v>
      </c>
      <c r="Q887" s="108">
        <v>1.3407568638492646</v>
      </c>
      <c r="R887" s="49">
        <v>58972218.011206508</v>
      </c>
    </row>
    <row r="888" spans="1:18" x14ac:dyDescent="0.25">
      <c r="A888">
        <f t="shared" si="16"/>
        <v>876</v>
      </c>
      <c r="B888" s="168">
        <v>0.99052453003011076</v>
      </c>
      <c r="C888" s="122">
        <v>0.86239709358095284</v>
      </c>
      <c r="D888" s="122">
        <v>0.90605324238388096</v>
      </c>
      <c r="E888" s="122">
        <v>2.4098182282146805</v>
      </c>
      <c r="F888" s="122">
        <v>5.5397786912520219</v>
      </c>
      <c r="G888" s="122">
        <v>1.1351251171127674</v>
      </c>
      <c r="H888" s="163">
        <v>1</v>
      </c>
      <c r="I888" s="12">
        <v>3.1708347488247884E-2</v>
      </c>
      <c r="J888" s="115">
        <v>2.7865442164547401E-2</v>
      </c>
      <c r="K888" s="115">
        <v>1.5950136859255067E-2</v>
      </c>
      <c r="L888" s="115">
        <v>2.2298200639554212E-2</v>
      </c>
      <c r="P888" s="108">
        <v>1.277698805928161E-2</v>
      </c>
      <c r="Q888" s="108">
        <v>0.25553976118563215</v>
      </c>
      <c r="R888" s="49">
        <v>11239731.015738409</v>
      </c>
    </row>
    <row r="889" spans="1:18" x14ac:dyDescent="0.25">
      <c r="A889">
        <f t="shared" si="16"/>
        <v>877</v>
      </c>
      <c r="B889" s="168">
        <v>1.003785126392905</v>
      </c>
      <c r="C889" s="122">
        <v>0.8978525703614304</v>
      </c>
      <c r="D889" s="122">
        <v>0.90152107327578823</v>
      </c>
      <c r="E889" s="122">
        <v>2.3009628008568148</v>
      </c>
      <c r="F889" s="122">
        <v>2.0976860553156658</v>
      </c>
      <c r="G889" s="122">
        <v>1.1350209652119958</v>
      </c>
      <c r="H889" s="163">
        <v>1</v>
      </c>
      <c r="I889" s="12">
        <v>2.8659377581485811E-2</v>
      </c>
      <c r="J889" s="115">
        <v>4.2570526529980356E-2</v>
      </c>
      <c r="K889" s="115">
        <v>-9.1962320839424731E-3</v>
      </c>
      <c r="L889" s="115">
        <v>1.8986120533385175E-2</v>
      </c>
      <c r="P889" s="108">
        <v>-1.5619689637370735E-2</v>
      </c>
      <c r="Q889" s="108">
        <v>-0.31239379274741469</v>
      </c>
      <c r="R889" s="49">
        <v>-13740414.349517262</v>
      </c>
    </row>
    <row r="890" spans="1:18" x14ac:dyDescent="0.25">
      <c r="A890">
        <f t="shared" si="16"/>
        <v>878</v>
      </c>
      <c r="B890" s="168">
        <v>0.97940524025042708</v>
      </c>
      <c r="C890" s="122">
        <v>0.93356407464070812</v>
      </c>
      <c r="D890" s="122">
        <v>0.89299396835833955</v>
      </c>
      <c r="E890" s="122">
        <v>1.6261649464000401</v>
      </c>
      <c r="F890" s="122">
        <v>4.7740210390892317</v>
      </c>
      <c r="G890" s="122">
        <v>1.1248912713299515</v>
      </c>
      <c r="H890" s="163">
        <v>1</v>
      </c>
      <c r="I890" s="12">
        <v>3.2173614433759448E-2</v>
      </c>
      <c r="J890" s="115">
        <v>1.5571093683426733E-2</v>
      </c>
      <c r="K890" s="115">
        <v>3.6909377247852679E-3</v>
      </c>
      <c r="L890" s="115">
        <v>3.6804829573085784E-2</v>
      </c>
      <c r="P890" s="108">
        <v>-2.4878459163076627E-2</v>
      </c>
      <c r="Q890" s="108">
        <v>-0.49756918326153249</v>
      </c>
      <c r="R890" s="49">
        <v>-21885219.566741634</v>
      </c>
    </row>
    <row r="891" spans="1:18" x14ac:dyDescent="0.25">
      <c r="A891">
        <f t="shared" si="16"/>
        <v>879</v>
      </c>
      <c r="B891" s="168">
        <v>1.005637533463237</v>
      </c>
      <c r="C891" s="122">
        <v>0.94957963486826746</v>
      </c>
      <c r="D891" s="122">
        <v>0.90785415263411406</v>
      </c>
      <c r="E891" s="122">
        <v>2.8421014228378381</v>
      </c>
      <c r="F891" s="122">
        <v>-1.5241212481083268</v>
      </c>
      <c r="G891" s="122">
        <v>1.102491364094129</v>
      </c>
      <c r="H891" s="163">
        <v>1</v>
      </c>
      <c r="I891" s="12">
        <v>4.2936574742387622E-2</v>
      </c>
      <c r="J891" s="115">
        <v>3.2176455036172752E-2</v>
      </c>
      <c r="K891" s="115">
        <v>5.7039766746216046E-3</v>
      </c>
      <c r="L891" s="115">
        <v>9.7218381858126136E-3</v>
      </c>
      <c r="P891" s="108">
        <v>-0.15241918107648961</v>
      </c>
      <c r="Q891" s="108">
        <v>-3.0483836215297915</v>
      </c>
      <c r="R891" s="49">
        <v>-134080942.15869464</v>
      </c>
    </row>
    <row r="892" spans="1:18" x14ac:dyDescent="0.25">
      <c r="A892">
        <f t="shared" si="16"/>
        <v>880</v>
      </c>
      <c r="B892" s="168">
        <v>1.0020052030683266</v>
      </c>
      <c r="C892" s="122">
        <v>0.88867775136860816</v>
      </c>
      <c r="D892" s="122">
        <v>0.91629072006228263</v>
      </c>
      <c r="E892" s="122">
        <v>2.3466394665174213</v>
      </c>
      <c r="F892" s="122">
        <v>4.2288459868434316</v>
      </c>
      <c r="G892" s="122">
        <v>1.0937622078102514</v>
      </c>
      <c r="H892" s="163">
        <v>1</v>
      </c>
      <c r="I892" s="12">
        <v>3.5532443371081017E-2</v>
      </c>
      <c r="J892" s="115">
        <v>2.4647135307837686E-2</v>
      </c>
      <c r="K892" s="115">
        <v>1.2430017607877129E-4</v>
      </c>
      <c r="L892" s="115">
        <v>1.6776152230692842E-2</v>
      </c>
      <c r="P892" s="108">
        <v>-1.5489197717491167E-2</v>
      </c>
      <c r="Q892" s="108">
        <v>-0.30978395434982331</v>
      </c>
      <c r="R892" s="49">
        <v>-13625622.50089312</v>
      </c>
    </row>
    <row r="893" spans="1:18" x14ac:dyDescent="0.25">
      <c r="A893">
        <f t="shared" si="16"/>
        <v>881</v>
      </c>
      <c r="B893" s="168">
        <v>0.99304797477434725</v>
      </c>
      <c r="C893" s="122">
        <v>0.91266789359636236</v>
      </c>
      <c r="D893" s="122">
        <v>0.88646277919508543</v>
      </c>
      <c r="E893" s="122">
        <v>1.895602123687528</v>
      </c>
      <c r="F893" s="122">
        <v>5.4227791949188129</v>
      </c>
      <c r="G893" s="122">
        <v>1.1103532934152889</v>
      </c>
      <c r="H893" s="163">
        <v>1</v>
      </c>
      <c r="I893" s="12">
        <v>1.2775954537483574E-2</v>
      </c>
      <c r="J893" s="115">
        <v>5.6613744044969473E-2</v>
      </c>
      <c r="K893" s="115">
        <v>-4.4709624500019213E-4</v>
      </c>
      <c r="L893" s="115">
        <v>8.6491885438086443E-3</v>
      </c>
      <c r="P893" s="108">
        <v>9.0152677135956913E-2</v>
      </c>
      <c r="Q893" s="108">
        <v>1.8030535427191381</v>
      </c>
      <c r="R893" s="49">
        <v>79306002.060538769</v>
      </c>
    </row>
    <row r="894" spans="1:18" x14ac:dyDescent="0.25">
      <c r="A894">
        <f t="shared" si="16"/>
        <v>882</v>
      </c>
      <c r="B894" s="168">
        <v>0.99531209292185441</v>
      </c>
      <c r="C894" s="122">
        <v>0.8894763891547004</v>
      </c>
      <c r="D894" s="122">
        <v>0.90108560582256481</v>
      </c>
      <c r="E894" s="122">
        <v>1.7418141367373745</v>
      </c>
      <c r="F894" s="122">
        <v>3.9792271195271924</v>
      </c>
      <c r="G894" s="122">
        <v>1.0809858672415755</v>
      </c>
      <c r="H894" s="163">
        <v>1</v>
      </c>
      <c r="I894" s="12">
        <v>3.5291779183376643E-2</v>
      </c>
      <c r="J894" s="115">
        <v>5.3074485396588628E-2</v>
      </c>
      <c r="K894" s="115">
        <v>7.6914000924239523E-3</v>
      </c>
      <c r="L894" s="115">
        <v>-3.7149771031779535E-3</v>
      </c>
      <c r="P894" s="108">
        <v>6.9428114180448836E-2</v>
      </c>
      <c r="Q894" s="108">
        <v>1.3885622836089766</v>
      </c>
      <c r="R894" s="49">
        <v>61074904.71914041</v>
      </c>
    </row>
    <row r="895" spans="1:18" x14ac:dyDescent="0.25">
      <c r="A895">
        <f t="shared" si="16"/>
        <v>883</v>
      </c>
      <c r="B895" s="168">
        <v>0.99328560034575919</v>
      </c>
      <c r="C895" s="122">
        <v>0.87456037206822868</v>
      </c>
      <c r="D895" s="122">
        <v>0.88844134898043237</v>
      </c>
      <c r="E895" s="122">
        <v>2.2869807227800485</v>
      </c>
      <c r="F895" s="122">
        <v>4.8142837393173492</v>
      </c>
      <c r="G895" s="122">
        <v>1.0701148561785949</v>
      </c>
      <c r="H895" s="163">
        <v>1</v>
      </c>
      <c r="I895" s="12">
        <v>1.5423999138861668E-2</v>
      </c>
      <c r="J895" s="115">
        <v>6.4405219241154152E-2</v>
      </c>
      <c r="K895" s="115">
        <v>-5.0111292066869805E-3</v>
      </c>
      <c r="L895" s="115">
        <v>3.4510195553819067E-2</v>
      </c>
      <c r="P895" s="108">
        <v>0.13165632797450114</v>
      </c>
      <c r="Q895" s="108">
        <v>2.6331265594900222</v>
      </c>
      <c r="R895" s="49">
        <v>115816161.53098533</v>
      </c>
    </row>
    <row r="896" spans="1:18" x14ac:dyDescent="0.25">
      <c r="A896">
        <f t="shared" si="16"/>
        <v>884</v>
      </c>
      <c r="B896" s="168">
        <v>0.99911592224970047</v>
      </c>
      <c r="C896" s="122">
        <v>0.85581518178132832</v>
      </c>
      <c r="D896" s="122">
        <v>0.8921776312127242</v>
      </c>
      <c r="E896" s="122">
        <v>2.5939723566401427</v>
      </c>
      <c r="F896" s="122">
        <v>5.5836253472064667</v>
      </c>
      <c r="G896" s="122">
        <v>1.0682342561745484</v>
      </c>
      <c r="H896" s="163">
        <v>1</v>
      </c>
      <c r="I896" s="12">
        <v>1.020277611266715E-2</v>
      </c>
      <c r="J896" s="115">
        <v>2.9425711803815403E-2</v>
      </c>
      <c r="K896" s="115">
        <v>1.3504213642145761E-4</v>
      </c>
      <c r="L896" s="115">
        <v>2.1513940209469833E-2</v>
      </c>
      <c r="P896" s="108">
        <v>6.3081033186246725E-3</v>
      </c>
      <c r="Q896" s="108">
        <v>0.12616206637249341</v>
      </c>
      <c r="R896" s="49">
        <v>5549146.9657689091</v>
      </c>
    </row>
    <row r="897" spans="1:18" x14ac:dyDescent="0.25">
      <c r="A897">
        <f t="shared" si="16"/>
        <v>885</v>
      </c>
      <c r="B897" s="168">
        <v>1.0081221991653642</v>
      </c>
      <c r="C897" s="122">
        <v>0.93912769959109133</v>
      </c>
      <c r="D897" s="122">
        <v>0.89877251163146765</v>
      </c>
      <c r="E897" s="122">
        <v>3.6606731015346092</v>
      </c>
      <c r="F897" s="122">
        <v>5.2753741329055117</v>
      </c>
      <c r="G897" s="122">
        <v>1.1188690043472362</v>
      </c>
      <c r="H897" s="163">
        <v>1</v>
      </c>
      <c r="I897" s="12">
        <v>2.8428502058874473E-2</v>
      </c>
      <c r="J897" s="115">
        <v>4.4871034893149947E-2</v>
      </c>
      <c r="K897" s="115">
        <v>-5.2413779924495758E-4</v>
      </c>
      <c r="L897" s="115">
        <v>2.2835455208179523E-2</v>
      </c>
      <c r="P897" s="108">
        <v>5.9660394992378435E-2</v>
      </c>
      <c r="Q897" s="108">
        <v>1.1932078998475684</v>
      </c>
      <c r="R897" s="49">
        <v>52482383.868232511</v>
      </c>
    </row>
    <row r="898" spans="1:18" x14ac:dyDescent="0.25">
      <c r="A898">
        <f t="shared" si="16"/>
        <v>886</v>
      </c>
      <c r="B898" s="168">
        <v>0.97931209169968336</v>
      </c>
      <c r="C898" s="122">
        <v>0.90631858895548389</v>
      </c>
      <c r="D898" s="122">
        <v>0.90681633116344817</v>
      </c>
      <c r="E898" s="122">
        <v>1.2101634583368299</v>
      </c>
      <c r="F898" s="122">
        <v>8.5379464256794702</v>
      </c>
      <c r="G898" s="122">
        <v>1.0867662575579133</v>
      </c>
      <c r="H898" s="163">
        <v>1</v>
      </c>
      <c r="I898" s="12">
        <v>3.5067745286976551E-2</v>
      </c>
      <c r="J898" s="115">
        <v>2.273311415069278E-2</v>
      </c>
      <c r="K898" s="115">
        <v>-1.8596347877037275E-3</v>
      </c>
      <c r="L898" s="115">
        <v>1.3214414124570646E-3</v>
      </c>
      <c r="P898" s="108">
        <v>3.741606799449939E-2</v>
      </c>
      <c r="Q898" s="108">
        <v>0.7483213598899876</v>
      </c>
      <c r="R898" s="49">
        <v>32914372.148861326</v>
      </c>
    </row>
    <row r="899" spans="1:18" x14ac:dyDescent="0.25">
      <c r="A899">
        <f t="shared" si="16"/>
        <v>887</v>
      </c>
      <c r="B899" s="168">
        <v>0.99745158748433682</v>
      </c>
      <c r="C899" s="122">
        <v>0.88477069160187893</v>
      </c>
      <c r="D899" s="122">
        <v>0.90111647105417292</v>
      </c>
      <c r="E899" s="122">
        <v>2.910930312331498</v>
      </c>
      <c r="F899" s="122">
        <v>2.5514432194508121</v>
      </c>
      <c r="G899" s="122">
        <v>1.0671975393427156</v>
      </c>
      <c r="H899" s="163">
        <v>1</v>
      </c>
      <c r="I899" s="12">
        <v>2.0871873940023569E-2</v>
      </c>
      <c r="J899" s="115">
        <v>6.4394606187161113E-2</v>
      </c>
      <c r="K899" s="115">
        <v>2.4140299700237009E-3</v>
      </c>
      <c r="L899" s="115">
        <v>1.0958535671463833E-2</v>
      </c>
      <c r="P899" s="108">
        <v>7.966328562714424E-2</v>
      </c>
      <c r="Q899" s="108">
        <v>1.5932657125428846</v>
      </c>
      <c r="R899" s="49">
        <v>70078636.539743736</v>
      </c>
    </row>
    <row r="900" spans="1:18" x14ac:dyDescent="0.25">
      <c r="A900">
        <f t="shared" si="16"/>
        <v>888</v>
      </c>
      <c r="B900" s="168">
        <v>1.0005619981080527</v>
      </c>
      <c r="C900" s="122">
        <v>0.94910867313471448</v>
      </c>
      <c r="D900" s="122">
        <v>0.89905475730707352</v>
      </c>
      <c r="E900" s="122">
        <v>2.6105887463495461</v>
      </c>
      <c r="F900" s="122">
        <v>3.8975612398797121</v>
      </c>
      <c r="G900" s="122">
        <v>1.1005644314267358</v>
      </c>
      <c r="H900" s="163">
        <v>1</v>
      </c>
      <c r="I900" s="12">
        <v>2.8869714831674127E-2</v>
      </c>
      <c r="J900" s="115">
        <v>6.1461388000180556E-2</v>
      </c>
      <c r="K900" s="115">
        <v>3.9119695964305781E-3</v>
      </c>
      <c r="L900" s="115">
        <v>2.6371248323771045E-2</v>
      </c>
      <c r="P900" s="108">
        <v>0.10734129998399244</v>
      </c>
      <c r="Q900" s="108">
        <v>2.1468259996798484</v>
      </c>
      <c r="R900" s="49">
        <v>94426584.191986501</v>
      </c>
    </row>
    <row r="901" spans="1:18" x14ac:dyDescent="0.25">
      <c r="A901">
        <f t="shared" si="16"/>
        <v>889</v>
      </c>
      <c r="B901" s="168">
        <v>1.0119732886180357</v>
      </c>
      <c r="C901" s="122">
        <v>0.88563649363934094</v>
      </c>
      <c r="D901" s="122">
        <v>0.90336362355341582</v>
      </c>
      <c r="E901" s="122">
        <v>2.3620310258287502</v>
      </c>
      <c r="F901" s="122">
        <v>3.5563767541301181</v>
      </c>
      <c r="G901" s="122">
        <v>1.1224974782089563</v>
      </c>
      <c r="H901" s="163">
        <v>1</v>
      </c>
      <c r="I901" s="12">
        <v>-5.3017815564278606E-4</v>
      </c>
      <c r="J901" s="115">
        <v>4.4553355487794835E-2</v>
      </c>
      <c r="K901" s="115">
        <v>5.7442213583397952E-3</v>
      </c>
      <c r="L901" s="115">
        <v>3.4829812984653333E-2</v>
      </c>
      <c r="P901" s="108">
        <v>1.9125361156415874E-2</v>
      </c>
      <c r="Q901" s="108">
        <v>0.38250722312831736</v>
      </c>
      <c r="R901" s="49">
        <v>16824302.72139211</v>
      </c>
    </row>
    <row r="902" spans="1:18" x14ac:dyDescent="0.25">
      <c r="A902">
        <f t="shared" si="16"/>
        <v>890</v>
      </c>
      <c r="B902" s="168">
        <v>1.0071135175869397</v>
      </c>
      <c r="C902" s="122">
        <v>0.87772540208660998</v>
      </c>
      <c r="D902" s="122">
        <v>0.8850164946491933</v>
      </c>
      <c r="E902" s="122">
        <v>1.2061791305136995</v>
      </c>
      <c r="F902" s="122">
        <v>5.8318716401469208</v>
      </c>
      <c r="G902" s="122">
        <v>1.098695606523459</v>
      </c>
      <c r="H902" s="163">
        <v>1</v>
      </c>
      <c r="I902" s="12">
        <v>3.245245959644677E-2</v>
      </c>
      <c r="J902" s="115">
        <v>5.178651659859642E-2</v>
      </c>
      <c r="K902" s="115">
        <v>9.019102248698431E-3</v>
      </c>
      <c r="L902" s="115">
        <v>6.8458080702240957E-3</v>
      </c>
      <c r="P902" s="108">
        <v>0.10851160090838066</v>
      </c>
      <c r="Q902" s="108">
        <v>2.1702320181676127</v>
      </c>
      <c r="R902" s="49">
        <v>95456080.935394526</v>
      </c>
    </row>
    <row r="903" spans="1:18" x14ac:dyDescent="0.25">
      <c r="A903">
        <f t="shared" si="16"/>
        <v>891</v>
      </c>
      <c r="B903" s="168">
        <v>0.98916282040638304</v>
      </c>
      <c r="C903" s="122">
        <v>0.9575765734983096</v>
      </c>
      <c r="D903" s="122">
        <v>0.89913386380276061</v>
      </c>
      <c r="E903" s="122">
        <v>1.8218975734651461</v>
      </c>
      <c r="F903" s="122">
        <v>7.335325307253683</v>
      </c>
      <c r="G903" s="122">
        <v>1.1091217403007647</v>
      </c>
      <c r="H903" s="163">
        <v>1</v>
      </c>
      <c r="I903" s="12">
        <v>2.2091903777943126E-2</v>
      </c>
      <c r="J903" s="115">
        <v>5.7072723576248832E-2</v>
      </c>
      <c r="K903" s="115">
        <v>-8.2706440354425766E-3</v>
      </c>
      <c r="L903" s="115">
        <v>2.8721867637841028E-2</v>
      </c>
      <c r="P903" s="108">
        <v>0.13956137666267801</v>
      </c>
      <c r="Q903" s="108">
        <v>2.7912275332535597</v>
      </c>
      <c r="R903" s="49">
        <v>122770118.16843241</v>
      </c>
    </row>
    <row r="904" spans="1:18" x14ac:dyDescent="0.25">
      <c r="A904">
        <f t="shared" si="16"/>
        <v>892</v>
      </c>
      <c r="B904" s="168">
        <v>0.99254078157430337</v>
      </c>
      <c r="C904" s="122">
        <v>0.93090799267220647</v>
      </c>
      <c r="D904" s="122">
        <v>0.91412883093311892</v>
      </c>
      <c r="E904" s="122">
        <v>2.509680519405983</v>
      </c>
      <c r="F904" s="122">
        <v>5.8818361428246133</v>
      </c>
      <c r="G904" s="122">
        <v>1.0898096167809901</v>
      </c>
      <c r="H904" s="163">
        <v>1</v>
      </c>
      <c r="I904" s="12">
        <v>2.1839283850476857E-2</v>
      </c>
      <c r="J904" s="115">
        <v>3.7343515535546587E-2</v>
      </c>
      <c r="K904" s="115">
        <v>4.304824290398703E-3</v>
      </c>
      <c r="L904" s="115">
        <v>7.4785769335040404E-3</v>
      </c>
      <c r="P904" s="108">
        <v>3.5711262678446064E-2</v>
      </c>
      <c r="Q904" s="108">
        <v>0.71422525356892108</v>
      </c>
      <c r="R904" s="49">
        <v>31414679.647174992</v>
      </c>
    </row>
    <row r="905" spans="1:18" x14ac:dyDescent="0.25">
      <c r="A905">
        <f t="shared" si="16"/>
        <v>893</v>
      </c>
      <c r="B905" s="168">
        <v>0.99215783090354559</v>
      </c>
      <c r="C905" s="122">
        <v>0.849442622064847</v>
      </c>
      <c r="D905" s="122">
        <v>0.89356526733894281</v>
      </c>
      <c r="E905" s="122">
        <v>2.3209508175800369</v>
      </c>
      <c r="F905" s="122">
        <v>3.3008132660892198</v>
      </c>
      <c r="G905" s="122">
        <v>1.0977065538133139</v>
      </c>
      <c r="H905" s="163">
        <v>1</v>
      </c>
      <c r="I905" s="12">
        <v>2.5224820294875033E-2</v>
      </c>
      <c r="J905" s="115">
        <v>3.080468302211644E-2</v>
      </c>
      <c r="K905" s="115">
        <v>2.6773630396982199E-3</v>
      </c>
      <c r="L905" s="115">
        <v>4.8621666544214001E-3</v>
      </c>
      <c r="P905" s="108">
        <v>-3.0034242894216093E-2</v>
      </c>
      <c r="Q905" s="108">
        <v>-0.6006848578843218</v>
      </c>
      <c r="R905" s="49">
        <v>-26420687.710286718</v>
      </c>
    </row>
    <row r="906" spans="1:18" x14ac:dyDescent="0.25">
      <c r="A906">
        <f t="shared" si="16"/>
        <v>894</v>
      </c>
      <c r="B906" s="168">
        <v>0.98878564521361956</v>
      </c>
      <c r="C906" s="122">
        <v>0.89528125286407545</v>
      </c>
      <c r="D906" s="122">
        <v>0.90554773828646029</v>
      </c>
      <c r="E906" s="122">
        <v>2.3045999191701458</v>
      </c>
      <c r="F906" s="122">
        <v>5.3520506797973617</v>
      </c>
      <c r="G906" s="122">
        <v>1.0449771166307802</v>
      </c>
      <c r="H906" s="163">
        <v>1</v>
      </c>
      <c r="I906" s="12">
        <v>3.8253771768779976E-2</v>
      </c>
      <c r="J906" s="115">
        <v>5.161228331922775E-2</v>
      </c>
      <c r="K906" s="115">
        <v>-8.3745802943915731E-3</v>
      </c>
      <c r="L906" s="115">
        <v>3.6574344107836665E-2</v>
      </c>
      <c r="P906" s="108">
        <v>0.12032638930922611</v>
      </c>
      <c r="Q906" s="108">
        <v>2.406527786184522</v>
      </c>
      <c r="R906" s="49">
        <v>105849378.872063</v>
      </c>
    </row>
    <row r="907" spans="1:18" x14ac:dyDescent="0.25">
      <c r="A907">
        <f t="shared" si="16"/>
        <v>895</v>
      </c>
      <c r="B907" s="168">
        <v>1.0031844751816537</v>
      </c>
      <c r="C907" s="122">
        <v>0.92684556880573821</v>
      </c>
      <c r="D907" s="122">
        <v>0.89872453709744482</v>
      </c>
      <c r="E907" s="122">
        <v>1.7459492188490606</v>
      </c>
      <c r="F907" s="122">
        <v>7.7337929345215777</v>
      </c>
      <c r="G907" s="122">
        <v>1.1342826790296905</v>
      </c>
      <c r="H907" s="163">
        <v>1</v>
      </c>
      <c r="I907" s="12">
        <v>2.939094603948348E-2</v>
      </c>
      <c r="J907" s="115">
        <v>6.0046400558892543E-2</v>
      </c>
      <c r="K907" s="115">
        <v>9.7418092672508921E-3</v>
      </c>
      <c r="L907" s="115">
        <v>2.7323822744014167E-3</v>
      </c>
      <c r="P907" s="108">
        <v>0.14158526622361664</v>
      </c>
      <c r="Q907" s="108">
        <v>2.8317053244723325</v>
      </c>
      <c r="R907" s="49">
        <v>124550504.45078373</v>
      </c>
    </row>
    <row r="908" spans="1:18" x14ac:dyDescent="0.25">
      <c r="A908">
        <f t="shared" si="16"/>
        <v>896</v>
      </c>
      <c r="B908" s="168">
        <v>1.004066991118693</v>
      </c>
      <c r="C908" s="122">
        <v>0.90347298551728816</v>
      </c>
      <c r="D908" s="122">
        <v>0.89408139492269001</v>
      </c>
      <c r="E908" s="122">
        <v>3.9431507777434076</v>
      </c>
      <c r="F908" s="122">
        <v>5.9365322571602075</v>
      </c>
      <c r="G908" s="122">
        <v>1.095461778853138</v>
      </c>
      <c r="H908" s="163">
        <v>1</v>
      </c>
      <c r="I908" s="12">
        <v>2.225034732064041E-2</v>
      </c>
      <c r="J908" s="115">
        <v>6.4550465770259177E-2</v>
      </c>
      <c r="K908" s="115">
        <v>-1.3293736987873561E-3</v>
      </c>
      <c r="L908" s="115">
        <v>1.2667273821902032E-2</v>
      </c>
      <c r="P908" s="108">
        <v>0.12425444843389849</v>
      </c>
      <c r="Q908" s="108">
        <v>2.4850889686779691</v>
      </c>
      <c r="R908" s="49">
        <v>109304835.49222961</v>
      </c>
    </row>
    <row r="909" spans="1:18" x14ac:dyDescent="0.25">
      <c r="A909">
        <f t="shared" si="16"/>
        <v>897</v>
      </c>
      <c r="B909" s="168">
        <v>0.98954236858715838</v>
      </c>
      <c r="C909" s="122">
        <v>0.92065114278290472</v>
      </c>
      <c r="D909" s="122">
        <v>0.90910371502083298</v>
      </c>
      <c r="E909" s="122">
        <v>1.9305246563248137</v>
      </c>
      <c r="F909" s="122">
        <v>4.6448638317541606</v>
      </c>
      <c r="G909" s="122">
        <v>1.0729955224177636</v>
      </c>
      <c r="H909" s="163">
        <v>1</v>
      </c>
      <c r="I909" s="12">
        <v>1.615155543798058E-2</v>
      </c>
      <c r="J909" s="115">
        <v>6.4812731943779539E-3</v>
      </c>
      <c r="K909" s="115">
        <v>1.0132899913898917E-2</v>
      </c>
      <c r="L909" s="115">
        <v>1.026810535872417E-2</v>
      </c>
      <c r="P909" s="108">
        <v>-8.5976836307671528E-2</v>
      </c>
      <c r="Q909" s="108">
        <v>-1.7195367261534302</v>
      </c>
      <c r="R909" s="49">
        <v>-75632575.47074315</v>
      </c>
    </row>
    <row r="910" spans="1:18" x14ac:dyDescent="0.25">
      <c r="A910">
        <f t="shared" si="16"/>
        <v>898</v>
      </c>
      <c r="B910" s="168">
        <v>0.98495355180316679</v>
      </c>
      <c r="C910" s="122">
        <v>0.86937362748633118</v>
      </c>
      <c r="D910" s="122">
        <v>0.90136730641873286</v>
      </c>
      <c r="E910" s="122">
        <v>1.6926698068116308</v>
      </c>
      <c r="F910" s="122">
        <v>5.3890184327709871</v>
      </c>
      <c r="G910" s="122">
        <v>1.1223233844106288</v>
      </c>
      <c r="H910" s="163">
        <v>1</v>
      </c>
      <c r="I910" s="12">
        <v>3.8202445204346812E-2</v>
      </c>
      <c r="J910" s="115">
        <v>6.779831822778988E-2</v>
      </c>
      <c r="K910" s="115">
        <v>1.7341403849712245E-3</v>
      </c>
      <c r="L910" s="115">
        <v>1.7736714240264202E-2</v>
      </c>
      <c r="P910" s="108">
        <v>0.1567248243849389</v>
      </c>
      <c r="Q910" s="108">
        <v>3.1344964876987778</v>
      </c>
      <c r="R910" s="49">
        <v>137868554.10699961</v>
      </c>
    </row>
    <row r="911" spans="1:18" x14ac:dyDescent="0.25">
      <c r="A911">
        <f t="shared" ref="A911:A974" si="17">A910+1</f>
        <v>899</v>
      </c>
      <c r="B911" s="168">
        <v>1.0015935856998268</v>
      </c>
      <c r="C911" s="122">
        <v>0.87261672091263387</v>
      </c>
      <c r="D911" s="122">
        <v>0.90399841164119554</v>
      </c>
      <c r="E911" s="122">
        <v>2.9916630567017366</v>
      </c>
      <c r="F911" s="122">
        <v>4.1361027521098865</v>
      </c>
      <c r="G911" s="122">
        <v>1.0797526292618058</v>
      </c>
      <c r="H911" s="163">
        <v>1</v>
      </c>
      <c r="I911" s="12">
        <v>1.9914138501251916E-2</v>
      </c>
      <c r="J911" s="115">
        <v>2.467219757178855E-2</v>
      </c>
      <c r="K911" s="115">
        <v>8.5844107665163372E-3</v>
      </c>
      <c r="L911" s="115">
        <v>2.4579233406686631E-2</v>
      </c>
      <c r="P911" s="108">
        <v>-2.1869467770199387E-2</v>
      </c>
      <c r="Q911" s="108">
        <v>-0.43738935540398766</v>
      </c>
      <c r="R911" s="49">
        <v>-19238253.49557557</v>
      </c>
    </row>
    <row r="912" spans="1:18" x14ac:dyDescent="0.25">
      <c r="A912">
        <f t="shared" si="17"/>
        <v>900</v>
      </c>
      <c r="B912" s="168">
        <v>1.0087336114212082</v>
      </c>
      <c r="C912" s="122">
        <v>0.90527116060087698</v>
      </c>
      <c r="D912" s="122">
        <v>0.89319782056536323</v>
      </c>
      <c r="E912" s="122">
        <v>1.4468365062080668</v>
      </c>
      <c r="F912" s="122">
        <v>3.7896405852123665</v>
      </c>
      <c r="G912" s="122">
        <v>1.1098043993599562</v>
      </c>
      <c r="H912" s="163">
        <v>1</v>
      </c>
      <c r="I912" s="12">
        <v>2.5874197099852239E-2</v>
      </c>
      <c r="J912" s="115">
        <v>4.9796700218422918E-2</v>
      </c>
      <c r="K912" s="115">
        <v>-1.2456967359728123E-3</v>
      </c>
      <c r="L912" s="115">
        <v>1.121539159226104E-2</v>
      </c>
      <c r="P912" s="108">
        <v>5.131848889158136E-2</v>
      </c>
      <c r="Q912" s="108">
        <v>1.026369777831627</v>
      </c>
      <c r="R912" s="49">
        <v>45144130.103222899</v>
      </c>
    </row>
    <row r="913" spans="1:18" x14ac:dyDescent="0.25">
      <c r="A913">
        <f t="shared" si="17"/>
        <v>901</v>
      </c>
      <c r="B913" s="168">
        <v>1.0165776227802181</v>
      </c>
      <c r="C913" s="122">
        <v>0.90620319306905794</v>
      </c>
      <c r="D913" s="122">
        <v>0.91091493426111891</v>
      </c>
      <c r="E913" s="122">
        <v>2.0519448727693548</v>
      </c>
      <c r="F913" s="122">
        <v>5.0809834751517213</v>
      </c>
      <c r="G913" s="122">
        <v>1.076369395869937</v>
      </c>
      <c r="H913" s="163">
        <v>1</v>
      </c>
      <c r="I913" s="12">
        <v>3.4081808835329394E-2</v>
      </c>
      <c r="J913" s="115">
        <v>2.5596750825787929E-2</v>
      </c>
      <c r="K913" s="115">
        <v>4.0686819134993666E-3</v>
      </c>
      <c r="L913" s="115">
        <v>1.9150740717625282E-2</v>
      </c>
      <c r="P913" s="108">
        <v>8.2052586508739242E-3</v>
      </c>
      <c r="Q913" s="108">
        <v>0.16410517301747846</v>
      </c>
      <c r="R913" s="49">
        <v>7218046.9859160911</v>
      </c>
    </row>
    <row r="914" spans="1:18" x14ac:dyDescent="0.25">
      <c r="A914">
        <f t="shared" si="17"/>
        <v>902</v>
      </c>
      <c r="B914" s="168">
        <v>1.0015915997546003</v>
      </c>
      <c r="C914" s="122">
        <v>0.93225528841262839</v>
      </c>
      <c r="D914" s="122">
        <v>0.88728525301244343</v>
      </c>
      <c r="E914" s="122">
        <v>0.7613011091528783</v>
      </c>
      <c r="F914" s="122">
        <v>4.0209090861441936</v>
      </c>
      <c r="G914" s="122">
        <v>1.0957491714588616</v>
      </c>
      <c r="H914" s="163">
        <v>1</v>
      </c>
      <c r="I914" s="12">
        <v>4.3109965848159425E-2</v>
      </c>
      <c r="J914" s="115">
        <v>1.7445875335002824E-2</v>
      </c>
      <c r="K914" s="115">
        <v>-3.5392661443275301E-4</v>
      </c>
      <c r="L914" s="115">
        <v>1.8490535348764846E-2</v>
      </c>
      <c r="P914" s="108">
        <v>-2.4389813714784433E-2</v>
      </c>
      <c r="Q914" s="108">
        <v>-0.48779627429568856</v>
      </c>
      <c r="R914" s="49">
        <v>-21455365.25558576</v>
      </c>
    </row>
    <row r="915" spans="1:18" x14ac:dyDescent="0.25">
      <c r="A915">
        <f t="shared" si="17"/>
        <v>903</v>
      </c>
      <c r="B915" s="168">
        <v>1.0083740179160487</v>
      </c>
      <c r="C915" s="122">
        <v>0.8811906706258561</v>
      </c>
      <c r="D915" s="122">
        <v>0.9132288932014555</v>
      </c>
      <c r="E915" s="122">
        <v>0.87630219315483981</v>
      </c>
      <c r="F915" s="122">
        <v>4.4300843430492005</v>
      </c>
      <c r="G915" s="122">
        <v>1.0841039678131021</v>
      </c>
      <c r="H915" s="163">
        <v>1</v>
      </c>
      <c r="I915" s="12">
        <v>3.0861322421081264E-2</v>
      </c>
      <c r="J915" s="115">
        <v>7.1289197208208546E-2</v>
      </c>
      <c r="K915" s="115">
        <v>1.4389617295978513E-2</v>
      </c>
      <c r="L915" s="115">
        <v>1.1228865676325374E-2</v>
      </c>
      <c r="P915" s="108">
        <v>0.15909446436788671</v>
      </c>
      <c r="Q915" s="108">
        <v>3.1818892873577336</v>
      </c>
      <c r="R915" s="49">
        <v>139953092.01913482</v>
      </c>
    </row>
    <row r="916" spans="1:18" x14ac:dyDescent="0.25">
      <c r="A916">
        <f t="shared" si="17"/>
        <v>904</v>
      </c>
      <c r="B916" s="168">
        <v>0.99523833003090345</v>
      </c>
      <c r="C916" s="122">
        <v>0.93151847377987507</v>
      </c>
      <c r="D916" s="122">
        <v>0.90245579654462416</v>
      </c>
      <c r="E916" s="122">
        <v>2.3950900324423063</v>
      </c>
      <c r="F916" s="122">
        <v>5.8704286694079997</v>
      </c>
      <c r="G916" s="122">
        <v>1.1156183308014533</v>
      </c>
      <c r="H916" s="163">
        <v>1</v>
      </c>
      <c r="I916" s="12">
        <v>1.8246518620254504E-2</v>
      </c>
      <c r="J916" s="115">
        <v>6.6016286872277244E-3</v>
      </c>
      <c r="K916" s="115">
        <v>2.184500945210565E-2</v>
      </c>
      <c r="L916" s="115">
        <v>3.5897291151250309E-3</v>
      </c>
      <c r="P916" s="108">
        <v>-7.861619168704248E-2</v>
      </c>
      <c r="Q916" s="108">
        <v>-1.5723238337408492</v>
      </c>
      <c r="R916" s="49">
        <v>-69157523.192814976</v>
      </c>
    </row>
    <row r="917" spans="1:18" x14ac:dyDescent="0.25">
      <c r="A917">
        <f t="shared" si="17"/>
        <v>905</v>
      </c>
      <c r="B917" s="168">
        <v>1.0139717730053803</v>
      </c>
      <c r="C917" s="122">
        <v>0.894126384227798</v>
      </c>
      <c r="D917" s="122">
        <v>0.89435630353258133</v>
      </c>
      <c r="E917" s="122">
        <v>1.5311312717503527</v>
      </c>
      <c r="F917" s="122">
        <v>2.8258125055701018</v>
      </c>
      <c r="G917" s="122">
        <v>1.0948094453271684</v>
      </c>
      <c r="H917" s="163">
        <v>1</v>
      </c>
      <c r="I917" s="12">
        <v>3.1348595848197033E-2</v>
      </c>
      <c r="J917" s="115">
        <v>5.0327320820869589E-2</v>
      </c>
      <c r="K917" s="115">
        <v>1.4705061779218386E-4</v>
      </c>
      <c r="L917" s="115">
        <v>7.7807098573056798E-3</v>
      </c>
      <c r="P917" s="108">
        <v>3.0994064358585337E-2</v>
      </c>
      <c r="Q917" s="108">
        <v>0.61988128717170665</v>
      </c>
      <c r="R917" s="49">
        <v>27265028.72654099</v>
      </c>
    </row>
    <row r="918" spans="1:18" x14ac:dyDescent="0.25">
      <c r="A918">
        <f t="shared" si="17"/>
        <v>906</v>
      </c>
      <c r="B918" s="168">
        <v>1.0072833633800604</v>
      </c>
      <c r="C918" s="122">
        <v>0.90921603469184786</v>
      </c>
      <c r="D918" s="122">
        <v>0.88894599992312706</v>
      </c>
      <c r="E918" s="122">
        <v>1.9624974334237668</v>
      </c>
      <c r="F918" s="122">
        <v>4.6701867891842106</v>
      </c>
      <c r="G918" s="122">
        <v>1.0954689091874317</v>
      </c>
      <c r="H918" s="163">
        <v>1</v>
      </c>
      <c r="I918" s="12">
        <v>2.9770981435261436E-2</v>
      </c>
      <c r="J918" s="115">
        <v>2.7622998149745746E-2</v>
      </c>
      <c r="K918" s="115">
        <v>-1.4001408437069153E-3</v>
      </c>
      <c r="L918" s="115">
        <v>1.6740437823741516E-2</v>
      </c>
      <c r="P918" s="108">
        <v>-5.6015598023631205E-4</v>
      </c>
      <c r="Q918" s="108">
        <v>-1.1203119604726239E-2</v>
      </c>
      <c r="R918" s="49">
        <v>-492761.08856811933</v>
      </c>
    </row>
    <row r="919" spans="1:18" x14ac:dyDescent="0.25">
      <c r="A919">
        <f t="shared" si="17"/>
        <v>907</v>
      </c>
      <c r="B919" s="168">
        <v>1.0123188488638366</v>
      </c>
      <c r="C919" s="122">
        <v>0.87317408593603862</v>
      </c>
      <c r="D919" s="122">
        <v>0.88011963904686419</v>
      </c>
      <c r="E919" s="122">
        <v>1.7823363769816873</v>
      </c>
      <c r="F919" s="122">
        <v>6.7425581133021488</v>
      </c>
      <c r="G919" s="122">
        <v>1.0769527939189774</v>
      </c>
      <c r="H919" s="163">
        <v>1</v>
      </c>
      <c r="I919" s="12">
        <v>8.1373350036947553E-3</v>
      </c>
      <c r="J919" s="115">
        <v>2.7057865881116298E-2</v>
      </c>
      <c r="K919" s="115">
        <v>4.2578882965298567E-3</v>
      </c>
      <c r="L919" s="115">
        <v>3.2109565514190148E-2</v>
      </c>
      <c r="P919" s="108">
        <v>2.6214510399883144E-2</v>
      </c>
      <c r="Q919" s="108">
        <v>0.52429020799766279</v>
      </c>
      <c r="R919" s="49">
        <v>23060524.455129698</v>
      </c>
    </row>
    <row r="920" spans="1:18" x14ac:dyDescent="0.25">
      <c r="A920">
        <f t="shared" si="17"/>
        <v>908</v>
      </c>
      <c r="B920" s="168">
        <v>1.0052799681519999</v>
      </c>
      <c r="C920" s="122">
        <v>0.94738727978756476</v>
      </c>
      <c r="D920" s="122">
        <v>0.90689120660325029</v>
      </c>
      <c r="E920" s="122">
        <v>1.1235182600563147</v>
      </c>
      <c r="F920" s="122">
        <v>-9.959908197842271E-2</v>
      </c>
      <c r="G920" s="122">
        <v>1.1195543867451392</v>
      </c>
      <c r="H920" s="163">
        <v>1</v>
      </c>
      <c r="I920" s="12">
        <v>3.4968168602237823E-2</v>
      </c>
      <c r="J920" s="115">
        <v>4.0621460806637991E-2</v>
      </c>
      <c r="K920" s="115">
        <v>-1.315273934821109E-3</v>
      </c>
      <c r="L920" s="115">
        <v>1.3202367208173939E-2</v>
      </c>
      <c r="P920" s="108">
        <v>-0.22990241617055862</v>
      </c>
      <c r="Q920" s="108">
        <v>-4.5980483234111711</v>
      </c>
      <c r="R920" s="49">
        <v>-202241819.87462205</v>
      </c>
    </row>
    <row r="921" spans="1:18" x14ac:dyDescent="0.25">
      <c r="A921">
        <f t="shared" si="17"/>
        <v>909</v>
      </c>
      <c r="B921" s="168">
        <v>0.99790807693657035</v>
      </c>
      <c r="C921" s="122">
        <v>0.87104392245540618</v>
      </c>
      <c r="D921" s="122">
        <v>0.90776044298352132</v>
      </c>
      <c r="E921" s="122">
        <v>2.3441418365344586</v>
      </c>
      <c r="F921" s="122">
        <v>5.0490305239781765</v>
      </c>
      <c r="G921" s="122">
        <v>1.1063065816071516</v>
      </c>
      <c r="H921" s="163">
        <v>1</v>
      </c>
      <c r="I921" s="12">
        <v>1.3253180272008423E-2</v>
      </c>
      <c r="J921" s="115">
        <v>2.421896766384992E-2</v>
      </c>
      <c r="K921" s="115">
        <v>-3.2658829145405348E-3</v>
      </c>
      <c r="L921" s="115">
        <v>2.7779500627433562E-2</v>
      </c>
      <c r="P921" s="108">
        <v>-1.7782034691952549E-2</v>
      </c>
      <c r="Q921" s="108">
        <v>-0.35564069383905095</v>
      </c>
      <c r="R921" s="49">
        <v>-15642597.920789873</v>
      </c>
    </row>
    <row r="922" spans="1:18" x14ac:dyDescent="0.25">
      <c r="A922">
        <f t="shared" si="17"/>
        <v>910</v>
      </c>
      <c r="B922" s="168">
        <v>0.99194587647823251</v>
      </c>
      <c r="C922" s="122">
        <v>0.94313023380528149</v>
      </c>
      <c r="D922" s="122">
        <v>0.896624517840383</v>
      </c>
      <c r="E922" s="122">
        <v>1.8608676323790003</v>
      </c>
      <c r="F922" s="122">
        <v>4.8626904405437887</v>
      </c>
      <c r="G922" s="122">
        <v>1.0789521973811038</v>
      </c>
      <c r="H922" s="163">
        <v>1</v>
      </c>
      <c r="I922" s="12">
        <v>3.0305430327419173E-2</v>
      </c>
      <c r="J922" s="115">
        <v>3.0709128014227607E-2</v>
      </c>
      <c r="K922" s="115">
        <v>1.0363094427247248E-2</v>
      </c>
      <c r="L922" s="115">
        <v>3.4106973637477764E-2</v>
      </c>
      <c r="P922" s="108">
        <v>3.3532617767897926E-2</v>
      </c>
      <c r="Q922" s="108">
        <v>0.67065235535795831</v>
      </c>
      <c r="R922" s="49">
        <v>29498157.329101734</v>
      </c>
    </row>
    <row r="923" spans="1:18" x14ac:dyDescent="0.25">
      <c r="A923">
        <f t="shared" si="17"/>
        <v>911</v>
      </c>
      <c r="B923" s="168">
        <v>0.99615773921693829</v>
      </c>
      <c r="C923" s="122">
        <v>0.871354941819241</v>
      </c>
      <c r="D923" s="122">
        <v>0.8940439314980968</v>
      </c>
      <c r="E923" s="122">
        <v>2.7662359711633533</v>
      </c>
      <c r="F923" s="122">
        <v>2.9899016567830619</v>
      </c>
      <c r="G923" s="122">
        <v>1.086480890053062</v>
      </c>
      <c r="H923" s="163">
        <v>1</v>
      </c>
      <c r="I923" s="12">
        <v>2.3709911548438725E-2</v>
      </c>
      <c r="J923" s="115">
        <v>5.5930373854509094E-3</v>
      </c>
      <c r="K923" s="115">
        <v>-2.1159131881675142E-3</v>
      </c>
      <c r="L923" s="115">
        <v>4.2151254935932414E-2</v>
      </c>
      <c r="P923" s="108">
        <v>-9.6621595329009741E-2</v>
      </c>
      <c r="Q923" s="108">
        <v>-1.9324319065801945</v>
      </c>
      <c r="R923" s="49">
        <v>-84996615.538095608</v>
      </c>
    </row>
    <row r="924" spans="1:18" x14ac:dyDescent="0.25">
      <c r="A924">
        <f t="shared" si="17"/>
        <v>912</v>
      </c>
      <c r="B924" s="168">
        <v>1.0056280777508391</v>
      </c>
      <c r="C924" s="122">
        <v>0.86921330001344921</v>
      </c>
      <c r="D924" s="122">
        <v>0.90282887163192915</v>
      </c>
      <c r="E924" s="122">
        <v>0.90209256732228149</v>
      </c>
      <c r="F924" s="122">
        <v>3.9830432802194817</v>
      </c>
      <c r="G924" s="122">
        <v>1.0892845006476701</v>
      </c>
      <c r="H924" s="163">
        <v>1</v>
      </c>
      <c r="I924" s="12">
        <v>1.815061857934739E-2</v>
      </c>
      <c r="J924" s="115">
        <v>6.9090855562355488E-2</v>
      </c>
      <c r="K924" s="115">
        <v>9.9159794057416123E-3</v>
      </c>
      <c r="L924" s="115">
        <v>1.6064833612697595E-3</v>
      </c>
      <c r="P924" s="108">
        <v>0.1196899029246193</v>
      </c>
      <c r="Q924" s="108">
        <v>2.3937980584923855</v>
      </c>
      <c r="R924" s="49">
        <v>105289471.03424019</v>
      </c>
    </row>
    <row r="925" spans="1:18" x14ac:dyDescent="0.25">
      <c r="A925">
        <f t="shared" si="17"/>
        <v>913</v>
      </c>
      <c r="B925" s="168">
        <v>1.0001374574651847</v>
      </c>
      <c r="C925" s="122">
        <v>0.91058268543744447</v>
      </c>
      <c r="D925" s="122">
        <v>0.89822621571412031</v>
      </c>
      <c r="E925" s="122">
        <v>3.1171854027268893</v>
      </c>
      <c r="F925" s="122">
        <v>7.5196947158266587</v>
      </c>
      <c r="G925" s="122">
        <v>1.1011233505047604</v>
      </c>
      <c r="H925" s="163">
        <v>1</v>
      </c>
      <c r="I925" s="12">
        <v>2.3997202572429731E-2</v>
      </c>
      <c r="J925" s="115">
        <v>3.0305918835634202E-2</v>
      </c>
      <c r="K925" s="115">
        <v>-4.8639768856611034E-3</v>
      </c>
      <c r="L925" s="115">
        <v>2.9623678221718276E-2</v>
      </c>
      <c r="P925" s="108">
        <v>3.8464477160410279E-2</v>
      </c>
      <c r="Q925" s="108">
        <v>0.76928954320820542</v>
      </c>
      <c r="R925" s="49">
        <v>33836642.480851859</v>
      </c>
    </row>
    <row r="926" spans="1:18" x14ac:dyDescent="0.25">
      <c r="A926">
        <f t="shared" si="17"/>
        <v>914</v>
      </c>
      <c r="B926" s="168">
        <v>0.99108666776787357</v>
      </c>
      <c r="C926" s="122">
        <v>0.89600690536772554</v>
      </c>
      <c r="D926" s="122">
        <v>0.89382269271397796</v>
      </c>
      <c r="E926" s="122">
        <v>2.1895221697899951</v>
      </c>
      <c r="F926" s="122">
        <v>2.7319537786781938</v>
      </c>
      <c r="G926" s="122">
        <v>1.089310145003783</v>
      </c>
      <c r="H926" s="163">
        <v>1</v>
      </c>
      <c r="I926" s="12">
        <v>3.8017142453412138E-3</v>
      </c>
      <c r="J926" s="115">
        <v>4.3008327212562522E-2</v>
      </c>
      <c r="K926" s="115">
        <v>6.2428503315777682E-3</v>
      </c>
      <c r="L926" s="115">
        <v>2.4668051842579981E-2</v>
      </c>
      <c r="P926" s="108">
        <v>-2.0286886164238914E-3</v>
      </c>
      <c r="Q926" s="108">
        <v>-4.0573772328477822E-2</v>
      </c>
      <c r="R926" s="49">
        <v>-1784607.9418326654</v>
      </c>
    </row>
    <row r="927" spans="1:18" x14ac:dyDescent="0.25">
      <c r="A927">
        <f t="shared" si="17"/>
        <v>915</v>
      </c>
      <c r="B927" s="168">
        <v>1.0052404605188157</v>
      </c>
      <c r="C927" s="122">
        <v>0.89925299378593559</v>
      </c>
      <c r="D927" s="122">
        <v>0.88500154357505223</v>
      </c>
      <c r="E927" s="122">
        <v>3.1454134028217782</v>
      </c>
      <c r="F927" s="122">
        <v>5.9013860877962729</v>
      </c>
      <c r="G927" s="122">
        <v>1.108523363773557</v>
      </c>
      <c r="H927" s="163">
        <v>1</v>
      </c>
      <c r="I927" s="12">
        <v>1.5301579541628354E-2</v>
      </c>
      <c r="J927" s="115">
        <v>5.6908786881696621E-2</v>
      </c>
      <c r="K927" s="115">
        <v>9.7139740605204326E-3</v>
      </c>
      <c r="L927" s="115">
        <v>3.0549914883760597E-2</v>
      </c>
      <c r="P927" s="108">
        <v>0.10899604156659348</v>
      </c>
      <c r="Q927" s="108">
        <v>2.1799208313318692</v>
      </c>
      <c r="R927" s="49">
        <v>95882236.353724435</v>
      </c>
    </row>
    <row r="928" spans="1:18" x14ac:dyDescent="0.25">
      <c r="A928">
        <f t="shared" si="17"/>
        <v>916</v>
      </c>
      <c r="B928" s="168">
        <v>0.99790250486273935</v>
      </c>
      <c r="C928" s="122">
        <v>0.86750578194073913</v>
      </c>
      <c r="D928" s="122">
        <v>0.89924815297555327</v>
      </c>
      <c r="E928" s="122">
        <v>1.1832453192829033</v>
      </c>
      <c r="F928" s="122">
        <v>8.7010666646150945</v>
      </c>
      <c r="G928" s="122">
        <v>1.1247418031271903</v>
      </c>
      <c r="H928" s="163">
        <v>1</v>
      </c>
      <c r="I928" s="12">
        <v>1.7316145844558255E-2</v>
      </c>
      <c r="J928" s="115">
        <v>5.5433160294141873E-2</v>
      </c>
      <c r="K928" s="115">
        <v>2.1497424660940363E-4</v>
      </c>
      <c r="L928" s="115">
        <v>7.3546361071015441E-3</v>
      </c>
      <c r="P928" s="108">
        <v>0.13775468544451885</v>
      </c>
      <c r="Q928" s="108">
        <v>2.7550937088903766</v>
      </c>
      <c r="R928" s="49">
        <v>121180798.11691573</v>
      </c>
    </row>
    <row r="929" spans="1:18" x14ac:dyDescent="0.25">
      <c r="A929">
        <f t="shared" si="17"/>
        <v>917</v>
      </c>
      <c r="B929" s="168">
        <v>0.99905621384878507</v>
      </c>
      <c r="C929" s="122">
        <v>0.8759998008893809</v>
      </c>
      <c r="D929" s="122">
        <v>0.8960485278045045</v>
      </c>
      <c r="E929" s="122">
        <v>2.931692143551718</v>
      </c>
      <c r="F929" s="122">
        <v>6.4778026103759352</v>
      </c>
      <c r="G929" s="122">
        <v>1.0932725361290234</v>
      </c>
      <c r="H929" s="163">
        <v>1</v>
      </c>
      <c r="I929" s="12">
        <v>2.8194241976382484E-2</v>
      </c>
      <c r="J929" s="115">
        <v>2.1945406734636835E-2</v>
      </c>
      <c r="K929" s="115">
        <v>9.0481710342382336E-4</v>
      </c>
      <c r="L929" s="115">
        <v>2.3145721451404096E-2</v>
      </c>
      <c r="P929" s="108">
        <v>1.1601012921988961E-3</v>
      </c>
      <c r="Q929" s="108">
        <v>2.3202025843977916E-2</v>
      </c>
      <c r="R929" s="49">
        <v>1020524.2749564908</v>
      </c>
    </row>
    <row r="930" spans="1:18" x14ac:dyDescent="0.25">
      <c r="A930">
        <f t="shared" si="17"/>
        <v>918</v>
      </c>
      <c r="B930" s="168">
        <v>1.0030220075118972</v>
      </c>
      <c r="C930" s="122">
        <v>0.91739643397292125</v>
      </c>
      <c r="D930" s="122">
        <v>0.90267138061223262</v>
      </c>
      <c r="E930" s="122">
        <v>2.2381181406741644</v>
      </c>
      <c r="F930" s="122">
        <v>4.7056054689301856</v>
      </c>
      <c r="G930" s="122">
        <v>1.1254275471310677</v>
      </c>
      <c r="H930" s="163">
        <v>1</v>
      </c>
      <c r="I930" s="12">
        <v>4.8768902542447187E-2</v>
      </c>
      <c r="J930" s="115">
        <v>4.6062269482359114E-2</v>
      </c>
      <c r="K930" s="115">
        <v>4.7283251671100699E-3</v>
      </c>
      <c r="L930" s="115">
        <v>4.8835167299055973E-2</v>
      </c>
      <c r="P930" s="108">
        <v>9.8552652246872374E-2</v>
      </c>
      <c r="Q930" s="108">
        <v>1.9710530449374473</v>
      </c>
      <c r="R930" s="49">
        <v>86695338.291232213</v>
      </c>
    </row>
    <row r="931" spans="1:18" x14ac:dyDescent="0.25">
      <c r="A931">
        <f t="shared" si="17"/>
        <v>919</v>
      </c>
      <c r="B931" s="168">
        <v>1.0073690875193104</v>
      </c>
      <c r="C931" s="122">
        <v>0.87524858607577849</v>
      </c>
      <c r="D931" s="122">
        <v>0.89485802142766502</v>
      </c>
      <c r="E931" s="122">
        <v>2.8876574944138609</v>
      </c>
      <c r="F931" s="122">
        <v>4.0997806760316315</v>
      </c>
      <c r="G931" s="122">
        <v>1.0546916597727503</v>
      </c>
      <c r="H931" s="163">
        <v>1</v>
      </c>
      <c r="I931" s="12">
        <v>6.7811985505660533E-3</v>
      </c>
      <c r="J931" s="115">
        <v>3.4338558192935006E-2</v>
      </c>
      <c r="K931" s="115">
        <v>9.2004621804159352E-3</v>
      </c>
      <c r="L931" s="115">
        <v>1.8519246881694464E-3</v>
      </c>
      <c r="P931" s="108">
        <v>-1.21244443005455E-2</v>
      </c>
      <c r="Q931" s="108">
        <v>-0.24248888601090995</v>
      </c>
      <c r="R931" s="49">
        <v>-10665697.738868842</v>
      </c>
    </row>
    <row r="932" spans="1:18" x14ac:dyDescent="0.25">
      <c r="A932">
        <f t="shared" si="17"/>
        <v>920</v>
      </c>
      <c r="B932" s="168">
        <v>1.0128438188745401</v>
      </c>
      <c r="C932" s="122">
        <v>0.88953493791594973</v>
      </c>
      <c r="D932" s="122">
        <v>0.89640377715662389</v>
      </c>
      <c r="E932" s="122">
        <v>2.1652008013201085</v>
      </c>
      <c r="F932" s="122">
        <v>4.5059372662965425</v>
      </c>
      <c r="G932" s="122">
        <v>1.1310248858339753</v>
      </c>
      <c r="H932" s="163">
        <v>1</v>
      </c>
      <c r="I932" s="12">
        <v>3.4502088686594164E-2</v>
      </c>
      <c r="J932" s="115">
        <v>1.4933464974934745E-2</v>
      </c>
      <c r="K932" s="115">
        <v>9.1863754690226255E-4</v>
      </c>
      <c r="L932" s="115">
        <v>2.0741699664186139E-2</v>
      </c>
      <c r="P932" s="108">
        <v>-4.8505629407766031E-2</v>
      </c>
      <c r="Q932" s="108">
        <v>-0.97011258815532042</v>
      </c>
      <c r="R932" s="49">
        <v>-42669698.426800825</v>
      </c>
    </row>
    <row r="933" spans="1:18" x14ac:dyDescent="0.25">
      <c r="A933">
        <f t="shared" si="17"/>
        <v>921</v>
      </c>
      <c r="B933" s="168">
        <v>1.0011105029882257</v>
      </c>
      <c r="C933" s="122">
        <v>0.86288206525961353</v>
      </c>
      <c r="D933" s="122">
        <v>0.9010797146638696</v>
      </c>
      <c r="E933" s="122">
        <v>1.7373093705265268</v>
      </c>
      <c r="F933" s="122">
        <v>6.7743815258600613</v>
      </c>
      <c r="G933" s="122">
        <v>1.0579260009337061</v>
      </c>
      <c r="H933" s="163">
        <v>1</v>
      </c>
      <c r="I933" s="12">
        <v>5.0391045627240567E-2</v>
      </c>
      <c r="J933" s="115">
        <v>2.2989876391549931E-2</v>
      </c>
      <c r="K933" s="115">
        <v>2.4656266602534616E-3</v>
      </c>
      <c r="L933" s="115">
        <v>3.4476484502582901E-2</v>
      </c>
      <c r="P933" s="108">
        <v>5.3708928335346358E-2</v>
      </c>
      <c r="Q933" s="108">
        <v>1.074178566706927</v>
      </c>
      <c r="R933" s="49">
        <v>47246964.999261782</v>
      </c>
    </row>
    <row r="934" spans="1:18" x14ac:dyDescent="0.25">
      <c r="A934">
        <f t="shared" si="17"/>
        <v>922</v>
      </c>
      <c r="B934" s="168">
        <v>0.99200783349635246</v>
      </c>
      <c r="C934" s="122">
        <v>0.90739125300077084</v>
      </c>
      <c r="D934" s="122">
        <v>0.92111838684159419</v>
      </c>
      <c r="E934" s="122">
        <v>2.8428692110460272</v>
      </c>
      <c r="F934" s="122">
        <v>4.6725468788721152</v>
      </c>
      <c r="G934" s="122">
        <v>1.0973107265566366</v>
      </c>
      <c r="H934" s="163">
        <v>1</v>
      </c>
      <c r="I934" s="12">
        <v>1.2891484976154314E-2</v>
      </c>
      <c r="J934" s="115">
        <v>4.2288621661107202E-2</v>
      </c>
      <c r="K934" s="115">
        <v>5.8565654190342745E-3</v>
      </c>
      <c r="L934" s="115">
        <v>1.9434569674897349E-2</v>
      </c>
      <c r="P934" s="108">
        <v>3.4649606236083395E-2</v>
      </c>
      <c r="Q934" s="108">
        <v>0.69299212472166771</v>
      </c>
      <c r="R934" s="49">
        <v>30480755.878293179</v>
      </c>
    </row>
    <row r="935" spans="1:18" x14ac:dyDescent="0.25">
      <c r="A935">
        <f t="shared" si="17"/>
        <v>923</v>
      </c>
      <c r="B935" s="168">
        <v>0.98393750266732538</v>
      </c>
      <c r="C935" s="122">
        <v>0.91602291882277287</v>
      </c>
      <c r="D935" s="122">
        <v>0.90220525853843969</v>
      </c>
      <c r="E935" s="122">
        <v>2.2526870445203739</v>
      </c>
      <c r="F935" s="122">
        <v>7.553969365797057</v>
      </c>
      <c r="G935" s="122">
        <v>1.1290457280230259</v>
      </c>
      <c r="H935" s="163">
        <v>1</v>
      </c>
      <c r="I935" s="12">
        <v>2.4683108775456764E-2</v>
      </c>
      <c r="J935" s="115">
        <v>3.583711491161061E-2</v>
      </c>
      <c r="K935" s="115">
        <v>-3.1037357829630935E-3</v>
      </c>
      <c r="L935" s="115">
        <v>2.2316721911450902E-2</v>
      </c>
      <c r="P935" s="108">
        <v>5.7909127626564659E-2</v>
      </c>
      <c r="Q935" s="108">
        <v>1.158182552531293</v>
      </c>
      <c r="R935" s="49">
        <v>50941819.375485048</v>
      </c>
    </row>
    <row r="936" spans="1:18" x14ac:dyDescent="0.25">
      <c r="A936">
        <f t="shared" si="17"/>
        <v>924</v>
      </c>
      <c r="B936" s="168">
        <v>1.0068308098290721</v>
      </c>
      <c r="C936" s="122">
        <v>0.93117913556458587</v>
      </c>
      <c r="D936" s="122">
        <v>0.90083533324971754</v>
      </c>
      <c r="E936" s="122">
        <v>0.92328260202851786</v>
      </c>
      <c r="F936" s="122">
        <v>6.0998543503599603</v>
      </c>
      <c r="G936" s="122">
        <v>1.1325749953175401</v>
      </c>
      <c r="H936" s="163">
        <v>1</v>
      </c>
      <c r="I936" s="12">
        <v>1.2992895572453237E-2</v>
      </c>
      <c r="J936" s="115">
        <v>1.1059788306670898E-2</v>
      </c>
      <c r="K936" s="115">
        <v>3.2910774637816111E-3</v>
      </c>
      <c r="L936" s="115">
        <v>2.2483899582928558E-2</v>
      </c>
      <c r="P936" s="108">
        <v>-3.5493799712193429E-2</v>
      </c>
      <c r="Q936" s="108">
        <v>-0.70987599424386838</v>
      </c>
      <c r="R936" s="49">
        <v>-31223380.630910464</v>
      </c>
    </row>
    <row r="937" spans="1:18" x14ac:dyDescent="0.25">
      <c r="A937">
        <f t="shared" si="17"/>
        <v>925</v>
      </c>
      <c r="B937" s="168">
        <v>0.99528281030940313</v>
      </c>
      <c r="C937" s="122">
        <v>0.92110421621181571</v>
      </c>
      <c r="D937" s="122">
        <v>0.90197868334385389</v>
      </c>
      <c r="E937" s="122">
        <v>1.0074451239375188</v>
      </c>
      <c r="F937" s="122">
        <v>3.6937691351438895</v>
      </c>
      <c r="G937" s="122">
        <v>1.0914868602731971</v>
      </c>
      <c r="H937" s="163">
        <v>1</v>
      </c>
      <c r="I937" s="12">
        <v>1.6734441142943347E-2</v>
      </c>
      <c r="J937" s="115">
        <v>3.1101705839159305E-2</v>
      </c>
      <c r="K937" s="115">
        <v>8.9842382196337646E-3</v>
      </c>
      <c r="L937" s="115">
        <v>1.4138135819073666E-2</v>
      </c>
      <c r="P937" s="108">
        <v>-1.2823217710676805E-2</v>
      </c>
      <c r="Q937" s="108">
        <v>-0.25646435421353608</v>
      </c>
      <c r="R937" s="49">
        <v>-11280398.569329493</v>
      </c>
    </row>
    <row r="938" spans="1:18" x14ac:dyDescent="0.25">
      <c r="A938">
        <f t="shared" si="17"/>
        <v>926</v>
      </c>
      <c r="B938" s="168">
        <v>0.99154293825066742</v>
      </c>
      <c r="C938" s="122">
        <v>0.91863174154955285</v>
      </c>
      <c r="D938" s="122">
        <v>0.90062758680285349</v>
      </c>
      <c r="E938" s="122">
        <v>2.6707501980405337</v>
      </c>
      <c r="F938" s="122">
        <v>4.178599343040597</v>
      </c>
      <c r="G938" s="122">
        <v>1.0627829095073165</v>
      </c>
      <c r="H938" s="163">
        <v>1</v>
      </c>
      <c r="I938" s="12">
        <v>1.9008128176077159E-2</v>
      </c>
      <c r="J938" s="115">
        <v>4.4532588533340418E-2</v>
      </c>
      <c r="K938" s="115">
        <v>1.0233406970287358E-2</v>
      </c>
      <c r="L938" s="115">
        <v>-7.1753886971480593E-3</v>
      </c>
      <c r="P938" s="108">
        <v>2.7999913218882233E-2</v>
      </c>
      <c r="Q938" s="108">
        <v>0.55999826437764455</v>
      </c>
      <c r="R938" s="49">
        <v>24631117.4107765</v>
      </c>
    </row>
    <row r="939" spans="1:18" x14ac:dyDescent="0.25">
      <c r="A939">
        <f t="shared" si="17"/>
        <v>927</v>
      </c>
      <c r="B939" s="168">
        <v>1.0136526498235163</v>
      </c>
      <c r="C939" s="122">
        <v>0.87390937845216199</v>
      </c>
      <c r="D939" s="122">
        <v>0.91124181394382697</v>
      </c>
      <c r="E939" s="122">
        <v>1.6834644902340621</v>
      </c>
      <c r="F939" s="122">
        <v>7.1068315963885205</v>
      </c>
      <c r="G939" s="122">
        <v>1.1095418310644969</v>
      </c>
      <c r="H939" s="163">
        <v>1</v>
      </c>
      <c r="I939" s="12">
        <v>2.57704911162479E-2</v>
      </c>
      <c r="J939" s="115">
        <v>2.3383370462282508E-2</v>
      </c>
      <c r="K939" s="115">
        <v>8.6452765953036904E-4</v>
      </c>
      <c r="L939" s="115">
        <v>-7.2467043813950402E-3</v>
      </c>
      <c r="P939" s="108">
        <v>-1.2669053062600696E-3</v>
      </c>
      <c r="Q939" s="108">
        <v>-2.5338106125201387E-2</v>
      </c>
      <c r="R939" s="49">
        <v>-1114478.2165175993</v>
      </c>
    </row>
    <row r="940" spans="1:18" x14ac:dyDescent="0.25">
      <c r="A940">
        <f t="shared" si="17"/>
        <v>928</v>
      </c>
      <c r="B940" s="168">
        <v>1.020523230438801</v>
      </c>
      <c r="C940" s="122">
        <v>0.90006231543322657</v>
      </c>
      <c r="D940" s="122">
        <v>0.90711514501856449</v>
      </c>
      <c r="E940" s="122">
        <v>1.6337535154530316</v>
      </c>
      <c r="F940" s="122">
        <v>6.3489104877210005</v>
      </c>
      <c r="G940" s="122">
        <v>1.0659949373573925</v>
      </c>
      <c r="H940" s="163">
        <v>1</v>
      </c>
      <c r="I940" s="12">
        <v>2.5860795195910558E-2</v>
      </c>
      <c r="J940" s="115">
        <v>4.6706923742692114E-2</v>
      </c>
      <c r="K940" s="115">
        <v>1.2719114898230187E-3</v>
      </c>
      <c r="L940" s="115">
        <v>2.2440729382426337E-2</v>
      </c>
      <c r="P940" s="108">
        <v>0.10110509810755754</v>
      </c>
      <c r="Q940" s="108">
        <v>2.0221019621511505</v>
      </c>
      <c r="R940" s="49">
        <v>88940687.881701276</v>
      </c>
    </row>
    <row r="941" spans="1:18" x14ac:dyDescent="0.25">
      <c r="A941">
        <f t="shared" si="17"/>
        <v>929</v>
      </c>
      <c r="B941" s="168">
        <v>1.0031736106887399</v>
      </c>
      <c r="C941" s="122">
        <v>0.86608691783384051</v>
      </c>
      <c r="D941" s="122">
        <v>0.89635013513854955</v>
      </c>
      <c r="E941" s="122">
        <v>1.7854119047480941</v>
      </c>
      <c r="F941" s="122">
        <v>6.7008160193623834</v>
      </c>
      <c r="G941" s="122">
        <v>1.1374172872165429</v>
      </c>
      <c r="H941" s="163">
        <v>1</v>
      </c>
      <c r="I941" s="12">
        <v>3.0138573764134667E-2</v>
      </c>
      <c r="J941" s="115">
        <v>4.0261032093687359E-2</v>
      </c>
      <c r="K941" s="115">
        <v>2.0957196026633075E-3</v>
      </c>
      <c r="L941" s="115">
        <v>2.501779129257517E-2</v>
      </c>
      <c r="P941" s="108">
        <v>7.5686293560356777E-2</v>
      </c>
      <c r="Q941" s="108">
        <v>1.5137258712071351</v>
      </c>
      <c r="R941" s="49">
        <v>66580134.320361495</v>
      </c>
    </row>
    <row r="942" spans="1:18" x14ac:dyDescent="0.25">
      <c r="A942">
        <f t="shared" si="17"/>
        <v>930</v>
      </c>
      <c r="B942" s="168">
        <v>0.99767750963776725</v>
      </c>
      <c r="C942" s="122">
        <v>0.90475594567840922</v>
      </c>
      <c r="D942" s="122">
        <v>0.89815237987499408</v>
      </c>
      <c r="E942" s="122">
        <v>3.5602700451019649</v>
      </c>
      <c r="F942" s="122">
        <v>4.7692311598408796</v>
      </c>
      <c r="G942" s="122">
        <v>1.0958425982210567</v>
      </c>
      <c r="H942" s="163">
        <v>1</v>
      </c>
      <c r="I942" s="12">
        <v>1.3316950705951614E-2</v>
      </c>
      <c r="J942" s="115">
        <v>4.069534387167674E-2</v>
      </c>
      <c r="K942" s="115">
        <v>1.8114283122267403E-2</v>
      </c>
      <c r="L942" s="115">
        <v>1.0652630428611157E-2</v>
      </c>
      <c r="P942" s="108">
        <v>2.5066462137121191E-2</v>
      </c>
      <c r="Q942" s="108">
        <v>0.50132924274242374</v>
      </c>
      <c r="R942" s="49">
        <v>22050603.055292722</v>
      </c>
    </row>
    <row r="943" spans="1:18" x14ac:dyDescent="0.25">
      <c r="A943">
        <f t="shared" si="17"/>
        <v>931</v>
      </c>
      <c r="B943" s="168">
        <v>1.00773842731618</v>
      </c>
      <c r="C943" s="122">
        <v>0.86368870538933074</v>
      </c>
      <c r="D943" s="122">
        <v>0.91791250446600769</v>
      </c>
      <c r="E943" s="122">
        <v>3.0403172079574881</v>
      </c>
      <c r="F943" s="122">
        <v>3.9280236667009496</v>
      </c>
      <c r="G943" s="122">
        <v>1.1323413228343369</v>
      </c>
      <c r="H943" s="163">
        <v>1</v>
      </c>
      <c r="I943" s="12">
        <v>3.0459730548692783E-2</v>
      </c>
      <c r="J943" s="115">
        <v>7.5468716763537308E-2</v>
      </c>
      <c r="K943" s="115">
        <v>-2.5832217591813603E-4</v>
      </c>
      <c r="L943" s="115">
        <v>2.3698186061700439E-2</v>
      </c>
      <c r="P943" s="108">
        <v>0.1464775142060358</v>
      </c>
      <c r="Q943" s="108">
        <v>2.9295502841207153</v>
      </c>
      <c r="R943" s="49">
        <v>128854144.01979275</v>
      </c>
    </row>
    <row r="944" spans="1:18" x14ac:dyDescent="0.25">
      <c r="A944">
        <f t="shared" si="17"/>
        <v>932</v>
      </c>
      <c r="B944" s="168">
        <v>0.99419041254782892</v>
      </c>
      <c r="C944" s="122">
        <v>0.93603173426043385</v>
      </c>
      <c r="D944" s="122">
        <v>0.92910910945364011</v>
      </c>
      <c r="E944" s="122">
        <v>3.5529555718103274</v>
      </c>
      <c r="F944" s="122">
        <v>7.0556513169112582</v>
      </c>
      <c r="G944" s="122">
        <v>1.1333630695047119</v>
      </c>
      <c r="H944" s="163">
        <v>1</v>
      </c>
      <c r="I944" s="12">
        <v>7.0121011153439355E-3</v>
      </c>
      <c r="J944" s="115">
        <v>3.8124462491283949E-2</v>
      </c>
      <c r="K944" s="115">
        <v>6.4307015300930429E-3</v>
      </c>
      <c r="L944" s="115">
        <v>2.0837298118922983E-2</v>
      </c>
      <c r="P944" s="108">
        <v>3.4134072535386945E-2</v>
      </c>
      <c r="Q944" s="108">
        <v>0.68268145070773878</v>
      </c>
      <c r="R944" s="49">
        <v>30027248.361616194</v>
      </c>
    </row>
    <row r="945" spans="1:18" x14ac:dyDescent="0.25">
      <c r="A945">
        <f t="shared" si="17"/>
        <v>933</v>
      </c>
      <c r="B945" s="168">
        <v>0.98434148533700638</v>
      </c>
      <c r="C945" s="122">
        <v>0.90972391078343828</v>
      </c>
      <c r="D945" s="122">
        <v>0.90120077613423633</v>
      </c>
      <c r="E945" s="122">
        <v>2.7122929923908208</v>
      </c>
      <c r="F945" s="122">
        <v>2.8085529129882496</v>
      </c>
      <c r="G945" s="122">
        <v>1.1002211293417621</v>
      </c>
      <c r="H945" s="163">
        <v>1</v>
      </c>
      <c r="I945" s="12">
        <v>1.0122018565524145E-2</v>
      </c>
      <c r="J945" s="115">
        <v>1.2848013748386955E-2</v>
      </c>
      <c r="K945" s="115">
        <v>5.5939766887777558E-3</v>
      </c>
      <c r="L945" s="115">
        <v>3.8984376092141962E-2</v>
      </c>
      <c r="P945" s="108">
        <v>-8.9670554801088875E-2</v>
      </c>
      <c r="Q945" s="108">
        <v>-1.7934110960217773</v>
      </c>
      <c r="R945" s="49">
        <v>-78881886.037618965</v>
      </c>
    </row>
    <row r="946" spans="1:18" x14ac:dyDescent="0.25">
      <c r="A946">
        <f t="shared" si="17"/>
        <v>934</v>
      </c>
      <c r="B946" s="168">
        <v>1.0064802532331181</v>
      </c>
      <c r="C946" s="122">
        <v>0.96680244452241193</v>
      </c>
      <c r="D946" s="122">
        <v>0.90852791438751823</v>
      </c>
      <c r="E946" s="122">
        <v>1.7497245588063566</v>
      </c>
      <c r="F946" s="122">
        <v>5.4304724034719243</v>
      </c>
      <c r="G946" s="122">
        <v>1.0980809111728966</v>
      </c>
      <c r="H946" s="163">
        <v>1</v>
      </c>
      <c r="I946" s="12">
        <v>1.934194838301271E-2</v>
      </c>
      <c r="J946" s="115">
        <v>5.692273278428911E-2</v>
      </c>
      <c r="K946" s="115">
        <v>5.9869522865525241E-3</v>
      </c>
      <c r="L946" s="115">
        <v>9.1309267820755685E-3</v>
      </c>
      <c r="P946" s="108">
        <v>0.10244307881414179</v>
      </c>
      <c r="Q946" s="108">
        <v>2.0488615762828353</v>
      </c>
      <c r="R946" s="49">
        <v>90117690.096658364</v>
      </c>
    </row>
    <row r="947" spans="1:18" x14ac:dyDescent="0.25">
      <c r="A947">
        <f t="shared" si="17"/>
        <v>935</v>
      </c>
      <c r="B947" s="168">
        <v>1.0040419231176947</v>
      </c>
      <c r="C947" s="122">
        <v>0.91828540953973026</v>
      </c>
      <c r="D947" s="122">
        <v>0.92222539967787809</v>
      </c>
      <c r="E947" s="122">
        <v>3.0616991286330038</v>
      </c>
      <c r="F947" s="122">
        <v>4.0415448955813131</v>
      </c>
      <c r="G947" s="122">
        <v>1.0942758156800865</v>
      </c>
      <c r="H947" s="163">
        <v>1</v>
      </c>
      <c r="I947" s="12">
        <v>3.302458963673597E-2</v>
      </c>
      <c r="J947" s="115">
        <v>5.4830584335381571E-2</v>
      </c>
      <c r="K947" s="115">
        <v>5.5212996451844748E-3</v>
      </c>
      <c r="L947" s="115">
        <v>3.3568276536232761E-2</v>
      </c>
      <c r="P947" s="108">
        <v>9.6392985954430049E-2</v>
      </c>
      <c r="Q947" s="108">
        <v>1.9278597190886004</v>
      </c>
      <c r="R947" s="49">
        <v>84795511.188147813</v>
      </c>
    </row>
    <row r="948" spans="1:18" x14ac:dyDescent="0.25">
      <c r="A948">
        <f t="shared" si="17"/>
        <v>936</v>
      </c>
      <c r="B948" s="168">
        <v>1.0032556510339719</v>
      </c>
      <c r="C948" s="122">
        <v>0.92946442497015047</v>
      </c>
      <c r="D948" s="122">
        <v>0.89860116870273388</v>
      </c>
      <c r="E948" s="122">
        <v>1.0875469117101138</v>
      </c>
      <c r="F948" s="122">
        <v>6.0801106717408171</v>
      </c>
      <c r="G948" s="122">
        <v>1.1450118996532719</v>
      </c>
      <c r="H948" s="163">
        <v>1</v>
      </c>
      <c r="I948" s="12">
        <v>4.5601598644064628E-2</v>
      </c>
      <c r="J948" s="115">
        <v>2.4347316290407549E-2</v>
      </c>
      <c r="K948" s="115">
        <v>1.3413015486834524E-2</v>
      </c>
      <c r="L948" s="115">
        <v>3.087900878431659E-2</v>
      </c>
      <c r="P948" s="108">
        <v>4.2604306257388085E-2</v>
      </c>
      <c r="Q948" s="108">
        <v>0.85208612514776161</v>
      </c>
      <c r="R948" s="49">
        <v>37478390.073106721</v>
      </c>
    </row>
    <row r="949" spans="1:18" x14ac:dyDescent="0.25">
      <c r="A949">
        <f t="shared" si="17"/>
        <v>937</v>
      </c>
      <c r="B949" s="168">
        <v>0.98503372216799034</v>
      </c>
      <c r="C949" s="122">
        <v>0.85549091062731819</v>
      </c>
      <c r="D949" s="122">
        <v>0.89334223840664151</v>
      </c>
      <c r="E949" s="122">
        <v>1.647959761490994</v>
      </c>
      <c r="F949" s="122">
        <v>3.2569602133296276</v>
      </c>
      <c r="G949" s="122">
        <v>1.102784844732164</v>
      </c>
      <c r="H949" s="163">
        <v>1</v>
      </c>
      <c r="I949" s="12">
        <v>2.8881632700147545E-2</v>
      </c>
      <c r="J949" s="115">
        <v>4.1594083415295184E-2</v>
      </c>
      <c r="K949" s="115">
        <v>5.9598187951424115E-4</v>
      </c>
      <c r="L949" s="115">
        <v>3.7002724560226796E-2</v>
      </c>
      <c r="P949" s="108">
        <v>3.1858245850508109E-2</v>
      </c>
      <c r="Q949" s="108">
        <v>0.63716491701016209</v>
      </c>
      <c r="R949" s="49">
        <v>28025236.646664649</v>
      </c>
    </row>
    <row r="950" spans="1:18" x14ac:dyDescent="0.25">
      <c r="A950">
        <f t="shared" si="17"/>
        <v>938</v>
      </c>
      <c r="B950" s="168">
        <v>0.99822174069186775</v>
      </c>
      <c r="C950" s="122">
        <v>0.88158946738523758</v>
      </c>
      <c r="D950" s="122">
        <v>0.89359777391687389</v>
      </c>
      <c r="E950" s="122">
        <v>1.3033811349054814</v>
      </c>
      <c r="F950" s="122">
        <v>3.5791825845862881</v>
      </c>
      <c r="G950" s="122">
        <v>1.0938458012655636</v>
      </c>
      <c r="H950" s="163">
        <v>1</v>
      </c>
      <c r="I950" s="12">
        <v>2.6076077874027957E-2</v>
      </c>
      <c r="J950" s="115">
        <v>1.8635911743485053E-2</v>
      </c>
      <c r="K950" s="115">
        <v>1.3400188727674448E-3</v>
      </c>
      <c r="L950" s="115">
        <v>3.8858611779784093E-2</v>
      </c>
      <c r="P950" s="108">
        <v>-3.7908227311257377E-2</v>
      </c>
      <c r="Q950" s="108">
        <v>-0.75816454622514751</v>
      </c>
      <c r="R950" s="49">
        <v>-33347317.559124187</v>
      </c>
    </row>
    <row r="951" spans="1:18" x14ac:dyDescent="0.25">
      <c r="A951">
        <f t="shared" si="17"/>
        <v>939</v>
      </c>
      <c r="B951" s="168">
        <v>1.0227949780526746</v>
      </c>
      <c r="C951" s="122">
        <v>0.90847369876978434</v>
      </c>
      <c r="D951" s="122">
        <v>0.89370239967993459</v>
      </c>
      <c r="E951" s="122">
        <v>2.7527943971037008</v>
      </c>
      <c r="F951" s="122">
        <v>6.7758795438099666</v>
      </c>
      <c r="G951" s="122">
        <v>1.0510468454631885</v>
      </c>
      <c r="H951" s="163">
        <v>1</v>
      </c>
      <c r="I951" s="12">
        <v>2.6928554947353571E-2</v>
      </c>
      <c r="J951" s="115">
        <v>3.3940949737106596E-2</v>
      </c>
      <c r="K951" s="115">
        <v>1.4127328807425225E-2</v>
      </c>
      <c r="L951" s="115">
        <v>2.1374967000796843E-2</v>
      </c>
      <c r="P951" s="108">
        <v>5.5080126726208219E-2</v>
      </c>
      <c r="Q951" s="108">
        <v>1.1016025345241642</v>
      </c>
      <c r="R951" s="49">
        <v>48453188.329125926</v>
      </c>
    </row>
    <row r="952" spans="1:18" x14ac:dyDescent="0.25">
      <c r="A952">
        <f t="shared" si="17"/>
        <v>940</v>
      </c>
      <c r="B952" s="168">
        <v>0.99305827912741584</v>
      </c>
      <c r="C952" s="122">
        <v>0.88540494691131466</v>
      </c>
      <c r="D952" s="122">
        <v>0.89581275330608157</v>
      </c>
      <c r="E952" s="122">
        <v>2.1423582537183563</v>
      </c>
      <c r="F952" s="122">
        <v>5.4955477392586207</v>
      </c>
      <c r="G952" s="122">
        <v>1.1156531976630961</v>
      </c>
      <c r="H952" s="163">
        <v>1</v>
      </c>
      <c r="I952" s="12">
        <v>3.5852620013878664E-2</v>
      </c>
      <c r="J952" s="115">
        <v>-3.2207318626610998E-3</v>
      </c>
      <c r="K952" s="115">
        <v>-1.2281899014696455E-2</v>
      </c>
      <c r="L952" s="115">
        <v>1.6816572658722214E-2</v>
      </c>
      <c r="P952" s="108">
        <v>-9.8866859570382826E-2</v>
      </c>
      <c r="Q952" s="108">
        <v>-1.9773371914076561</v>
      </c>
      <c r="R952" s="49">
        <v>-86971741.914922476</v>
      </c>
    </row>
    <row r="953" spans="1:18" x14ac:dyDescent="0.25">
      <c r="A953">
        <f t="shared" si="17"/>
        <v>941</v>
      </c>
      <c r="B953" s="168">
        <v>0.99661064754546369</v>
      </c>
      <c r="C953" s="122">
        <v>0.93985886678915631</v>
      </c>
      <c r="D953" s="122">
        <v>0.90819742150402361</v>
      </c>
      <c r="E953" s="122">
        <v>1.4532325281628737</v>
      </c>
      <c r="F953" s="122">
        <v>2.8259552764605993</v>
      </c>
      <c r="G953" s="122">
        <v>1.1341213653485214</v>
      </c>
      <c r="H953" s="163">
        <v>1</v>
      </c>
      <c r="I953" s="12">
        <v>1.6335144844712823E-2</v>
      </c>
      <c r="J953" s="115">
        <v>4.9264332196080417E-2</v>
      </c>
      <c r="K953" s="115">
        <v>7.5235569111235887E-3</v>
      </c>
      <c r="L953" s="115">
        <v>8.5422857530159119E-3</v>
      </c>
      <c r="P953" s="108">
        <v>8.523642907007566E-3</v>
      </c>
      <c r="Q953" s="108">
        <v>0.17047285814015131</v>
      </c>
      <c r="R953" s="49">
        <v>7498124.9966322919</v>
      </c>
    </row>
    <row r="954" spans="1:18" x14ac:dyDescent="0.25">
      <c r="A954">
        <f t="shared" si="17"/>
        <v>942</v>
      </c>
      <c r="B954" s="168">
        <v>0.99425546823461064</v>
      </c>
      <c r="C954" s="122">
        <v>0.90133277906348008</v>
      </c>
      <c r="D954" s="122">
        <v>0.92073092420870917</v>
      </c>
      <c r="E954" s="122">
        <v>1.7505329909579292</v>
      </c>
      <c r="F954" s="122">
        <v>5.6433519016165601</v>
      </c>
      <c r="G954" s="122">
        <v>1.0847964956172358</v>
      </c>
      <c r="H954" s="163">
        <v>1</v>
      </c>
      <c r="I954" s="12">
        <v>3.2712138888392313E-2</v>
      </c>
      <c r="J954" s="115">
        <v>4.8506854752377628E-2</v>
      </c>
      <c r="K954" s="115">
        <v>9.1185010096171909E-4</v>
      </c>
      <c r="L954" s="115">
        <v>4.3342268479228424E-2</v>
      </c>
      <c r="P954" s="108">
        <v>0.11440940396493102</v>
      </c>
      <c r="Q954" s="108">
        <v>2.28818807929862</v>
      </c>
      <c r="R954" s="49">
        <v>100644292.71362117</v>
      </c>
    </row>
    <row r="955" spans="1:18" x14ac:dyDescent="0.25">
      <c r="A955">
        <f t="shared" si="17"/>
        <v>943</v>
      </c>
      <c r="B955" s="168">
        <v>0.99317703415643266</v>
      </c>
      <c r="C955" s="122">
        <v>0.89876222110196125</v>
      </c>
      <c r="D955" s="122">
        <v>0.90083498418675079</v>
      </c>
      <c r="E955" s="122">
        <v>1.6424065137605433</v>
      </c>
      <c r="F955" s="122">
        <v>9.0473160233279213</v>
      </c>
      <c r="G955" s="122">
        <v>1.0502765819442312</v>
      </c>
      <c r="H955" s="163">
        <v>1</v>
      </c>
      <c r="I955" s="12">
        <v>2.9567273137024605E-2</v>
      </c>
      <c r="J955" s="115">
        <v>4.8321450245511897E-2</v>
      </c>
      <c r="K955" s="115">
        <v>-4.2534641048039687E-3</v>
      </c>
      <c r="L955" s="115">
        <v>5.0775585705249163E-2</v>
      </c>
      <c r="P955" s="108">
        <v>0.15997670471865358</v>
      </c>
      <c r="Q955" s="108">
        <v>3.199534094373071</v>
      </c>
      <c r="R955" s="49">
        <v>140729186.05536953</v>
      </c>
    </row>
    <row r="956" spans="1:18" x14ac:dyDescent="0.25">
      <c r="A956">
        <f t="shared" si="17"/>
        <v>944</v>
      </c>
      <c r="B956" s="168">
        <v>0.98901886179844389</v>
      </c>
      <c r="C956" s="122">
        <v>0.93500116664659239</v>
      </c>
      <c r="D956" s="122">
        <v>0.9088305946433628</v>
      </c>
      <c r="E956" s="122">
        <v>2.4875987289012151</v>
      </c>
      <c r="F956" s="122">
        <v>6.2377306687782355</v>
      </c>
      <c r="G956" s="122">
        <v>1.1348508790889875</v>
      </c>
      <c r="H956" s="163">
        <v>1</v>
      </c>
      <c r="I956" s="12">
        <v>2.3814347338287183E-2</v>
      </c>
      <c r="J956" s="115">
        <v>6.0482374386551255E-2</v>
      </c>
      <c r="K956" s="115">
        <v>-2.4447966848020752E-4</v>
      </c>
      <c r="L956" s="115">
        <v>-3.0688795131677063E-4</v>
      </c>
      <c r="P956" s="108">
        <v>0.10765998975355869</v>
      </c>
      <c r="Q956" s="108">
        <v>2.1531997950711732</v>
      </c>
      <c r="R956" s="49">
        <v>94706930.958436728</v>
      </c>
    </row>
    <row r="957" spans="1:18" x14ac:dyDescent="0.25">
      <c r="A957">
        <f t="shared" si="17"/>
        <v>945</v>
      </c>
      <c r="B957" s="168">
        <v>0.99927505185931154</v>
      </c>
      <c r="C957" s="122">
        <v>0.89103236901683858</v>
      </c>
      <c r="D957" s="122">
        <v>0.90492006718314866</v>
      </c>
      <c r="E957" s="122">
        <v>1.3767680816344856</v>
      </c>
      <c r="F957" s="122">
        <v>6.3545063722213033</v>
      </c>
      <c r="G957" s="122">
        <v>1.0875520557335532</v>
      </c>
      <c r="H957" s="163">
        <v>1</v>
      </c>
      <c r="I957" s="12">
        <v>3.145137621809263E-2</v>
      </c>
      <c r="J957" s="115">
        <v>4.7427243907006131E-2</v>
      </c>
      <c r="K957" s="115">
        <v>8.0806103900648539E-3</v>
      </c>
      <c r="L957" s="115">
        <v>3.7728018586521958E-2</v>
      </c>
      <c r="P957" s="108">
        <v>0.12201659174197574</v>
      </c>
      <c r="Q957" s="108">
        <v>2.4403318348395144</v>
      </c>
      <c r="R957" s="49">
        <v>107336225.4291788</v>
      </c>
    </row>
    <row r="958" spans="1:18" x14ac:dyDescent="0.25">
      <c r="A958">
        <f t="shared" si="17"/>
        <v>946</v>
      </c>
      <c r="B958" s="168">
        <v>1.0117086654844547</v>
      </c>
      <c r="C958" s="122">
        <v>0.91500971318109281</v>
      </c>
      <c r="D958" s="122">
        <v>0.89510214145119438</v>
      </c>
      <c r="E958" s="122">
        <v>2.5048018782438675</v>
      </c>
      <c r="F958" s="122">
        <v>5.0551804231065516</v>
      </c>
      <c r="G958" s="122">
        <v>1.0951862388022191</v>
      </c>
      <c r="H958" s="163">
        <v>1</v>
      </c>
      <c r="I958" s="12">
        <v>2.0593438561381062E-2</v>
      </c>
      <c r="J958" s="115">
        <v>4.8219307985443251E-2</v>
      </c>
      <c r="K958" s="115">
        <v>-5.1011254655242292E-3</v>
      </c>
      <c r="L958" s="115">
        <v>9.0408050991798283E-3</v>
      </c>
      <c r="P958" s="108">
        <v>5.9343477466320384E-2</v>
      </c>
      <c r="Q958" s="108">
        <v>1.1868695493264074</v>
      </c>
      <c r="R958" s="49">
        <v>52203596.118683204</v>
      </c>
    </row>
    <row r="959" spans="1:18" x14ac:dyDescent="0.25">
      <c r="A959">
        <f t="shared" si="17"/>
        <v>947</v>
      </c>
      <c r="B959" s="168">
        <v>0.99502949221169046</v>
      </c>
      <c r="C959" s="122">
        <v>0.89177284947376689</v>
      </c>
      <c r="D959" s="122">
        <v>0.89020648822266024</v>
      </c>
      <c r="E959" s="122">
        <v>2.3535814595572386</v>
      </c>
      <c r="F959" s="122">
        <v>9.1682304872407947</v>
      </c>
      <c r="G959" s="122">
        <v>1.1454866959750101</v>
      </c>
      <c r="H959" s="163">
        <v>1</v>
      </c>
      <c r="I959" s="12">
        <v>2.2465023496503381E-2</v>
      </c>
      <c r="J959" s="115">
        <v>1.3689273229442148E-2</v>
      </c>
      <c r="K959" s="115">
        <v>7.5974428934428521E-4</v>
      </c>
      <c r="L959" s="115">
        <v>3.7416303954604366E-2</v>
      </c>
      <c r="P959" s="108">
        <v>9.6904399824559648E-4</v>
      </c>
      <c r="Q959" s="108">
        <v>1.9380879964911925E-2</v>
      </c>
      <c r="R959" s="49">
        <v>852453.94549647719</v>
      </c>
    </row>
    <row r="960" spans="1:18" x14ac:dyDescent="0.25">
      <c r="A960">
        <f t="shared" si="17"/>
        <v>948</v>
      </c>
      <c r="B960" s="168">
        <v>1.0007877769608553</v>
      </c>
      <c r="C960" s="122">
        <v>0.87671572397922803</v>
      </c>
      <c r="D960" s="122">
        <v>0.88822578221090487</v>
      </c>
      <c r="E960" s="122">
        <v>1.8599385194093463</v>
      </c>
      <c r="F960" s="122">
        <v>8.4807655957465133</v>
      </c>
      <c r="G960" s="122">
        <v>1.054851110329305</v>
      </c>
      <c r="H960" s="163">
        <v>1</v>
      </c>
      <c r="I960" s="12">
        <v>2.0712798203074388E-2</v>
      </c>
      <c r="J960" s="115">
        <v>1.0458819921387457E-2</v>
      </c>
      <c r="K960" s="115">
        <v>-1.3844442155931591E-3</v>
      </c>
      <c r="L960" s="115">
        <v>1.0145138501187289E-2</v>
      </c>
      <c r="P960" s="108">
        <v>-1.9288690667825053E-2</v>
      </c>
      <c r="Q960" s="108">
        <v>-0.38577381335650102</v>
      </c>
      <c r="R960" s="49">
        <v>-16967981.322847623</v>
      </c>
    </row>
    <row r="961" spans="1:18" x14ac:dyDescent="0.25">
      <c r="A961">
        <f t="shared" si="17"/>
        <v>949</v>
      </c>
      <c r="B961" s="168">
        <v>1.0061372607511114</v>
      </c>
      <c r="C961" s="122">
        <v>0.91281505490614945</v>
      </c>
      <c r="D961" s="122">
        <v>0.91073288901734173</v>
      </c>
      <c r="E961" s="122">
        <v>3.0752522372714886</v>
      </c>
      <c r="F961" s="122">
        <v>3.4264215650784844</v>
      </c>
      <c r="G961" s="122">
        <v>1.0862388033333861</v>
      </c>
      <c r="H961" s="163">
        <v>1</v>
      </c>
      <c r="I961" s="12">
        <v>3.894222594927288E-2</v>
      </c>
      <c r="J961" s="115">
        <v>2.7526254286188621E-2</v>
      </c>
      <c r="K961" s="115">
        <v>-4.9000394729882546E-4</v>
      </c>
      <c r="L961" s="115">
        <v>2.8899770204333264E-2</v>
      </c>
      <c r="P961" s="108">
        <v>-6.3547230277691885E-3</v>
      </c>
      <c r="Q961" s="108">
        <v>-0.12709446055538373</v>
      </c>
      <c r="R961" s="49">
        <v>-5590157.6475027613</v>
      </c>
    </row>
    <row r="962" spans="1:18" x14ac:dyDescent="0.25">
      <c r="A962">
        <f t="shared" si="17"/>
        <v>950</v>
      </c>
      <c r="B962" s="168">
        <v>1.003567962995884</v>
      </c>
      <c r="C962" s="122">
        <v>0.94837978942005952</v>
      </c>
      <c r="D962" s="122">
        <v>0.90098668597693266</v>
      </c>
      <c r="E962" s="122">
        <v>1.9760132246500179</v>
      </c>
      <c r="F962" s="122">
        <v>4.0403474871585203</v>
      </c>
      <c r="G962" s="122">
        <v>1.1008294024568468</v>
      </c>
      <c r="H962" s="163">
        <v>1</v>
      </c>
      <c r="I962" s="12">
        <v>4.2722856376571416E-2</v>
      </c>
      <c r="J962" s="115">
        <v>3.1544723974518241E-2</v>
      </c>
      <c r="K962" s="115">
        <v>-8.2142750770518302E-4</v>
      </c>
      <c r="L962" s="115">
        <v>9.4128536331272022E-3</v>
      </c>
      <c r="P962" s="108">
        <v>6.3240378023465861E-3</v>
      </c>
      <c r="Q962" s="108">
        <v>0.12648075604693171</v>
      </c>
      <c r="R962" s="49">
        <v>5563164.2999072867</v>
      </c>
    </row>
    <row r="963" spans="1:18" x14ac:dyDescent="0.25">
      <c r="A963">
        <f t="shared" si="17"/>
        <v>951</v>
      </c>
      <c r="B963" s="168">
        <v>1.0167178506797969</v>
      </c>
      <c r="C963" s="122">
        <v>0.93102870156342898</v>
      </c>
      <c r="D963" s="122">
        <v>0.89964596394315455</v>
      </c>
      <c r="E963" s="122">
        <v>3.3787391261250566</v>
      </c>
      <c r="F963" s="122">
        <v>5.1838231749324866</v>
      </c>
      <c r="G963" s="122">
        <v>1.0596996605110505</v>
      </c>
      <c r="H963" s="163">
        <v>1</v>
      </c>
      <c r="I963" s="12">
        <v>1.1725565475562071E-2</v>
      </c>
      <c r="J963" s="115">
        <v>4.3471596628005121E-3</v>
      </c>
      <c r="K963" s="115">
        <v>1.7841727291744734E-2</v>
      </c>
      <c r="L963" s="115">
        <v>-5.8557245328957029E-3</v>
      </c>
      <c r="P963" s="108">
        <v>-0.10539365159821062</v>
      </c>
      <c r="Q963" s="108">
        <v>-2.1078730319642123</v>
      </c>
      <c r="R963" s="49">
        <v>-92713266.16524528</v>
      </c>
    </row>
    <row r="964" spans="1:18" x14ac:dyDescent="0.25">
      <c r="A964">
        <f t="shared" si="17"/>
        <v>952</v>
      </c>
      <c r="B964" s="168">
        <v>0.99566071586924254</v>
      </c>
      <c r="C964" s="122">
        <v>0.89172169168461068</v>
      </c>
      <c r="D964" s="122">
        <v>0.89825928096195373</v>
      </c>
      <c r="E964" s="122">
        <v>1.5022903524109577</v>
      </c>
      <c r="F964" s="122">
        <v>3.1012696310082788</v>
      </c>
      <c r="G964" s="122">
        <v>1.0481435663671026</v>
      </c>
      <c r="H964" s="163">
        <v>1</v>
      </c>
      <c r="I964" s="12">
        <v>2.6697536960092066E-2</v>
      </c>
      <c r="J964" s="115">
        <v>2.4893700273379636E-2</v>
      </c>
      <c r="K964" s="115">
        <v>9.7385215920553787E-3</v>
      </c>
      <c r="L964" s="115">
        <v>-7.6265013758165523E-3</v>
      </c>
      <c r="P964" s="108">
        <v>-5.3503936827210968E-2</v>
      </c>
      <c r="Q964" s="108">
        <v>-1.0700787365442193</v>
      </c>
      <c r="R964" s="49">
        <v>-47066636.943755887</v>
      </c>
    </row>
    <row r="965" spans="1:18" x14ac:dyDescent="0.25">
      <c r="A965">
        <f t="shared" si="17"/>
        <v>953</v>
      </c>
      <c r="B965" s="168">
        <v>0.98054526012605803</v>
      </c>
      <c r="C965" s="122">
        <v>0.87684532827452233</v>
      </c>
      <c r="D965" s="122">
        <v>0.89010606567471862</v>
      </c>
      <c r="E965" s="122">
        <v>3.4156176726214902</v>
      </c>
      <c r="F965" s="122">
        <v>8.8306935017858414</v>
      </c>
      <c r="G965" s="122">
        <v>1.0849356743747378</v>
      </c>
      <c r="H965" s="163">
        <v>1</v>
      </c>
      <c r="I965" s="12">
        <v>4.128359115257775E-2</v>
      </c>
      <c r="J965" s="115">
        <v>5.053502187493663E-2</v>
      </c>
      <c r="K965" s="115">
        <v>8.2607310033104633E-3</v>
      </c>
      <c r="L965" s="115">
        <v>-3.0611088724420386E-3</v>
      </c>
      <c r="P965" s="108">
        <v>0.11283612645114026</v>
      </c>
      <c r="Q965" s="108">
        <v>2.256722529022805</v>
      </c>
      <c r="R965" s="49">
        <v>99260303.311261818</v>
      </c>
    </row>
    <row r="966" spans="1:18" x14ac:dyDescent="0.25">
      <c r="A966">
        <f t="shared" si="17"/>
        <v>954</v>
      </c>
      <c r="B966" s="168">
        <v>0.99598578983630048</v>
      </c>
      <c r="C966" s="122">
        <v>0.948954718809774</v>
      </c>
      <c r="D966" s="122">
        <v>0.90102616589588613</v>
      </c>
      <c r="E966" s="122">
        <v>1.5702726579828992</v>
      </c>
      <c r="F966" s="122">
        <v>3.0712849843341092</v>
      </c>
      <c r="G966" s="122">
        <v>1.1305431651072955</v>
      </c>
      <c r="H966" s="163">
        <v>1</v>
      </c>
      <c r="I966" s="12">
        <v>2.9023916860852598E-2</v>
      </c>
      <c r="J966" s="115">
        <v>3.3551995097218165E-2</v>
      </c>
      <c r="K966" s="115">
        <v>1.6085796260471942E-2</v>
      </c>
      <c r="L966" s="115">
        <v>1.4123310518905564E-2</v>
      </c>
      <c r="P966" s="108">
        <v>-1.9968590190922803E-2</v>
      </c>
      <c r="Q966" s="108">
        <v>-0.39937180381845599</v>
      </c>
      <c r="R966" s="49">
        <v>-17566079.068724141</v>
      </c>
    </row>
    <row r="967" spans="1:18" x14ac:dyDescent="0.25">
      <c r="A967">
        <f t="shared" si="17"/>
        <v>955</v>
      </c>
      <c r="B967" s="168">
        <v>1.0083493083976935</v>
      </c>
      <c r="C967" s="122">
        <v>0.90580433481814671</v>
      </c>
      <c r="D967" s="122">
        <v>0.91496992516147102</v>
      </c>
      <c r="E967" s="122">
        <v>3.2808828260996763</v>
      </c>
      <c r="F967" s="122">
        <v>6.4052672080435986</v>
      </c>
      <c r="G967" s="122">
        <v>1.1100559066420075</v>
      </c>
      <c r="H967" s="163">
        <v>1</v>
      </c>
      <c r="I967" s="12">
        <v>3.250343270776334E-2</v>
      </c>
      <c r="J967" s="115">
        <v>5.9239777612590049E-2</v>
      </c>
      <c r="K967" s="115">
        <v>7.7782568833906088E-4</v>
      </c>
      <c r="L967" s="115">
        <v>2.7854252054203915E-2</v>
      </c>
      <c r="P967" s="108">
        <v>0.13209444575063051</v>
      </c>
      <c r="Q967" s="108">
        <v>2.6418889150126095</v>
      </c>
      <c r="R967" s="49">
        <v>116201567.38204037</v>
      </c>
    </row>
    <row r="968" spans="1:18" x14ac:dyDescent="0.25">
      <c r="A968">
        <f t="shared" si="17"/>
        <v>956</v>
      </c>
      <c r="B968" s="168">
        <v>0.9947191954294432</v>
      </c>
      <c r="C968" s="122">
        <v>0.86319036025851315</v>
      </c>
      <c r="D968" s="122">
        <v>0.89121784656297109</v>
      </c>
      <c r="E968" s="122">
        <v>1.9712181037891612</v>
      </c>
      <c r="F968" s="122">
        <v>4.7326722604436746</v>
      </c>
      <c r="G968" s="122">
        <v>1.0700705501651993</v>
      </c>
      <c r="H968" s="163">
        <v>1</v>
      </c>
      <c r="I968" s="12">
        <v>3.2802865235538187E-2</v>
      </c>
      <c r="J968" s="115">
        <v>5.1157928549742604E-2</v>
      </c>
      <c r="K968" s="115">
        <v>5.0492804630581463E-3</v>
      </c>
      <c r="L968" s="115">
        <v>1.9155655057269173E-2</v>
      </c>
      <c r="P968" s="108">
        <v>9.2317887282087577E-2</v>
      </c>
      <c r="Q968" s="108">
        <v>1.8463577456417513</v>
      </c>
      <c r="R968" s="49">
        <v>81210706.011277556</v>
      </c>
    </row>
    <row r="969" spans="1:18" x14ac:dyDescent="0.25">
      <c r="A969">
        <f t="shared" si="17"/>
        <v>957</v>
      </c>
      <c r="B969" s="168">
        <v>1.0076352968714313</v>
      </c>
      <c r="C969" s="122">
        <v>0.8661920392373077</v>
      </c>
      <c r="D969" s="122">
        <v>0.90691951050889563</v>
      </c>
      <c r="E969" s="122">
        <v>2.2808985658907521</v>
      </c>
      <c r="F969" s="122">
        <v>6.6164147833396409</v>
      </c>
      <c r="G969" s="122">
        <v>1.0725757154026689</v>
      </c>
      <c r="H969" s="163">
        <v>1</v>
      </c>
      <c r="I969" s="12">
        <v>2.8070799236410673E-2</v>
      </c>
      <c r="J969" s="115">
        <v>4.741162122861399E-2</v>
      </c>
      <c r="K969" s="115">
        <v>-6.1681141227377771E-4</v>
      </c>
      <c r="L969" s="115">
        <v>3.2382834655235601E-2</v>
      </c>
      <c r="P969" s="108">
        <v>0.10687812826540199</v>
      </c>
      <c r="Q969" s="108">
        <v>2.1375625653080395</v>
      </c>
      <c r="R969" s="49">
        <v>94019138.751253515</v>
      </c>
    </row>
    <row r="970" spans="1:18" x14ac:dyDescent="0.25">
      <c r="A970">
        <f t="shared" si="17"/>
        <v>958</v>
      </c>
      <c r="B970" s="168">
        <v>1.006914102036653</v>
      </c>
      <c r="C970" s="122">
        <v>0.86223109199288728</v>
      </c>
      <c r="D970" s="122">
        <v>0.88942335793305094</v>
      </c>
      <c r="E970" s="122">
        <v>1.8185852375480143</v>
      </c>
      <c r="F970" s="122">
        <v>4.4698271163531196</v>
      </c>
      <c r="G970" s="122">
        <v>1.1033167083854187</v>
      </c>
      <c r="H970" s="163">
        <v>1</v>
      </c>
      <c r="I970" s="12">
        <v>8.9272978170959749E-3</v>
      </c>
      <c r="J970" s="115">
        <v>3.8836968810979915E-2</v>
      </c>
      <c r="K970" s="115">
        <v>9.8429491645499242E-3</v>
      </c>
      <c r="L970" s="115">
        <v>2.6398183901438999E-2</v>
      </c>
      <c r="P970" s="108">
        <v>2.5708741817437115E-2</v>
      </c>
      <c r="Q970" s="108">
        <v>0.51417483634874217</v>
      </c>
      <c r="R970" s="49">
        <v>22615607.171296515</v>
      </c>
    </row>
    <row r="971" spans="1:18" x14ac:dyDescent="0.25">
      <c r="A971">
        <f t="shared" si="17"/>
        <v>959</v>
      </c>
      <c r="B971" s="168">
        <v>1.0079794717212576</v>
      </c>
      <c r="C971" s="122">
        <v>0.92038498501395671</v>
      </c>
      <c r="D971" s="122">
        <v>0.89951981668323067</v>
      </c>
      <c r="E971" s="122">
        <v>2.7423266275122522</v>
      </c>
      <c r="F971" s="122">
        <v>4.8349871209188384</v>
      </c>
      <c r="G971" s="122">
        <v>1.1157505094534734</v>
      </c>
      <c r="H971" s="163">
        <v>1</v>
      </c>
      <c r="I971" s="12">
        <v>1.9335317661514761E-2</v>
      </c>
      <c r="J971" s="115">
        <v>-1.5666804459615186E-3</v>
      </c>
      <c r="K971" s="115">
        <v>-8.5443115711854277E-3</v>
      </c>
      <c r="L971" s="115">
        <v>1.7301886415489916E-2</v>
      </c>
      <c r="P971" s="108">
        <v>-0.11978378644756574</v>
      </c>
      <c r="Q971" s="108">
        <v>-2.3956757289513142</v>
      </c>
      <c r="R971" s="49">
        <v>-105372059.00722972</v>
      </c>
    </row>
    <row r="972" spans="1:18" x14ac:dyDescent="0.25">
      <c r="A972">
        <f t="shared" si="17"/>
        <v>960</v>
      </c>
      <c r="B972" s="168">
        <v>0.99981738292352318</v>
      </c>
      <c r="C972" s="122">
        <v>0.92260380722523372</v>
      </c>
      <c r="D972" s="122">
        <v>0.90582221871185542</v>
      </c>
      <c r="E972" s="122">
        <v>2.1829352890409877</v>
      </c>
      <c r="F972" s="122">
        <v>7.2229290083689257</v>
      </c>
      <c r="G972" s="122">
        <v>1.0778598212767205</v>
      </c>
      <c r="H972" s="163">
        <v>1</v>
      </c>
      <c r="I972" s="12">
        <v>2.5903494573079441E-2</v>
      </c>
      <c r="J972" s="115">
        <v>3.7317010605846454E-2</v>
      </c>
      <c r="K972" s="115">
        <v>6.0606729774089155E-3</v>
      </c>
      <c r="L972" s="115">
        <v>-6.1322961598316121E-3</v>
      </c>
      <c r="P972" s="108">
        <v>4.9670505549927947E-2</v>
      </c>
      <c r="Q972" s="108">
        <v>0.9934101109985588</v>
      </c>
      <c r="R972" s="49">
        <v>43694423.067991957</v>
      </c>
    </row>
    <row r="973" spans="1:18" x14ac:dyDescent="0.25">
      <c r="A973">
        <f t="shared" si="17"/>
        <v>961</v>
      </c>
      <c r="B973" s="168">
        <v>1.0152548833120152</v>
      </c>
      <c r="C973" s="122">
        <v>0.87263791328016371</v>
      </c>
      <c r="D973" s="122">
        <v>0.90540639092796482</v>
      </c>
      <c r="E973" s="122">
        <v>2.2203345979344631</v>
      </c>
      <c r="F973" s="122">
        <v>3.2085475226516031</v>
      </c>
      <c r="G973" s="122">
        <v>1.0462021938958586</v>
      </c>
      <c r="H973" s="163">
        <v>1</v>
      </c>
      <c r="I973" s="12">
        <v>2.546228022447606E-2</v>
      </c>
      <c r="J973" s="115">
        <v>2.7269063772410125E-2</v>
      </c>
      <c r="K973" s="115">
        <v>4.8294131516645571E-3</v>
      </c>
      <c r="L973" s="115">
        <v>1.3796344691657515E-2</v>
      </c>
      <c r="P973" s="108">
        <v>-2.7345561811804479E-2</v>
      </c>
      <c r="Q973" s="108">
        <v>-0.54691123623608939</v>
      </c>
      <c r="R973" s="49">
        <v>-24055493.971887775</v>
      </c>
    </row>
    <row r="974" spans="1:18" x14ac:dyDescent="0.25">
      <c r="A974">
        <f t="shared" si="17"/>
        <v>962</v>
      </c>
      <c r="B974" s="168">
        <v>0.99733415770146805</v>
      </c>
      <c r="C974" s="122">
        <v>0.9286969368418535</v>
      </c>
      <c r="D974" s="122">
        <v>0.90683385912653824</v>
      </c>
      <c r="E974" s="122">
        <v>1.99046760701926</v>
      </c>
      <c r="F974" s="122">
        <v>2.3891051992247561</v>
      </c>
      <c r="G974" s="122">
        <v>1.1020393463497693</v>
      </c>
      <c r="H974" s="163">
        <v>1</v>
      </c>
      <c r="I974" s="12">
        <v>3.6874854387381376E-2</v>
      </c>
      <c r="J974" s="115">
        <v>3.9368089142759147E-2</v>
      </c>
      <c r="K974" s="115">
        <v>-6.4077606183104195E-3</v>
      </c>
      <c r="L974" s="115">
        <v>-1.5151472575665435E-2</v>
      </c>
      <c r="P974" s="108">
        <v>-3.2368931523873497E-2</v>
      </c>
      <c r="Q974" s="108">
        <v>-0.64737863047746991</v>
      </c>
      <c r="R974" s="49">
        <v>-28474479.424038023</v>
      </c>
    </row>
    <row r="975" spans="1:18" x14ac:dyDescent="0.25">
      <c r="A975">
        <f t="shared" ref="A975:A1012" si="18">A974+1</f>
        <v>963</v>
      </c>
      <c r="B975" s="168">
        <v>1.0010174837740968</v>
      </c>
      <c r="C975" s="122">
        <v>0.848523661855761</v>
      </c>
      <c r="D975" s="122">
        <v>0.90188184245343817</v>
      </c>
      <c r="E975" s="122">
        <v>2.5195174913830662</v>
      </c>
      <c r="F975" s="122">
        <v>1.3051100963328883</v>
      </c>
      <c r="G975" s="122">
        <v>1.0878459086511831</v>
      </c>
      <c r="H975" s="163">
        <v>1</v>
      </c>
      <c r="I975" s="12">
        <v>2.5707213726209044E-2</v>
      </c>
      <c r="J975" s="115">
        <v>4.166672752236876E-2</v>
      </c>
      <c r="K975" s="115">
        <v>8.5372212189394475E-3</v>
      </c>
      <c r="L975" s="115">
        <v>1.9259459122470894E-2</v>
      </c>
      <c r="P975" s="108">
        <v>-2.7757887162397167E-2</v>
      </c>
      <c r="Q975" s="108">
        <v>-0.55515774324794331</v>
      </c>
      <c r="R975" s="49">
        <v>-24418210.600417852</v>
      </c>
    </row>
    <row r="976" spans="1:18" x14ac:dyDescent="0.25">
      <c r="A976">
        <f t="shared" si="18"/>
        <v>964</v>
      </c>
      <c r="B976" s="168">
        <v>1.0201493469085192</v>
      </c>
      <c r="C976" s="122">
        <v>0.95166762073372602</v>
      </c>
      <c r="D976" s="122">
        <v>0.88838189187158778</v>
      </c>
      <c r="E976" s="122">
        <v>2.9632354686567508</v>
      </c>
      <c r="F976" s="122">
        <v>6.6571756971376761</v>
      </c>
      <c r="G976" s="122">
        <v>1.0951989220736926</v>
      </c>
      <c r="H976" s="163">
        <v>1</v>
      </c>
      <c r="I976" s="12">
        <v>3.5350281057265523E-2</v>
      </c>
      <c r="J976" s="115">
        <v>3.5584030575947972E-2</v>
      </c>
      <c r="K976" s="115">
        <v>1.6677770879192564E-2</v>
      </c>
      <c r="L976" s="115">
        <v>-9.5365225152537793E-3</v>
      </c>
      <c r="P976" s="108">
        <v>3.5582811031429497E-2</v>
      </c>
      <c r="Q976" s="108">
        <v>0.7116562206285898</v>
      </c>
      <c r="R976" s="49">
        <v>31301682.596986316</v>
      </c>
    </row>
    <row r="977" spans="1:18" x14ac:dyDescent="0.25">
      <c r="A977">
        <f t="shared" si="18"/>
        <v>965</v>
      </c>
      <c r="B977" s="168">
        <v>0.99598668233508847</v>
      </c>
      <c r="C977" s="122">
        <v>0.86345841472953377</v>
      </c>
      <c r="D977" s="122">
        <v>0.89515296417507473</v>
      </c>
      <c r="E977" s="122">
        <v>1.6584662365578431</v>
      </c>
      <c r="F977" s="122">
        <v>7.942667676545768</v>
      </c>
      <c r="G977" s="122">
        <v>1.0944358282493101</v>
      </c>
      <c r="H977" s="163">
        <v>1</v>
      </c>
      <c r="I977" s="12">
        <v>3.110585621373262E-2</v>
      </c>
      <c r="J977" s="115">
        <v>3.4840392790490171E-2</v>
      </c>
      <c r="K977" s="115">
        <v>1.8788407356692332E-2</v>
      </c>
      <c r="L977" s="115">
        <v>-4.8968765511086948E-3</v>
      </c>
      <c r="P977" s="108">
        <v>6.1031378122853239E-2</v>
      </c>
      <c r="Q977" s="108">
        <v>1.2206275624570646</v>
      </c>
      <c r="R977" s="49">
        <v>53688417.836657338</v>
      </c>
    </row>
    <row r="978" spans="1:18" x14ac:dyDescent="0.25">
      <c r="A978">
        <f t="shared" si="18"/>
        <v>966</v>
      </c>
      <c r="B978" s="168">
        <v>0.99825941303137744</v>
      </c>
      <c r="C978" s="122">
        <v>0.88146981273087199</v>
      </c>
      <c r="D978" s="122">
        <v>0.90765639305251833</v>
      </c>
      <c r="E978" s="122">
        <v>2.5343084975523413</v>
      </c>
      <c r="F978" s="122">
        <v>3.7784634886648503</v>
      </c>
      <c r="G978" s="122">
        <v>1.1184173679565446</v>
      </c>
      <c r="H978" s="163">
        <v>1</v>
      </c>
      <c r="I978" s="12">
        <v>1.5362123785099414E-2</v>
      </c>
      <c r="J978" s="115">
        <v>5.8508609065024392E-2</v>
      </c>
      <c r="K978" s="115">
        <v>-1.5250608574172968E-3</v>
      </c>
      <c r="L978" s="115">
        <v>2.8457757200091346E-2</v>
      </c>
      <c r="P978" s="108">
        <v>7.9913568567338555E-2</v>
      </c>
      <c r="Q978" s="108">
        <v>1.5982713713467709</v>
      </c>
      <c r="R978" s="49">
        <v>70298806.810903117</v>
      </c>
    </row>
    <row r="979" spans="1:18" x14ac:dyDescent="0.25">
      <c r="A979">
        <f t="shared" si="18"/>
        <v>967</v>
      </c>
      <c r="B979" s="168">
        <v>0.99649061308442877</v>
      </c>
      <c r="C979" s="122">
        <v>0.90518053354636174</v>
      </c>
      <c r="D979" s="122">
        <v>0.89567553391002253</v>
      </c>
      <c r="E979" s="122">
        <v>1.4463535148748936</v>
      </c>
      <c r="F979" s="122">
        <v>4.8873705182044844</v>
      </c>
      <c r="G979" s="122">
        <v>1.0776359880177284</v>
      </c>
      <c r="H979" s="163">
        <v>1</v>
      </c>
      <c r="I979" s="12">
        <v>3.460981203575908E-2</v>
      </c>
      <c r="J979" s="115">
        <v>9.0765449929438996E-3</v>
      </c>
      <c r="K979" s="115">
        <v>1.8793594782248922E-2</v>
      </c>
      <c r="L979" s="115">
        <v>1.9275043554160289E-2</v>
      </c>
      <c r="P979" s="108">
        <v>-4.3908636734306901E-2</v>
      </c>
      <c r="Q979" s="108">
        <v>-0.87817273468613777</v>
      </c>
      <c r="R979" s="49">
        <v>-38625790.669254862</v>
      </c>
    </row>
    <row r="980" spans="1:18" x14ac:dyDescent="0.25">
      <c r="A980">
        <f t="shared" si="18"/>
        <v>968</v>
      </c>
      <c r="B980" s="168">
        <v>0.9926221976238343</v>
      </c>
      <c r="C980" s="122">
        <v>0.88674088918718863</v>
      </c>
      <c r="D980" s="122">
        <v>0.92683701151252718</v>
      </c>
      <c r="E980" s="122">
        <v>1.6642836084067123</v>
      </c>
      <c r="F980" s="122">
        <v>3.1595785573573512</v>
      </c>
      <c r="G980" s="122">
        <v>1.0959791069746847</v>
      </c>
      <c r="H980" s="163">
        <v>1</v>
      </c>
      <c r="I980" s="12">
        <v>2.7454725658849925E-2</v>
      </c>
      <c r="J980" s="115">
        <v>3.4848595596281354E-2</v>
      </c>
      <c r="K980" s="115">
        <v>3.5848119042507865E-3</v>
      </c>
      <c r="L980" s="115">
        <v>3.4416764396370675E-2</v>
      </c>
      <c r="P980" s="108">
        <v>4.451435619830274E-3</v>
      </c>
      <c r="Q980" s="108">
        <v>8.9028712396605467E-2</v>
      </c>
      <c r="R980" s="49">
        <v>3915863.3293410251</v>
      </c>
    </row>
    <row r="981" spans="1:18" x14ac:dyDescent="0.25">
      <c r="A981">
        <f t="shared" si="18"/>
        <v>969</v>
      </c>
      <c r="B981" s="168">
        <v>0.99884055793879045</v>
      </c>
      <c r="C981" s="122">
        <v>0.8548485468240562</v>
      </c>
      <c r="D981" s="122">
        <v>0.91042218757249171</v>
      </c>
      <c r="E981" s="122">
        <v>2.6041619501438458</v>
      </c>
      <c r="F981" s="122">
        <v>4.4016670506621667</v>
      </c>
      <c r="G981" s="122">
        <v>1.0853513491568278</v>
      </c>
      <c r="H981" s="163">
        <v>1</v>
      </c>
      <c r="I981" s="12">
        <v>3.453522348718293E-2</v>
      </c>
      <c r="J981" s="115">
        <v>3.2483420502641254E-2</v>
      </c>
      <c r="K981" s="115">
        <v>9.1719116155403232E-3</v>
      </c>
      <c r="L981" s="115">
        <v>4.8992774470972156E-3</v>
      </c>
      <c r="P981" s="108">
        <v>7.4136485823044886E-3</v>
      </c>
      <c r="Q981" s="108">
        <v>0.14827297164608974</v>
      </c>
      <c r="R981" s="49">
        <v>6521679.0939850044</v>
      </c>
    </row>
    <row r="982" spans="1:18" x14ac:dyDescent="0.25">
      <c r="A982">
        <f t="shared" si="18"/>
        <v>970</v>
      </c>
      <c r="B982" s="168">
        <v>0.98808140496234098</v>
      </c>
      <c r="C982" s="122">
        <v>0.92407776448820977</v>
      </c>
      <c r="D982" s="122">
        <v>0.90581048884633963</v>
      </c>
      <c r="E982" s="122">
        <v>3.0017160179434996</v>
      </c>
      <c r="F982" s="122">
        <v>5.4905304587762709</v>
      </c>
      <c r="G982" s="122">
        <v>1.0913159833982096</v>
      </c>
      <c r="H982" s="163">
        <v>1</v>
      </c>
      <c r="I982" s="12">
        <v>1.4924726172147769E-2</v>
      </c>
      <c r="J982" s="115">
        <v>6.8376365967033392E-2</v>
      </c>
      <c r="K982" s="115">
        <v>1.688796297132512E-2</v>
      </c>
      <c r="L982" s="115">
        <v>2.876922038265245E-2</v>
      </c>
      <c r="P982" s="108">
        <v>0.14717237546222325</v>
      </c>
      <c r="Q982" s="108">
        <v>2.9434475092444647</v>
      </c>
      <c r="R982" s="49">
        <v>129465403.38519004</v>
      </c>
    </row>
    <row r="983" spans="1:18" x14ac:dyDescent="0.25">
      <c r="A983">
        <f t="shared" si="18"/>
        <v>971</v>
      </c>
      <c r="B983" s="168">
        <v>1.0004210824593154</v>
      </c>
      <c r="C983" s="122">
        <v>0.92947214132436784</v>
      </c>
      <c r="D983" s="122">
        <v>0.91091389568380765</v>
      </c>
      <c r="E983" s="122">
        <v>3.3567598909324987</v>
      </c>
      <c r="F983" s="122">
        <v>4.0024279203221083</v>
      </c>
      <c r="G983" s="122">
        <v>1.0992035570255578</v>
      </c>
      <c r="H983" s="163">
        <v>1</v>
      </c>
      <c r="I983" s="12">
        <v>2.5604839265593878E-2</v>
      </c>
      <c r="J983" s="115">
        <v>1.7414356454734208E-2</v>
      </c>
      <c r="K983" s="115">
        <v>4.2334349164052671E-3</v>
      </c>
      <c r="L983" s="115">
        <v>2.6879366048912529E-2</v>
      </c>
      <c r="P983" s="108">
        <v>-4.722715704921792E-2</v>
      </c>
      <c r="Q983" s="108">
        <v>-0.94454314098435821</v>
      </c>
      <c r="R983" s="49">
        <v>-41545044.842210598</v>
      </c>
    </row>
    <row r="984" spans="1:18" x14ac:dyDescent="0.25">
      <c r="A984">
        <f t="shared" si="18"/>
        <v>972</v>
      </c>
      <c r="B984" s="168">
        <v>0.99281312805713795</v>
      </c>
      <c r="C984" s="122">
        <v>0.90674546489506469</v>
      </c>
      <c r="D984" s="122">
        <v>0.91679399412366425</v>
      </c>
      <c r="E984" s="122">
        <v>2.5345155661278005</v>
      </c>
      <c r="F984" s="122">
        <v>8.7373247382599146</v>
      </c>
      <c r="G984" s="122">
        <v>1.0754009865198106</v>
      </c>
      <c r="H984" s="163">
        <v>1</v>
      </c>
      <c r="I984" s="12">
        <v>2.8027100217213621E-2</v>
      </c>
      <c r="J984" s="115">
        <v>2.0710085589696354E-2</v>
      </c>
      <c r="K984" s="115">
        <v>1.0816728685925115E-2</v>
      </c>
      <c r="L984" s="115">
        <v>4.256892448992261E-2</v>
      </c>
      <c r="P984" s="108">
        <v>4.1082702193423179E-2</v>
      </c>
      <c r="Q984" s="108">
        <v>0.82165404386846341</v>
      </c>
      <c r="R984" s="49">
        <v>36139857.054834351</v>
      </c>
    </row>
    <row r="985" spans="1:18" x14ac:dyDescent="0.25">
      <c r="A985">
        <f t="shared" si="18"/>
        <v>973</v>
      </c>
      <c r="B985" s="168">
        <v>1.0021516996841662</v>
      </c>
      <c r="C985" s="122">
        <v>0.93747412414750397</v>
      </c>
      <c r="D985" s="122">
        <v>0.8991565080043985</v>
      </c>
      <c r="E985" s="122">
        <v>1.6788990335457272</v>
      </c>
      <c r="F985" s="122">
        <v>6.1808996006323085</v>
      </c>
      <c r="G985" s="122">
        <v>1.0968817321130824</v>
      </c>
      <c r="H985" s="163">
        <v>1</v>
      </c>
      <c r="I985" s="12">
        <v>1.7776390162760183E-2</v>
      </c>
      <c r="J985" s="115">
        <v>3.2484662008745946E-2</v>
      </c>
      <c r="K985" s="115">
        <v>2.4270557591856618E-3</v>
      </c>
      <c r="L985" s="115">
        <v>-3.268692395419201E-3</v>
      </c>
      <c r="P985" s="108">
        <v>1.8107609134521831E-2</v>
      </c>
      <c r="Q985" s="108">
        <v>0.36215218269043659</v>
      </c>
      <c r="R985" s="49">
        <v>15929001.034191817</v>
      </c>
    </row>
    <row r="986" spans="1:18" x14ac:dyDescent="0.25">
      <c r="A986">
        <f t="shared" si="18"/>
        <v>974</v>
      </c>
      <c r="B986" s="168">
        <v>1.0036801709923027</v>
      </c>
      <c r="C986" s="122">
        <v>0.9033254351114135</v>
      </c>
      <c r="D986" s="122">
        <v>0.90622775266726974</v>
      </c>
      <c r="E986" s="122">
        <v>2.8798721513258685</v>
      </c>
      <c r="F986" s="122">
        <v>2.044021451177771</v>
      </c>
      <c r="G986" s="122">
        <v>1.1056776441308254</v>
      </c>
      <c r="H986" s="163">
        <v>1</v>
      </c>
      <c r="I986" s="12">
        <v>2.334716183332761E-2</v>
      </c>
      <c r="J986" s="115">
        <v>3.453773740171192E-2</v>
      </c>
      <c r="K986" s="115">
        <v>1.007422485713148E-2</v>
      </c>
      <c r="L986" s="115">
        <v>4.2311131970190111E-2</v>
      </c>
      <c r="P986" s="108">
        <v>-1.5525429294691593E-2</v>
      </c>
      <c r="Q986" s="108">
        <v>-0.31050858589383179</v>
      </c>
      <c r="R986" s="49">
        <v>-13657494.893676091</v>
      </c>
    </row>
    <row r="987" spans="1:18" x14ac:dyDescent="0.25">
      <c r="A987">
        <f t="shared" si="18"/>
        <v>975</v>
      </c>
      <c r="B987" s="168">
        <v>1.0191062437292806</v>
      </c>
      <c r="C987" s="122">
        <v>0.92611282446533849</v>
      </c>
      <c r="D987" s="122">
        <v>0.89752752472811503</v>
      </c>
      <c r="E987" s="122">
        <v>2.0124304633805075</v>
      </c>
      <c r="F987" s="122">
        <v>6.5812209558155867</v>
      </c>
      <c r="G987" s="122">
        <v>1.0895939324122714</v>
      </c>
      <c r="H987" s="163">
        <v>1</v>
      </c>
      <c r="I987" s="12">
        <v>2.4639977463064611E-2</v>
      </c>
      <c r="J987" s="115">
        <v>1.7792103857877859E-2</v>
      </c>
      <c r="K987" s="115">
        <v>2.1824598503408961E-3</v>
      </c>
      <c r="L987" s="115">
        <v>6.898798256991941E-3</v>
      </c>
      <c r="P987" s="108">
        <v>-1.8083234232168888E-2</v>
      </c>
      <c r="Q987" s="108">
        <v>-0.3616646846433777</v>
      </c>
      <c r="R987" s="49">
        <v>-15907558.786244899</v>
      </c>
    </row>
    <row r="988" spans="1:18" x14ac:dyDescent="0.25">
      <c r="A988">
        <f t="shared" si="18"/>
        <v>976</v>
      </c>
      <c r="B988" s="168">
        <v>0.99586287681423158</v>
      </c>
      <c r="C988" s="122">
        <v>0.87130018624666183</v>
      </c>
      <c r="D988" s="122">
        <v>0.87617802610888262</v>
      </c>
      <c r="E988" s="122">
        <v>0.77552559079471628</v>
      </c>
      <c r="F988" s="122">
        <v>6.1327969837849032</v>
      </c>
      <c r="G988" s="122">
        <v>1.0670576242579914</v>
      </c>
      <c r="H988" s="163">
        <v>1</v>
      </c>
      <c r="I988" s="12">
        <v>2.6596198918344877E-2</v>
      </c>
      <c r="J988" s="115">
        <v>2.3366264195666349E-2</v>
      </c>
      <c r="K988" s="115">
        <v>-1.1530342386169064E-3</v>
      </c>
      <c r="L988" s="115">
        <v>2.7368568811040994E-2</v>
      </c>
      <c r="P988" s="108">
        <v>3.6243570781126319E-2</v>
      </c>
      <c r="Q988" s="108">
        <v>0.72487141562252622</v>
      </c>
      <c r="R988" s="49">
        <v>31882943.361899048</v>
      </c>
    </row>
    <row r="989" spans="1:18" x14ac:dyDescent="0.25">
      <c r="A989">
        <f t="shared" si="18"/>
        <v>977</v>
      </c>
      <c r="B989" s="168">
        <v>1.0096892819346062</v>
      </c>
      <c r="C989" s="122">
        <v>0.92572888522348129</v>
      </c>
      <c r="D989" s="122">
        <v>0.90699255244564192</v>
      </c>
      <c r="E989" s="122">
        <v>2.3103711303576815</v>
      </c>
      <c r="F989" s="122">
        <v>6.4933725590738192</v>
      </c>
      <c r="G989" s="122">
        <v>1.1160409126632373</v>
      </c>
      <c r="H989" s="163">
        <v>1</v>
      </c>
      <c r="I989" s="12">
        <v>2.7627675612598639E-2</v>
      </c>
      <c r="J989" s="115">
        <v>3.1584589399331453E-2</v>
      </c>
      <c r="K989" s="115">
        <v>1.5889164075443534E-2</v>
      </c>
      <c r="L989" s="115">
        <v>2.9709116174838436E-2</v>
      </c>
      <c r="P989" s="108">
        <v>4.4582402934674102E-2</v>
      </c>
      <c r="Q989" s="108">
        <v>0.89164805869348185</v>
      </c>
      <c r="R989" s="49">
        <v>39218493.020113058</v>
      </c>
    </row>
    <row r="990" spans="1:18" x14ac:dyDescent="0.25">
      <c r="A990">
        <f t="shared" si="18"/>
        <v>978</v>
      </c>
      <c r="B990" s="168">
        <v>1.0000756887906161</v>
      </c>
      <c r="C990" s="122">
        <v>0.93009437169950382</v>
      </c>
      <c r="D990" s="122">
        <v>0.90714524426501197</v>
      </c>
      <c r="E990" s="122">
        <v>2.0767220536446476</v>
      </c>
      <c r="F990" s="122">
        <v>5.2389307657717872</v>
      </c>
      <c r="G990" s="122">
        <v>1.1542448742665072</v>
      </c>
      <c r="H990" s="163">
        <v>1</v>
      </c>
      <c r="I990" s="12">
        <v>2.9276091940917782E-2</v>
      </c>
      <c r="J990" s="115">
        <v>3.0632982068311675E-2</v>
      </c>
      <c r="K990" s="115">
        <v>4.5991887166469316E-3</v>
      </c>
      <c r="L990" s="115">
        <v>2.6254977377643464E-2</v>
      </c>
      <c r="P990" s="108">
        <v>1.6291538881042324E-2</v>
      </c>
      <c r="Q990" s="108">
        <v>0.32583077762084639</v>
      </c>
      <c r="R990" s="49">
        <v>14331430.381383263</v>
      </c>
    </row>
    <row r="991" spans="1:18" x14ac:dyDescent="0.25">
      <c r="A991">
        <f t="shared" si="18"/>
        <v>979</v>
      </c>
      <c r="B991" s="168">
        <v>0.99518572646678749</v>
      </c>
      <c r="C991" s="122">
        <v>0.91566799880527394</v>
      </c>
      <c r="D991" s="122">
        <v>0.91615764873543193</v>
      </c>
      <c r="E991" s="122">
        <v>3.1369129125390725</v>
      </c>
      <c r="F991" s="122">
        <v>4.915048047799079</v>
      </c>
      <c r="G991" s="122">
        <v>1.0796449706220856</v>
      </c>
      <c r="H991" s="163">
        <v>1</v>
      </c>
      <c r="I991" s="12">
        <v>2.7866774266633965E-2</v>
      </c>
      <c r="J991" s="115">
        <v>3.6705748179463114E-2</v>
      </c>
      <c r="K991" s="115">
        <v>1.150047108830303E-2</v>
      </c>
      <c r="L991" s="115">
        <v>2.6744971874921364E-2</v>
      </c>
      <c r="P991" s="108">
        <v>4.0383981322769838E-2</v>
      </c>
      <c r="Q991" s="108">
        <v>0.80767962645539659</v>
      </c>
      <c r="R991" s="49">
        <v>35525202.442590207</v>
      </c>
    </row>
    <row r="992" spans="1:18" x14ac:dyDescent="0.25">
      <c r="A992">
        <f t="shared" si="18"/>
        <v>980</v>
      </c>
      <c r="B992" s="168">
        <v>1.0240566452165278</v>
      </c>
      <c r="C992" s="122">
        <v>0.90889179011175814</v>
      </c>
      <c r="D992" s="122">
        <v>0.88386903266446937</v>
      </c>
      <c r="E992" s="122">
        <v>3.0605222346967702</v>
      </c>
      <c r="F992" s="122">
        <v>4.0594709742012682</v>
      </c>
      <c r="G992" s="122">
        <v>1.0925895068088585</v>
      </c>
      <c r="H992" s="163">
        <v>1</v>
      </c>
      <c r="I992" s="12">
        <v>1.0466130030177979E-2</v>
      </c>
      <c r="J992" s="115">
        <v>6.0117603321911836E-2</v>
      </c>
      <c r="K992" s="115">
        <v>-3.6360216506406444E-3</v>
      </c>
      <c r="L992" s="115">
        <v>-1.4571143277055838E-3</v>
      </c>
      <c r="P992" s="108">
        <v>6.7533366272087905E-2</v>
      </c>
      <c r="Q992" s="108">
        <v>1.350667325441758</v>
      </c>
      <c r="R992" s="49">
        <v>59408122.474858716</v>
      </c>
    </row>
    <row r="993" spans="1:18" x14ac:dyDescent="0.25">
      <c r="A993">
        <f t="shared" si="18"/>
        <v>981</v>
      </c>
      <c r="B993" s="168">
        <v>1.0076594747666237</v>
      </c>
      <c r="C993" s="122">
        <v>0.90470430892681075</v>
      </c>
      <c r="D993" s="122">
        <v>0.91338172969832965</v>
      </c>
      <c r="E993" s="122">
        <v>1.860001123924369</v>
      </c>
      <c r="F993" s="122">
        <v>2.6204876652891227</v>
      </c>
      <c r="G993" s="122">
        <v>1.0658945232760064</v>
      </c>
      <c r="H993" s="163">
        <v>1</v>
      </c>
      <c r="I993" s="12">
        <v>1.2065989039748724E-2</v>
      </c>
      <c r="J993" s="115">
        <v>5.9131037545881684E-2</v>
      </c>
      <c r="K993" s="115">
        <v>9.3777950098633302E-3</v>
      </c>
      <c r="L993" s="115">
        <v>2.5827358683391016E-2</v>
      </c>
      <c r="P993" s="108">
        <v>6.1758998394611256E-2</v>
      </c>
      <c r="Q993" s="108">
        <v>1.2351799678922248</v>
      </c>
      <c r="R993" s="49">
        <v>54328494.832754828</v>
      </c>
    </row>
    <row r="994" spans="1:18" x14ac:dyDescent="0.25">
      <c r="A994">
        <f t="shared" si="18"/>
        <v>982</v>
      </c>
      <c r="B994" s="168">
        <v>1.003028346415487</v>
      </c>
      <c r="C994" s="122">
        <v>0.91001793294823496</v>
      </c>
      <c r="D994" s="122">
        <v>0.89879556971701446</v>
      </c>
      <c r="E994" s="122">
        <v>2.5098281958229416</v>
      </c>
      <c r="F994" s="122">
        <v>7.2247944553915477</v>
      </c>
      <c r="G994" s="122">
        <v>1.1091878107053041</v>
      </c>
      <c r="H994" s="163">
        <v>1</v>
      </c>
      <c r="I994" s="12">
        <v>3.8443294469943122E-2</v>
      </c>
      <c r="J994" s="115">
        <v>2.3912048754424244E-2</v>
      </c>
      <c r="K994" s="115">
        <v>3.8051268986833628E-3</v>
      </c>
      <c r="L994" s="115">
        <v>1.2315691375732449E-2</v>
      </c>
      <c r="P994" s="108">
        <v>1.8675726403387424E-2</v>
      </c>
      <c r="Q994" s="108">
        <v>0.37351452806774843</v>
      </c>
      <c r="R994" s="49">
        <v>16428765.552857593</v>
      </c>
    </row>
    <row r="995" spans="1:18" x14ac:dyDescent="0.25">
      <c r="A995">
        <f t="shared" si="18"/>
        <v>983</v>
      </c>
      <c r="B995" s="168">
        <v>1.0060784361697686</v>
      </c>
      <c r="C995" s="122">
        <v>0.87913860688407941</v>
      </c>
      <c r="D995" s="122">
        <v>0.90513969452611187</v>
      </c>
      <c r="E995" s="122">
        <v>2.242504438286844</v>
      </c>
      <c r="F995" s="122">
        <v>5.5553065831457928</v>
      </c>
      <c r="G995" s="122">
        <v>1.0868824171336446</v>
      </c>
      <c r="H995" s="163">
        <v>1</v>
      </c>
      <c r="I995" s="12">
        <v>1.7079311490154493E-2</v>
      </c>
      <c r="J995" s="115">
        <v>3.6893376095101051E-2</v>
      </c>
      <c r="K995" s="115">
        <v>3.5166853346725443E-3</v>
      </c>
      <c r="L995" s="115">
        <v>3.4412917586381882E-2</v>
      </c>
      <c r="P995" s="108">
        <v>4.789327933021055E-2</v>
      </c>
      <c r="Q995" s="108">
        <v>0.95786558660421084</v>
      </c>
      <c r="R995" s="49">
        <v>42131022.948099837</v>
      </c>
    </row>
    <row r="996" spans="1:18" x14ac:dyDescent="0.25">
      <c r="A996">
        <f t="shared" si="18"/>
        <v>984</v>
      </c>
      <c r="B996" s="168">
        <v>1.0013428947018068</v>
      </c>
      <c r="C996" s="122">
        <v>0.90735424275679299</v>
      </c>
      <c r="D996" s="122">
        <v>0.92871335981887571</v>
      </c>
      <c r="E996" s="122">
        <v>1.9999465668469818</v>
      </c>
      <c r="F996" s="122">
        <v>5.2929740555749882</v>
      </c>
      <c r="G996" s="122">
        <v>1.0775555037646978</v>
      </c>
      <c r="H996" s="163">
        <v>1</v>
      </c>
      <c r="I996" s="12">
        <v>3.722837382128534E-2</v>
      </c>
      <c r="J996" s="115">
        <v>3.8390381991151024E-2</v>
      </c>
      <c r="K996" s="115">
        <v>1.1387922680248155E-2</v>
      </c>
      <c r="L996" s="115">
        <v>3.0702745610628163E-2</v>
      </c>
      <c r="P996" s="108">
        <v>6.9346659187508417E-2</v>
      </c>
      <c r="Q996" s="108">
        <v>1.3869331837501682</v>
      </c>
      <c r="R996" s="49">
        <v>61003249.943672851</v>
      </c>
    </row>
    <row r="997" spans="1:18" x14ac:dyDescent="0.25">
      <c r="A997">
        <f t="shared" si="18"/>
        <v>985</v>
      </c>
      <c r="B997" s="168">
        <v>1.003042119935049</v>
      </c>
      <c r="C997" s="122">
        <v>0.88295255504210712</v>
      </c>
      <c r="D997" s="122">
        <v>0.89541994326122853</v>
      </c>
      <c r="E997" s="122">
        <v>4.0850240303902137</v>
      </c>
      <c r="F997" s="122">
        <v>8.8548251362436048</v>
      </c>
      <c r="G997" s="122">
        <v>1.0881715926784228</v>
      </c>
      <c r="H997" s="163">
        <v>1</v>
      </c>
      <c r="I997" s="12">
        <v>5.1030199380474497E-2</v>
      </c>
      <c r="J997" s="115">
        <v>2.8236663934376759E-2</v>
      </c>
      <c r="K997" s="115">
        <v>-4.5465879885384893E-3</v>
      </c>
      <c r="L997" s="115">
        <v>3.1664663670788129E-2</v>
      </c>
      <c r="P997" s="108">
        <v>6.171888176029524E-2</v>
      </c>
      <c r="Q997" s="108">
        <v>1.2343776352059046</v>
      </c>
      <c r="R997" s="49">
        <v>54293204.811595172</v>
      </c>
    </row>
    <row r="998" spans="1:18" x14ac:dyDescent="0.25">
      <c r="A998">
        <f t="shared" si="18"/>
        <v>986</v>
      </c>
      <c r="B998" s="168">
        <v>1.0179150124672667</v>
      </c>
      <c r="C998" s="122">
        <v>0.93024740277329832</v>
      </c>
      <c r="D998" s="122">
        <v>0.87666752960493233</v>
      </c>
      <c r="E998" s="122">
        <v>2.1950185655207939</v>
      </c>
      <c r="F998" s="122">
        <v>8.4586370740881431</v>
      </c>
      <c r="G998" s="122">
        <v>1.0926909805523484</v>
      </c>
      <c r="H998" s="163">
        <v>1</v>
      </c>
      <c r="I998" s="12">
        <v>2.5153768931410268E-2</v>
      </c>
      <c r="J998" s="115">
        <v>4.5183131412817559E-2</v>
      </c>
      <c r="K998" s="115">
        <v>1.0407041097150949E-2</v>
      </c>
      <c r="L998" s="115">
        <v>4.1933177379432383E-2</v>
      </c>
      <c r="P998" s="108">
        <v>0.12313274576040983</v>
      </c>
      <c r="Q998" s="108">
        <v>2.4626549152081965</v>
      </c>
      <c r="R998" s="49">
        <v>108318089.92503089</v>
      </c>
    </row>
    <row r="999" spans="1:18" x14ac:dyDescent="0.25">
      <c r="A999">
        <f t="shared" si="18"/>
        <v>987</v>
      </c>
      <c r="B999" s="168">
        <v>1.0029344651584697</v>
      </c>
      <c r="C999" s="122">
        <v>0.90299966434066858</v>
      </c>
      <c r="D999" s="122">
        <v>0.90259752975309315</v>
      </c>
      <c r="E999" s="122">
        <v>0.60933623146397964</v>
      </c>
      <c r="F999" s="122">
        <v>5.5964571598800781</v>
      </c>
      <c r="G999" s="122">
        <v>1.0770097301577009</v>
      </c>
      <c r="H999" s="163">
        <v>1</v>
      </c>
      <c r="I999" s="12">
        <v>3.705292241795969E-2</v>
      </c>
      <c r="J999" s="115">
        <v>4.1223366648159267E-2</v>
      </c>
      <c r="K999" s="115">
        <v>7.6946651795963411E-3</v>
      </c>
      <c r="L999" s="115">
        <v>3.7592032655717846E-2</v>
      </c>
      <c r="P999" s="108">
        <v>0.11128961391392166</v>
      </c>
      <c r="Q999" s="108">
        <v>2.225792278278433</v>
      </c>
      <c r="R999" s="49">
        <v>97899858.670462698</v>
      </c>
    </row>
    <row r="1000" spans="1:18" x14ac:dyDescent="0.25">
      <c r="A1000">
        <f t="shared" si="18"/>
        <v>988</v>
      </c>
      <c r="B1000" s="168">
        <v>0.9879194158496426</v>
      </c>
      <c r="C1000" s="122">
        <v>0.89965496521094912</v>
      </c>
      <c r="D1000" s="122">
        <v>0.90125253408146111</v>
      </c>
      <c r="E1000" s="122">
        <v>0.68239627706121442</v>
      </c>
      <c r="F1000" s="122">
        <v>2.510295011028735</v>
      </c>
      <c r="G1000" s="122">
        <v>1.0838500429881939</v>
      </c>
      <c r="H1000" s="163">
        <v>1</v>
      </c>
      <c r="I1000" s="12">
        <v>4.1197350471125965E-2</v>
      </c>
      <c r="J1000" s="115">
        <v>2.2899982556084587E-2</v>
      </c>
      <c r="K1000" s="115">
        <v>5.5518182914143614E-3</v>
      </c>
      <c r="L1000" s="115">
        <v>-1.830966446448697E-2</v>
      </c>
      <c r="P1000" s="108">
        <v>-8.9247667622832358E-2</v>
      </c>
      <c r="Q1000" s="108">
        <v>-1.784953352456647</v>
      </c>
      <c r="R1000" s="49">
        <v>-78509878.322533473</v>
      </c>
    </row>
    <row r="1001" spans="1:18" x14ac:dyDescent="0.25">
      <c r="A1001">
        <f t="shared" si="18"/>
        <v>989</v>
      </c>
      <c r="B1001" s="168">
        <v>0.99840123133344549</v>
      </c>
      <c r="C1001" s="122">
        <v>0.93798705144325556</v>
      </c>
      <c r="D1001" s="122">
        <v>0.90914321689295985</v>
      </c>
      <c r="E1001" s="122">
        <v>2.3671384503003905</v>
      </c>
      <c r="F1001" s="122">
        <v>3.1483672476366524</v>
      </c>
      <c r="G1001" s="122">
        <v>1.0828754619615559</v>
      </c>
      <c r="H1001" s="163">
        <v>1</v>
      </c>
      <c r="I1001" s="12">
        <v>2.3979191189925697E-2</v>
      </c>
      <c r="J1001" s="115">
        <v>1.7282845946067351E-2</v>
      </c>
      <c r="K1001" s="115">
        <v>1.3064246244691092E-2</v>
      </c>
      <c r="L1001" s="115">
        <v>3.0491358398609579E-2</v>
      </c>
      <c r="P1001" s="108">
        <v>-5.6985448256437407E-2</v>
      </c>
      <c r="Q1001" s="108">
        <v>-1.139708965128748</v>
      </c>
      <c r="R1001" s="49">
        <v>-50129272.035153523</v>
      </c>
    </row>
    <row r="1002" spans="1:18" x14ac:dyDescent="0.25">
      <c r="A1002">
        <f t="shared" si="18"/>
        <v>990</v>
      </c>
      <c r="B1002" s="168">
        <v>1.0111180883420858</v>
      </c>
      <c r="C1002" s="122">
        <v>0.89805269820996636</v>
      </c>
      <c r="D1002" s="122">
        <v>0.90530439191143641</v>
      </c>
      <c r="E1002" s="122">
        <v>1.5815135292086964</v>
      </c>
      <c r="F1002" s="122">
        <v>6.5522766554718519</v>
      </c>
      <c r="G1002" s="122">
        <v>1.105751087368086</v>
      </c>
      <c r="H1002" s="163">
        <v>1</v>
      </c>
      <c r="I1002" s="12">
        <v>3.7000892102977453E-2</v>
      </c>
      <c r="J1002" s="115">
        <v>5.4991295928216367E-2</v>
      </c>
      <c r="K1002" s="115">
        <v>1.2724635865934853E-2</v>
      </c>
      <c r="L1002" s="115">
        <v>2.4393529718329705E-3</v>
      </c>
      <c r="P1002" s="108">
        <v>0.12389348023021521</v>
      </c>
      <c r="Q1002" s="108">
        <v>2.4778696046043036</v>
      </c>
      <c r="R1002" s="49">
        <v>108987297.00070015</v>
      </c>
    </row>
    <row r="1003" spans="1:18" x14ac:dyDescent="0.25">
      <c r="A1003">
        <f t="shared" si="18"/>
        <v>991</v>
      </c>
      <c r="B1003" s="168">
        <v>0.99596749233949611</v>
      </c>
      <c r="C1003" s="122">
        <v>0.88086180464165431</v>
      </c>
      <c r="D1003" s="122">
        <v>0.89349039555859433</v>
      </c>
      <c r="E1003" s="122">
        <v>1.6677617838264178</v>
      </c>
      <c r="F1003" s="122">
        <v>4.8423335701306689</v>
      </c>
      <c r="G1003" s="122">
        <v>1.1138921387255758</v>
      </c>
      <c r="H1003" s="163">
        <v>1</v>
      </c>
      <c r="I1003" s="12">
        <v>3.5507132970859341E-2</v>
      </c>
      <c r="J1003" s="115">
        <v>3.819041145519373E-2</v>
      </c>
      <c r="K1003" s="115">
        <v>-3.5860291564811068E-4</v>
      </c>
      <c r="L1003" s="115">
        <v>3.4008516973316347E-2</v>
      </c>
      <c r="P1003" s="108">
        <v>5.6610016592082243E-2</v>
      </c>
      <c r="Q1003" s="108">
        <v>1.1322003318416447</v>
      </c>
      <c r="R1003" s="49">
        <v>49799010.247119851</v>
      </c>
    </row>
    <row r="1004" spans="1:18" x14ac:dyDescent="0.25">
      <c r="A1004">
        <f t="shared" si="18"/>
        <v>992</v>
      </c>
      <c r="B1004" s="168">
        <v>0.99785716666178659</v>
      </c>
      <c r="C1004" s="122">
        <v>0.88577347213207713</v>
      </c>
      <c r="D1004" s="122">
        <v>0.89581963950504717</v>
      </c>
      <c r="E1004" s="122">
        <v>2.9513251948356438</v>
      </c>
      <c r="F1004" s="122">
        <v>2.9340178054915795</v>
      </c>
      <c r="G1004" s="122">
        <v>1.1685084761599842</v>
      </c>
      <c r="H1004" s="163">
        <v>1</v>
      </c>
      <c r="I1004" s="12">
        <v>2.5033438842826314E-2</v>
      </c>
      <c r="J1004" s="115">
        <v>2.496740206666483E-2</v>
      </c>
      <c r="K1004" s="115">
        <v>9.6782857761111042E-3</v>
      </c>
      <c r="L1004" s="115">
        <v>2.2137124286605653E-2</v>
      </c>
      <c r="P1004" s="108">
        <v>-5.5941082610694207E-2</v>
      </c>
      <c r="Q1004" s="108">
        <v>-1.1188216522138839</v>
      </c>
      <c r="R1004" s="49">
        <v>-49210558.729187474</v>
      </c>
    </row>
    <row r="1005" spans="1:18" x14ac:dyDescent="0.25">
      <c r="A1005">
        <f t="shared" si="18"/>
        <v>993</v>
      </c>
      <c r="B1005" s="168">
        <v>1.0164545356832877</v>
      </c>
      <c r="C1005" s="122">
        <v>0.81444062834586983</v>
      </c>
      <c r="D1005" s="122">
        <v>0.90978944993483224</v>
      </c>
      <c r="E1005" s="122">
        <v>0.99980313720646485</v>
      </c>
      <c r="F1005" s="122">
        <v>5.3081501310137469</v>
      </c>
      <c r="G1005" s="122">
        <v>1.0820629545348548</v>
      </c>
      <c r="H1005" s="163">
        <v>1</v>
      </c>
      <c r="I1005" s="12">
        <v>2.793730820863248E-2</v>
      </c>
      <c r="J1005" s="115">
        <v>3.4914934990118926E-2</v>
      </c>
      <c r="K1005" s="115">
        <v>4.0026611601529814E-3</v>
      </c>
      <c r="L1005" s="115">
        <v>1.9780437733522636E-2</v>
      </c>
      <c r="P1005" s="108">
        <v>5.1511557730743819E-2</v>
      </c>
      <c r="Q1005" s="108">
        <v>1.0302311546148761</v>
      </c>
      <c r="R1005" s="49">
        <v>45313969.959818088</v>
      </c>
    </row>
    <row r="1006" spans="1:18" x14ac:dyDescent="0.25">
      <c r="A1006">
        <f t="shared" si="18"/>
        <v>994</v>
      </c>
      <c r="B1006" s="168">
        <v>1.0042915308545848</v>
      </c>
      <c r="C1006" s="122">
        <v>0.85699465565474364</v>
      </c>
      <c r="D1006" s="122">
        <v>0.88075038518067728</v>
      </c>
      <c r="E1006" s="122">
        <v>1.9388903892905347</v>
      </c>
      <c r="F1006" s="122">
        <v>3.4820022477767183</v>
      </c>
      <c r="G1006" s="122">
        <v>1.0856537811161218</v>
      </c>
      <c r="H1006" s="163">
        <v>1</v>
      </c>
      <c r="I1006" s="12">
        <v>1.9891273636035506E-2</v>
      </c>
      <c r="J1006" s="115">
        <v>4.1457621037932386E-2</v>
      </c>
      <c r="K1006" s="115">
        <v>2.6757382460540907E-3</v>
      </c>
      <c r="L1006" s="115">
        <v>2.9714922029396372E-2</v>
      </c>
      <c r="P1006" s="108">
        <v>2.7445626226118174E-2</v>
      </c>
      <c r="Q1006" s="108">
        <v>0.54891252452236339</v>
      </c>
      <c r="R1006" s="49">
        <v>24143519.185335174</v>
      </c>
    </row>
    <row r="1007" spans="1:18" x14ac:dyDescent="0.25">
      <c r="A1007">
        <f t="shared" si="18"/>
        <v>995</v>
      </c>
      <c r="B1007" s="168">
        <v>1.0124556078606732</v>
      </c>
      <c r="C1007" s="122">
        <v>0.90178034951209896</v>
      </c>
      <c r="D1007" s="122">
        <v>0.89990907570855039</v>
      </c>
      <c r="E1007" s="122">
        <v>2.2070386581934001</v>
      </c>
      <c r="F1007" s="122">
        <v>5.3516147806364076</v>
      </c>
      <c r="G1007" s="122">
        <v>1.1096437844834115</v>
      </c>
      <c r="H1007" s="163">
        <v>1</v>
      </c>
      <c r="I1007" s="12">
        <v>3.1473971245048901E-2</v>
      </c>
      <c r="J1007" s="115">
        <v>5.310880694562474E-2</v>
      </c>
      <c r="K1007" s="115">
        <v>4.47828352714156E-4</v>
      </c>
      <c r="L1007" s="115">
        <v>3.0704750294454006E-2</v>
      </c>
      <c r="P1007" s="108">
        <v>0.10674892975692392</v>
      </c>
      <c r="Q1007" s="108">
        <v>2.1349785951384779</v>
      </c>
      <c r="R1007" s="49">
        <v>93905484.697873339</v>
      </c>
    </row>
    <row r="1008" spans="1:18" x14ac:dyDescent="0.25">
      <c r="A1008">
        <f t="shared" si="18"/>
        <v>996</v>
      </c>
      <c r="B1008" s="168">
        <v>0.99671611433352181</v>
      </c>
      <c r="C1008" s="122">
        <v>0.93645864622625563</v>
      </c>
      <c r="D1008" s="122">
        <v>0.89417544306900254</v>
      </c>
      <c r="E1008" s="122">
        <v>0.74837655802703185</v>
      </c>
      <c r="F1008" s="122">
        <v>7.4796214419056364</v>
      </c>
      <c r="G1008" s="122">
        <v>1.1101557856566133</v>
      </c>
      <c r="H1008" s="163">
        <v>1</v>
      </c>
      <c r="I1008" s="12">
        <v>2.8299393286076686E-2</v>
      </c>
      <c r="J1008" s="115">
        <v>4.8907802437853927E-2</v>
      </c>
      <c r="K1008" s="115">
        <v>2.1863786569505713E-4</v>
      </c>
      <c r="L1008" s="115">
        <v>2.9609444896322761E-2</v>
      </c>
      <c r="P1008" s="108">
        <v>0.14158258046507</v>
      </c>
      <c r="Q1008" s="108">
        <v>2.8316516093013995</v>
      </c>
      <c r="R1008" s="49">
        <v>124548141.82795763</v>
      </c>
    </row>
    <row r="1009" spans="1:18" x14ac:dyDescent="0.25">
      <c r="A1009">
        <f t="shared" si="18"/>
        <v>997</v>
      </c>
      <c r="B1009" s="168">
        <v>1.0188929563612983</v>
      </c>
      <c r="C1009" s="122">
        <v>0.90314337324042382</v>
      </c>
      <c r="D1009" s="122">
        <v>0.88583861170834399</v>
      </c>
      <c r="E1009" s="122">
        <v>1.6586815017000034</v>
      </c>
      <c r="F1009" s="122">
        <v>6.0824130557286686</v>
      </c>
      <c r="G1009" s="122">
        <v>1.1236621532813487</v>
      </c>
      <c r="H1009" s="163">
        <v>1</v>
      </c>
      <c r="I1009" s="12">
        <v>2.7285217302044851E-2</v>
      </c>
      <c r="J1009" s="115">
        <v>6.7668505699492038E-2</v>
      </c>
      <c r="K1009" s="115">
        <v>-2.1420149078080503E-3</v>
      </c>
      <c r="L1009" s="115">
        <v>2.4557831426747823E-2</v>
      </c>
      <c r="P1009" s="108">
        <v>0.16220213594653038</v>
      </c>
      <c r="Q1009" s="108">
        <v>3.2440427189306069</v>
      </c>
      <c r="R1009" s="49">
        <v>142686865.61797893</v>
      </c>
    </row>
    <row r="1010" spans="1:18" x14ac:dyDescent="0.25">
      <c r="A1010">
        <f t="shared" si="18"/>
        <v>998</v>
      </c>
      <c r="B1010" s="168">
        <v>0.99656455113175313</v>
      </c>
      <c r="C1010" s="122">
        <v>0.92223415037782031</v>
      </c>
      <c r="D1010" s="122">
        <v>0.89860957544441222</v>
      </c>
      <c r="E1010" s="122">
        <v>3.8400934694269457</v>
      </c>
      <c r="F1010" s="122">
        <v>5.7885797375721655</v>
      </c>
      <c r="G1010" s="122">
        <v>1.0903179165742469</v>
      </c>
      <c r="H1010" s="163">
        <v>1</v>
      </c>
      <c r="I1010" s="12">
        <v>3.1064506101703845E-2</v>
      </c>
      <c r="J1010" s="115">
        <v>5.6304420431909225E-2</v>
      </c>
      <c r="K1010" s="115">
        <v>2.5851825622261789E-4</v>
      </c>
      <c r="L1010" s="115">
        <v>2.4362764298044431E-3</v>
      </c>
      <c r="P1010" s="108">
        <v>9.6082442075086608E-2</v>
      </c>
      <c r="Q1010" s="108">
        <v>1.9216488415017317</v>
      </c>
      <c r="R1010" s="49">
        <v>84522330.243138745</v>
      </c>
    </row>
    <row r="1011" spans="1:18" x14ac:dyDescent="0.25">
      <c r="A1011">
        <f t="shared" si="18"/>
        <v>999</v>
      </c>
      <c r="B1011" s="168">
        <v>1.0094122498639793</v>
      </c>
      <c r="C1011" s="122">
        <v>0.90577563503874847</v>
      </c>
      <c r="D1011" s="122">
        <v>0.91173675189009873</v>
      </c>
      <c r="E1011" s="122">
        <v>2.5851739190965271</v>
      </c>
      <c r="F1011" s="122">
        <v>7.7440964836052206</v>
      </c>
      <c r="G1011" s="122">
        <v>1.1304417394755903</v>
      </c>
      <c r="H1011" s="163">
        <v>1</v>
      </c>
      <c r="I1011" s="12">
        <v>1.169428875458212E-2</v>
      </c>
      <c r="J1011" s="115">
        <v>2.7771994002709126E-2</v>
      </c>
      <c r="K1011" s="115">
        <v>1.2405691385265108E-2</v>
      </c>
      <c r="L1011" s="115">
        <v>6.3284130570610483E-4</v>
      </c>
      <c r="P1011" s="108">
        <v>2.8517826940587451E-3</v>
      </c>
      <c r="Q1011" s="108">
        <v>5.7035653881174889E-2</v>
      </c>
      <c r="R1011" s="49">
        <v>2508671.8597403411</v>
      </c>
    </row>
    <row r="1012" spans="1:18" x14ac:dyDescent="0.25">
      <c r="A1012">
        <f t="shared" si="18"/>
        <v>1000</v>
      </c>
      <c r="B1012" s="168">
        <v>0.98806749142749284</v>
      </c>
      <c r="C1012" s="122">
        <v>0.92229494830897696</v>
      </c>
      <c r="D1012" s="122">
        <v>0.90430025272003178</v>
      </c>
      <c r="E1012" s="122">
        <v>1.8696466436330357</v>
      </c>
      <c r="F1012" s="122">
        <v>5.3469896226239797</v>
      </c>
      <c r="G1012" s="122">
        <v>1.1251221927497574</v>
      </c>
      <c r="H1012" s="163">
        <v>1</v>
      </c>
      <c r="I1012" s="12">
        <v>2.0932890471150888E-2</v>
      </c>
      <c r="J1012" s="115">
        <v>4.1264717799396826E-2</v>
      </c>
      <c r="K1012" s="115">
        <v>2.0248755827174541E-2</v>
      </c>
      <c r="L1012" s="115">
        <v>4.0669884407624965E-3</v>
      </c>
      <c r="P1012" s="108">
        <v>4.1586842963149677E-2</v>
      </c>
      <c r="Q1012" s="108">
        <v>0.83173685926299334</v>
      </c>
      <c r="R1012" s="49">
        <v>36583342.375435971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795B1-86F9-486C-BEC8-A9F73B275024}">
  <sheetPr codeName="Sheet9">
    <tabColor theme="5" tint="-0.499984740745262"/>
  </sheetPr>
  <dimension ref="A1"/>
  <sheetViews>
    <sheetView topLeftCell="XFD1" workbookViewId="0">
      <selection sqref="A1:XFD1048576"/>
    </sheetView>
  </sheetViews>
  <sheetFormatPr defaultColWidth="0" defaultRowHeight="15" x14ac:dyDescent="0.25"/>
  <cols>
    <col min="1" max="16384" width="9.140625" hidden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E0896-274B-430F-BD06-B212AECE4F89}">
  <sheetPr codeName="Sheet11">
    <tabColor theme="5" tint="0.79998168889431442"/>
  </sheetPr>
  <dimension ref="A1:J37"/>
  <sheetViews>
    <sheetView workbookViewId="0">
      <selection activeCell="C43" sqref="C43"/>
    </sheetView>
  </sheetViews>
  <sheetFormatPr defaultColWidth="8.85546875" defaultRowHeight="15" x14ac:dyDescent="0.25"/>
  <cols>
    <col min="1" max="1" width="9.140625" style="32"/>
    <col min="2" max="2" width="27" style="32" customWidth="1"/>
    <col min="3" max="3" width="30.42578125" style="32" customWidth="1"/>
    <col min="4" max="4" width="11.85546875" style="32" bestFit="1" customWidth="1"/>
    <col min="5" max="5" width="12.42578125" style="140" customWidth="1"/>
    <col min="6" max="6" width="8.85546875" style="137" customWidth="1"/>
    <col min="9" max="9" width="12.42578125" style="2" bestFit="1" customWidth="1"/>
  </cols>
  <sheetData>
    <row r="1" spans="1:10" s="3" customFormat="1" x14ac:dyDescent="0.25">
      <c r="A1" s="138" t="s">
        <v>40</v>
      </c>
      <c r="B1" s="138" t="s">
        <v>218</v>
      </c>
      <c r="C1" s="138" t="s">
        <v>226</v>
      </c>
      <c r="D1" s="138" t="s">
        <v>250</v>
      </c>
      <c r="E1" s="139" t="s">
        <v>245</v>
      </c>
      <c r="F1" s="57" t="s">
        <v>36</v>
      </c>
      <c r="I1" s="4" t="s">
        <v>256</v>
      </c>
      <c r="J1" s="156"/>
    </row>
    <row r="2" spans="1:10" x14ac:dyDescent="0.25">
      <c r="A2" s="32" t="s">
        <v>3</v>
      </c>
      <c r="B2" s="32">
        <v>0</v>
      </c>
      <c r="C2" s="32">
        <v>0</v>
      </c>
      <c r="D2" s="32" t="s">
        <v>249</v>
      </c>
      <c r="E2" s="140" t="str">
        <f>A2&amp;B2&amp;C2&amp;D2</f>
        <v>M00A</v>
      </c>
      <c r="F2" s="142">
        <v>52.86</v>
      </c>
      <c r="I2" s="12" cm="1">
        <f t="array" ref="I2:I37">'Business Mix'!Q2:Q37</f>
        <v>1.5225944125501129E-2</v>
      </c>
    </row>
    <row r="3" spans="1:10" x14ac:dyDescent="0.25">
      <c r="A3" s="32" t="s">
        <v>3</v>
      </c>
      <c r="B3" s="32">
        <v>0</v>
      </c>
      <c r="C3" s="32">
        <v>1</v>
      </c>
      <c r="D3" s="32" t="s">
        <v>249</v>
      </c>
      <c r="E3" s="140" t="str">
        <f t="shared" ref="E3:E37" si="0">A3&amp;B3&amp;C3&amp;D3</f>
        <v>M01A</v>
      </c>
      <c r="F3" s="142">
        <v>57.86</v>
      </c>
      <c r="I3" s="12">
        <v>3.0451888251002263E-3</v>
      </c>
    </row>
    <row r="4" spans="1:10" x14ac:dyDescent="0.25">
      <c r="A4" s="32" t="s">
        <v>3</v>
      </c>
      <c r="B4" s="32">
        <v>0</v>
      </c>
      <c r="C4" s="32">
        <v>2</v>
      </c>
      <c r="D4" s="32" t="s">
        <v>249</v>
      </c>
      <c r="E4" s="140" t="str">
        <f t="shared" si="0"/>
        <v>M02A</v>
      </c>
      <c r="F4" s="142">
        <v>63.26</v>
      </c>
      <c r="I4" s="12">
        <v>1.2180755300400905E-2</v>
      </c>
    </row>
    <row r="5" spans="1:10" x14ac:dyDescent="0.25">
      <c r="A5" s="32" t="s">
        <v>3</v>
      </c>
      <c r="B5" s="32">
        <v>1</v>
      </c>
      <c r="C5" s="32">
        <v>0</v>
      </c>
      <c r="D5" s="32" t="s">
        <v>249</v>
      </c>
      <c r="E5" s="140" t="str">
        <f t="shared" si="0"/>
        <v>M10A</v>
      </c>
      <c r="F5" s="142">
        <v>104.35000000000001</v>
      </c>
      <c r="I5" s="12">
        <v>1.5225944125501129E-2</v>
      </c>
    </row>
    <row r="6" spans="1:10" x14ac:dyDescent="0.25">
      <c r="A6" s="32" t="s">
        <v>3</v>
      </c>
      <c r="B6" s="32">
        <v>1</v>
      </c>
      <c r="C6" s="32">
        <v>1</v>
      </c>
      <c r="D6" s="32" t="s">
        <v>249</v>
      </c>
      <c r="E6" s="140" t="str">
        <f t="shared" si="0"/>
        <v>M11A</v>
      </c>
      <c r="F6" s="142">
        <v>113.83</v>
      </c>
      <c r="I6" s="12">
        <v>3.0451888251002263E-3</v>
      </c>
    </row>
    <row r="7" spans="1:10" x14ac:dyDescent="0.25">
      <c r="A7" s="32" t="s">
        <v>3</v>
      </c>
      <c r="B7" s="32">
        <v>1</v>
      </c>
      <c r="C7" s="32">
        <v>2</v>
      </c>
      <c r="D7" s="32" t="s">
        <v>249</v>
      </c>
      <c r="E7" s="140" t="str">
        <f t="shared" si="0"/>
        <v>M12A</v>
      </c>
      <c r="F7" s="142">
        <v>123.96000000000001</v>
      </c>
      <c r="I7" s="12">
        <v>1.2180755300400905E-2</v>
      </c>
    </row>
    <row r="8" spans="1:10" x14ac:dyDescent="0.25">
      <c r="A8" s="32" t="s">
        <v>3</v>
      </c>
      <c r="B8" s="32">
        <v>2</v>
      </c>
      <c r="C8" s="32">
        <v>0</v>
      </c>
      <c r="D8" s="32" t="s">
        <v>249</v>
      </c>
      <c r="E8" s="140" t="str">
        <f t="shared" si="0"/>
        <v>M20A</v>
      </c>
      <c r="F8" s="142">
        <v>223.6</v>
      </c>
      <c r="I8" s="12">
        <v>3.3835431390002511E-3</v>
      </c>
    </row>
    <row r="9" spans="1:10" x14ac:dyDescent="0.25">
      <c r="A9" s="32" t="s">
        <v>3</v>
      </c>
      <c r="B9" s="32">
        <v>2</v>
      </c>
      <c r="C9" s="32">
        <v>1</v>
      </c>
      <c r="D9" s="32" t="s">
        <v>249</v>
      </c>
      <c r="E9" s="140" t="str">
        <f t="shared" si="0"/>
        <v>M21A</v>
      </c>
      <c r="F9" s="142">
        <v>241.01</v>
      </c>
      <c r="I9" s="12">
        <v>6.7670862780005027E-4</v>
      </c>
    </row>
    <row r="10" spans="1:10" x14ac:dyDescent="0.25">
      <c r="A10" s="32" t="s">
        <v>3</v>
      </c>
      <c r="B10" s="32">
        <v>2</v>
      </c>
      <c r="C10" s="32">
        <v>2</v>
      </c>
      <c r="D10" s="32" t="s">
        <v>249</v>
      </c>
      <c r="E10" s="140" t="str">
        <f t="shared" si="0"/>
        <v>M22A</v>
      </c>
      <c r="F10" s="142">
        <v>259.62</v>
      </c>
      <c r="I10" s="12">
        <v>2.7068345112002011E-3</v>
      </c>
    </row>
    <row r="11" spans="1:10" x14ac:dyDescent="0.25">
      <c r="A11" s="32" t="s">
        <v>4</v>
      </c>
      <c r="B11" s="32">
        <v>0</v>
      </c>
      <c r="C11" s="32">
        <v>0</v>
      </c>
      <c r="D11" s="32" t="s">
        <v>249</v>
      </c>
      <c r="E11" s="140" t="str">
        <f t="shared" si="0"/>
        <v>F00A</v>
      </c>
      <c r="F11" s="142">
        <v>52.699999999999996</v>
      </c>
      <c r="I11" s="12">
        <v>1.5225944125501129E-2</v>
      </c>
    </row>
    <row r="12" spans="1:10" x14ac:dyDescent="0.25">
      <c r="A12" s="32" t="s">
        <v>4</v>
      </c>
      <c r="B12" s="32">
        <v>0</v>
      </c>
      <c r="C12" s="32">
        <v>1</v>
      </c>
      <c r="D12" s="32" t="s">
        <v>249</v>
      </c>
      <c r="E12" s="140" t="str">
        <f t="shared" si="0"/>
        <v>F01A</v>
      </c>
      <c r="F12" s="142">
        <v>57.699999999999996</v>
      </c>
      <c r="I12" s="12">
        <v>3.0451888251002263E-3</v>
      </c>
    </row>
    <row r="13" spans="1:10" x14ac:dyDescent="0.25">
      <c r="A13" s="32" t="s">
        <v>4</v>
      </c>
      <c r="B13" s="32">
        <v>0</v>
      </c>
      <c r="C13" s="32">
        <v>2</v>
      </c>
      <c r="D13" s="32" t="s">
        <v>249</v>
      </c>
      <c r="E13" s="140" t="str">
        <f t="shared" si="0"/>
        <v>F02A</v>
      </c>
      <c r="F13" s="142">
        <v>63.08</v>
      </c>
      <c r="I13" s="12">
        <v>1.2180755300400905E-2</v>
      </c>
    </row>
    <row r="14" spans="1:10" x14ac:dyDescent="0.25">
      <c r="A14" s="32" t="s">
        <v>4</v>
      </c>
      <c r="B14" s="32">
        <v>1</v>
      </c>
      <c r="C14" s="32">
        <v>0</v>
      </c>
      <c r="D14" s="32" t="s">
        <v>249</v>
      </c>
      <c r="E14" s="140" t="str">
        <f t="shared" si="0"/>
        <v>F10A</v>
      </c>
      <c r="F14" s="142">
        <v>104.04</v>
      </c>
      <c r="I14" s="12">
        <v>1.5225944125501129E-2</v>
      </c>
    </row>
    <row r="15" spans="1:10" x14ac:dyDescent="0.25">
      <c r="A15" s="32" t="s">
        <v>4</v>
      </c>
      <c r="B15" s="32">
        <v>1</v>
      </c>
      <c r="C15" s="32">
        <v>1</v>
      </c>
      <c r="D15" s="32" t="s">
        <v>249</v>
      </c>
      <c r="E15" s="140" t="str">
        <f t="shared" si="0"/>
        <v>F11A</v>
      </c>
      <c r="F15" s="142">
        <v>113.51</v>
      </c>
      <c r="I15" s="12">
        <v>3.0451888251002263E-3</v>
      </c>
    </row>
    <row r="16" spans="1:10" x14ac:dyDescent="0.25">
      <c r="A16" s="32" t="s">
        <v>4</v>
      </c>
      <c r="B16" s="32">
        <v>1</v>
      </c>
      <c r="C16" s="32">
        <v>2</v>
      </c>
      <c r="D16" s="32" t="s">
        <v>249</v>
      </c>
      <c r="E16" s="140" t="str">
        <f t="shared" si="0"/>
        <v>F12A</v>
      </c>
      <c r="F16" s="142">
        <v>123.62</v>
      </c>
      <c r="I16" s="12">
        <v>1.2180755300400905E-2</v>
      </c>
    </row>
    <row r="17" spans="1:9" x14ac:dyDescent="0.25">
      <c r="A17" s="32" t="s">
        <v>4</v>
      </c>
      <c r="B17" s="32">
        <v>2</v>
      </c>
      <c r="C17" s="32">
        <v>0</v>
      </c>
      <c r="D17" s="32" t="s">
        <v>249</v>
      </c>
      <c r="E17" s="140" t="str">
        <f t="shared" si="0"/>
        <v>F20A</v>
      </c>
      <c r="F17" s="142">
        <v>223.06</v>
      </c>
      <c r="I17" s="12">
        <v>3.3835431390002511E-3</v>
      </c>
    </row>
    <row r="18" spans="1:9" x14ac:dyDescent="0.25">
      <c r="A18" s="32" t="s">
        <v>4</v>
      </c>
      <c r="B18" s="32">
        <v>2</v>
      </c>
      <c r="C18" s="32">
        <v>1</v>
      </c>
      <c r="D18" s="32" t="s">
        <v>249</v>
      </c>
      <c r="E18" s="140" t="str">
        <f t="shared" si="0"/>
        <v>F21A</v>
      </c>
      <c r="F18" s="142">
        <v>240.44</v>
      </c>
      <c r="I18" s="12">
        <v>6.7670862780005027E-4</v>
      </c>
    </row>
    <row r="19" spans="1:9" x14ac:dyDescent="0.25">
      <c r="A19" s="32" t="s">
        <v>4</v>
      </c>
      <c r="B19" s="32">
        <v>2</v>
      </c>
      <c r="C19" s="32">
        <v>2</v>
      </c>
      <c r="D19" s="32" t="s">
        <v>249</v>
      </c>
      <c r="E19" s="140" t="str">
        <f t="shared" si="0"/>
        <v>F22A</v>
      </c>
      <c r="F19" s="142">
        <v>259.01</v>
      </c>
      <c r="I19" s="12">
        <v>2.7068345112002011E-3</v>
      </c>
    </row>
    <row r="20" spans="1:9" x14ac:dyDescent="0.25">
      <c r="A20" s="32" t="s">
        <v>3</v>
      </c>
      <c r="B20" s="32">
        <v>0</v>
      </c>
      <c r="C20" s="32">
        <v>0</v>
      </c>
      <c r="D20" s="32" t="s">
        <v>251</v>
      </c>
      <c r="E20" s="140" t="str">
        <f t="shared" si="0"/>
        <v>M00P</v>
      </c>
      <c r="F20" s="142">
        <v>39.669999999999995</v>
      </c>
      <c r="I20" s="12">
        <v>0.11672886704939864</v>
      </c>
    </row>
    <row r="21" spans="1:9" x14ac:dyDescent="0.25">
      <c r="A21" s="32" t="s">
        <v>3</v>
      </c>
      <c r="B21" s="32">
        <v>0</v>
      </c>
      <c r="C21" s="32">
        <v>1</v>
      </c>
      <c r="D21" s="32" t="s">
        <v>251</v>
      </c>
      <c r="E21" s="140" t="str">
        <f t="shared" si="0"/>
        <v>M01P</v>
      </c>
      <c r="F21" s="142">
        <v>43.44</v>
      </c>
      <c r="I21" s="12">
        <v>1.9454811174899774E-2</v>
      </c>
    </row>
    <row r="22" spans="1:9" x14ac:dyDescent="0.25">
      <c r="A22" s="32" t="s">
        <v>3</v>
      </c>
      <c r="B22" s="32">
        <v>0</v>
      </c>
      <c r="C22" s="32">
        <v>2</v>
      </c>
      <c r="D22" s="32" t="s">
        <v>251</v>
      </c>
      <c r="E22" s="140" t="str">
        <f t="shared" si="0"/>
        <v>M02P</v>
      </c>
      <c r="F22" s="142">
        <v>47.54</v>
      </c>
      <c r="I22" s="12">
        <v>5.8364433524699319E-2</v>
      </c>
    </row>
    <row r="23" spans="1:9" x14ac:dyDescent="0.25">
      <c r="A23" s="32" t="s">
        <v>3</v>
      </c>
      <c r="B23" s="32">
        <v>1</v>
      </c>
      <c r="C23" s="32">
        <v>0</v>
      </c>
      <c r="D23" s="32" t="s">
        <v>251</v>
      </c>
      <c r="E23" s="140" t="str">
        <f t="shared" si="0"/>
        <v>M10P</v>
      </c>
      <c r="F23" s="142">
        <v>78.75</v>
      </c>
      <c r="I23" s="12">
        <v>0.11672886704939864</v>
      </c>
    </row>
    <row r="24" spans="1:9" x14ac:dyDescent="0.25">
      <c r="A24" s="32" t="s">
        <v>3</v>
      </c>
      <c r="B24" s="32">
        <v>1</v>
      </c>
      <c r="C24" s="32">
        <v>1</v>
      </c>
      <c r="D24" s="32" t="s">
        <v>251</v>
      </c>
      <c r="E24" s="140" t="str">
        <f t="shared" si="0"/>
        <v>M11P</v>
      </c>
      <c r="F24" s="142">
        <v>85.89</v>
      </c>
      <c r="I24" s="12">
        <v>1.9454811174899774E-2</v>
      </c>
    </row>
    <row r="25" spans="1:9" x14ac:dyDescent="0.25">
      <c r="A25" s="32" t="s">
        <v>3</v>
      </c>
      <c r="B25" s="32">
        <v>1</v>
      </c>
      <c r="C25" s="32">
        <v>2</v>
      </c>
      <c r="D25" s="32" t="s">
        <v>251</v>
      </c>
      <c r="E25" s="140" t="str">
        <f t="shared" si="0"/>
        <v>M12P</v>
      </c>
      <c r="F25" s="142">
        <v>93.59</v>
      </c>
      <c r="I25" s="12">
        <v>5.8364433524699319E-2</v>
      </c>
    </row>
    <row r="26" spans="1:9" x14ac:dyDescent="0.25">
      <c r="A26" s="32" t="s">
        <v>3</v>
      </c>
      <c r="B26" s="32">
        <v>2</v>
      </c>
      <c r="C26" s="32">
        <v>0</v>
      </c>
      <c r="D26" s="32" t="s">
        <v>251</v>
      </c>
      <c r="E26" s="140" t="str">
        <f t="shared" si="0"/>
        <v>M20P</v>
      </c>
      <c r="F26" s="142">
        <v>170.45999999999998</v>
      </c>
      <c r="I26" s="12">
        <v>2.5939748233199694E-2</v>
      </c>
    </row>
    <row r="27" spans="1:9" x14ac:dyDescent="0.25">
      <c r="A27" s="32" t="s">
        <v>3</v>
      </c>
      <c r="B27" s="32">
        <v>2</v>
      </c>
      <c r="C27" s="32">
        <v>1</v>
      </c>
      <c r="D27" s="32" t="s">
        <v>251</v>
      </c>
      <c r="E27" s="140" t="str">
        <f t="shared" si="0"/>
        <v>M21P</v>
      </c>
      <c r="F27" s="142">
        <v>184.07</v>
      </c>
      <c r="I27" s="12">
        <v>4.3232913721999505E-3</v>
      </c>
    </row>
    <row r="28" spans="1:9" x14ac:dyDescent="0.25">
      <c r="A28" s="32" t="s">
        <v>3</v>
      </c>
      <c r="B28" s="32">
        <v>2</v>
      </c>
      <c r="C28" s="32">
        <v>2</v>
      </c>
      <c r="D28" s="32" t="s">
        <v>251</v>
      </c>
      <c r="E28" s="140" t="str">
        <f t="shared" si="0"/>
        <v>M22P</v>
      </c>
      <c r="F28" s="142">
        <v>198</v>
      </c>
      <c r="I28" s="12">
        <v>1.2969874116599847E-2</v>
      </c>
    </row>
    <row r="29" spans="1:9" x14ac:dyDescent="0.25">
      <c r="A29" s="32" t="s">
        <v>4</v>
      </c>
      <c r="B29" s="32">
        <v>0</v>
      </c>
      <c r="C29" s="32">
        <v>0</v>
      </c>
      <c r="D29" s="32" t="s">
        <v>251</v>
      </c>
      <c r="E29" s="140" t="str">
        <f t="shared" si="0"/>
        <v>F00P</v>
      </c>
      <c r="F29" s="142">
        <v>39.61</v>
      </c>
      <c r="I29" s="12">
        <v>0.11672886704939864</v>
      </c>
    </row>
    <row r="30" spans="1:9" x14ac:dyDescent="0.25">
      <c r="A30" s="32" t="s">
        <v>4</v>
      </c>
      <c r="B30" s="32">
        <v>0</v>
      </c>
      <c r="C30" s="32">
        <v>1</v>
      </c>
      <c r="D30" s="32" t="s">
        <v>251</v>
      </c>
      <c r="E30" s="140" t="str">
        <f t="shared" si="0"/>
        <v>F01P</v>
      </c>
      <c r="F30" s="142">
        <v>43.379999999999995</v>
      </c>
      <c r="I30" s="12">
        <v>1.9454811174899774E-2</v>
      </c>
    </row>
    <row r="31" spans="1:9" x14ac:dyDescent="0.25">
      <c r="A31" s="32" t="s">
        <v>4</v>
      </c>
      <c r="B31" s="32">
        <v>0</v>
      </c>
      <c r="C31" s="32">
        <v>2</v>
      </c>
      <c r="D31" s="32" t="s">
        <v>251</v>
      </c>
      <c r="E31" s="140" t="str">
        <f t="shared" si="0"/>
        <v>F02P</v>
      </c>
      <c r="F31" s="142">
        <v>47.47</v>
      </c>
      <c r="I31" s="12">
        <v>5.8364433524699319E-2</v>
      </c>
    </row>
    <row r="32" spans="1:9" x14ac:dyDescent="0.25">
      <c r="A32" s="32" t="s">
        <v>4</v>
      </c>
      <c r="B32" s="32">
        <v>1</v>
      </c>
      <c r="C32" s="32">
        <v>0</v>
      </c>
      <c r="D32" s="32" t="s">
        <v>251</v>
      </c>
      <c r="E32" s="140" t="str">
        <f t="shared" si="0"/>
        <v>F10P</v>
      </c>
      <c r="F32" s="142">
        <v>78.64</v>
      </c>
      <c r="I32" s="12">
        <v>0.11672886704939864</v>
      </c>
    </row>
    <row r="33" spans="1:9" x14ac:dyDescent="0.25">
      <c r="A33" s="32" t="s">
        <v>4</v>
      </c>
      <c r="B33" s="32">
        <v>1</v>
      </c>
      <c r="C33" s="32">
        <v>1</v>
      </c>
      <c r="D33" s="32" t="s">
        <v>251</v>
      </c>
      <c r="E33" s="140" t="str">
        <f t="shared" si="0"/>
        <v>F11P</v>
      </c>
      <c r="F33" s="142">
        <v>85.78</v>
      </c>
      <c r="I33" s="12">
        <v>1.9454811174899774E-2</v>
      </c>
    </row>
    <row r="34" spans="1:9" x14ac:dyDescent="0.25">
      <c r="A34" s="32" t="s">
        <v>4</v>
      </c>
      <c r="B34" s="32">
        <v>1</v>
      </c>
      <c r="C34" s="32">
        <v>2</v>
      </c>
      <c r="D34" s="32" t="s">
        <v>251</v>
      </c>
      <c r="E34" s="140" t="str">
        <f t="shared" si="0"/>
        <v>F12P</v>
      </c>
      <c r="F34" s="142">
        <v>93.47</v>
      </c>
      <c r="I34" s="12">
        <v>5.8364433524699319E-2</v>
      </c>
    </row>
    <row r="35" spans="1:9" x14ac:dyDescent="0.25">
      <c r="A35" s="32" t="s">
        <v>4</v>
      </c>
      <c r="B35" s="32">
        <v>2</v>
      </c>
      <c r="C35" s="32">
        <v>0</v>
      </c>
      <c r="D35" s="32" t="s">
        <v>251</v>
      </c>
      <c r="E35" s="140" t="str">
        <f t="shared" si="0"/>
        <v>F20P</v>
      </c>
      <c r="F35" s="142">
        <v>170.26</v>
      </c>
      <c r="I35" s="12">
        <v>2.5939748233199694E-2</v>
      </c>
    </row>
    <row r="36" spans="1:9" x14ac:dyDescent="0.25">
      <c r="A36" s="32" t="s">
        <v>4</v>
      </c>
      <c r="B36" s="32">
        <v>2</v>
      </c>
      <c r="C36" s="32">
        <v>1</v>
      </c>
      <c r="D36" s="32" t="s">
        <v>251</v>
      </c>
      <c r="E36" s="140" t="str">
        <f t="shared" si="0"/>
        <v>F21P</v>
      </c>
      <c r="F36" s="142">
        <v>183.85999999999999</v>
      </c>
      <c r="I36" s="12">
        <v>4.3232913721999505E-3</v>
      </c>
    </row>
    <row r="37" spans="1:9" x14ac:dyDescent="0.25">
      <c r="A37" s="32" t="s">
        <v>4</v>
      </c>
      <c r="B37" s="32">
        <v>2</v>
      </c>
      <c r="C37" s="32">
        <v>2</v>
      </c>
      <c r="D37" s="32" t="s">
        <v>251</v>
      </c>
      <c r="E37" s="140" t="str">
        <f t="shared" si="0"/>
        <v>F22P</v>
      </c>
      <c r="F37" s="142">
        <v>198</v>
      </c>
      <c r="I37" s="12">
        <v>1.2969874116599847E-2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38</vt:i4>
      </vt:variant>
    </vt:vector>
  </HeadingPairs>
  <TitlesOfParts>
    <vt:vector size="57" baseType="lpstr">
      <vt:lpstr>Assumptions -&gt;</vt:lpstr>
      <vt:lpstr>Mortality</vt:lpstr>
      <vt:lpstr>Myopia Raw</vt:lpstr>
      <vt:lpstr>Myopia</vt:lpstr>
      <vt:lpstr>Myopia_(Reserve)</vt:lpstr>
      <vt:lpstr>Others</vt:lpstr>
      <vt:lpstr>Model -&gt;</vt:lpstr>
      <vt:lpstr>Parameters</vt:lpstr>
      <vt:lpstr>Pricing</vt:lpstr>
      <vt:lpstr>Reserve</vt:lpstr>
      <vt:lpstr>Plots</vt:lpstr>
      <vt:lpstr>Workings --&gt;</vt:lpstr>
      <vt:lpstr>Business Size</vt:lpstr>
      <vt:lpstr>Business Mix</vt:lpstr>
      <vt:lpstr>Business_Portfolio</vt:lpstr>
      <vt:lpstr>Business_Portfolio_Result</vt:lpstr>
      <vt:lpstr>Stoch_Test</vt:lpstr>
      <vt:lpstr>Rates --&gt;</vt:lpstr>
      <vt:lpstr>Rate_Table</vt:lpstr>
      <vt:lpstr>Ann_Prem</vt:lpstr>
      <vt:lpstr>Exp_Claim</vt:lpstr>
      <vt:lpstr>Exp_Comm</vt:lpstr>
      <vt:lpstr>Exp_Comm_Renew</vt:lpstr>
      <vt:lpstr>Exp_Init</vt:lpstr>
      <vt:lpstr>Exp_Main</vt:lpstr>
      <vt:lpstr>Exp_Main_Infl</vt:lpstr>
      <vt:lpstr>Exp_Main_Infl_Reserve</vt:lpstr>
      <vt:lpstr>Hurdle</vt:lpstr>
      <vt:lpstr>Mat_Year</vt:lpstr>
      <vt:lpstr>PAD_Exp_Claim</vt:lpstr>
      <vt:lpstr>PAD_Exp_Main</vt:lpstr>
      <vt:lpstr>PAD_Incid</vt:lpstr>
      <vt:lpstr>PAD_Laspe</vt:lpstr>
      <vt:lpstr>PAD_Mort</vt:lpstr>
      <vt:lpstr>PAD_Res_Exp_Claim</vt:lpstr>
      <vt:lpstr>PAD_Res_Exp_Main</vt:lpstr>
      <vt:lpstr>PAD_Res_Incid</vt:lpstr>
      <vt:lpstr>PAD_Res_Laspe</vt:lpstr>
      <vt:lpstr>PAD_Res_Mort</vt:lpstr>
      <vt:lpstr>Pol_Country</vt:lpstr>
      <vt:lpstr>Pol_Educated</vt:lpstr>
      <vt:lpstr>Pol_Entry_Age</vt:lpstr>
      <vt:lpstr>Pol_Inc_Tbl</vt:lpstr>
      <vt:lpstr>Pol_Myopic</vt:lpstr>
      <vt:lpstr>Pol_Sex</vt:lpstr>
      <vt:lpstr>Prem_Lookup_Ind</vt:lpstr>
      <vt:lpstr>Prem_Mode</vt:lpstr>
      <vt:lpstr>Prem_Rate</vt:lpstr>
      <vt:lpstr>Prem_Term</vt:lpstr>
      <vt:lpstr>profit_mar_hurdle</vt:lpstr>
      <vt:lpstr>Single_Prem</vt:lpstr>
      <vt:lpstr>Sum_Assured</vt:lpstr>
      <vt:lpstr>Trend_Factor</vt:lpstr>
      <vt:lpstr>Trend_Factor_Reserve</vt:lpstr>
      <vt:lpstr>VBA_master_check</vt:lpstr>
      <vt:lpstr>VBA_PM_Target</vt:lpstr>
      <vt:lpstr>VBA_Prem_Input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Jackson Leung</dc:creator>
  <cp:lastModifiedBy>Jackson Leung</cp:lastModifiedBy>
  <dcterms:created xsi:type="dcterms:W3CDTF">2015-06-05T18:17:20Z</dcterms:created>
  <dcterms:modified xsi:type="dcterms:W3CDTF">2021-03-11T15:52:34Z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615e12d7-baf1-428b-9df2-de94b40f1a1d</vt:lpwstr>
  </property>
</Properties>
</file>