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ackson\Desktop\"/>
    </mc:Choice>
  </mc:AlternateContent>
  <xr:revisionPtr revIDLastSave="0" documentId="13_ncr:1_{370A8773-A46A-4402-9D12-F4538C3ACA42}" xr6:coauthVersionLast="45" xr6:coauthVersionMax="45" xr10:uidLastSave="{00000000-0000-0000-0000-000000000000}"/>
  <bookViews>
    <workbookView xWindow="-120" yWindow="-120" windowWidth="29040" windowHeight="16440" xr2:uid="{C4023499-8825-41AD-BEBA-720B3CD2F8F1}"/>
  </bookViews>
  <sheets>
    <sheet name="Sheet1" sheetId="1" r:id="rId1"/>
    <sheet name="Sheet2" sheetId="2" r:id="rId2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2" i="1" l="1"/>
  <c r="E52" i="1"/>
  <c r="S30" i="2" l="1"/>
  <c r="S29" i="2"/>
  <c r="S28" i="2"/>
  <c r="S27" i="2"/>
  <c r="S26" i="2"/>
  <c r="S25" i="2"/>
  <c r="U7" i="2" l="1"/>
  <c r="AE7" i="2" s="1"/>
  <c r="U6" i="2"/>
  <c r="AE6" i="2" s="1"/>
  <c r="V12" i="1"/>
  <c r="T4" i="2"/>
  <c r="AC4" i="2" s="1"/>
  <c r="V13" i="1" l="1"/>
  <c r="U4" i="2"/>
  <c r="AE4" i="2" s="1"/>
  <c r="V4" i="2"/>
  <c r="AD4" i="2" s="1"/>
  <c r="K36" i="1"/>
  <c r="K32" i="1"/>
  <c r="K31" i="1"/>
  <c r="K30" i="1"/>
  <c r="E35" i="1"/>
  <c r="E36" i="1"/>
  <c r="D36" i="1" s="1"/>
  <c r="E34" i="1"/>
  <c r="E27" i="1"/>
  <c r="D27" i="1" s="1"/>
  <c r="E26" i="1"/>
  <c r="D26" i="1" s="1"/>
  <c r="E25" i="1"/>
  <c r="D25" i="1" s="1"/>
  <c r="E24" i="1"/>
  <c r="D24" i="1" s="1"/>
  <c r="A26" i="1"/>
  <c r="E32" i="1"/>
  <c r="D32" i="1"/>
  <c r="E31" i="1"/>
  <c r="E12" i="1"/>
  <c r="E11" i="1"/>
  <c r="E10" i="1"/>
  <c r="E9" i="1"/>
  <c r="E8" i="1"/>
  <c r="E7" i="1"/>
  <c r="E6" i="1"/>
  <c r="E5" i="1"/>
  <c r="E4" i="1"/>
  <c r="E3" i="1"/>
  <c r="E20" i="1"/>
  <c r="E19" i="1"/>
  <c r="E17" i="1"/>
  <c r="E16" i="1"/>
  <c r="A36" i="1" l="1"/>
  <c r="A27" i="1"/>
  <c r="A25" i="1"/>
  <c r="E22" i="1"/>
  <c r="A32" i="1"/>
  <c r="E29" i="1"/>
  <c r="A31" i="1"/>
  <c r="D31" i="1"/>
  <c r="T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5" i="2"/>
  <c r="U5" i="2" l="1"/>
  <c r="AE5" i="2" s="1"/>
  <c r="AC5" i="2"/>
  <c r="V17" i="1"/>
  <c r="V19" i="1"/>
  <c r="D19" i="1"/>
  <c r="D35" i="1"/>
  <c r="D12" i="1"/>
  <c r="D13" i="1"/>
  <c r="D11" i="1"/>
  <c r="D10" i="1"/>
  <c r="D9" i="1"/>
  <c r="D8" i="1"/>
  <c r="D7" i="1"/>
  <c r="D6" i="1"/>
  <c r="D5" i="1"/>
  <c r="D4" i="1"/>
  <c r="W3" i="1"/>
  <c r="W5" i="1"/>
  <c r="V9" i="1" s="1"/>
  <c r="W2" i="1"/>
  <c r="A35" i="1" l="1"/>
  <c r="A34" i="1" s="1"/>
  <c r="D20" i="1" l="1"/>
  <c r="D3" i="1"/>
  <c r="D17" i="1"/>
  <c r="D23" i="1"/>
  <c r="D16" i="1"/>
  <c r="A30" i="1"/>
  <c r="A29" i="1" s="1"/>
  <c r="D30" i="1"/>
  <c r="E2" i="1"/>
  <c r="V7" i="1" l="1"/>
  <c r="W4" i="1" l="1"/>
  <c r="V4" i="1" s="1"/>
  <c r="V18" i="1" l="1"/>
  <c r="AB4" i="2"/>
  <c r="E44" i="1"/>
  <c r="E46" i="1"/>
  <c r="K35" i="1"/>
  <c r="E15" i="1" l="1"/>
  <c r="E38" i="1" s="1"/>
  <c r="D18" i="1"/>
  <c r="U8" i="2" l="1"/>
  <c r="AE8" i="2" s="1"/>
  <c r="U9" i="2" l="1"/>
  <c r="AE9" i="2" s="1"/>
  <c r="T22" i="2"/>
  <c r="AC22" i="2" s="1"/>
  <c r="U22" i="2"/>
  <c r="AE22" i="2" s="1"/>
  <c r="U21" i="2"/>
  <c r="AE21" i="2" s="1"/>
  <c r="T21" i="2"/>
  <c r="AC21" i="2" s="1"/>
  <c r="T20" i="2"/>
  <c r="AC20" i="2" s="1"/>
  <c r="T19" i="2"/>
  <c r="AC19" i="2" s="1"/>
  <c r="T18" i="2"/>
  <c r="AC18" i="2" s="1"/>
  <c r="U20" i="2"/>
  <c r="AE20" i="2" s="1"/>
  <c r="T17" i="2"/>
  <c r="AC17" i="2" s="1"/>
  <c r="U19" i="2"/>
  <c r="AE19" i="2" s="1"/>
  <c r="T16" i="2"/>
  <c r="AC16" i="2" s="1"/>
  <c r="U18" i="2"/>
  <c r="AE18" i="2" s="1"/>
  <c r="T15" i="2"/>
  <c r="AC15" i="2" s="1"/>
  <c r="U17" i="2"/>
  <c r="AE17" i="2" s="1"/>
  <c r="T14" i="2"/>
  <c r="AC14" i="2" s="1"/>
  <c r="U16" i="2"/>
  <c r="AE16" i="2" s="1"/>
  <c r="T13" i="2"/>
  <c r="AC13" i="2" s="1"/>
  <c r="U15" i="2"/>
  <c r="AE15" i="2" s="1"/>
  <c r="T12" i="2"/>
  <c r="AC12" i="2" s="1"/>
  <c r="U14" i="2"/>
  <c r="AE14" i="2" s="1"/>
  <c r="T11" i="2"/>
  <c r="AC11" i="2" s="1"/>
  <c r="U13" i="2"/>
  <c r="AE13" i="2" s="1"/>
  <c r="T10" i="2"/>
  <c r="AC10" i="2" s="1"/>
  <c r="U12" i="2"/>
  <c r="AE12" i="2" s="1"/>
  <c r="T9" i="2"/>
  <c r="AC9" i="2" s="1"/>
  <c r="U11" i="2"/>
  <c r="AE11" i="2" s="1"/>
  <c r="T8" i="2"/>
  <c r="AC8" i="2" s="1"/>
  <c r="U10" i="2"/>
  <c r="AE10" i="2" s="1"/>
  <c r="T7" i="2"/>
  <c r="AC7" i="2" s="1"/>
  <c r="T6" i="2"/>
  <c r="AC6" i="2" s="1"/>
  <c r="A4" i="1" l="1"/>
  <c r="A17" i="1"/>
  <c r="A24" i="1"/>
  <c r="A9" i="1"/>
  <c r="A23" i="1"/>
  <c r="A8" i="1"/>
  <c r="A20" i="1"/>
  <c r="A13" i="1"/>
  <c r="A7" i="1"/>
  <c r="A19" i="1"/>
  <c r="A12" i="1"/>
  <c r="A5" i="1"/>
  <c r="A18" i="1"/>
  <c r="A11" i="1"/>
  <c r="A6" i="1"/>
  <c r="A10" i="1"/>
  <c r="A3" i="1"/>
  <c r="A16" i="1"/>
  <c r="A15" i="1" l="1"/>
  <c r="A2" i="1"/>
  <c r="A22" i="1"/>
  <c r="A38" i="1" l="1"/>
  <c r="F2" i="1" s="1"/>
  <c r="Q2" i="1" s="1"/>
  <c r="R2" i="1" s="1"/>
  <c r="F19" i="1" l="1"/>
  <c r="Q19" i="1" s="1"/>
  <c r="R19" i="1" s="1"/>
  <c r="F11" i="1"/>
  <c r="Q11" i="1" s="1"/>
  <c r="P11" i="1" s="1"/>
  <c r="F16" i="1"/>
  <c r="Q16" i="1" s="1"/>
  <c r="J16" i="1" s="1"/>
  <c r="F9" i="1"/>
  <c r="Q9" i="1" s="1"/>
  <c r="P9" i="1" s="1"/>
  <c r="F12" i="1"/>
  <c r="Q12" i="1" s="1"/>
  <c r="R12" i="1" s="1"/>
  <c r="F20" i="1"/>
  <c r="Q20" i="1" s="1"/>
  <c r="P20" i="1" s="1"/>
  <c r="F17" i="1"/>
  <c r="Q17" i="1" s="1"/>
  <c r="R17" i="1" s="1"/>
  <c r="F7" i="1"/>
  <c r="Q7" i="1" s="1"/>
  <c r="R7" i="1" s="1"/>
  <c r="F3" i="1"/>
  <c r="Q3" i="1" s="1"/>
  <c r="F10" i="1"/>
  <c r="Q10" i="1" s="1"/>
  <c r="R10" i="1" s="1"/>
  <c r="F22" i="1"/>
  <c r="Q22" i="1" s="1"/>
  <c r="R22" i="1" s="1"/>
  <c r="F6" i="1"/>
  <c r="Q6" i="1" s="1"/>
  <c r="P6" i="1" s="1"/>
  <c r="F18" i="1"/>
  <c r="Q18" i="1" s="1"/>
  <c r="P18" i="1" s="1"/>
  <c r="F4" i="1"/>
  <c r="Q4" i="1" s="1"/>
  <c r="R4" i="1" s="1"/>
  <c r="F13" i="1"/>
  <c r="Q13" i="1" s="1"/>
  <c r="P13" i="1" s="1"/>
  <c r="F24" i="1"/>
  <c r="Q24" i="1" s="1"/>
  <c r="R24" i="1" s="1"/>
  <c r="F15" i="1"/>
  <c r="Q15" i="1" s="1"/>
  <c r="R15" i="1" s="1"/>
  <c r="F23" i="1"/>
  <c r="Q23" i="1" s="1"/>
  <c r="R23" i="1" s="1"/>
  <c r="F5" i="1"/>
  <c r="Q5" i="1" s="1"/>
  <c r="R5" i="1" s="1"/>
  <c r="F31" i="1"/>
  <c r="Q31" i="1" s="1"/>
  <c r="P31" i="1" s="1"/>
  <c r="F29" i="1"/>
  <c r="Q29" i="1" s="1"/>
  <c r="R29" i="1" s="1"/>
  <c r="F34" i="1"/>
  <c r="Q34" i="1" s="1"/>
  <c r="R34" i="1" s="1"/>
  <c r="F8" i="1"/>
  <c r="Q8" i="1" s="1"/>
  <c r="P8" i="1" s="1"/>
  <c r="F36" i="1"/>
  <c r="Q36" i="1" s="1"/>
  <c r="R36" i="1" s="1"/>
  <c r="F25" i="1"/>
  <c r="Q25" i="1" s="1"/>
  <c r="P25" i="1" s="1"/>
  <c r="F30" i="1"/>
  <c r="Q30" i="1" s="1"/>
  <c r="R30" i="1" s="1"/>
  <c r="F32" i="1"/>
  <c r="Q32" i="1" s="1"/>
  <c r="P32" i="1" s="1"/>
  <c r="F26" i="1"/>
  <c r="Q26" i="1" s="1"/>
  <c r="P26" i="1" s="1"/>
  <c r="F27" i="1"/>
  <c r="Q27" i="1" s="1"/>
  <c r="R27" i="1" s="1"/>
  <c r="F35" i="1"/>
  <c r="Q35" i="1" s="1"/>
  <c r="P35" i="1" s="1"/>
  <c r="P19" i="1"/>
  <c r="P16" i="1" l="1"/>
  <c r="R16" i="1"/>
  <c r="R11" i="1"/>
  <c r="P7" i="1"/>
  <c r="P4" i="1"/>
  <c r="R31" i="1"/>
  <c r="R13" i="1"/>
  <c r="R20" i="1"/>
  <c r="P12" i="1"/>
  <c r="P23" i="1"/>
  <c r="P5" i="1"/>
  <c r="P24" i="1"/>
  <c r="P36" i="1"/>
  <c r="P17" i="1"/>
  <c r="R9" i="1"/>
  <c r="R6" i="1"/>
  <c r="R8" i="1"/>
  <c r="R18" i="1"/>
  <c r="P10" i="1"/>
  <c r="P30" i="1"/>
  <c r="R25" i="1"/>
  <c r="R35" i="1"/>
  <c r="R32" i="1"/>
  <c r="R26" i="1"/>
  <c r="P27" i="1"/>
  <c r="F38" i="1"/>
  <c r="Q38" i="1" s="1"/>
  <c r="R38" i="1" s="1"/>
  <c r="R3" i="1"/>
  <c r="P3" i="1"/>
  <c r="J17" i="1"/>
  <c r="M16" i="1"/>
  <c r="N16" i="1" s="1"/>
  <c r="K16" i="1"/>
  <c r="M17" i="1" l="1"/>
  <c r="N17" i="1" s="1"/>
  <c r="K17" i="1"/>
  <c r="J18" i="1"/>
  <c r="J19" i="1" l="1"/>
  <c r="K18" i="1"/>
  <c r="M18" i="1"/>
  <c r="N18" i="1" s="1"/>
  <c r="K19" i="1" l="1"/>
  <c r="M19" i="1"/>
  <c r="N19" i="1" s="1"/>
  <c r="J20" i="1"/>
  <c r="K20" i="1" l="1"/>
  <c r="J3" i="1"/>
  <c r="M20" i="1"/>
  <c r="N20" i="1" s="1"/>
  <c r="K3" i="1" l="1"/>
  <c r="J4" i="1"/>
  <c r="M3" i="1"/>
  <c r="N3" i="1" s="1"/>
  <c r="J5" i="1" l="1"/>
  <c r="K4" i="1"/>
  <c r="M4" i="1"/>
  <c r="N4" i="1" s="1"/>
  <c r="K5" i="1" l="1"/>
  <c r="M5" i="1"/>
  <c r="N5" i="1" s="1"/>
  <c r="J6" i="1"/>
  <c r="J7" i="1" l="1"/>
  <c r="M6" i="1"/>
  <c r="N6" i="1" s="1"/>
  <c r="K6" i="1"/>
  <c r="K7" i="1" l="1"/>
  <c r="J8" i="1"/>
  <c r="M7" i="1"/>
  <c r="N7" i="1" s="1"/>
  <c r="M8" i="1" l="1"/>
  <c r="N8" i="1" s="1"/>
  <c r="J9" i="1"/>
  <c r="K8" i="1"/>
  <c r="M9" i="1" l="1"/>
  <c r="N9" i="1" s="1"/>
  <c r="J10" i="1"/>
  <c r="K9" i="1"/>
  <c r="J11" i="1" l="1"/>
  <c r="M10" i="1"/>
  <c r="N10" i="1" s="1"/>
  <c r="K10" i="1"/>
  <c r="M11" i="1" l="1"/>
  <c r="N11" i="1" s="1"/>
  <c r="K11" i="1"/>
  <c r="J12" i="1"/>
  <c r="K12" i="1" l="1"/>
  <c r="J13" i="1"/>
  <c r="M12" i="1"/>
  <c r="N12" i="1" s="1"/>
  <c r="M13" i="1" l="1"/>
  <c r="N13" i="1" s="1"/>
  <c r="J23" i="1"/>
  <c r="K13" i="1"/>
  <c r="M23" i="1" l="1"/>
  <c r="N23" i="1" s="1"/>
  <c r="K23" i="1"/>
  <c r="J24" i="1"/>
  <c r="K24" i="1" l="1"/>
  <c r="J25" i="1"/>
  <c r="K25" i="1" s="1"/>
  <c r="M24" i="1"/>
  <c r="N24" i="1" s="1"/>
  <c r="J26" i="1" l="1"/>
  <c r="K26" i="1" s="1"/>
  <c r="M25" i="1"/>
  <c r="N25" i="1" s="1"/>
  <c r="M26" i="1" l="1"/>
  <c r="N26" i="1" s="1"/>
  <c r="J27" i="1"/>
  <c r="K27" i="1" s="1"/>
  <c r="E50" i="1" l="1"/>
  <c r="M27" i="1"/>
  <c r="N27" i="1" s="1"/>
  <c r="J30" i="1"/>
  <c r="J31" i="1" l="1"/>
  <c r="M30" i="1"/>
  <c r="N30" i="1" s="1"/>
  <c r="M31" i="1" l="1"/>
  <c r="N31" i="1" s="1"/>
  <c r="J32" i="1"/>
  <c r="M32" i="1" l="1"/>
  <c r="N32" i="1" s="1"/>
  <c r="J35" i="1"/>
  <c r="J36" i="1" l="1"/>
  <c r="M35" i="1"/>
  <c r="N35" i="1" s="1"/>
  <c r="M36" i="1" l="1"/>
  <c r="N36" i="1" s="1"/>
  <c r="V14" i="2"/>
  <c r="V6" i="2"/>
  <c r="V21" i="2"/>
  <c r="V24" i="2"/>
  <c r="V9" i="2"/>
  <c r="V26" i="2"/>
  <c r="V25" i="2"/>
  <c r="V30" i="2"/>
  <c r="V15" i="2"/>
  <c r="V8" i="2"/>
  <c r="V23" i="2"/>
  <c r="V27" i="2"/>
  <c r="V19" i="2"/>
  <c r="V16" i="2"/>
  <c r="V11" i="2"/>
  <c r="V7" i="2"/>
  <c r="V28" i="2"/>
  <c r="V29" i="2"/>
  <c r="V10" i="2"/>
  <c r="V17" i="2"/>
  <c r="V20" i="2"/>
  <c r="V13" i="2"/>
  <c r="V23" i="1"/>
  <c r="V24" i="1" s="1"/>
  <c r="V5" i="2"/>
  <c r="V18" i="2"/>
  <c r="V12" i="2"/>
  <c r="V22" i="2"/>
  <c r="AD28" i="2" l="1"/>
  <c r="AB28" i="2"/>
  <c r="AB7" i="2"/>
  <c r="Y8" i="2"/>
  <c r="X8" i="2"/>
  <c r="AD7" i="2"/>
  <c r="Y9" i="2"/>
  <c r="AB8" i="2"/>
  <c r="AD8" i="2"/>
  <c r="X9" i="2"/>
  <c r="AB24" i="2"/>
  <c r="AD24" i="2"/>
  <c r="AB23" i="2"/>
  <c r="AD23" i="2"/>
  <c r="AD20" i="2"/>
  <c r="X21" i="2"/>
  <c r="Y21" i="2"/>
  <c r="AB20" i="2"/>
  <c r="Y12" i="2"/>
  <c r="X12" i="2"/>
  <c r="AD11" i="2"/>
  <c r="AB11" i="2"/>
  <c r="X16" i="2"/>
  <c r="Y16" i="2"/>
  <c r="AD15" i="2"/>
  <c r="AB15" i="2"/>
  <c r="Y22" i="2"/>
  <c r="AB21" i="2"/>
  <c r="AD21" i="2"/>
  <c r="X22" i="2"/>
  <c r="E48" i="1"/>
  <c r="V26" i="1"/>
  <c r="AB12" i="2"/>
  <c r="X13" i="2"/>
  <c r="AD12" i="2"/>
  <c r="Y13" i="2"/>
  <c r="AD17" i="2"/>
  <c r="AB17" i="2"/>
  <c r="Y18" i="2"/>
  <c r="X18" i="2"/>
  <c r="AD16" i="2"/>
  <c r="Y17" i="2"/>
  <c r="AB16" i="2"/>
  <c r="X17" i="2"/>
  <c r="AB30" i="2"/>
  <c r="AD30" i="2"/>
  <c r="Y7" i="2"/>
  <c r="AB6" i="2"/>
  <c r="X7" i="2"/>
  <c r="AD6" i="2"/>
  <c r="AB9" i="2"/>
  <c r="Y10" i="2"/>
  <c r="AD9" i="2"/>
  <c r="X10" i="2"/>
  <c r="AD22" i="2"/>
  <c r="X23" i="2"/>
  <c r="T23" i="2" s="1"/>
  <c r="AB22" i="2"/>
  <c r="Y23" i="2"/>
  <c r="U23" i="2" s="1"/>
  <c r="AD10" i="2"/>
  <c r="X11" i="2"/>
  <c r="AB10" i="2"/>
  <c r="Y11" i="2"/>
  <c r="X20" i="2"/>
  <c r="Y20" i="2"/>
  <c r="AD19" i="2"/>
  <c r="AB19" i="2"/>
  <c r="AD25" i="2"/>
  <c r="AB25" i="2"/>
  <c r="X15" i="2"/>
  <c r="AD14" i="2"/>
  <c r="Y15" i="2"/>
  <c r="AB14" i="2"/>
  <c r="Y14" i="2"/>
  <c r="AD13" i="2"/>
  <c r="AB13" i="2"/>
  <c r="X14" i="2"/>
  <c r="AB18" i="2"/>
  <c r="Y19" i="2"/>
  <c r="X19" i="2"/>
  <c r="AD18" i="2"/>
  <c r="AB5" i="2"/>
  <c r="AD5" i="2"/>
  <c r="Y6" i="2"/>
  <c r="X6" i="2"/>
  <c r="AD29" i="2"/>
  <c r="AB29" i="2"/>
  <c r="AB27" i="2"/>
  <c r="AD27" i="2"/>
  <c r="AD26" i="2"/>
  <c r="AB26" i="2"/>
  <c r="Y24" i="2" l="1"/>
  <c r="U24" i="2" s="1"/>
  <c r="AE23" i="2"/>
  <c r="AC23" i="2"/>
  <c r="X24" i="2"/>
  <c r="T24" i="2" s="1"/>
  <c r="X25" i="2" l="1"/>
  <c r="T25" i="2" s="1"/>
  <c r="AC24" i="2"/>
  <c r="Y25" i="2"/>
  <c r="U25" i="2" s="1"/>
  <c r="AE24" i="2"/>
  <c r="Y26" i="2" l="1"/>
  <c r="U26" i="2" s="1"/>
  <c r="AE25" i="2"/>
  <c r="X26" i="2"/>
  <c r="T26" i="2" s="1"/>
  <c r="AC25" i="2"/>
  <c r="X27" i="2" l="1"/>
  <c r="T27" i="2" s="1"/>
  <c r="AC26" i="2"/>
  <c r="AE26" i="2"/>
  <c r="Y27" i="2"/>
  <c r="U27" i="2" s="1"/>
  <c r="AE27" i="2" l="1"/>
  <c r="Y28" i="2"/>
  <c r="U28" i="2" s="1"/>
  <c r="X28" i="2"/>
  <c r="T28" i="2" s="1"/>
  <c r="AC27" i="2"/>
  <c r="AC28" i="2" l="1"/>
  <c r="X29" i="2"/>
  <c r="T29" i="2" s="1"/>
  <c r="AE28" i="2"/>
  <c r="Y29" i="2"/>
  <c r="U29" i="2" s="1"/>
  <c r="Y30" i="2" l="1"/>
  <c r="U30" i="2" s="1"/>
  <c r="AE30" i="2" s="1"/>
  <c r="AE29" i="2"/>
  <c r="AC29" i="2"/>
  <c r="X30" i="2"/>
  <c r="T30" i="2" s="1"/>
  <c r="AC30" i="2" s="1"/>
</calcChain>
</file>

<file path=xl/sharedStrings.xml><?xml version="1.0" encoding="utf-8"?>
<sst xmlns="http://schemas.openxmlformats.org/spreadsheetml/2006/main" count="79" uniqueCount="65">
  <si>
    <t>Chapter 2</t>
  </si>
  <si>
    <t>Chapter 1</t>
  </si>
  <si>
    <t>Chapter 3</t>
  </si>
  <si>
    <t>Chapter 5</t>
  </si>
  <si>
    <t>Start</t>
  </si>
  <si>
    <t>Decision Deadline</t>
  </si>
  <si>
    <t>Test</t>
  </si>
  <si>
    <t>Date</t>
  </si>
  <si>
    <t>Days</t>
  </si>
  <si>
    <t>Pages</t>
  </si>
  <si>
    <t>Total</t>
  </si>
  <si>
    <t>Total Days</t>
  </si>
  <si>
    <t>Weeks</t>
  </si>
  <si>
    <t>Complete</t>
  </si>
  <si>
    <t>Plan vs Actual</t>
  </si>
  <si>
    <t>Plan</t>
  </si>
  <si>
    <t>Adjustment</t>
  </si>
  <si>
    <t>Weight</t>
  </si>
  <si>
    <t>Cum. Day</t>
  </si>
  <si>
    <t>Cum. Week</t>
  </si>
  <si>
    <t>Practice</t>
  </si>
  <si>
    <t>Total Study Days</t>
  </si>
  <si>
    <t>Current Progress:</t>
  </si>
  <si>
    <t>Required Progress:</t>
  </si>
  <si>
    <t>Today</t>
  </si>
  <si>
    <t>Decision Cutoff:</t>
  </si>
  <si>
    <t>Fighting:</t>
  </si>
  <si>
    <t>Current Task:</t>
  </si>
  <si>
    <t xml:space="preserve"> </t>
  </si>
  <si>
    <t>Review Days</t>
  </si>
  <si>
    <t>&lt;- Change this</t>
  </si>
  <si>
    <t>Days to</t>
  </si>
  <si>
    <t>Day</t>
  </si>
  <si>
    <t>Unadjusted Progress:</t>
  </si>
  <si>
    <t>Predict</t>
  </si>
  <si>
    <t>Actual</t>
  </si>
  <si>
    <t>Expect</t>
  </si>
  <si>
    <t>Loss Models: From Data to Decisions (4th edition)</t>
  </si>
  <si>
    <t>Introduction to Ratemaking and Loss Reserving for Property and Casualty Insurance (Fourth Edition)</t>
  </si>
  <si>
    <t>STAM-23-18 Topics in Credibility by Dean, C.G.</t>
  </si>
  <si>
    <t>Chapter 4</t>
  </si>
  <si>
    <t>Chapter 6, Sections 6.5, 6.6</t>
  </si>
  <si>
    <t>Chapter 8</t>
  </si>
  <si>
    <t>Chapter 9, Sections 9.1–9.7 (excluding 9.6.1), Sections 9.8.1, 9.8.2</t>
  </si>
  <si>
    <t>Chapter 13, Sections 13.2, 13.3, 13.4</t>
  </si>
  <si>
    <t>Chapter 14, Sections 14.1, 14.2, 14.3, 14.4, 14.6</t>
  </si>
  <si>
    <t>Chapter 15</t>
  </si>
  <si>
    <t>Chapter 16 (excluding 16.4.2 and 16.5.3)</t>
  </si>
  <si>
    <t>STAM-24-18 Supplement to Chapter 3</t>
  </si>
  <si>
    <t>STAM-21-18 Replacement pages for Section 16.5.3</t>
  </si>
  <si>
    <t>STAM-22-18 Foundations of Casualty Actuarial Science (4 Ed)</t>
  </si>
  <si>
    <t>STAM-25-18 Individual Health Insurance (2 Ed)</t>
  </si>
  <si>
    <t>Chapter 8, Section 1 (background only)</t>
  </si>
  <si>
    <t>Sections 2</t>
  </si>
  <si>
    <t>Sections 3</t>
  </si>
  <si>
    <t>Sections 4</t>
  </si>
  <si>
    <t>Sections 5</t>
  </si>
  <si>
    <t>Chapter 2, Sections 2.9</t>
  </si>
  <si>
    <t>Chapter 2, Sections 2.1</t>
  </si>
  <si>
    <t>Predict 2</t>
  </si>
  <si>
    <t>Actual 2</t>
  </si>
  <si>
    <t>Complete 2</t>
  </si>
  <si>
    <t>Next Deadline</t>
  </si>
  <si>
    <t>Time Availiable</t>
  </si>
  <si>
    <t>Target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</si>
</sst>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"/>
    <numFmt numFmtId="165" formatCode="0.000000%"/>
    <numFmt numFmtId="166" formatCode="0.0%"/>
    <numFmt numFmtId="167" formatCode="0.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42">
    <xf numFmtId="0" fontId="0" fillId="0" borderId="0" xfId="0"/>
    <xf numFmtId="14" fontId="0" fillId="0" borderId="0" xfId="0" applyNumberFormat="1"/>
    <xf numFmtId="0" fontId="0" fillId="0" borderId="1" xfId="0" applyBorder="1" applyAlignment="1">
      <alignment horizontal="center"/>
    </xf>
    <xf numFmtId="0" fontId="0" fillId="0" borderId="0" xfId="0" applyBorder="1"/>
    <xf numFmtId="0" fontId="0" fillId="0" borderId="1" xfId="0" applyBorder="1"/>
    <xf numFmtId="0" fontId="0" fillId="0" borderId="0" xfId="0" applyAlignment="1">
      <alignment horizontal="right"/>
    </xf>
    <xf numFmtId="2" fontId="0" fillId="0" borderId="0" xfId="0" applyNumberFormat="1"/>
    <xf numFmtId="164" fontId="0" fillId="0" borderId="0" xfId="0" applyNumberFormat="1"/>
    <xf numFmtId="14" fontId="0" fillId="0" borderId="0" xfId="0" applyNumberFormat="1" applyBorder="1"/>
    <xf numFmtId="1" fontId="0" fillId="0" borderId="0" xfId="0" applyNumberFormat="1"/>
    <xf numFmtId="164" fontId="0" fillId="0" borderId="1" xfId="0" applyNumberFormat="1" applyBorder="1"/>
    <xf numFmtId="2" fontId="0" fillId="0" borderId="1" xfId="0" applyNumberFormat="1" applyBorder="1"/>
    <xf numFmtId="9" fontId="0" fillId="0" borderId="0" xfId="1" applyFont="1" applyBorder="1"/>
    <xf numFmtId="9" fontId="0" fillId="0" borderId="0" xfId="1" applyFont="1"/>
    <xf numFmtId="0" fontId="4" fillId="0" borderId="0" xfId="0" applyFont="1"/>
    <xf numFmtId="0" fontId="4" fillId="0" borderId="0" xfId="0" applyFont="1" applyBorder="1"/>
    <xf numFmtId="0" fontId="3" fillId="0" borderId="0" xfId="0" applyFont="1"/>
    <xf numFmtId="0" fontId="0" fillId="0" borderId="0" xfId="0" applyFont="1"/>
    <xf numFmtId="14" fontId="0" fillId="0" borderId="0" xfId="0" applyNumberFormat="1" applyFont="1"/>
    <xf numFmtId="22" fontId="0" fillId="0" borderId="0" xfId="0" applyNumberFormat="1" applyFont="1"/>
    <xf numFmtId="9" fontId="0" fillId="0" borderId="1" xfId="1" applyFont="1" applyBorder="1"/>
    <xf numFmtId="14" fontId="0" fillId="0" borderId="1" xfId="0" applyNumberFormat="1" applyBorder="1"/>
    <xf numFmtId="166" fontId="1" fillId="0" borderId="0" xfId="1" applyNumberFormat="1" applyFont="1" applyBorder="1" applyAlignment="1">
      <alignment horizontal="center"/>
    </xf>
    <xf numFmtId="164" fontId="4" fillId="0" borderId="0" xfId="0" applyNumberFormat="1" applyFont="1"/>
    <xf numFmtId="164" fontId="4" fillId="0" borderId="1" xfId="0" applyNumberFormat="1" applyFont="1" applyBorder="1"/>
    <xf numFmtId="164" fontId="2" fillId="0" borderId="0" xfId="1" applyNumberFormat="1" applyFont="1"/>
    <xf numFmtId="164" fontId="0" fillId="0" borderId="0" xfId="1" applyNumberFormat="1" applyFont="1"/>
    <xf numFmtId="164" fontId="0" fillId="0" borderId="1" xfId="1" applyNumberFormat="1" applyFont="1" applyBorder="1"/>
    <xf numFmtId="1" fontId="1" fillId="0" borderId="0" xfId="1" applyNumberFormat="1" applyFont="1"/>
    <xf numFmtId="1" fontId="0" fillId="0" borderId="0" xfId="0" applyNumberFormat="1" applyFont="1"/>
    <xf numFmtId="14" fontId="0" fillId="0" borderId="0" xfId="2" applyNumberFormat="1" applyFont="1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164" fontId="0" fillId="0" borderId="0" xfId="0" applyNumberFormat="1" applyFont="1"/>
    <xf numFmtId="10" fontId="0" fillId="0" borderId="0" xfId="1" applyNumberFormat="1" applyFont="1"/>
    <xf numFmtId="167" fontId="0" fillId="0" borderId="0" xfId="0" applyNumberFormat="1"/>
    <xf numFmtId="165" fontId="1" fillId="0" borderId="2" xfId="1" applyNumberFormat="1" applyFont="1" applyBorder="1" applyAlignment="1">
      <alignment horizontal="center"/>
    </xf>
    <xf numFmtId="165" fontId="1" fillId="0" borderId="3" xfId="1" applyNumberFormat="1" applyFont="1" applyBorder="1" applyAlignment="1">
      <alignment horizontal="center"/>
    </xf>
    <xf numFmtId="165" fontId="1" fillId="0" borderId="4" xfId="1" applyNumberFormat="1" applyFont="1" applyBorder="1" applyAlignment="1">
      <alignment horizontal="center"/>
    </xf>
    <xf numFmtId="166" fontId="1" fillId="0" borderId="2" xfId="1" applyNumberFormat="1" applyFont="1" applyBorder="1" applyAlignment="1">
      <alignment horizontal="center"/>
    </xf>
    <xf numFmtId="166" fontId="1" fillId="0" borderId="3" xfId="1" applyNumberFormat="1" applyFont="1" applyBorder="1" applyAlignment="1">
      <alignment horizontal="center"/>
    </xf>
    <xf numFmtId="166" fontId="1" fillId="0" borderId="4" xfId="1" applyNumberFormat="1" applyFont="1" applyBorder="1" applyAlignment="1">
      <alignment horizontal="center"/>
    </xf>
  </cellXfs>
  <cellStyles count="3">
    <cellStyle name="Comma" xfId="2" builtinId="3"/>
    <cellStyle name="Normal" xfId="0" builtinId="0"/>
    <cellStyle name="Percent" xfId="1" builtinId="5"/>
  </cellStyles>
  <dxfs count="27">
    <dxf>
      <font>
        <color theme="5" tint="-0.24994659260841701"/>
      </font>
      <fill>
        <patternFill>
          <bgColor theme="5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24994659260841701"/>
      </font>
      <fill>
        <patternFill>
          <bgColor theme="5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24994659260841701"/>
      </font>
      <fill>
        <patternFill>
          <bgColor theme="5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24994659260841701"/>
      </font>
      <fill>
        <patternFill>
          <bgColor theme="5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24994659260841701"/>
      </font>
      <fill>
        <patternFill>
          <bgColor theme="5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24994659260841701"/>
      </font>
      <fill>
        <patternFill>
          <bgColor theme="5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24994659260841701"/>
      </font>
      <fill>
        <patternFill>
          <bgColor theme="5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24994659260841701"/>
      </font>
      <fill>
        <patternFill>
          <bgColor theme="5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24994659260841701"/>
      </font>
      <fill>
        <patternFill>
          <bgColor theme="5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389166682631824E-2"/>
          <c:y val="2.3965141612200435E-2"/>
          <c:w val="0.89502155296281394"/>
          <c:h val="0.92549397011648049"/>
        </c:manualLayout>
      </c:layout>
      <c:scatterChart>
        <c:scatterStyle val="lineMarker"/>
        <c:varyColors val="0"/>
        <c:ser>
          <c:idx val="2"/>
          <c:order val="0"/>
          <c:tx>
            <c:strRef>
              <c:f>Sheet2!$AE$3</c:f>
              <c:strCache>
                <c:ptCount val="1"/>
                <c:pt idx="0">
                  <c:v>Actual 2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Sheet2!$AB$4:$AB$30</c:f>
              <c:numCache>
                <c:formatCode>0.00%</c:formatCode>
                <c:ptCount val="27"/>
                <c:pt idx="0">
                  <c:v>0</c:v>
                </c:pt>
                <c:pt idx="1">
                  <c:v>4.5375218150120626E-2</c:v>
                </c:pt>
                <c:pt idx="2">
                  <c:v>0.1326352530541467</c:v>
                </c:pt>
                <c:pt idx="3">
                  <c:v>0.14310645724262305</c:v>
                </c:pt>
                <c:pt idx="4">
                  <c:v>0.24781849912747125</c:v>
                </c:pt>
                <c:pt idx="5">
                  <c:v>0.30366492146606827</c:v>
                </c:pt>
                <c:pt idx="6">
                  <c:v>0.35602094240845006</c:v>
                </c:pt>
                <c:pt idx="7">
                  <c:v>0.37347294938927217</c:v>
                </c:pt>
                <c:pt idx="8">
                  <c:v>0.40837696335091644</c:v>
                </c:pt>
                <c:pt idx="9">
                  <c:v>0.42059336823750043</c:v>
                </c:pt>
                <c:pt idx="10">
                  <c:v>0.45549738219914465</c:v>
                </c:pt>
                <c:pt idx="11">
                  <c:v>0.52530541012234866</c:v>
                </c:pt>
                <c:pt idx="12">
                  <c:v>0.56544502617823111</c:v>
                </c:pt>
                <c:pt idx="13">
                  <c:v>0.59685863874366019</c:v>
                </c:pt>
                <c:pt idx="14">
                  <c:v>0.62827225130908926</c:v>
                </c:pt>
                <c:pt idx="15">
                  <c:v>0.67364746945920984</c:v>
                </c:pt>
                <c:pt idx="16">
                  <c:v>0.69808027923229321</c:v>
                </c:pt>
                <c:pt idx="17">
                  <c:v>0.70680628272266188</c:v>
                </c:pt>
                <c:pt idx="18">
                  <c:v>0.76090750436315135</c:v>
                </c:pt>
                <c:pt idx="19">
                  <c:v>0.8307155322863552</c:v>
                </c:pt>
                <c:pt idx="20">
                  <c:v>0.86212914485178438</c:v>
                </c:pt>
                <c:pt idx="21">
                  <c:v>0.89179755671919037</c:v>
                </c:pt>
                <c:pt idx="22">
                  <c:v>0.91972076788848889</c:v>
                </c:pt>
                <c:pt idx="23">
                  <c:v>0.94589877835967984</c:v>
                </c:pt>
                <c:pt idx="24">
                  <c:v>0.96160558464239432</c:v>
                </c:pt>
                <c:pt idx="25">
                  <c:v>0.99301919720782339</c:v>
                </c:pt>
                <c:pt idx="26">
                  <c:v>1.0000000000001692</c:v>
                </c:pt>
              </c:numCache>
            </c:numRef>
          </c:xVal>
          <c:yVal>
            <c:numRef>
              <c:f>Sheet2!$AE$4:$AE$30</c:f>
              <c:numCache>
                <c:formatCode>m/d/yyyy</c:formatCode>
                <c:ptCount val="27"/>
                <c:pt idx="0">
                  <c:v>43766</c:v>
                </c:pt>
                <c:pt idx="1">
                  <c:v>43768.051267013892</c:v>
                </c:pt>
                <c:pt idx="2">
                  <c:v>43779.069868865743</c:v>
                </c:pt>
                <c:pt idx="3">
                  <c:v>43779.086584722223</c:v>
                </c:pt>
                <c:pt idx="4">
                  <c:v>43786.122597685186</c:v>
                </c:pt>
                <c:pt idx="5">
                  <c:v>43790.022786111113</c:v>
                </c:pt>
                <c:pt idx="6">
                  <c:v>43794.017441203701</c:v>
                </c:pt>
                <c:pt idx="7">
                  <c:v>43800.94208148148</c:v>
                </c:pt>
                <c:pt idx="8">
                  <c:v>43802.044970601855</c:v>
                </c:pt>
                <c:pt idx="9">
                  <c:v>43803.014129629628</c:v>
                </c:pt>
                <c:pt idx="10">
                  <c:v>43808.018758680555</c:v>
                </c:pt>
                <c:pt idx="11">
                  <c:v>43816.98521215278</c:v>
                </c:pt>
                <c:pt idx="12">
                  <c:v>43820.027908796299</c:v>
                </c:pt>
                <c:pt idx="13">
                  <c:v>43822.034512615741</c:v>
                </c:pt>
                <c:pt idx="14">
                  <c:v>43824.008041666668</c:v>
                </c:pt>
                <c:pt idx="15">
                  <c:v>43825.785345717595</c:v>
                </c:pt>
                <c:pt idx="16">
                  <c:v>43827.756785300924</c:v>
                </c:pt>
                <c:pt idx="17">
                  <c:v>43828.002952199073</c:v>
                </c:pt>
                <c:pt idx="18">
                  <c:v>43829.979939814817</c:v>
                </c:pt>
                <c:pt idx="19">
                  <c:v>43834.996551273151</c:v>
                </c:pt>
                <c:pt idx="20">
                  <c:v>43840.029855787034</c:v>
                </c:pt>
                <c:pt idx="21">
                  <c:v>43845.085082407408</c:v>
                </c:pt>
                <c:pt idx="22">
                  <c:v>43849.030152546293</c:v>
                </c:pt>
                <c:pt idx="23">
                  <c:v>43849.030152546293</c:v>
                </c:pt>
                <c:pt idx="24">
                  <c:v>43849.030152546293</c:v>
                </c:pt>
                <c:pt idx="25">
                  <c:v>43849.148571874997</c:v>
                </c:pt>
                <c:pt idx="26">
                  <c:v>43849.174887281377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9E61-41F0-BA31-829609D8955B}"/>
            </c:ext>
          </c:extLst>
        </c:ser>
        <c:ser>
          <c:idx val="1"/>
          <c:order val="1"/>
          <c:tx>
            <c:strRef>
              <c:f>Sheet2!$AD$3</c:f>
              <c:strCache>
                <c:ptCount val="1"/>
                <c:pt idx="0">
                  <c:v>Expect</c:v>
                </c:pt>
              </c:strCache>
            </c:strRef>
          </c:tx>
          <c:spPr>
            <a:ln w="25400" cap="rnd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75000"/>
                  <a:alpha val="6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Sheet2!$AB$4:$AB$30</c:f>
              <c:numCache>
                <c:formatCode>0.00%</c:formatCode>
                <c:ptCount val="27"/>
                <c:pt idx="0">
                  <c:v>0</c:v>
                </c:pt>
                <c:pt idx="1">
                  <c:v>4.5375218150120626E-2</c:v>
                </c:pt>
                <c:pt idx="2">
                  <c:v>0.1326352530541467</c:v>
                </c:pt>
                <c:pt idx="3">
                  <c:v>0.14310645724262305</c:v>
                </c:pt>
                <c:pt idx="4">
                  <c:v>0.24781849912747125</c:v>
                </c:pt>
                <c:pt idx="5">
                  <c:v>0.30366492146606827</c:v>
                </c:pt>
                <c:pt idx="6">
                  <c:v>0.35602094240845006</c:v>
                </c:pt>
                <c:pt idx="7">
                  <c:v>0.37347294938927217</c:v>
                </c:pt>
                <c:pt idx="8">
                  <c:v>0.40837696335091644</c:v>
                </c:pt>
                <c:pt idx="9">
                  <c:v>0.42059336823750043</c:v>
                </c:pt>
                <c:pt idx="10">
                  <c:v>0.45549738219914465</c:v>
                </c:pt>
                <c:pt idx="11">
                  <c:v>0.52530541012234866</c:v>
                </c:pt>
                <c:pt idx="12">
                  <c:v>0.56544502617823111</c:v>
                </c:pt>
                <c:pt idx="13">
                  <c:v>0.59685863874366019</c:v>
                </c:pt>
                <c:pt idx="14">
                  <c:v>0.62827225130908926</c:v>
                </c:pt>
                <c:pt idx="15">
                  <c:v>0.67364746945920984</c:v>
                </c:pt>
                <c:pt idx="16">
                  <c:v>0.69808027923229321</c:v>
                </c:pt>
                <c:pt idx="17">
                  <c:v>0.70680628272266188</c:v>
                </c:pt>
                <c:pt idx="18">
                  <c:v>0.76090750436315135</c:v>
                </c:pt>
                <c:pt idx="19">
                  <c:v>0.8307155322863552</c:v>
                </c:pt>
                <c:pt idx="20">
                  <c:v>0.86212914485178438</c:v>
                </c:pt>
                <c:pt idx="21">
                  <c:v>0.89179755671919037</c:v>
                </c:pt>
                <c:pt idx="22">
                  <c:v>0.91972076788848889</c:v>
                </c:pt>
                <c:pt idx="23">
                  <c:v>0.94589877835967984</c:v>
                </c:pt>
                <c:pt idx="24">
                  <c:v>0.96160558464239432</c:v>
                </c:pt>
                <c:pt idx="25">
                  <c:v>0.99301919720782339</c:v>
                </c:pt>
                <c:pt idx="26">
                  <c:v>1.0000000000001692</c:v>
                </c:pt>
              </c:numCache>
            </c:numRef>
          </c:xVal>
          <c:yVal>
            <c:numRef>
              <c:f>Sheet2!$AD$4:$AD$30</c:f>
              <c:numCache>
                <c:formatCode>m/d/yyyy</c:formatCode>
                <c:ptCount val="27"/>
                <c:pt idx="0">
                  <c:v>43766</c:v>
                </c:pt>
                <c:pt idx="1">
                  <c:v>43769.90226876091</c:v>
                </c:pt>
                <c:pt idx="2">
                  <c:v>43777.406631762657</c:v>
                </c:pt>
                <c:pt idx="3">
                  <c:v>43778.307155322866</c:v>
                </c:pt>
                <c:pt idx="4">
                  <c:v>43787.312390924963</c:v>
                </c:pt>
                <c:pt idx="5">
                  <c:v>43792.115183246082</c:v>
                </c:pt>
                <c:pt idx="6">
                  <c:v>43796.617801047127</c:v>
                </c:pt>
                <c:pt idx="7">
                  <c:v>43798.118673647477</c:v>
                </c:pt>
                <c:pt idx="8">
                  <c:v>43801.120418848179</c:v>
                </c:pt>
                <c:pt idx="9">
                  <c:v>43802.171029668425</c:v>
                </c:pt>
                <c:pt idx="10">
                  <c:v>43805.172774869126</c:v>
                </c:pt>
                <c:pt idx="11">
                  <c:v>43811.176265270522</c:v>
                </c:pt>
                <c:pt idx="12">
                  <c:v>43814.628272251328</c:v>
                </c:pt>
                <c:pt idx="13">
                  <c:v>43817.329842931955</c:v>
                </c:pt>
                <c:pt idx="14">
                  <c:v>43820.031413612582</c:v>
                </c:pt>
                <c:pt idx="15">
                  <c:v>43823.933682373492</c:v>
                </c:pt>
                <c:pt idx="16">
                  <c:v>43826.034904013977</c:v>
                </c:pt>
                <c:pt idx="17">
                  <c:v>43826.785340314149</c:v>
                </c:pt>
                <c:pt idx="18">
                  <c:v>43831.438045375231</c:v>
                </c:pt>
                <c:pt idx="19">
                  <c:v>43837.441535776627</c:v>
                </c:pt>
                <c:pt idx="20">
                  <c:v>43840.143106457253</c:v>
                </c:pt>
                <c:pt idx="21">
                  <c:v>43842.69458987785</c:v>
                </c:pt>
                <c:pt idx="22">
                  <c:v>43845.09598603841</c:v>
                </c:pt>
                <c:pt idx="23">
                  <c:v>43847.347294938932</c:v>
                </c:pt>
                <c:pt idx="24">
                  <c:v>43848.698080279246</c:v>
                </c:pt>
                <c:pt idx="25">
                  <c:v>43851.399650959873</c:v>
                </c:pt>
                <c:pt idx="26">
                  <c:v>43852.000000000015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2D7-4836-8DDE-F0CE495B98B9}"/>
            </c:ext>
          </c:extLst>
        </c:ser>
        <c:ser>
          <c:idx val="0"/>
          <c:order val="2"/>
          <c:tx>
            <c:strRef>
              <c:f>Sheet2!$AC$3</c:f>
              <c:strCache>
                <c:ptCount val="1"/>
                <c:pt idx="0">
                  <c:v>Actual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8"/>
            <c:spPr>
              <a:solidFill>
                <a:schemeClr val="accent2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Sheet2!$AB$4:$AB$30</c:f>
              <c:numCache>
                <c:formatCode>0.00%</c:formatCode>
                <c:ptCount val="27"/>
                <c:pt idx="0">
                  <c:v>0</c:v>
                </c:pt>
                <c:pt idx="1">
                  <c:v>4.5375218150120626E-2</c:v>
                </c:pt>
                <c:pt idx="2">
                  <c:v>0.1326352530541467</c:v>
                </c:pt>
                <c:pt idx="3">
                  <c:v>0.14310645724262305</c:v>
                </c:pt>
                <c:pt idx="4">
                  <c:v>0.24781849912747125</c:v>
                </c:pt>
                <c:pt idx="5">
                  <c:v>0.30366492146606827</c:v>
                </c:pt>
                <c:pt idx="6">
                  <c:v>0.35602094240845006</c:v>
                </c:pt>
                <c:pt idx="7">
                  <c:v>0.37347294938927217</c:v>
                </c:pt>
                <c:pt idx="8">
                  <c:v>0.40837696335091644</c:v>
                </c:pt>
                <c:pt idx="9">
                  <c:v>0.42059336823750043</c:v>
                </c:pt>
                <c:pt idx="10">
                  <c:v>0.45549738219914465</c:v>
                </c:pt>
                <c:pt idx="11">
                  <c:v>0.52530541012234866</c:v>
                </c:pt>
                <c:pt idx="12">
                  <c:v>0.56544502617823111</c:v>
                </c:pt>
                <c:pt idx="13">
                  <c:v>0.59685863874366019</c:v>
                </c:pt>
                <c:pt idx="14">
                  <c:v>0.62827225130908926</c:v>
                </c:pt>
                <c:pt idx="15">
                  <c:v>0.67364746945920984</c:v>
                </c:pt>
                <c:pt idx="16">
                  <c:v>0.69808027923229321</c:v>
                </c:pt>
                <c:pt idx="17">
                  <c:v>0.70680628272266188</c:v>
                </c:pt>
                <c:pt idx="18">
                  <c:v>0.76090750436315135</c:v>
                </c:pt>
                <c:pt idx="19">
                  <c:v>0.8307155322863552</c:v>
                </c:pt>
                <c:pt idx="20">
                  <c:v>0.86212914485178438</c:v>
                </c:pt>
                <c:pt idx="21">
                  <c:v>0.89179755671919037</c:v>
                </c:pt>
                <c:pt idx="22">
                  <c:v>0.91972076788848889</c:v>
                </c:pt>
                <c:pt idx="23">
                  <c:v>0.94589877835967984</c:v>
                </c:pt>
                <c:pt idx="24">
                  <c:v>0.96160558464239432</c:v>
                </c:pt>
                <c:pt idx="25">
                  <c:v>0.99301919720782339</c:v>
                </c:pt>
                <c:pt idx="26">
                  <c:v>1.0000000000001692</c:v>
                </c:pt>
              </c:numCache>
            </c:numRef>
          </c:xVal>
          <c:yVal>
            <c:numRef>
              <c:f>Sheet2!$AC$4:$AC$30</c:f>
              <c:numCache>
                <c:formatCode>m/d/yyyy</c:formatCode>
                <c:ptCount val="27"/>
                <c:pt idx="0">
                  <c:v>43766</c:v>
                </c:pt>
                <c:pt idx="1">
                  <c:v>43768.051267013892</c:v>
                </c:pt>
                <c:pt idx="2">
                  <c:v>43779.069868865743</c:v>
                </c:pt>
                <c:pt idx="3">
                  <c:v>43779.086584722223</c:v>
                </c:pt>
                <c:pt idx="4">
                  <c:v>43786.122597685186</c:v>
                </c:pt>
                <c:pt idx="5">
                  <c:v>43790.022786111113</c:v>
                </c:pt>
                <c:pt idx="6">
                  <c:v>43794.017441203701</c:v>
                </c:pt>
                <c:pt idx="7">
                  <c:v>43800.94208148148</c:v>
                </c:pt>
                <c:pt idx="8">
                  <c:v>43802.044970601855</c:v>
                </c:pt>
                <c:pt idx="9">
                  <c:v>43803.014129629628</c:v>
                </c:pt>
                <c:pt idx="10">
                  <c:v>43808.018758680555</c:v>
                </c:pt>
                <c:pt idx="11">
                  <c:v>43816.98521215278</c:v>
                </c:pt>
                <c:pt idx="12">
                  <c:v>43820.027908796299</c:v>
                </c:pt>
                <c:pt idx="13">
                  <c:v>43822.034512615741</c:v>
                </c:pt>
                <c:pt idx="14">
                  <c:v>43824.008041666668</c:v>
                </c:pt>
                <c:pt idx="15">
                  <c:v>43825.785345717595</c:v>
                </c:pt>
                <c:pt idx="16">
                  <c:v>43827.756785300924</c:v>
                </c:pt>
                <c:pt idx="17">
                  <c:v>43828.002952199073</c:v>
                </c:pt>
                <c:pt idx="18">
                  <c:v>43829.979939814817</c:v>
                </c:pt>
                <c:pt idx="19">
                  <c:v>43834.996551273151</c:v>
                </c:pt>
                <c:pt idx="20">
                  <c:v>43840.029855787034</c:v>
                </c:pt>
                <c:pt idx="21">
                  <c:v>43845.085082407408</c:v>
                </c:pt>
                <c:pt idx="22">
                  <c:v>43849.030152546293</c:v>
                </c:pt>
                <c:pt idx="23">
                  <c:v>43849.030152546293</c:v>
                </c:pt>
                <c:pt idx="24">
                  <c:v>43849.030152546293</c:v>
                </c:pt>
                <c:pt idx="25">
                  <c:v>43849.148571874997</c:v>
                </c:pt>
                <c:pt idx="26">
                  <c:v>43849.733096106109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D7-4836-8DDE-F0CE495B98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9163487"/>
        <c:axId val="1176782207"/>
      </c:scatterChart>
      <c:valAx>
        <c:axId val="669163487"/>
        <c:scaling>
          <c:orientation val="minMax"/>
          <c:max val="1"/>
        </c:scaling>
        <c:delete val="0"/>
        <c:axPos val="b"/>
        <c:numFmt formatCode="0.0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782207"/>
        <c:crosses val="autoZero"/>
        <c:crossBetween val="midCat"/>
      </c:valAx>
      <c:valAx>
        <c:axId val="1176782207"/>
        <c:scaling>
          <c:orientation val="minMax"/>
          <c:max val="43868"/>
          <c:min val="4376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163487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209550</xdr:colOff>
      <xdr:row>1</xdr:row>
      <xdr:rowOff>133350</xdr:rowOff>
    </xdr:from>
    <xdr:to>
      <xdr:col>14</xdr:col>
      <xdr:colOff>114300</xdr:colOff>
      <xdr:row>33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8D64AE2-AC04-4FD6-A44E-85F3E60B04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40026-A983-4F64-93DB-F973DA48C5AA}">
  <sheetPr codeName="Sheet1"/>
  <dimension ref="A1:AD52"/>
  <sheetViews>
    <sheetView tabSelected="1" topLeftCell="A19" zoomScaleNormal="100" workbookViewId="0">
      <selection activeCell="E43" sqref="E43"/>
    </sheetView>
  </sheetViews>
  <sheetFormatPr defaultRowHeight="15" x14ac:dyDescent="0.25"/>
  <cols>
    <col min="1" max="1" width="4.140625" style="14" customWidth="1"/>
    <col min="3" max="3" width="62.85546875" customWidth="1"/>
    <col min="4" max="4" width="4.5703125" customWidth="1"/>
    <col min="6" max="6" width="8.42578125" style="13" bestFit="1" customWidth="1"/>
    <col min="7" max="7" width="11.42578125" style="13" customWidth="1"/>
    <col min="8" max="8" width="3.42578125" customWidth="1"/>
    <col min="9" max="10" width="10.7109375" bestFit="1" customWidth="1"/>
    <col min="11" max="11" width="13.28515625" bestFit="1" customWidth="1"/>
    <col min="12" max="12" width="9.140625" customWidth="1"/>
    <col min="15" max="16" width="3.42578125" customWidth="1"/>
    <col min="21" max="21" width="17.28515625" bestFit="1" customWidth="1"/>
    <col min="22" max="22" width="13.42578125" customWidth="1"/>
  </cols>
  <sheetData>
    <row r="1" spans="1:30" x14ac:dyDescent="0.25">
      <c r="A1" s="14" t="s">
        <v>28</v>
      </c>
      <c r="E1" s="4" t="s">
        <v>9</v>
      </c>
      <c r="F1" s="20" t="s">
        <v>17</v>
      </c>
      <c r="G1" s="20" t="s">
        <v>16</v>
      </c>
      <c r="H1" s="4"/>
      <c r="I1" s="4" t="s">
        <v>13</v>
      </c>
      <c r="J1" s="4" t="s">
        <v>15</v>
      </c>
      <c r="K1" s="4" t="s">
        <v>14</v>
      </c>
      <c r="L1" s="4"/>
      <c r="M1" s="4" t="s">
        <v>18</v>
      </c>
      <c r="N1" s="4" t="s">
        <v>19</v>
      </c>
      <c r="O1" s="4"/>
      <c r="P1" s="4"/>
      <c r="Q1" s="4" t="s">
        <v>8</v>
      </c>
      <c r="R1" s="4" t="s">
        <v>12</v>
      </c>
      <c r="V1" s="2" t="s">
        <v>7</v>
      </c>
      <c r="W1" s="2" t="s">
        <v>8</v>
      </c>
    </row>
    <row r="2" spans="1:30" x14ac:dyDescent="0.25">
      <c r="A2" s="14">
        <f>SUM(A3:A13)</f>
        <v>226</v>
      </c>
      <c r="C2" s="4" t="s">
        <v>37</v>
      </c>
      <c r="D2" s="4"/>
      <c r="E2" s="4">
        <f>SUM(E3:E13)</f>
        <v>226</v>
      </c>
      <c r="F2" s="20">
        <f t="shared" ref="F2:F13" si="0">A2/$A$38</f>
        <v>0.39441535776614312</v>
      </c>
      <c r="G2" s="20"/>
      <c r="H2" s="4"/>
      <c r="I2" s="4"/>
      <c r="J2" s="21"/>
      <c r="K2" s="4"/>
      <c r="L2" s="4"/>
      <c r="M2" s="4"/>
      <c r="N2" s="4"/>
      <c r="O2" s="4"/>
      <c r="P2" s="4"/>
      <c r="Q2" s="10">
        <f t="shared" ref="Q2:Q13" si="1">F2*$V$7</f>
        <v>33.919720767888307</v>
      </c>
      <c r="R2" s="11">
        <f>Q2/7</f>
        <v>4.8456743954126154</v>
      </c>
      <c r="U2" t="s">
        <v>4</v>
      </c>
      <c r="V2" s="1">
        <v>43766</v>
      </c>
      <c r="W2">
        <f>V2-$V$2</f>
        <v>0</v>
      </c>
    </row>
    <row r="3" spans="1:30" x14ac:dyDescent="0.25">
      <c r="A3" s="14">
        <f t="shared" ref="A3:A36" si="2">E3*(1+G3)</f>
        <v>30</v>
      </c>
      <c r="C3" t="s">
        <v>2</v>
      </c>
      <c r="D3" s="23">
        <f>E3</f>
        <v>30</v>
      </c>
      <c r="E3">
        <f>49-19</f>
        <v>30</v>
      </c>
      <c r="F3" s="12">
        <f t="shared" si="0"/>
        <v>5.2356020942408377E-2</v>
      </c>
      <c r="I3" s="8">
        <v>43794.017441203701</v>
      </c>
      <c r="J3" s="8">
        <f>J20+Q3</f>
        <v>43796.617801047127</v>
      </c>
      <c r="K3" s="25">
        <f t="shared" ref="K3:K9" si="3">IF(COUNT(I3)=1,J3-I3,"Not Done")</f>
        <v>2.6003598434253945</v>
      </c>
      <c r="M3" s="7">
        <f t="shared" ref="M3:M13" si="4">J3-$V$2</f>
        <v>30.617801047126704</v>
      </c>
      <c r="N3" s="7">
        <f>M3/7</f>
        <v>4.3739715781609574</v>
      </c>
      <c r="O3" s="7"/>
      <c r="P3" s="23">
        <f>Q3</f>
        <v>4.5026178010471201</v>
      </c>
      <c r="Q3" s="7">
        <f t="shared" si="1"/>
        <v>4.5026178010471201</v>
      </c>
      <c r="R3" s="6">
        <f t="shared" ref="R3:R38" si="5">Q3/7</f>
        <v>0.6432311144353029</v>
      </c>
      <c r="U3" t="s">
        <v>5</v>
      </c>
      <c r="V3" s="1">
        <v>43837</v>
      </c>
      <c r="W3">
        <f>V3-$V$2</f>
        <v>71</v>
      </c>
      <c r="Y3" s="7"/>
      <c r="Z3" s="7"/>
      <c r="AD3" s="13">
        <v>5.5142568655714763E-2</v>
      </c>
    </row>
    <row r="4" spans="1:30" x14ac:dyDescent="0.25">
      <c r="A4" s="14">
        <f t="shared" si="2"/>
        <v>10</v>
      </c>
      <c r="C4" t="s">
        <v>40</v>
      </c>
      <c r="D4" s="23">
        <f t="shared" ref="D4:D13" si="6">E4</f>
        <v>10</v>
      </c>
      <c r="E4">
        <f>59-49</f>
        <v>10</v>
      </c>
      <c r="F4" s="12">
        <f t="shared" si="0"/>
        <v>1.7452006980802792E-2</v>
      </c>
      <c r="I4" s="8">
        <v>43800.94208148148</v>
      </c>
      <c r="J4" s="8">
        <f t="shared" ref="J4:J13" si="7">J3+Q4</f>
        <v>43798.118673647477</v>
      </c>
      <c r="K4" s="25">
        <f t="shared" si="3"/>
        <v>-2.8234078340028645</v>
      </c>
      <c r="M4" s="7">
        <f t="shared" si="4"/>
        <v>32.118673647477408</v>
      </c>
      <c r="N4" s="7">
        <f t="shared" ref="N4:N35" si="8">M4/7</f>
        <v>4.5883819496396301</v>
      </c>
      <c r="O4" s="7"/>
      <c r="P4" s="23">
        <f t="shared" ref="P4:P35" si="9">Q4</f>
        <v>1.50087260034904</v>
      </c>
      <c r="Q4" s="7">
        <f t="shared" si="1"/>
        <v>1.50087260034904</v>
      </c>
      <c r="R4" s="6">
        <f t="shared" si="5"/>
        <v>0.21441037147843428</v>
      </c>
      <c r="U4" t="s">
        <v>20</v>
      </c>
      <c r="V4" s="1">
        <f>V2+W4</f>
        <v>43852</v>
      </c>
      <c r="W4">
        <f>V7</f>
        <v>86</v>
      </c>
      <c r="Y4" s="7"/>
      <c r="Z4" s="7"/>
      <c r="AD4" s="12">
        <v>3.2443533461798939</v>
      </c>
    </row>
    <row r="5" spans="1:30" x14ac:dyDescent="0.25">
      <c r="A5" s="14">
        <f t="shared" si="2"/>
        <v>20</v>
      </c>
      <c r="C5" t="s">
        <v>3</v>
      </c>
      <c r="D5" s="23">
        <f t="shared" si="6"/>
        <v>20</v>
      </c>
      <c r="E5">
        <f>79-59</f>
        <v>20</v>
      </c>
      <c r="F5" s="12">
        <f t="shared" si="0"/>
        <v>3.4904013961605584E-2</v>
      </c>
      <c r="I5" s="18">
        <v>43802.044970601855</v>
      </c>
      <c r="J5" s="8">
        <f t="shared" si="7"/>
        <v>43801.120418848179</v>
      </c>
      <c r="K5" s="25">
        <f t="shared" si="3"/>
        <v>-0.92455175367649645</v>
      </c>
      <c r="M5" s="7">
        <f t="shared" si="4"/>
        <v>35.120418848178815</v>
      </c>
      <c r="N5" s="7">
        <f t="shared" si="8"/>
        <v>5.0172026925969737</v>
      </c>
      <c r="O5" s="7"/>
      <c r="P5" s="23">
        <f t="shared" si="9"/>
        <v>3.00174520069808</v>
      </c>
      <c r="Q5" s="7">
        <f t="shared" si="1"/>
        <v>3.00174520069808</v>
      </c>
      <c r="R5" s="6">
        <f t="shared" si="5"/>
        <v>0.42882074295686856</v>
      </c>
      <c r="U5" t="s">
        <v>6</v>
      </c>
      <c r="V5" s="1">
        <v>43872</v>
      </c>
      <c r="W5">
        <f>V5-$V$2</f>
        <v>106</v>
      </c>
      <c r="Y5" s="7"/>
      <c r="Z5" s="7"/>
      <c r="AD5" s="12">
        <v>-0.47216700117921384</v>
      </c>
    </row>
    <row r="6" spans="1:30" x14ac:dyDescent="0.25">
      <c r="A6" s="14">
        <f t="shared" si="2"/>
        <v>7</v>
      </c>
      <c r="C6" t="s">
        <v>41</v>
      </c>
      <c r="D6" s="23">
        <f t="shared" si="6"/>
        <v>7</v>
      </c>
      <c r="E6">
        <f>86-79</f>
        <v>7</v>
      </c>
      <c r="F6" s="12">
        <f t="shared" si="0"/>
        <v>1.2216404886561954E-2</v>
      </c>
      <c r="I6" s="8">
        <v>43803.014129629628</v>
      </c>
      <c r="J6" s="8">
        <f t="shared" si="7"/>
        <v>43802.171029668425</v>
      </c>
      <c r="K6" s="25">
        <f t="shared" si="3"/>
        <v>-0.84309996120282449</v>
      </c>
      <c r="M6" s="7">
        <f t="shared" si="4"/>
        <v>36.171029668425035</v>
      </c>
      <c r="N6" s="7">
        <f t="shared" si="8"/>
        <v>5.1672899526321476</v>
      </c>
      <c r="O6" s="7"/>
      <c r="P6" s="23">
        <f t="shared" si="9"/>
        <v>1.0506108202443281</v>
      </c>
      <c r="Q6" s="7">
        <f t="shared" si="1"/>
        <v>1.0506108202443281</v>
      </c>
      <c r="R6" s="6">
        <f t="shared" si="5"/>
        <v>0.150087260034904</v>
      </c>
      <c r="Y6" s="7"/>
      <c r="Z6" s="7"/>
      <c r="AD6" s="12">
        <v>8.8155864084423552E-2</v>
      </c>
    </row>
    <row r="7" spans="1:30" x14ac:dyDescent="0.25">
      <c r="A7" s="14">
        <f t="shared" si="2"/>
        <v>20</v>
      </c>
      <c r="C7" t="s">
        <v>42</v>
      </c>
      <c r="D7" s="23">
        <f t="shared" si="6"/>
        <v>20</v>
      </c>
      <c r="E7">
        <f>137-117</f>
        <v>20</v>
      </c>
      <c r="F7" s="12">
        <f t="shared" si="0"/>
        <v>3.4904013961605584E-2</v>
      </c>
      <c r="I7" s="18">
        <v>43808.018758680555</v>
      </c>
      <c r="J7" s="8">
        <f t="shared" si="7"/>
        <v>43805.172774869126</v>
      </c>
      <c r="K7" s="25">
        <f t="shared" si="3"/>
        <v>-2.8459838114285958</v>
      </c>
      <c r="M7" s="7">
        <f t="shared" si="4"/>
        <v>39.172774869126442</v>
      </c>
      <c r="N7" s="7">
        <f t="shared" si="8"/>
        <v>5.5961106955894921</v>
      </c>
      <c r="O7" s="7"/>
      <c r="P7" s="23">
        <f t="shared" si="9"/>
        <v>3.00174520069808</v>
      </c>
      <c r="Q7" s="7">
        <f t="shared" si="1"/>
        <v>3.00174520069808</v>
      </c>
      <c r="R7" s="6">
        <f t="shared" si="5"/>
        <v>0.42882074295686856</v>
      </c>
      <c r="U7" t="s">
        <v>21</v>
      </c>
      <c r="V7">
        <f>V9-V8</f>
        <v>86</v>
      </c>
      <c r="Y7" s="7"/>
      <c r="Z7" s="7"/>
      <c r="AD7" s="12">
        <v>0.75443198559939306</v>
      </c>
    </row>
    <row r="8" spans="1:30" x14ac:dyDescent="0.25">
      <c r="A8" s="14">
        <f t="shared" si="2"/>
        <v>40</v>
      </c>
      <c r="C8" t="s">
        <v>43</v>
      </c>
      <c r="D8" s="23">
        <f t="shared" si="6"/>
        <v>40</v>
      </c>
      <c r="E8">
        <f>163-137+176-165+1+178-176</f>
        <v>40</v>
      </c>
      <c r="F8" s="12">
        <f t="shared" si="0"/>
        <v>6.9808027923211169E-2</v>
      </c>
      <c r="I8" s="8">
        <v>43816.98521215278</v>
      </c>
      <c r="J8" s="8">
        <f t="shared" si="7"/>
        <v>43811.176265270522</v>
      </c>
      <c r="K8" s="25">
        <f t="shared" si="3"/>
        <v>-5.8089468822581694</v>
      </c>
      <c r="M8" s="7">
        <f t="shared" si="4"/>
        <v>45.176265270521981</v>
      </c>
      <c r="N8" s="7">
        <f t="shared" si="8"/>
        <v>6.4537521815031402</v>
      </c>
      <c r="O8" s="7"/>
      <c r="P8" s="23">
        <f t="shared" si="9"/>
        <v>6.0034904013961601</v>
      </c>
      <c r="Q8" s="7">
        <f t="shared" si="1"/>
        <v>6.0034904013961601</v>
      </c>
      <c r="R8" s="6">
        <f t="shared" si="5"/>
        <v>0.85764148591373712</v>
      </c>
      <c r="U8" s="4" t="s">
        <v>29</v>
      </c>
      <c r="V8" s="4">
        <v>20</v>
      </c>
      <c r="W8" s="4" t="s">
        <v>30</v>
      </c>
      <c r="Y8" s="7"/>
      <c r="Z8" s="7"/>
      <c r="AD8" s="12">
        <v>0.60257322544369396</v>
      </c>
    </row>
    <row r="9" spans="1:30" x14ac:dyDescent="0.25">
      <c r="A9" s="14">
        <f t="shared" si="2"/>
        <v>23</v>
      </c>
      <c r="C9" t="s">
        <v>44</v>
      </c>
      <c r="D9" s="23">
        <f t="shared" si="6"/>
        <v>23</v>
      </c>
      <c r="E9">
        <f>282-259</f>
        <v>23</v>
      </c>
      <c r="F9" s="12">
        <f t="shared" si="0"/>
        <v>4.0139616055846421E-2</v>
      </c>
      <c r="I9" s="18">
        <v>43820.027908796299</v>
      </c>
      <c r="J9" s="8">
        <f t="shared" si="7"/>
        <v>43814.628272251328</v>
      </c>
      <c r="K9" s="25">
        <f t="shared" si="3"/>
        <v>-5.3996365449711448</v>
      </c>
      <c r="M9" s="7">
        <f t="shared" si="4"/>
        <v>48.628272251327871</v>
      </c>
      <c r="N9" s="7">
        <f t="shared" si="8"/>
        <v>6.9468960359039817</v>
      </c>
      <c r="O9" s="7"/>
      <c r="P9" s="23">
        <f t="shared" si="9"/>
        <v>3.4520069808027922</v>
      </c>
      <c r="Q9" s="7">
        <f t="shared" si="1"/>
        <v>3.4520069808027922</v>
      </c>
      <c r="R9" s="6">
        <f t="shared" si="5"/>
        <v>0.49314385440039887</v>
      </c>
      <c r="U9" t="s">
        <v>11</v>
      </c>
      <c r="V9">
        <f>W5</f>
        <v>106</v>
      </c>
      <c r="Y9" s="7"/>
      <c r="Z9" s="7"/>
      <c r="AD9" s="12">
        <v>4.9736711400507616E-2</v>
      </c>
    </row>
    <row r="10" spans="1:30" x14ac:dyDescent="0.25">
      <c r="A10" s="14">
        <f t="shared" si="2"/>
        <v>18</v>
      </c>
      <c r="C10" t="s">
        <v>45</v>
      </c>
      <c r="D10" s="23">
        <f t="shared" si="6"/>
        <v>18</v>
      </c>
      <c r="E10">
        <f>297-285+305-299</f>
        <v>18</v>
      </c>
      <c r="F10" s="12">
        <f t="shared" si="0"/>
        <v>3.1413612565445025E-2</v>
      </c>
      <c r="I10" s="18">
        <v>43822.034512615741</v>
      </c>
      <c r="J10" s="8">
        <f t="shared" si="7"/>
        <v>43817.329842931955</v>
      </c>
      <c r="K10" s="25">
        <f>IF(COUNT(I10)=1,J10-I10,"Not Done")</f>
        <v>-4.7046696837860509</v>
      </c>
      <c r="M10" s="7">
        <f t="shared" si="4"/>
        <v>51.329842931954772</v>
      </c>
      <c r="N10" s="7">
        <f t="shared" si="8"/>
        <v>7.3328347045649673</v>
      </c>
      <c r="O10" s="7"/>
      <c r="P10" s="23">
        <f t="shared" si="9"/>
        <v>2.7015706806282722</v>
      </c>
      <c r="Q10" s="7">
        <f t="shared" si="1"/>
        <v>2.7015706806282722</v>
      </c>
      <c r="R10" s="6">
        <f t="shared" si="5"/>
        <v>0.38593866866118176</v>
      </c>
      <c r="Y10" s="7"/>
      <c r="Z10" s="7"/>
      <c r="AD10" s="12">
        <v>-8.2453800484353468E-2</v>
      </c>
    </row>
    <row r="11" spans="1:30" x14ac:dyDescent="0.25">
      <c r="A11" s="14">
        <f t="shared" si="2"/>
        <v>18</v>
      </c>
      <c r="C11" t="s">
        <v>46</v>
      </c>
      <c r="D11" s="23">
        <f t="shared" si="6"/>
        <v>18</v>
      </c>
      <c r="E11">
        <f>323-305</f>
        <v>18</v>
      </c>
      <c r="F11" s="12">
        <f t="shared" si="0"/>
        <v>3.1413612565445025E-2</v>
      </c>
      <c r="I11" s="18">
        <v>43824.008041666668</v>
      </c>
      <c r="J11" s="8">
        <f t="shared" si="7"/>
        <v>43820.031413612582</v>
      </c>
      <c r="K11" s="25">
        <f>IF(COUNT(I11)=1,J11-I11,"Not Done")</f>
        <v>-3.9766280540861771</v>
      </c>
      <c r="M11" s="7">
        <f t="shared" si="4"/>
        <v>54.031413612581673</v>
      </c>
      <c r="N11" s="7">
        <f t="shared" si="8"/>
        <v>7.7187733732259529</v>
      </c>
      <c r="O11" s="7"/>
      <c r="P11" s="23">
        <f t="shared" si="9"/>
        <v>2.7015706806282722</v>
      </c>
      <c r="Q11" s="7">
        <f t="shared" si="1"/>
        <v>2.7015706806282722</v>
      </c>
      <c r="R11" s="6">
        <f t="shared" si="5"/>
        <v>0.38593866866118176</v>
      </c>
      <c r="Y11" s="7"/>
      <c r="Z11" s="7"/>
      <c r="AD11" s="12">
        <v>-9.4331160755754651E-2</v>
      </c>
    </row>
    <row r="12" spans="1:30" x14ac:dyDescent="0.25">
      <c r="A12" s="14">
        <f t="shared" si="2"/>
        <v>26</v>
      </c>
      <c r="C12" t="s">
        <v>47</v>
      </c>
      <c r="D12" s="23">
        <f t="shared" si="6"/>
        <v>26</v>
      </c>
      <c r="E12">
        <f>357-323-(333-332)-(350-343)</f>
        <v>26</v>
      </c>
      <c r="F12" s="12">
        <f t="shared" si="0"/>
        <v>4.5375218150087257E-2</v>
      </c>
      <c r="I12" s="18">
        <v>43825.785345717595</v>
      </c>
      <c r="J12" s="8">
        <f t="shared" si="7"/>
        <v>43823.933682373492</v>
      </c>
      <c r="K12" s="25">
        <f>IF(COUNT(I12)=1,J12-I12,"Not Done")</f>
        <v>-1.8516633441031445</v>
      </c>
      <c r="M12" s="7">
        <f t="shared" si="4"/>
        <v>57.933682373492047</v>
      </c>
      <c r="N12" s="7">
        <f t="shared" si="8"/>
        <v>8.2762403390702932</v>
      </c>
      <c r="O12" s="7"/>
      <c r="P12" s="23">
        <f t="shared" si="9"/>
        <v>3.902268760907504</v>
      </c>
      <c r="Q12" s="7">
        <f t="shared" si="1"/>
        <v>3.902268760907504</v>
      </c>
      <c r="R12" s="6">
        <f t="shared" si="5"/>
        <v>0.55746696584392919</v>
      </c>
      <c r="U12" t="s">
        <v>24</v>
      </c>
      <c r="V12" s="18">
        <f ca="1">NOW()</f>
        <v>43849.154444444444</v>
      </c>
      <c r="Y12" s="7"/>
      <c r="Z12" s="7"/>
      <c r="AD12" s="12">
        <v>-0.37447178368058898</v>
      </c>
    </row>
    <row r="13" spans="1:30" x14ac:dyDescent="0.25">
      <c r="A13" s="14">
        <f t="shared" si="2"/>
        <v>14</v>
      </c>
      <c r="C13" t="s">
        <v>49</v>
      </c>
      <c r="D13" s="23">
        <f t="shared" si="6"/>
        <v>14</v>
      </c>
      <c r="E13">
        <v>14</v>
      </c>
      <c r="F13" s="12">
        <f t="shared" si="0"/>
        <v>2.4432809773123908E-2</v>
      </c>
      <c r="I13" s="18">
        <v>43827.756785300924</v>
      </c>
      <c r="J13" s="8">
        <f t="shared" si="7"/>
        <v>43826.034904013977</v>
      </c>
      <c r="K13" s="25">
        <f>IF(COUNT(I13)=1,J13-I13,"Not Done")</f>
        <v>-1.721881286946882</v>
      </c>
      <c r="M13" s="7">
        <f t="shared" si="4"/>
        <v>60.034904013977211</v>
      </c>
      <c r="N13" s="7">
        <f t="shared" si="8"/>
        <v>8.5764148591396019</v>
      </c>
      <c r="O13" s="7"/>
      <c r="P13" s="23">
        <f t="shared" si="9"/>
        <v>2.1012216404886561</v>
      </c>
      <c r="Q13" s="7">
        <f t="shared" si="1"/>
        <v>2.1012216404886561</v>
      </c>
      <c r="R13" s="6">
        <f t="shared" si="5"/>
        <v>0.30017452006980799</v>
      </c>
      <c r="U13" s="17" t="s">
        <v>32</v>
      </c>
      <c r="V13" s="28">
        <f ca="1">V12-V2</f>
        <v>83.15444444444438</v>
      </c>
      <c r="W13" s="17"/>
      <c r="X13" s="17"/>
      <c r="Y13" s="7"/>
      <c r="Z13" s="7"/>
      <c r="AD13" s="12">
        <v>0.10283780988057245</v>
      </c>
    </row>
    <row r="14" spans="1:30" x14ac:dyDescent="0.25">
      <c r="F14" s="12"/>
      <c r="J14" s="8"/>
      <c r="K14" s="26"/>
      <c r="M14" s="7"/>
      <c r="N14" s="7"/>
      <c r="O14" s="7"/>
      <c r="P14" s="23"/>
      <c r="Q14" s="7"/>
      <c r="R14" s="6"/>
      <c r="U14" s="17"/>
      <c r="V14" s="17"/>
      <c r="W14" s="17"/>
      <c r="X14" s="17"/>
      <c r="AD14" s="12"/>
    </row>
    <row r="15" spans="1:30" x14ac:dyDescent="0.25">
      <c r="A15" s="14">
        <f>SUM(A16:A20)</f>
        <v>174</v>
      </c>
      <c r="C15" s="4" t="s">
        <v>38</v>
      </c>
      <c r="D15" s="4"/>
      <c r="E15" s="4">
        <f>SUM(E16:E20)</f>
        <v>174</v>
      </c>
      <c r="F15" s="20">
        <f t="shared" ref="F15:F20" si="10">A15/$A$38</f>
        <v>0.30366492146596857</v>
      </c>
      <c r="G15" s="20"/>
      <c r="H15" s="4"/>
      <c r="I15" s="4"/>
      <c r="J15" s="21"/>
      <c r="K15" s="27"/>
      <c r="L15" s="4"/>
      <c r="M15" s="10"/>
      <c r="N15" s="10"/>
      <c r="O15" s="10"/>
      <c r="P15" s="24"/>
      <c r="Q15" s="10">
        <f t="shared" ref="Q15:Q20" si="11">F15*$V$7</f>
        <v>26.115183246073297</v>
      </c>
      <c r="R15" s="11">
        <f t="shared" si="5"/>
        <v>3.7307404637247568</v>
      </c>
      <c r="W15" s="17"/>
      <c r="X15" s="17"/>
      <c r="AD15" s="12"/>
    </row>
    <row r="16" spans="1:30" x14ac:dyDescent="0.25">
      <c r="A16" s="14">
        <f t="shared" si="2"/>
        <v>26</v>
      </c>
      <c r="C16" t="s">
        <v>0</v>
      </c>
      <c r="D16" s="23">
        <f>E16</f>
        <v>26</v>
      </c>
      <c r="E16">
        <f>49-23</f>
        <v>26</v>
      </c>
      <c r="F16" s="12">
        <f t="shared" si="10"/>
        <v>4.5375218150087257E-2</v>
      </c>
      <c r="I16" s="1">
        <v>43768.051267013892</v>
      </c>
      <c r="J16" s="8">
        <f>V2+Q16</f>
        <v>43769.90226876091</v>
      </c>
      <c r="K16" s="25">
        <f>IF(COUNT(I16)=1,J16-I16,"Not Done")</f>
        <v>1.8510017470180173</v>
      </c>
      <c r="M16" s="7">
        <f>J16-$V$2</f>
        <v>3.9022687609103741</v>
      </c>
      <c r="N16" s="7">
        <f t="shared" si="8"/>
        <v>0.55746696584433919</v>
      </c>
      <c r="O16" s="7"/>
      <c r="P16" s="23">
        <f t="shared" si="9"/>
        <v>3.902268760907504</v>
      </c>
      <c r="Q16" s="7">
        <f t="shared" si="11"/>
        <v>3.902268760907504</v>
      </c>
      <c r="R16" s="6">
        <f t="shared" si="5"/>
        <v>0.55746696584392919</v>
      </c>
      <c r="U16" s="17"/>
      <c r="V16" s="17" t="s">
        <v>31</v>
      </c>
      <c r="W16" s="17"/>
      <c r="X16" s="17"/>
      <c r="Y16" s="7"/>
      <c r="Z16" s="7"/>
      <c r="AD16" s="12">
        <v>-0.29997759085448206</v>
      </c>
    </row>
    <row r="17" spans="1:30" x14ac:dyDescent="0.25">
      <c r="A17" s="14">
        <f t="shared" si="2"/>
        <v>50</v>
      </c>
      <c r="C17" t="s">
        <v>2</v>
      </c>
      <c r="D17" s="23">
        <f>E17</f>
        <v>50</v>
      </c>
      <c r="E17">
        <f>99-49</f>
        <v>50</v>
      </c>
      <c r="F17" s="12">
        <f t="shared" si="10"/>
        <v>8.7260034904013961E-2</v>
      </c>
      <c r="I17" s="18">
        <v>43779.069868865743</v>
      </c>
      <c r="J17" s="8">
        <f>J16+Q17</f>
        <v>43777.406631762657</v>
      </c>
      <c r="K17" s="25">
        <f>IF(COUNT(I17)=1,J17-I17,"Not Done")</f>
        <v>-1.6632371030864306</v>
      </c>
      <c r="M17" s="7">
        <f>J17-$V$2</f>
        <v>11.406631762656616</v>
      </c>
      <c r="N17" s="7">
        <f t="shared" si="8"/>
        <v>1.6295188232366595</v>
      </c>
      <c r="O17" s="7"/>
      <c r="P17" s="23">
        <f t="shared" si="9"/>
        <v>7.504363001745201</v>
      </c>
      <c r="Q17" s="7">
        <f t="shared" si="11"/>
        <v>7.504363001745201</v>
      </c>
      <c r="R17" s="6">
        <f t="shared" si="5"/>
        <v>1.0720518573921716</v>
      </c>
      <c r="U17" t="s">
        <v>5</v>
      </c>
      <c r="V17" s="29">
        <f ca="1">V3-$V$12</f>
        <v>-12.15444444444438</v>
      </c>
      <c r="W17" s="17"/>
      <c r="X17" s="17"/>
      <c r="Y17" s="7"/>
      <c r="Z17" s="7"/>
      <c r="AD17" s="12">
        <v>0.58037400140517947</v>
      </c>
    </row>
    <row r="18" spans="1:30" x14ac:dyDescent="0.25">
      <c r="A18" s="14">
        <f t="shared" si="2"/>
        <v>6</v>
      </c>
      <c r="C18" t="s">
        <v>48</v>
      </c>
      <c r="D18" s="23">
        <f>E18</f>
        <v>6</v>
      </c>
      <c r="E18">
        <v>6</v>
      </c>
      <c r="F18" s="12">
        <f t="shared" si="10"/>
        <v>1.0471204188481676E-2</v>
      </c>
      <c r="I18" s="18">
        <v>43779.086584722223</v>
      </c>
      <c r="J18" s="8">
        <f>J17+Q18</f>
        <v>43778.307155322866</v>
      </c>
      <c r="K18" s="25">
        <f>IF(COUNT(I18)=1,J18-I18,"Not Done")</f>
        <v>-0.77942939935746836</v>
      </c>
      <c r="M18" s="7">
        <f>J18-$V$2</f>
        <v>12.307155322865583</v>
      </c>
      <c r="N18" s="7">
        <f t="shared" si="8"/>
        <v>1.7581650461236547</v>
      </c>
      <c r="O18" s="7"/>
      <c r="P18" s="23">
        <f t="shared" si="9"/>
        <v>0.90052356020942415</v>
      </c>
      <c r="Q18" s="7">
        <f t="shared" si="11"/>
        <v>0.90052356020942415</v>
      </c>
      <c r="R18" s="6">
        <f t="shared" si="5"/>
        <v>0.1286462228870606</v>
      </c>
      <c r="U18" t="s">
        <v>20</v>
      </c>
      <c r="V18" s="29">
        <f ca="1">V4-$V$12</f>
        <v>2.8455555555556202</v>
      </c>
      <c r="W18" s="17"/>
      <c r="X18" s="17"/>
      <c r="Y18" s="7"/>
      <c r="Z18" s="7"/>
      <c r="AD18" s="12">
        <v>-0.96375487982290886</v>
      </c>
    </row>
    <row r="19" spans="1:30" x14ac:dyDescent="0.25">
      <c r="A19" s="14">
        <f t="shared" si="2"/>
        <v>60</v>
      </c>
      <c r="C19" t="s">
        <v>40</v>
      </c>
      <c r="D19" s="23">
        <f>E19</f>
        <v>60</v>
      </c>
      <c r="E19">
        <f>159-99</f>
        <v>60</v>
      </c>
      <c r="F19" s="12">
        <f t="shared" si="10"/>
        <v>0.10471204188481675</v>
      </c>
      <c r="I19" s="18">
        <v>43786.122597685186</v>
      </c>
      <c r="J19" s="8">
        <f>J18+Q19</f>
        <v>43787.312390924963</v>
      </c>
      <c r="K19" s="25">
        <f>IF(COUNT(I19)=1,J19-I19,"Not Done")</f>
        <v>1.1897932397769182</v>
      </c>
      <c r="M19" s="7">
        <f>J19-$V$2</f>
        <v>21.312390924962529</v>
      </c>
      <c r="N19" s="7">
        <f t="shared" si="8"/>
        <v>3.0446272749946468</v>
      </c>
      <c r="O19" s="7"/>
      <c r="P19" s="23">
        <f t="shared" si="9"/>
        <v>9.0052356020942401</v>
      </c>
      <c r="Q19" s="7">
        <f t="shared" si="11"/>
        <v>9.0052356020942401</v>
      </c>
      <c r="R19" s="6">
        <f t="shared" si="5"/>
        <v>1.2864622288706058</v>
      </c>
      <c r="U19" t="s">
        <v>6</v>
      </c>
      <c r="V19" s="29">
        <f ca="1">V5-$V$12</f>
        <v>22.84555555555562</v>
      </c>
      <c r="W19" s="17"/>
      <c r="X19" s="17"/>
      <c r="Y19" s="7"/>
      <c r="Z19" s="7"/>
      <c r="AD19" s="12">
        <v>-4.5273110428737828E-2</v>
      </c>
    </row>
    <row r="20" spans="1:30" x14ac:dyDescent="0.25">
      <c r="A20" s="14">
        <f t="shared" si="2"/>
        <v>32</v>
      </c>
      <c r="C20" t="s">
        <v>3</v>
      </c>
      <c r="D20" s="23">
        <f>E20</f>
        <v>32</v>
      </c>
      <c r="E20">
        <f>191-159</f>
        <v>32</v>
      </c>
      <c r="F20" s="12">
        <f t="shared" si="10"/>
        <v>5.5846422338568937E-2</v>
      </c>
      <c r="I20" s="18">
        <v>43790.022786111113</v>
      </c>
      <c r="J20" s="8">
        <f>J19+Q20</f>
        <v>43792.115183246082</v>
      </c>
      <c r="K20" s="25">
        <f>IF(COUNT(I20)=1,J20-I20,"Not Done")</f>
        <v>2.0923971349693602</v>
      </c>
      <c r="M20" s="7">
        <f>J20-$V$2</f>
        <v>26.11518324608187</v>
      </c>
      <c r="N20" s="7">
        <f t="shared" si="8"/>
        <v>3.7307404637259816</v>
      </c>
      <c r="O20" s="7"/>
      <c r="P20" s="23">
        <f t="shared" si="9"/>
        <v>4.8027923211169288</v>
      </c>
      <c r="Q20" s="7">
        <f t="shared" si="11"/>
        <v>4.8027923211169288</v>
      </c>
      <c r="R20" s="6">
        <f t="shared" si="5"/>
        <v>0.68611318873098981</v>
      </c>
      <c r="U20" s="17"/>
      <c r="V20" s="17"/>
      <c r="W20" s="17"/>
      <c r="X20" s="17"/>
      <c r="Y20" s="7"/>
      <c r="Z20" s="7"/>
      <c r="AD20" s="12">
        <v>-1.5879916895829793E-2</v>
      </c>
    </row>
    <row r="21" spans="1:30" x14ac:dyDescent="0.25">
      <c r="D21" s="23"/>
      <c r="F21" s="12"/>
      <c r="J21" s="8"/>
      <c r="K21" s="26"/>
      <c r="M21" s="7"/>
      <c r="N21" s="7"/>
      <c r="O21" s="7"/>
      <c r="P21" s="23"/>
      <c r="Q21" s="7"/>
      <c r="R21" s="6"/>
      <c r="T21" t="s">
        <v>28</v>
      </c>
      <c r="U21" s="17"/>
      <c r="V21" s="17"/>
      <c r="W21" s="17"/>
      <c r="X21" s="17"/>
      <c r="AD21" s="12"/>
    </row>
    <row r="22" spans="1:30" x14ac:dyDescent="0.25">
      <c r="A22" s="14">
        <f>SUM(A23:A27)</f>
        <v>111</v>
      </c>
      <c r="C22" s="4" t="s">
        <v>50</v>
      </c>
      <c r="D22" s="24"/>
      <c r="E22" s="4">
        <f>SUM(E23:E27)</f>
        <v>111</v>
      </c>
      <c r="F22" s="20">
        <f t="shared" ref="F22:F27" si="12">A22/$A$38</f>
        <v>0.193717277486911</v>
      </c>
      <c r="G22" s="20"/>
      <c r="H22" s="4"/>
      <c r="I22" s="4"/>
      <c r="J22" s="21"/>
      <c r="K22" s="27"/>
      <c r="L22" s="4"/>
      <c r="M22" s="10"/>
      <c r="N22" s="10"/>
      <c r="O22" s="10"/>
      <c r="P22" s="24"/>
      <c r="Q22" s="10">
        <f t="shared" ref="Q22:Q27" si="13">F22*$V$7</f>
        <v>16.659685863874348</v>
      </c>
      <c r="R22" s="11">
        <f t="shared" si="5"/>
        <v>2.3799551234106211</v>
      </c>
      <c r="T22" s="17"/>
      <c r="U22" s="17"/>
      <c r="V22" s="17"/>
      <c r="W22" s="17"/>
      <c r="X22" s="17"/>
      <c r="AD22" s="12"/>
    </row>
    <row r="23" spans="1:30" x14ac:dyDescent="0.25">
      <c r="A23" s="14">
        <f t="shared" si="2"/>
        <v>5</v>
      </c>
      <c r="C23" s="31" t="s">
        <v>52</v>
      </c>
      <c r="D23" s="23">
        <f>E23</f>
        <v>5</v>
      </c>
      <c r="E23">
        <v>5</v>
      </c>
      <c r="F23" s="12">
        <f t="shared" si="12"/>
        <v>8.7260034904013961E-3</v>
      </c>
      <c r="I23" s="1">
        <v>43828.002952199073</v>
      </c>
      <c r="J23" s="8">
        <f>J13+Q23</f>
        <v>43826.785340314149</v>
      </c>
      <c r="K23" s="25">
        <f>IF(COUNT(I23)=1,J23-I23,"Not Done")</f>
        <v>-1.2176118849238264</v>
      </c>
      <c r="M23" s="7">
        <f>J23-$V$2</f>
        <v>60.785340314148925</v>
      </c>
      <c r="N23" s="7">
        <f t="shared" si="8"/>
        <v>8.6836200448784187</v>
      </c>
      <c r="O23" s="7"/>
      <c r="P23" s="23">
        <f t="shared" si="9"/>
        <v>0.75043630017452001</v>
      </c>
      <c r="Q23" s="7">
        <f t="shared" si="13"/>
        <v>0.75043630017452001</v>
      </c>
      <c r="R23" s="6">
        <f t="shared" si="5"/>
        <v>0.10720518573921714</v>
      </c>
      <c r="U23" s="19" t="s">
        <v>62</v>
      </c>
      <c r="V23" s="1" t="e">
        <f>SMALL($J$3:$J$37,COUNT(I3:I37)+1)</f>
        <v>#NUM!</v>
      </c>
      <c r="W23" s="17"/>
      <c r="X23" s="17"/>
      <c r="Y23" s="7"/>
      <c r="Z23" s="7"/>
      <c r="AD23" s="12">
        <v>-0.51783552221769158</v>
      </c>
    </row>
    <row r="24" spans="1:30" x14ac:dyDescent="0.25">
      <c r="A24" s="14">
        <f t="shared" si="2"/>
        <v>31</v>
      </c>
      <c r="C24" s="31" t="s">
        <v>53</v>
      </c>
      <c r="D24" s="23">
        <f>E24</f>
        <v>31</v>
      </c>
      <c r="E24">
        <f>36-5</f>
        <v>31</v>
      </c>
      <c r="F24" s="12">
        <f t="shared" si="12"/>
        <v>5.4101221640488653E-2</v>
      </c>
      <c r="I24" s="18">
        <v>43829.979939814817</v>
      </c>
      <c r="J24" s="8">
        <f>J23+Q24</f>
        <v>43831.438045375231</v>
      </c>
      <c r="K24" s="25">
        <f>IF(COUNT(I24)=1,J24-I24,"Not Done")</f>
        <v>1.4581055604139692</v>
      </c>
      <c r="M24" s="7">
        <f>J24-$V$2</f>
        <v>65.438045375231013</v>
      </c>
      <c r="N24" s="7">
        <f>M24/7</f>
        <v>9.3482921964615731</v>
      </c>
      <c r="O24" s="7"/>
      <c r="P24" s="23">
        <f>Q24</f>
        <v>4.652705061082024</v>
      </c>
      <c r="Q24" s="7">
        <f t="shared" si="13"/>
        <v>4.652705061082024</v>
      </c>
      <c r="R24" s="6">
        <f>Q24/7</f>
        <v>0.6646721515831463</v>
      </c>
      <c r="U24" s="19" t="s">
        <v>63</v>
      </c>
      <c r="V24" s="33" t="e">
        <f>V23-SMALL($J$3:$J$37,COUNT(I3:I37))</f>
        <v>#NUM!</v>
      </c>
      <c r="W24" s="33"/>
      <c r="X24" s="17"/>
      <c r="Y24" s="7"/>
      <c r="Z24" s="7"/>
      <c r="AD24" s="12">
        <v>-0.40775878102723473</v>
      </c>
    </row>
    <row r="25" spans="1:30" x14ac:dyDescent="0.25">
      <c r="A25" s="14">
        <f t="shared" si="2"/>
        <v>40</v>
      </c>
      <c r="C25" s="31" t="s">
        <v>54</v>
      </c>
      <c r="D25" s="23">
        <f>E25</f>
        <v>40</v>
      </c>
      <c r="E25">
        <f>76-36</f>
        <v>40</v>
      </c>
      <c r="F25" s="12">
        <f t="shared" si="12"/>
        <v>6.9808027923211169E-2</v>
      </c>
      <c r="I25" s="1">
        <v>43834.996551273151</v>
      </c>
      <c r="J25" s="8">
        <f>J24+Q25</f>
        <v>43837.441535776627</v>
      </c>
      <c r="K25" s="25">
        <f>IF(COUNT(I25)=1,J25-I25,"Not Done")</f>
        <v>2.4449845034760074</v>
      </c>
      <c r="M25" s="7">
        <f>J25-$V$2</f>
        <v>71.441535776626552</v>
      </c>
      <c r="N25" s="7">
        <f>M25/7</f>
        <v>10.205933682375221</v>
      </c>
      <c r="O25" s="7"/>
      <c r="P25" s="23">
        <f>Q25</f>
        <v>6.0034904013961601</v>
      </c>
      <c r="Q25" s="7">
        <f t="shared" si="13"/>
        <v>6.0034904013961601</v>
      </c>
      <c r="R25" s="6">
        <f>Q25/7</f>
        <v>0.85764148591373712</v>
      </c>
      <c r="U25" s="19"/>
      <c r="V25" s="17"/>
      <c r="W25" s="17"/>
      <c r="X25" s="17"/>
      <c r="Y25" s="7"/>
      <c r="Z25" s="7"/>
      <c r="AD25" s="3"/>
    </row>
    <row r="26" spans="1:30" x14ac:dyDescent="0.25">
      <c r="A26" s="14">
        <f t="shared" si="2"/>
        <v>18</v>
      </c>
      <c r="C26" s="31" t="s">
        <v>55</v>
      </c>
      <c r="D26" s="23">
        <f>E26</f>
        <v>18</v>
      </c>
      <c r="E26">
        <f>94-76</f>
        <v>18</v>
      </c>
      <c r="F26" s="12">
        <f t="shared" si="12"/>
        <v>3.1413612565445025E-2</v>
      </c>
      <c r="I26" s="1">
        <v>43840.029855787034</v>
      </c>
      <c r="J26" s="8">
        <f>J25+Q26</f>
        <v>43840.143106457253</v>
      </c>
      <c r="K26" s="25">
        <f>IF(COUNT(I26)=1,J26-I26,"Not Done")</f>
        <v>0.11325067021971336</v>
      </c>
      <c r="M26" s="7">
        <f>J26-$V$2</f>
        <v>74.143106457253452</v>
      </c>
      <c r="N26" s="7">
        <f>M26/7</f>
        <v>10.591872351036207</v>
      </c>
      <c r="O26" s="7"/>
      <c r="P26" s="23">
        <f>Q26</f>
        <v>2.7015706806282722</v>
      </c>
      <c r="Q26" s="7">
        <f t="shared" si="13"/>
        <v>2.7015706806282722</v>
      </c>
      <c r="R26" s="6">
        <f>Q26/7</f>
        <v>0.38593866866118176</v>
      </c>
      <c r="U26" s="19" t="s">
        <v>64</v>
      </c>
      <c r="V26" s="1" t="e">
        <f>LARGE($I$3:$I$37,1)+V24</f>
        <v>#NUM!</v>
      </c>
      <c r="W26" s="17"/>
      <c r="X26" s="17"/>
      <c r="AD26" s="3"/>
    </row>
    <row r="27" spans="1:30" x14ac:dyDescent="0.25">
      <c r="A27" s="14">
        <f t="shared" si="2"/>
        <v>17</v>
      </c>
      <c r="C27" s="31" t="s">
        <v>56</v>
      </c>
      <c r="D27" s="23">
        <f>E27</f>
        <v>17</v>
      </c>
      <c r="E27">
        <f>111-94</f>
        <v>17</v>
      </c>
      <c r="F27" s="12">
        <f t="shared" si="12"/>
        <v>2.9668411867364748E-2</v>
      </c>
      <c r="I27" s="1">
        <v>43845.085082407408</v>
      </c>
      <c r="J27" s="8">
        <f>J26+Q27</f>
        <v>43842.69458987785</v>
      </c>
      <c r="K27" s="25">
        <f>IF(COUNT(I27)=1,J27-I27,"Not Done")</f>
        <v>-2.3904925295573776</v>
      </c>
      <c r="M27" s="7">
        <f>J27-$V$2</f>
        <v>76.694589877850376</v>
      </c>
      <c r="N27" s="7">
        <f>M27/7</f>
        <v>10.956369982550054</v>
      </c>
      <c r="O27" s="7"/>
      <c r="P27" s="23">
        <f>Q27</f>
        <v>2.5514834205933683</v>
      </c>
      <c r="Q27" s="7">
        <f t="shared" si="13"/>
        <v>2.5514834205933683</v>
      </c>
      <c r="R27" s="6">
        <f>Q27/7</f>
        <v>0.3644976315133383</v>
      </c>
      <c r="T27" t="s">
        <v>28</v>
      </c>
      <c r="U27" s="19"/>
      <c r="V27" s="1"/>
      <c r="W27" s="17"/>
      <c r="X27" s="17"/>
      <c r="AD27" s="3"/>
    </row>
    <row r="28" spans="1:30" x14ac:dyDescent="0.25">
      <c r="C28" s="31"/>
      <c r="D28" s="23"/>
      <c r="F28" s="12"/>
      <c r="I28" s="1"/>
      <c r="J28" s="1"/>
      <c r="K28" s="1"/>
      <c r="L28" s="1"/>
      <c r="M28" s="1"/>
      <c r="N28" s="1"/>
      <c r="O28" s="1"/>
      <c r="P28" s="1"/>
      <c r="Q28" s="1"/>
      <c r="R28" s="1"/>
      <c r="U28" s="19"/>
      <c r="V28" s="17"/>
      <c r="W28" s="17"/>
      <c r="X28" s="17"/>
      <c r="AD28" s="3"/>
    </row>
    <row r="29" spans="1:30" x14ac:dyDescent="0.25">
      <c r="A29" s="14">
        <f>SUM(A30:A32)</f>
        <v>40</v>
      </c>
      <c r="C29" s="4" t="s">
        <v>39</v>
      </c>
      <c r="D29" s="24"/>
      <c r="E29" s="4">
        <f>SUM(E30:E32)</f>
        <v>40</v>
      </c>
      <c r="F29" s="20">
        <f>A29/$A$38</f>
        <v>6.9808027923211169E-2</v>
      </c>
      <c r="G29" s="20"/>
      <c r="H29" s="4"/>
      <c r="I29" s="4"/>
      <c r="J29" s="21"/>
      <c r="K29" s="27"/>
      <c r="L29" s="4"/>
      <c r="M29" s="10"/>
      <c r="N29" s="10"/>
      <c r="O29" s="10"/>
      <c r="P29" s="24"/>
      <c r="Q29" s="10">
        <f>F29*$V$7</f>
        <v>6.0034904013961601</v>
      </c>
      <c r="R29" s="11">
        <f>Q29/7</f>
        <v>0.85764148591373712</v>
      </c>
      <c r="U29" s="19"/>
      <c r="V29" s="19"/>
      <c r="W29" s="17"/>
      <c r="X29" s="17"/>
    </row>
    <row r="30" spans="1:30" x14ac:dyDescent="0.25">
      <c r="A30" s="14">
        <f t="shared" si="2"/>
        <v>16</v>
      </c>
      <c r="C30" s="31" t="s">
        <v>1</v>
      </c>
      <c r="D30" s="23">
        <f>E30</f>
        <v>16</v>
      </c>
      <c r="E30">
        <v>16</v>
      </c>
      <c r="F30" s="12">
        <f>A30/$A$38</f>
        <v>2.7923211169284468E-2</v>
      </c>
      <c r="I30" s="1">
        <v>43849.030152546293</v>
      </c>
      <c r="J30" s="8">
        <f>J27+Q30</f>
        <v>43845.09598603841</v>
      </c>
      <c r="K30" s="25">
        <f>IF(COUNT(I30)=1,J30-I30,"Not Done")</f>
        <v>-3.9341665078827646</v>
      </c>
      <c r="M30" s="7">
        <f>J30-$V$2</f>
        <v>79.095986038410047</v>
      </c>
      <c r="N30" s="7">
        <f>M30/7</f>
        <v>11.299426576915721</v>
      </c>
      <c r="O30" s="7"/>
      <c r="P30" s="23">
        <f>Q30</f>
        <v>2.4013961605584644</v>
      </c>
      <c r="Q30" s="7">
        <f>F30*$V$7</f>
        <v>2.4013961605584644</v>
      </c>
      <c r="R30" s="6">
        <f>Q30/7</f>
        <v>0.3430565943654949</v>
      </c>
      <c r="U30" s="17" t="s">
        <v>28</v>
      </c>
      <c r="V30" s="17"/>
      <c r="W30" s="17"/>
      <c r="X30" s="17"/>
    </row>
    <row r="31" spans="1:30" x14ac:dyDescent="0.25">
      <c r="A31" s="14">
        <f t="shared" si="2"/>
        <v>15</v>
      </c>
      <c r="C31" s="31" t="s">
        <v>0</v>
      </c>
      <c r="D31" s="23">
        <f>E31</f>
        <v>15</v>
      </c>
      <c r="E31">
        <f>31-16</f>
        <v>15</v>
      </c>
      <c r="F31" s="12">
        <f>A31/$A$38</f>
        <v>2.6178010471204188E-2</v>
      </c>
      <c r="I31" s="1">
        <v>43849.030152546293</v>
      </c>
      <c r="J31" s="8">
        <f>J30+Q31</f>
        <v>43847.347294938932</v>
      </c>
      <c r="K31" s="25">
        <f>IF(COUNT(I31)=1,J31-I31,"Not Done")</f>
        <v>-1.6828576073603472</v>
      </c>
      <c r="M31" s="7">
        <f>J31-$V$2</f>
        <v>81.347294938932464</v>
      </c>
      <c r="N31" s="7">
        <f>M31/7</f>
        <v>11.621042134133209</v>
      </c>
      <c r="O31" s="7"/>
      <c r="P31" s="23">
        <f>Q31</f>
        <v>2.25130890052356</v>
      </c>
      <c r="Q31" s="7">
        <f>F31*$V$7</f>
        <v>2.25130890052356</v>
      </c>
      <c r="R31" s="6">
        <f>Q31/7</f>
        <v>0.32161555721765145</v>
      </c>
      <c r="U31" s="17"/>
      <c r="V31" s="17"/>
      <c r="W31" s="17"/>
      <c r="X31" s="17"/>
    </row>
    <row r="32" spans="1:30" x14ac:dyDescent="0.25">
      <c r="A32" s="14">
        <f t="shared" si="2"/>
        <v>9</v>
      </c>
      <c r="C32" s="31" t="s">
        <v>2</v>
      </c>
      <c r="D32" s="23">
        <f>E32</f>
        <v>9</v>
      </c>
      <c r="E32">
        <f>40-31</f>
        <v>9</v>
      </c>
      <c r="F32" s="12">
        <f>A32/$A$38</f>
        <v>1.5706806282722512E-2</v>
      </c>
      <c r="I32" s="1">
        <v>43849.030152546293</v>
      </c>
      <c r="J32" s="8">
        <f>J31+Q32</f>
        <v>43848.698080279246</v>
      </c>
      <c r="K32" s="25">
        <f>IF(COUNT(I32)=1,J32-I32,"Not Done")</f>
        <v>-0.33207226704689674</v>
      </c>
      <c r="M32" s="7">
        <f>J32-$V$2</f>
        <v>82.698080279245914</v>
      </c>
      <c r="N32" s="7">
        <f>M32/7</f>
        <v>11.814011468463702</v>
      </c>
      <c r="O32" s="7"/>
      <c r="P32" s="23">
        <f>Q32</f>
        <v>1.3507853403141361</v>
      </c>
      <c r="Q32" s="7">
        <f>F32*$V$7</f>
        <v>1.3507853403141361</v>
      </c>
      <c r="R32" s="6">
        <f>Q32/7</f>
        <v>0.19296933433059088</v>
      </c>
      <c r="U32" s="17"/>
      <c r="V32" s="17"/>
      <c r="W32" s="17"/>
      <c r="X32" s="17"/>
    </row>
    <row r="33" spans="1:24" x14ac:dyDescent="0.25">
      <c r="C33" s="31"/>
      <c r="D33" s="23"/>
      <c r="F33" s="12"/>
      <c r="I33" s="1"/>
      <c r="J33" s="1"/>
      <c r="K33" s="1"/>
      <c r="L33" s="1"/>
      <c r="M33" s="1"/>
      <c r="N33" s="1"/>
      <c r="O33" s="1"/>
      <c r="P33" s="1"/>
      <c r="Q33" s="1"/>
      <c r="R33" s="1"/>
      <c r="U33" s="17"/>
      <c r="V33" s="17"/>
      <c r="W33" s="17"/>
      <c r="X33" s="17"/>
    </row>
    <row r="34" spans="1:24" x14ac:dyDescent="0.25">
      <c r="A34" s="14">
        <f>SUM(A35:A36)</f>
        <v>22</v>
      </c>
      <c r="C34" s="32" t="s">
        <v>51</v>
      </c>
      <c r="D34" s="24"/>
      <c r="E34" s="4">
        <f>SUM(E35:E36)</f>
        <v>22</v>
      </c>
      <c r="F34" s="20">
        <f>A34/$A$38</f>
        <v>3.8394415357766144E-2</v>
      </c>
      <c r="G34" s="20"/>
      <c r="H34" s="4"/>
      <c r="I34" s="4"/>
      <c r="J34" s="21"/>
      <c r="K34" s="27"/>
      <c r="L34" s="4"/>
      <c r="M34" s="10"/>
      <c r="N34" s="10"/>
      <c r="O34" s="10"/>
      <c r="P34" s="24"/>
      <c r="Q34" s="10">
        <f>F34*$V$7</f>
        <v>3.3019197207678883</v>
      </c>
      <c r="R34" s="11">
        <f>Q34/7</f>
        <v>0.47170281725255547</v>
      </c>
      <c r="U34" s="17"/>
      <c r="V34" s="17"/>
      <c r="W34" s="17"/>
      <c r="X34" s="17"/>
    </row>
    <row r="35" spans="1:24" x14ac:dyDescent="0.25">
      <c r="A35" s="14">
        <f t="shared" si="2"/>
        <v>18</v>
      </c>
      <c r="C35" s="31" t="s">
        <v>58</v>
      </c>
      <c r="D35" s="23">
        <f>E35</f>
        <v>18</v>
      </c>
      <c r="E35">
        <f>19-1</f>
        <v>18</v>
      </c>
      <c r="F35" s="12">
        <f>A35/$A$38</f>
        <v>3.1413612565445025E-2</v>
      </c>
      <c r="I35" s="1">
        <v>43849.148571874997</v>
      </c>
      <c r="J35" s="8">
        <f>J32+Q35</f>
        <v>43851.399650959873</v>
      </c>
      <c r="K35" s="25">
        <f>IF(COUNT(I35)=1,J35-I35,"Not Done")</f>
        <v>2.2510790848755278</v>
      </c>
      <c r="M35" s="7">
        <f>J35-$V$2</f>
        <v>85.399650959872815</v>
      </c>
      <c r="N35" s="7">
        <f t="shared" si="8"/>
        <v>12.199950137124688</v>
      </c>
      <c r="O35" s="7"/>
      <c r="P35" s="23">
        <f t="shared" si="9"/>
        <v>2.7015706806282722</v>
      </c>
      <c r="Q35" s="7">
        <f>F35*$V$7</f>
        <v>2.7015706806282722</v>
      </c>
      <c r="R35" s="6">
        <f t="shared" si="5"/>
        <v>0.38593866866118176</v>
      </c>
      <c r="U35" s="19"/>
      <c r="V35" s="17"/>
      <c r="W35" s="17"/>
      <c r="X35" s="17"/>
    </row>
    <row r="36" spans="1:24" x14ac:dyDescent="0.25">
      <c r="A36" s="14">
        <f t="shared" si="2"/>
        <v>4</v>
      </c>
      <c r="C36" t="s">
        <v>57</v>
      </c>
      <c r="D36" s="23">
        <f>E36</f>
        <v>4</v>
      </c>
      <c r="E36">
        <f>23-19</f>
        <v>4</v>
      </c>
      <c r="F36" s="12">
        <f>A36/$A$38</f>
        <v>6.9808027923211171E-3</v>
      </c>
      <c r="I36" s="1">
        <v>43849.153988541664</v>
      </c>
      <c r="J36" s="8">
        <f>J35+Q36</f>
        <v>43852.000000000015</v>
      </c>
      <c r="K36" s="25">
        <f>IF(COUNT(I36)=1,J36-I36,"Not Done")</f>
        <v>2.8460114583504037</v>
      </c>
      <c r="M36" s="7">
        <f>J36-$V$2</f>
        <v>86.000000000014552</v>
      </c>
      <c r="N36" s="7">
        <f>M36/7</f>
        <v>12.285714285716365</v>
      </c>
      <c r="O36" s="7"/>
      <c r="P36" s="23">
        <f>Q36</f>
        <v>0.6003490401396161</v>
      </c>
      <c r="Q36" s="7">
        <f>F36*$V$7</f>
        <v>0.6003490401396161</v>
      </c>
      <c r="R36" s="6">
        <f>Q36/7</f>
        <v>8.5764148591373726E-2</v>
      </c>
      <c r="U36" s="19"/>
      <c r="V36" s="17"/>
      <c r="W36" s="17"/>
      <c r="X36" s="17"/>
    </row>
    <row r="37" spans="1:24" x14ac:dyDescent="0.25">
      <c r="E37" s="3"/>
      <c r="F37" s="12"/>
      <c r="G37" s="12"/>
      <c r="H37" s="3"/>
      <c r="I37" s="3"/>
      <c r="J37" s="8"/>
      <c r="Q37" s="7"/>
      <c r="R37" s="6"/>
      <c r="U37" s="17"/>
      <c r="V37" s="17"/>
      <c r="W37" s="17"/>
      <c r="X37" s="17"/>
    </row>
    <row r="38" spans="1:24" x14ac:dyDescent="0.25">
      <c r="A38" s="15">
        <f>SUM(A2,A15,A22,A29,A34)</f>
        <v>573</v>
      </c>
      <c r="C38" s="5" t="s">
        <v>10</v>
      </c>
      <c r="E38" s="3">
        <f>SUM(E2,E15,E22,E29,E34)</f>
        <v>573</v>
      </c>
      <c r="F38" s="12">
        <f>SUM(F3:F13,F16:F20,F23:F27,F30:F32,F35:F36)</f>
        <v>1</v>
      </c>
      <c r="G38" s="12"/>
      <c r="H38" s="3"/>
      <c r="I38" s="3"/>
      <c r="Q38" s="7">
        <f>F38*$V$7</f>
        <v>86</v>
      </c>
      <c r="R38" s="6">
        <f t="shared" si="5"/>
        <v>12.285714285714286</v>
      </c>
      <c r="W38" s="17"/>
      <c r="X38" s="17"/>
    </row>
    <row r="39" spans="1:24" x14ac:dyDescent="0.25">
      <c r="K39" s="9"/>
      <c r="U39" s="17"/>
      <c r="V39" s="17"/>
      <c r="W39" s="17"/>
      <c r="X39" s="17"/>
    </row>
    <row r="40" spans="1:24" x14ac:dyDescent="0.25">
      <c r="K40" s="9"/>
      <c r="U40" s="17"/>
      <c r="V40" s="17"/>
      <c r="W40" s="17"/>
      <c r="X40" s="17"/>
    </row>
    <row r="41" spans="1:24" x14ac:dyDescent="0.25">
      <c r="C41" s="16"/>
      <c r="K41" s="9"/>
      <c r="U41" s="17"/>
      <c r="V41" s="17"/>
      <c r="W41" s="17"/>
      <c r="X41" s="17"/>
    </row>
    <row r="42" spans="1:24" x14ac:dyDescent="0.25">
      <c r="C42" s="5" t="s">
        <v>22</v>
      </c>
      <c r="E42" s="36">
        <f>SUMIF(K3:K37,"&gt;-10000",P3:P37)/V7</f>
        <v>0.99999999999999989</v>
      </c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8"/>
      <c r="U42" s="17"/>
      <c r="V42" s="17"/>
      <c r="W42" s="17"/>
      <c r="X42" s="17"/>
    </row>
    <row r="43" spans="1:24" ht="5.25" customHeight="1" x14ac:dyDescent="0.25">
      <c r="U43" s="17"/>
      <c r="V43" s="17"/>
      <c r="W43" s="17"/>
      <c r="X43" s="17"/>
    </row>
    <row r="44" spans="1:24" x14ac:dyDescent="0.25">
      <c r="C44" s="5" t="s">
        <v>23</v>
      </c>
      <c r="E44" s="36">
        <f ca="1">1-(V4-V12)/V7</f>
        <v>0.96691214470284159</v>
      </c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8"/>
    </row>
    <row r="45" spans="1:24" ht="5.25" customHeight="1" x14ac:dyDescent="0.25"/>
    <row r="46" spans="1:24" x14ac:dyDescent="0.25">
      <c r="C46" s="5" t="s">
        <v>25</v>
      </c>
      <c r="E46" s="39">
        <f>1-(V4-V3)/V7</f>
        <v>0.82558139534883723</v>
      </c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1"/>
    </row>
    <row r="47" spans="1:24" x14ac:dyDescent="0.25">
      <c r="C47" s="5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</row>
    <row r="48" spans="1:24" x14ac:dyDescent="0.25">
      <c r="C48" s="5" t="s">
        <v>27</v>
      </c>
      <c r="E48" s="39" t="e">
        <f ca="1">(V12-LARGE($I$3:$I$37,1))/(V24)</f>
        <v>#NUM!</v>
      </c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1"/>
      <c r="T48" s="7"/>
    </row>
    <row r="49" spans="3:18" ht="6" customHeight="1" x14ac:dyDescent="0.25"/>
    <row r="50" spans="3:18" x14ac:dyDescent="0.25">
      <c r="C50" s="5" t="s">
        <v>26</v>
      </c>
      <c r="E50" s="39">
        <f ca="1">(E42-E44)/(E42+E44)*2</f>
        <v>3.3644466923719328E-2</v>
      </c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1"/>
    </row>
    <row r="52" spans="3:18" x14ac:dyDescent="0.25">
      <c r="C52" s="5" t="s">
        <v>33</v>
      </c>
      <c r="E52" s="36">
        <f>SUMIF(K3:K37,"&gt;-10000",D3:D37)/E38</f>
        <v>1</v>
      </c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8"/>
    </row>
  </sheetData>
  <mergeCells count="6">
    <mergeCell ref="E52:R52"/>
    <mergeCell ref="E42:R42"/>
    <mergeCell ref="E44:R44"/>
    <mergeCell ref="E46:R46"/>
    <mergeCell ref="E50:R50"/>
    <mergeCell ref="E48:R48"/>
  </mergeCells>
  <conditionalFormatting sqref="K3:K13 K16:K20 K35 K23">
    <cfRule type="cellIs" dxfId="26" priority="45" operator="lessThan">
      <formula>0</formula>
    </cfRule>
    <cfRule type="cellIs" dxfId="25" priority="46" operator="greaterThanOrEqual">
      <formula>0</formula>
    </cfRule>
  </conditionalFormatting>
  <conditionalFormatting sqref="K3:K13 K16:K20 K35 K23">
    <cfRule type="containsText" dxfId="24" priority="44" operator="containsText" text="Not">
      <formula>NOT(ISERROR(SEARCH("Not",K3)))</formula>
    </cfRule>
  </conditionalFormatting>
  <conditionalFormatting sqref="E42">
    <cfRule type="dataBar" priority="43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{509F2D8D-2176-45D5-9780-2068306C2604}</x14:id>
        </ext>
      </extLst>
    </cfRule>
  </conditionalFormatting>
  <conditionalFormatting sqref="E44:R44">
    <cfRule type="dataBar" priority="37">
      <dataBar>
        <cfvo type="num" val="0"/>
        <cfvo type="num" val="1"/>
        <color rgb="FFFF555A"/>
      </dataBar>
      <extLst>
        <ext xmlns:x14="http://schemas.microsoft.com/office/spreadsheetml/2009/9/main" uri="{B025F937-C7B1-47D3-B67F-A62EFF666E3E}">
          <x14:id>{CDE9A413-9F67-40D8-B42B-5CE2FD967701}</x14:id>
        </ext>
      </extLst>
    </cfRule>
  </conditionalFormatting>
  <conditionalFormatting sqref="E48:R48">
    <cfRule type="dataBar" priority="35">
      <dataBar>
        <cfvo type="num" val="0"/>
        <cfvo type="num" val="1"/>
        <color rgb="FFFFB628"/>
      </dataBar>
      <extLst>
        <ext xmlns:x14="http://schemas.microsoft.com/office/spreadsheetml/2009/9/main" uri="{B025F937-C7B1-47D3-B67F-A62EFF666E3E}">
          <x14:id>{84505C6D-4B7F-414C-B9D3-0D3D559889E8}</x14:id>
        </ext>
      </extLst>
    </cfRule>
  </conditionalFormatting>
  <conditionalFormatting sqref="E50:R50">
    <cfRule type="dataBar" priority="33">
      <dataBar>
        <cfvo type="num" val="-1"/>
        <cfvo type="num" val="1"/>
        <color rgb="FF00B050"/>
      </dataBar>
      <extLst>
        <ext xmlns:x14="http://schemas.microsoft.com/office/spreadsheetml/2009/9/main" uri="{B025F937-C7B1-47D3-B67F-A62EFF666E3E}">
          <x14:id>{3945FB03-4827-4E7F-8EF2-F6392483A5C8}</x14:id>
        </ext>
      </extLst>
    </cfRule>
  </conditionalFormatting>
  <conditionalFormatting sqref="E46:R46">
    <cfRule type="dataBar" priority="32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{E6FE25CB-4615-4A47-9DAB-99C1CB22EEBB}</x14:id>
        </ext>
      </extLst>
    </cfRule>
  </conditionalFormatting>
  <conditionalFormatting sqref="E52">
    <cfRule type="dataBar" priority="31">
      <dataBar>
        <cfvo type="num" val="0"/>
        <cfvo type="num" val="1"/>
        <color theme="0" tint="-0.499984740745262"/>
      </dataBar>
      <extLst>
        <ext xmlns:x14="http://schemas.microsoft.com/office/spreadsheetml/2009/9/main" uri="{B025F937-C7B1-47D3-B67F-A62EFF666E3E}">
          <x14:id>{25A9974D-8557-4039-8D2C-36A957099793}</x14:id>
        </ext>
      </extLst>
    </cfRule>
  </conditionalFormatting>
  <conditionalFormatting sqref="K24">
    <cfRule type="cellIs" dxfId="23" priority="29" operator="lessThan">
      <formula>0</formula>
    </cfRule>
    <cfRule type="cellIs" dxfId="22" priority="30" operator="greaterThanOrEqual">
      <formula>0</formula>
    </cfRule>
  </conditionalFormatting>
  <conditionalFormatting sqref="K24">
    <cfRule type="containsText" dxfId="21" priority="28" operator="containsText" text="Not">
      <formula>NOT(ISERROR(SEARCH("Not",K24)))</formula>
    </cfRule>
  </conditionalFormatting>
  <conditionalFormatting sqref="K25">
    <cfRule type="cellIs" dxfId="20" priority="26" operator="lessThan">
      <formula>0</formula>
    </cfRule>
    <cfRule type="cellIs" dxfId="19" priority="27" operator="greaterThanOrEqual">
      <formula>0</formula>
    </cfRule>
  </conditionalFormatting>
  <conditionalFormatting sqref="K25">
    <cfRule type="containsText" dxfId="18" priority="25" operator="containsText" text="Not">
      <formula>NOT(ISERROR(SEARCH("Not",K25)))</formula>
    </cfRule>
  </conditionalFormatting>
  <conditionalFormatting sqref="K26">
    <cfRule type="cellIs" dxfId="17" priority="23" operator="lessThan">
      <formula>0</formula>
    </cfRule>
    <cfRule type="cellIs" dxfId="16" priority="24" operator="greaterThanOrEqual">
      <formula>0</formula>
    </cfRule>
  </conditionalFormatting>
  <conditionalFormatting sqref="K26">
    <cfRule type="containsText" dxfId="15" priority="22" operator="containsText" text="Not">
      <formula>NOT(ISERROR(SEARCH("Not",K26)))</formula>
    </cfRule>
  </conditionalFormatting>
  <conditionalFormatting sqref="K27">
    <cfRule type="cellIs" dxfId="14" priority="20" operator="lessThan">
      <formula>0</formula>
    </cfRule>
    <cfRule type="cellIs" dxfId="13" priority="21" operator="greaterThanOrEqual">
      <formula>0</formula>
    </cfRule>
  </conditionalFormatting>
  <conditionalFormatting sqref="K27">
    <cfRule type="containsText" dxfId="12" priority="19" operator="containsText" text="Not">
      <formula>NOT(ISERROR(SEARCH("Not",K27)))</formula>
    </cfRule>
  </conditionalFormatting>
  <conditionalFormatting sqref="K30">
    <cfRule type="cellIs" dxfId="11" priority="14" operator="lessThan">
      <formula>0</formula>
    </cfRule>
    <cfRule type="cellIs" dxfId="10" priority="15" operator="greaterThanOrEqual">
      <formula>0</formula>
    </cfRule>
  </conditionalFormatting>
  <conditionalFormatting sqref="K30">
    <cfRule type="containsText" dxfId="9" priority="13" operator="containsText" text="Not">
      <formula>NOT(ISERROR(SEARCH("Not",K30)))</formula>
    </cfRule>
  </conditionalFormatting>
  <conditionalFormatting sqref="K31">
    <cfRule type="cellIs" dxfId="8" priority="11" operator="lessThan">
      <formula>0</formula>
    </cfRule>
    <cfRule type="cellIs" dxfId="7" priority="12" operator="greaterThanOrEqual">
      <formula>0</formula>
    </cfRule>
  </conditionalFormatting>
  <conditionalFormatting sqref="K31">
    <cfRule type="containsText" dxfId="6" priority="10" operator="containsText" text="Not">
      <formula>NOT(ISERROR(SEARCH("Not",K31)))</formula>
    </cfRule>
  </conditionalFormatting>
  <conditionalFormatting sqref="K32">
    <cfRule type="cellIs" dxfId="5" priority="8" operator="lessThan">
      <formula>0</formula>
    </cfRule>
    <cfRule type="cellIs" dxfId="4" priority="9" operator="greaterThanOrEqual">
      <formula>0</formula>
    </cfRule>
  </conditionalFormatting>
  <conditionalFormatting sqref="K32">
    <cfRule type="containsText" dxfId="3" priority="7" operator="containsText" text="Not">
      <formula>NOT(ISERROR(SEARCH("Not",K32)))</formula>
    </cfRule>
  </conditionalFormatting>
  <conditionalFormatting sqref="K36">
    <cfRule type="cellIs" dxfId="2" priority="2" operator="lessThan">
      <formula>0</formula>
    </cfRule>
    <cfRule type="cellIs" dxfId="1" priority="3" operator="greaterThanOrEqual">
      <formula>0</formula>
    </cfRule>
  </conditionalFormatting>
  <conditionalFormatting sqref="K36">
    <cfRule type="containsText" dxfId="0" priority="1" operator="containsText" text="Not">
      <formula>NOT(ISERROR(SEARCH("Not",K36)))</formula>
    </cfRule>
  </conditionalFormatting>
  <pageMargins left="0.7" right="0.7" top="0.75" bottom="0.75" header="0.3" footer="0.3"/>
  <pageSetup paperSize="9" orientation="portrait" horizontalDpi="4294967294" verticalDpi="0" r:id="rId1"/>
  <ignoredErrors>
    <ignoredError sqref="W4" formula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09F2D8D-2176-45D5-9780-2068306C2604}">
            <x14:dataBar minLength="0" maxLength="100" border="1" direction="leftToRight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E42</xm:sqref>
        </x14:conditionalFormatting>
        <x14:conditionalFormatting xmlns:xm="http://schemas.microsoft.com/office/excel/2006/main">
          <x14:cfRule type="dataBar" id="{CDE9A413-9F67-40D8-B42B-5CE2FD967701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FF555A"/>
              <x14:negativeFillColor rgb="FFFF0000"/>
              <x14:negativeBorderColor rgb="FFFF0000"/>
              <x14:axisColor rgb="FF000000"/>
            </x14:dataBar>
          </x14:cfRule>
          <xm:sqref>E44:R44</xm:sqref>
        </x14:conditionalFormatting>
        <x14:conditionalFormatting xmlns:xm="http://schemas.microsoft.com/office/excel/2006/main">
          <x14:cfRule type="dataBar" id="{84505C6D-4B7F-414C-B9D3-0D3D559889E8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FFB628"/>
              <x14:negativeFillColor rgb="FFFF0000"/>
              <x14:negativeBorderColor rgb="FFFF0000"/>
              <x14:axisColor rgb="FF000000"/>
            </x14:dataBar>
          </x14:cfRule>
          <xm:sqref>E48:R48</xm:sqref>
        </x14:conditionalFormatting>
        <x14:conditionalFormatting xmlns:xm="http://schemas.microsoft.com/office/excel/2006/main">
          <x14:cfRule type="dataBar" id="{3945FB03-4827-4E7F-8EF2-F6392483A5C8}">
            <x14:dataBar minLength="0" maxLength="100" axisPosition="middle">
              <x14:cfvo type="num">
                <xm:f>-1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E50:R50</xm:sqref>
        </x14:conditionalFormatting>
        <x14:conditionalFormatting xmlns:xm="http://schemas.microsoft.com/office/excel/2006/main">
          <x14:cfRule type="dataBar" id="{E6FE25CB-4615-4A47-9DAB-99C1CB22EEBB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E46:R46</xm:sqref>
        </x14:conditionalFormatting>
        <x14:conditionalFormatting xmlns:xm="http://schemas.microsoft.com/office/excel/2006/main">
          <x14:cfRule type="dataBar" id="{25A9974D-8557-4039-8D2C-36A957099793}">
            <x14:dataBar minLength="0" maxLength="100" border="1" direction="leftToRight" negativeBarBorderColorSameAsPositive="0">
              <x14:cfvo type="num">
                <xm:f>0</xm:f>
              </x14:cfvo>
              <x14:cfvo type="num">
                <xm:f>1</xm:f>
              </x14:cfvo>
              <x14:borderColor theme="0" tint="-0.499984740745262"/>
              <x14:negativeFillColor rgb="FFFF0000"/>
              <x14:negativeBorderColor rgb="FFFF0000"/>
              <x14:axisColor rgb="FF000000"/>
            </x14:dataBar>
          </x14:cfRule>
          <xm:sqref>E52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7ACE0-FCED-496C-8D1B-80D7D417376F}">
  <dimension ref="Q3:AH31"/>
  <sheetViews>
    <sheetView workbookViewId="0">
      <selection activeCell="J36" sqref="J36"/>
    </sheetView>
  </sheetViews>
  <sheetFormatPr defaultRowHeight="15" x14ac:dyDescent="0.25"/>
  <cols>
    <col min="20" max="20" width="10.7109375" style="1" bestFit="1" customWidth="1"/>
    <col min="21" max="21" width="10.7109375" style="1" customWidth="1"/>
    <col min="22" max="22" width="10.7109375" style="1" bestFit="1" customWidth="1"/>
    <col min="23" max="23" width="9.7109375" style="1" customWidth="1"/>
    <col min="24" max="24" width="10.7109375" style="1" bestFit="1" customWidth="1"/>
    <col min="25" max="25" width="10.7109375" bestFit="1" customWidth="1"/>
    <col min="28" max="31" width="10.7109375" bestFit="1" customWidth="1"/>
    <col min="34" max="34" width="9.5703125" customWidth="1"/>
  </cols>
  <sheetData>
    <row r="3" spans="17:31" x14ac:dyDescent="0.25">
      <c r="T3" s="4" t="s">
        <v>13</v>
      </c>
      <c r="U3" s="4" t="s">
        <v>61</v>
      </c>
      <c r="V3" s="4" t="s">
        <v>15</v>
      </c>
      <c r="W3" s="4"/>
      <c r="X3" s="4" t="s">
        <v>34</v>
      </c>
      <c r="Y3" s="4" t="s">
        <v>59</v>
      </c>
      <c r="AB3" s="1"/>
      <c r="AC3" s="1" t="s">
        <v>35</v>
      </c>
      <c r="AD3" t="s">
        <v>36</v>
      </c>
      <c r="AE3" s="1" t="s">
        <v>60</v>
      </c>
    </row>
    <row r="4" spans="17:31" x14ac:dyDescent="0.25">
      <c r="Q4">
        <v>0</v>
      </c>
      <c r="S4" s="1"/>
      <c r="T4" s="1">
        <f>Sheet1!V2</f>
        <v>43766</v>
      </c>
      <c r="U4" s="1">
        <f>T4</f>
        <v>43766</v>
      </c>
      <c r="V4" s="1">
        <f>T4</f>
        <v>43766</v>
      </c>
      <c r="Y4" s="30"/>
      <c r="AB4" s="34">
        <f>(V4-Sheet1!$V$2)/(Sheet1!$V$4-Sheet1!$V$2)</f>
        <v>0</v>
      </c>
      <c r="AC4" s="1">
        <f t="shared" ref="AC4" si="0">T4</f>
        <v>43766</v>
      </c>
      <c r="AD4" s="1">
        <f>V4</f>
        <v>43766</v>
      </c>
      <c r="AE4" s="1">
        <f>U4</f>
        <v>43766</v>
      </c>
    </row>
    <row r="5" spans="17:31" x14ac:dyDescent="0.25">
      <c r="Q5">
        <v>1</v>
      </c>
      <c r="S5" s="1" t="str">
        <f>IF(ISERR(SMALL(Sheet1!$I$3:$I$35,Q5)),"Predict","Done")</f>
        <v>Done</v>
      </c>
      <c r="T5" s="1">
        <f>IFERROR(SMALL(Sheet1!$I$3:$I$35,Q5),"")</f>
        <v>43768.051267013892</v>
      </c>
      <c r="U5" s="1">
        <f>T5</f>
        <v>43768.051267013892</v>
      </c>
      <c r="V5" s="1">
        <f>SMALL(Sheet1!$J$3:$J$38,Q5)</f>
        <v>43769.90226876091</v>
      </c>
      <c r="Y5" s="30"/>
      <c r="AB5" s="34">
        <f>(V5-Sheet1!$V$2)/(Sheet1!$V$4-Sheet1!$V$2)</f>
        <v>4.5375218150120626E-2</v>
      </c>
      <c r="AC5" s="1">
        <f t="shared" ref="AC5:AC30" si="1">T5</f>
        <v>43768.051267013892</v>
      </c>
      <c r="AD5" s="1">
        <f t="shared" ref="AD5:AD30" si="2">V5</f>
        <v>43769.90226876091</v>
      </c>
      <c r="AE5" s="1">
        <f t="shared" ref="AE5:AE30" si="3">U5</f>
        <v>43768.051267013892</v>
      </c>
    </row>
    <row r="6" spans="17:31" x14ac:dyDescent="0.25">
      <c r="Q6">
        <v>2</v>
      </c>
      <c r="S6" s="1" t="str">
        <f>IF(ISERR(SMALL(Sheet1!$I$3:$I$35,Q6)),"Predict","Done")</f>
        <v>Done</v>
      </c>
      <c r="T6" s="1">
        <f>IFERROR(SMALL(Sheet1!$I$3:$I$35,Q6),X6)</f>
        <v>43779.069868865743</v>
      </c>
      <c r="U6" s="1">
        <f>IFERROR(SMALL(Sheet1!$I$3:$I$35,Q6),Y6)</f>
        <v>43779.069868865743</v>
      </c>
      <c r="V6" s="1">
        <f>SMALL(Sheet1!$J$3:$J$38,Q6)</f>
        <v>43777.406631762657</v>
      </c>
      <c r="X6" s="30">
        <f t="shared" ref="X6:X24" si="4">(T5-$T$4)/(V5-$V$4)*(V6-V5)+T5</f>
        <v>43771.996011271374</v>
      </c>
      <c r="Y6" s="30">
        <f>(U5-U4)/(V5-V4)*(V6-V5)+U5</f>
        <v>43771.996011271374</v>
      </c>
      <c r="AB6" s="34">
        <f>(V6-Sheet1!$V$2)/(Sheet1!$V$4-Sheet1!$V$2)</f>
        <v>0.1326352530541467</v>
      </c>
      <c r="AC6" s="1">
        <f t="shared" si="1"/>
        <v>43779.069868865743</v>
      </c>
      <c r="AD6" s="1">
        <f t="shared" si="2"/>
        <v>43777.406631762657</v>
      </c>
      <c r="AE6" s="1">
        <f t="shared" si="3"/>
        <v>43779.069868865743</v>
      </c>
    </row>
    <row r="7" spans="17:31" x14ac:dyDescent="0.25">
      <c r="Q7">
        <v>3</v>
      </c>
      <c r="S7" s="1" t="str">
        <f>IF(ISERR(SMALL(Sheet1!$I$3:$I$35,Q7)),"Predict","Done")</f>
        <v>Done</v>
      </c>
      <c r="T7" s="1">
        <f>IFERROR(SMALL(Sheet1!$I$3:$I$35,Q7),X7)</f>
        <v>43779.086584722223</v>
      </c>
      <c r="U7" s="1">
        <f>IFERROR(SMALL(Sheet1!$I$3:$I$35,Q7),Y7)</f>
        <v>43779.086584722223</v>
      </c>
      <c r="V7" s="1">
        <f>SMALL(Sheet1!$J$3:$J$38,Q7)</f>
        <v>43778.307155322866</v>
      </c>
      <c r="X7" s="30">
        <f t="shared" si="4"/>
        <v>43780.101700618303</v>
      </c>
      <c r="Y7" s="30">
        <f t="shared" ref="Y7:Y24" si="5">(U6-U5)/(V6-V5)*(V7-V6)+U6</f>
        <v>43780.392101087964</v>
      </c>
      <c r="AB7" s="34">
        <f>(V7-Sheet1!$V$2)/(Sheet1!$V$4-Sheet1!$V$2)</f>
        <v>0.14310645724262305</v>
      </c>
      <c r="AC7" s="1">
        <f t="shared" si="1"/>
        <v>43779.086584722223</v>
      </c>
      <c r="AD7" s="1">
        <f t="shared" si="2"/>
        <v>43778.307155322866</v>
      </c>
      <c r="AE7" s="1">
        <f t="shared" si="3"/>
        <v>43779.086584722223</v>
      </c>
    </row>
    <row r="8" spans="17:31" x14ac:dyDescent="0.25">
      <c r="Q8">
        <v>4</v>
      </c>
      <c r="S8" s="1" t="str">
        <f>IF(ISERR(SMALL(Sheet1!$I$3:$I$35,Q8)),"Predict","Done")</f>
        <v>Done</v>
      </c>
      <c r="T8" s="1">
        <f>IFERROR(SMALL(Sheet1!$I$3:$I$35,Q8),X8)</f>
        <v>43786.122597685186</v>
      </c>
      <c r="U8" s="1">
        <f>IFERROR(SMALL(Sheet1!$I$3:$I$35,Q8),Y8)</f>
        <v>43786.122597685186</v>
      </c>
      <c r="V8" s="1">
        <f>SMALL(Sheet1!$J$3:$J$38,Q8)</f>
        <v>43787.312390924963</v>
      </c>
      <c r="X8" s="30">
        <f t="shared" si="4"/>
        <v>43788.662134518971</v>
      </c>
      <c r="Y8" s="30">
        <f t="shared" si="5"/>
        <v>43779.253743287023</v>
      </c>
      <c r="AB8" s="34">
        <f>(V8-Sheet1!$V$2)/(Sheet1!$V$4-Sheet1!$V$2)</f>
        <v>0.24781849912747125</v>
      </c>
      <c r="AC8" s="1">
        <f t="shared" si="1"/>
        <v>43786.122597685186</v>
      </c>
      <c r="AD8" s="1">
        <f t="shared" si="2"/>
        <v>43787.312390924963</v>
      </c>
      <c r="AE8" s="1">
        <f t="shared" si="3"/>
        <v>43786.122597685186</v>
      </c>
    </row>
    <row r="9" spans="17:31" x14ac:dyDescent="0.25">
      <c r="Q9">
        <v>5</v>
      </c>
      <c r="S9" s="1" t="str">
        <f>IF(ISERR(SMALL(Sheet1!$I$3:$I$35,Q9)),"Predict","Done")</f>
        <v>Done</v>
      </c>
      <c r="T9" s="1">
        <f>IFERROR(SMALL(Sheet1!$I$3:$I$35,Q9),X9)</f>
        <v>43790.022786111113</v>
      </c>
      <c r="U9" s="1">
        <f>IFERROR(SMALL(Sheet1!$I$3:$I$35,Q9),Y9)</f>
        <v>43790.022786111113</v>
      </c>
      <c r="V9" s="1">
        <f>SMALL(Sheet1!$J$3:$J$38,Q9)</f>
        <v>43792.115183246082</v>
      </c>
      <c r="X9" s="30">
        <f t="shared" si="4"/>
        <v>43790.657267586073</v>
      </c>
      <c r="Y9" s="30">
        <f t="shared" si="5"/>
        <v>43789.875137932097</v>
      </c>
      <c r="AB9" s="34">
        <f>(V9-Sheet1!$V$2)/(Sheet1!$V$4-Sheet1!$V$2)</f>
        <v>0.30366492146606827</v>
      </c>
      <c r="AC9" s="1">
        <f t="shared" si="1"/>
        <v>43790.022786111113</v>
      </c>
      <c r="AD9" s="1">
        <f t="shared" si="2"/>
        <v>43792.115183246082</v>
      </c>
      <c r="AE9" s="1">
        <f t="shared" si="3"/>
        <v>43790.022786111113</v>
      </c>
    </row>
    <row r="10" spans="17:31" x14ac:dyDescent="0.25">
      <c r="Q10">
        <v>6</v>
      </c>
      <c r="S10" s="1" t="str">
        <f>IF(ISERR(SMALL(Sheet1!$I$3:$I$35,Q10)),"Predict","Done")</f>
        <v>Done</v>
      </c>
      <c r="T10" s="1">
        <f>IFERROR(SMALL(Sheet1!$I$3:$I$35,Q10),X10)</f>
        <v>43794.017441203701</v>
      </c>
      <c r="U10" s="1">
        <f>IFERROR(SMALL(Sheet1!$I$3:$I$35,Q10),Y10)</f>
        <v>43794.017441203701</v>
      </c>
      <c r="V10" s="1">
        <f>SMALL(Sheet1!$J$3:$J$38,Q10)</f>
        <v>43796.617801047127</v>
      </c>
      <c r="X10" s="30">
        <f t="shared" si="4"/>
        <v>43794.164645785437</v>
      </c>
      <c r="Y10" s="30">
        <f t="shared" si="5"/>
        <v>43793.679212760413</v>
      </c>
      <c r="AB10" s="34">
        <f>(V10-Sheet1!$V$2)/(Sheet1!$V$4-Sheet1!$V$2)</f>
        <v>0.35602094240845006</v>
      </c>
      <c r="AC10" s="1">
        <f t="shared" si="1"/>
        <v>43794.017441203701</v>
      </c>
      <c r="AD10" s="1">
        <f t="shared" si="2"/>
        <v>43796.617801047127</v>
      </c>
      <c r="AE10" s="1">
        <f t="shared" si="3"/>
        <v>43794.017441203701</v>
      </c>
    </row>
    <row r="11" spans="17:31" x14ac:dyDescent="0.25">
      <c r="Q11">
        <v>7</v>
      </c>
      <c r="S11" s="1" t="str">
        <f>IF(ISERR(SMALL(Sheet1!$I$3:$I$35,Q11)),"Predict","Done")</f>
        <v>Done</v>
      </c>
      <c r="T11" s="1">
        <f>IFERROR(SMALL(Sheet1!$I$3:$I$35,Q11),X11)</f>
        <v>43800.94208148148</v>
      </c>
      <c r="U11" s="1">
        <f>IFERROR(SMALL(Sheet1!$I$3:$I$35,Q11),Y11)</f>
        <v>43800.94208148148</v>
      </c>
      <c r="V11" s="1">
        <f>SMALL(Sheet1!$J$3:$J$38,Q11)</f>
        <v>43798.118673647477</v>
      </c>
      <c r="X11" s="30">
        <f t="shared" si="4"/>
        <v>43795.390845184273</v>
      </c>
      <c r="Y11" s="30">
        <f t="shared" si="5"/>
        <v>43795.348992901236</v>
      </c>
      <c r="AB11" s="34">
        <f>(V11-Sheet1!$V$2)/(Sheet1!$V$4-Sheet1!$V$2)</f>
        <v>0.37347294938927217</v>
      </c>
      <c r="AC11" s="1">
        <f t="shared" si="1"/>
        <v>43800.94208148148</v>
      </c>
      <c r="AD11" s="1">
        <f t="shared" si="2"/>
        <v>43798.118673647477</v>
      </c>
      <c r="AE11" s="1">
        <f t="shared" si="3"/>
        <v>43800.94208148148</v>
      </c>
    </row>
    <row r="12" spans="17:31" x14ac:dyDescent="0.25">
      <c r="Q12">
        <v>8</v>
      </c>
      <c r="S12" s="1" t="str">
        <f>IF(ISERR(SMALL(Sheet1!$I$3:$I$35,Q12)),"Predict","Done")</f>
        <v>Done</v>
      </c>
      <c r="T12" s="1">
        <f>IFERROR(SMALL(Sheet1!$I$3:$I$35,Q12),X12)</f>
        <v>43802.044970601855</v>
      </c>
      <c r="U12" s="1">
        <f>IFERROR(SMALL(Sheet1!$I$3:$I$35,Q12),Y12)</f>
        <v>43802.044970601855</v>
      </c>
      <c r="V12" s="1">
        <f>SMALL(Sheet1!$J$3:$J$38,Q12)</f>
        <v>43801.120418848179</v>
      </c>
      <c r="X12" s="30">
        <f t="shared" si="4"/>
        <v>43804.207696573212</v>
      </c>
      <c r="Y12" s="30">
        <f t="shared" si="5"/>
        <v>43814.791362037038</v>
      </c>
      <c r="AB12" s="34">
        <f>(V12-Sheet1!$V$2)/(Sheet1!$V$4-Sheet1!$V$2)</f>
        <v>0.40837696335091644</v>
      </c>
      <c r="AC12" s="1">
        <f t="shared" si="1"/>
        <v>43802.044970601855</v>
      </c>
      <c r="AD12" s="1">
        <f t="shared" si="2"/>
        <v>43801.120418848179</v>
      </c>
      <c r="AE12" s="1">
        <f t="shared" si="3"/>
        <v>43802.044970601855</v>
      </c>
    </row>
    <row r="13" spans="17:31" x14ac:dyDescent="0.25">
      <c r="Q13">
        <v>9</v>
      </c>
      <c r="S13" s="1" t="str">
        <f>IF(ISERR(SMALL(Sheet1!$I$3:$I$35,Q13)),"Predict","Done")</f>
        <v>Done</v>
      </c>
      <c r="T13" s="1">
        <f>IFERROR(SMALL(Sheet1!$I$3:$I$35,Q13),X13)</f>
        <v>43803.014129629628</v>
      </c>
      <c r="U13" s="1">
        <f>IFERROR(SMALL(Sheet1!$I$3:$I$35,Q13),Y13)</f>
        <v>43803.014129629628</v>
      </c>
      <c r="V13" s="1">
        <f>SMALL(Sheet1!$J$3:$J$38,Q13)</f>
        <v>43802.171029668425</v>
      </c>
      <c r="X13" s="30">
        <f t="shared" si="4"/>
        <v>43803.123238953194</v>
      </c>
      <c r="Y13" s="30">
        <f t="shared" si="5"/>
        <v>43802.430981793987</v>
      </c>
      <c r="AB13" s="34">
        <f>(V13-Sheet1!$V$2)/(Sheet1!$V$4-Sheet1!$V$2)</f>
        <v>0.42059336823750043</v>
      </c>
      <c r="AC13" s="1">
        <f t="shared" si="1"/>
        <v>43803.014129629628</v>
      </c>
      <c r="AD13" s="1">
        <f t="shared" si="2"/>
        <v>43802.171029668425</v>
      </c>
      <c r="AE13" s="1">
        <f t="shared" si="3"/>
        <v>43803.014129629628</v>
      </c>
    </row>
    <row r="14" spans="17:31" x14ac:dyDescent="0.25">
      <c r="Q14">
        <v>10</v>
      </c>
      <c r="S14" s="1" t="str">
        <f>IF(ISERR(SMALL(Sheet1!$I$3:$I$35,Q14)),"Predict","Done")</f>
        <v>Done</v>
      </c>
      <c r="T14" s="1">
        <f>IFERROR(SMALL(Sheet1!$I$3:$I$35,Q14),X14)</f>
        <v>43808.018758680555</v>
      </c>
      <c r="U14" s="1">
        <f>IFERROR(SMALL(Sheet1!$I$3:$I$35,Q14),Y14)</f>
        <v>43808.018758680555</v>
      </c>
      <c r="V14" s="1">
        <f>SMALL(Sheet1!$J$3:$J$38,Q14)</f>
        <v>43805.172774869126</v>
      </c>
      <c r="X14" s="30">
        <f t="shared" si="4"/>
        <v>43806.085841632092</v>
      </c>
      <c r="Y14" s="30">
        <f t="shared" si="5"/>
        <v>43805.783155423262</v>
      </c>
      <c r="AB14" s="34">
        <f>(V14-Sheet1!$V$2)/(Sheet1!$V$4-Sheet1!$V$2)</f>
        <v>0.45549738219914465</v>
      </c>
      <c r="AC14" s="1">
        <f t="shared" si="1"/>
        <v>43808.018758680555</v>
      </c>
      <c r="AD14" s="1">
        <f t="shared" si="2"/>
        <v>43805.172774869126</v>
      </c>
      <c r="AE14" s="1">
        <f t="shared" si="3"/>
        <v>43808.018758680555</v>
      </c>
    </row>
    <row r="15" spans="17:31" x14ac:dyDescent="0.25">
      <c r="Q15">
        <v>11</v>
      </c>
      <c r="S15" s="1" t="str">
        <f>IF(ISERR(SMALL(Sheet1!$I$3:$I$35,Q15)),"Predict","Done")</f>
        <v>Done</v>
      </c>
      <c r="T15" s="1">
        <f>IFERROR(SMALL(Sheet1!$I$3:$I$35,Q15),X15)</f>
        <v>43816.98521215278</v>
      </c>
      <c r="U15" s="1">
        <f>IFERROR(SMALL(Sheet1!$I$3:$I$35,Q15),Y15)</f>
        <v>43816.98521215278</v>
      </c>
      <c r="V15" s="1">
        <f>SMALL(Sheet1!$J$3:$J$38,Q15)</f>
        <v>43811.176265270522</v>
      </c>
      <c r="X15" s="30">
        <f t="shared" si="4"/>
        <v>43814.458415183319</v>
      </c>
      <c r="Y15" s="30">
        <f t="shared" si="5"/>
        <v>43818.028016782395</v>
      </c>
      <c r="AB15" s="34">
        <f>(V15-Sheet1!$V$2)/(Sheet1!$V$4-Sheet1!$V$2)</f>
        <v>0.52530541012234866</v>
      </c>
      <c r="AC15" s="1">
        <f t="shared" si="1"/>
        <v>43816.98521215278</v>
      </c>
      <c r="AD15" s="1">
        <f t="shared" si="2"/>
        <v>43811.176265270522</v>
      </c>
      <c r="AE15" s="1">
        <f t="shared" si="3"/>
        <v>43816.98521215278</v>
      </c>
    </row>
    <row r="16" spans="17:31" x14ac:dyDescent="0.25">
      <c r="Q16">
        <v>12</v>
      </c>
      <c r="S16" s="1" t="str">
        <f>IF(ISERR(SMALL(Sheet1!$I$3:$I$35,Q16)),"Predict","Done")</f>
        <v>Done</v>
      </c>
      <c r="T16" s="1">
        <f>IFERROR(SMALL(Sheet1!$I$3:$I$35,Q16),X16)</f>
        <v>43820.027908796299</v>
      </c>
      <c r="U16" s="1">
        <f>IFERROR(SMALL(Sheet1!$I$3:$I$35,Q16),Y16)</f>
        <v>43820.027908796299</v>
      </c>
      <c r="V16" s="1">
        <f>SMALL(Sheet1!$J$3:$J$38,Q16)</f>
        <v>43814.628272251328</v>
      </c>
      <c r="X16" s="30">
        <f t="shared" si="4"/>
        <v>43820.881092151169</v>
      </c>
      <c r="Y16" s="30">
        <f t="shared" si="5"/>
        <v>43822.140922899314</v>
      </c>
      <c r="AB16" s="34">
        <f>(V16-Sheet1!$V$2)/(Sheet1!$V$4-Sheet1!$V$2)</f>
        <v>0.56544502617823111</v>
      </c>
      <c r="AC16" s="1">
        <f t="shared" si="1"/>
        <v>43820.027908796299</v>
      </c>
      <c r="AD16" s="1">
        <f t="shared" si="2"/>
        <v>43814.628272251328</v>
      </c>
      <c r="AE16" s="1">
        <f t="shared" si="3"/>
        <v>43820.027908796299</v>
      </c>
    </row>
    <row r="17" spans="17:34" x14ac:dyDescent="0.25">
      <c r="Q17">
        <v>13</v>
      </c>
      <c r="S17" s="1" t="str">
        <f>IF(ISERR(SMALL(Sheet1!$I$3:$I$35,Q17)),"Predict","Done")</f>
        <v>Done</v>
      </c>
      <c r="T17" s="1">
        <f>IFERROR(SMALL(Sheet1!$I$3:$I$35,Q17),X17)</f>
        <v>43822.034512615741</v>
      </c>
      <c r="U17" s="1">
        <f>IFERROR(SMALL(Sheet1!$I$3:$I$35,Q17),Y17)</f>
        <v>43822.034512615741</v>
      </c>
      <c r="V17" s="1">
        <f>SMALL(Sheet1!$J$3:$J$38,Q17)</f>
        <v>43817.329842931955</v>
      </c>
      <c r="X17" s="30">
        <f t="shared" si="4"/>
        <v>43823.029459284982</v>
      </c>
      <c r="Y17" s="30">
        <f t="shared" si="5"/>
        <v>43822.409149647749</v>
      </c>
      <c r="AB17" s="34">
        <f>(V17-Sheet1!$V$2)/(Sheet1!$V$4-Sheet1!$V$2)</f>
        <v>0.59685863874366019</v>
      </c>
      <c r="AC17" s="1">
        <f t="shared" si="1"/>
        <v>43822.034512615741</v>
      </c>
      <c r="AD17" s="1">
        <f t="shared" si="2"/>
        <v>43817.329842931955</v>
      </c>
      <c r="AE17" s="1">
        <f t="shared" si="3"/>
        <v>43822.034512615741</v>
      </c>
    </row>
    <row r="18" spans="17:34" x14ac:dyDescent="0.25">
      <c r="Q18">
        <v>14</v>
      </c>
      <c r="S18" s="1" t="str">
        <f>IF(ISERR(SMALL(Sheet1!$I$3:$I$35,Q18)),"Predict","Done")</f>
        <v>Done</v>
      </c>
      <c r="T18" s="1">
        <f>IFERROR(SMALL(Sheet1!$I$3:$I$35,Q18),X18)</f>
        <v>43824.008041666668</v>
      </c>
      <c r="U18" s="1">
        <f>IFERROR(SMALL(Sheet1!$I$3:$I$35,Q18),Y18)</f>
        <v>43824.008041666668</v>
      </c>
      <c r="V18" s="1">
        <f>SMALL(Sheet1!$J$3:$J$38,Q18)</f>
        <v>43820.031413612582</v>
      </c>
      <c r="X18" s="30">
        <f t="shared" si="4"/>
        <v>43824.98369749025</v>
      </c>
      <c r="Y18" s="30">
        <f t="shared" si="5"/>
        <v>43824.041116435183</v>
      </c>
      <c r="AB18" s="34">
        <f>(V18-Sheet1!$V$2)/(Sheet1!$V$4-Sheet1!$V$2)</f>
        <v>0.62827225130908926</v>
      </c>
      <c r="AC18" s="1">
        <f t="shared" si="1"/>
        <v>43824.008041666668</v>
      </c>
      <c r="AD18" s="1">
        <f t="shared" si="2"/>
        <v>43820.031413612582</v>
      </c>
      <c r="AE18" s="1">
        <f t="shared" si="3"/>
        <v>43824.008041666668</v>
      </c>
    </row>
    <row r="19" spans="17:34" x14ac:dyDescent="0.25">
      <c r="Q19">
        <v>15</v>
      </c>
      <c r="S19" s="1" t="str">
        <f>IF(ISERR(SMALL(Sheet1!$I$3:$I$35,Q19)),"Predict","Done")</f>
        <v>Done</v>
      </c>
      <c r="T19" s="1">
        <f>IFERROR(SMALL(Sheet1!$I$3:$I$35,Q19),X19)</f>
        <v>43825.785345717595</v>
      </c>
      <c r="U19" s="1">
        <f>IFERROR(SMALL(Sheet1!$I$3:$I$35,Q19),Y19)</f>
        <v>43825.785345717595</v>
      </c>
      <c r="V19" s="1">
        <f>SMALL(Sheet1!$J$3:$J$38,Q19)</f>
        <v>43823.933682373492</v>
      </c>
      <c r="X19" s="30">
        <f t="shared" si="4"/>
        <v>43828.197511342594</v>
      </c>
      <c r="Y19" s="30">
        <f t="shared" si="5"/>
        <v>43826.858694740229</v>
      </c>
      <c r="AB19" s="34">
        <f>(V19-Sheet1!$V$2)/(Sheet1!$V$4-Sheet1!$V$2)</f>
        <v>0.67364746945920984</v>
      </c>
      <c r="AC19" s="1">
        <f t="shared" si="1"/>
        <v>43825.785345717595</v>
      </c>
      <c r="AD19" s="1">
        <f t="shared" si="2"/>
        <v>43823.933682373492</v>
      </c>
      <c r="AE19" s="1">
        <f t="shared" si="3"/>
        <v>43825.785345717595</v>
      </c>
    </row>
    <row r="20" spans="17:34" x14ac:dyDescent="0.25">
      <c r="Q20">
        <v>16</v>
      </c>
      <c r="S20" s="1" t="str">
        <f>IF(ISERR(SMALL(Sheet1!$I$3:$I$35,Q20)),"Predict","Done")</f>
        <v>Done</v>
      </c>
      <c r="T20" s="1">
        <f>IFERROR(SMALL(Sheet1!$I$3:$I$35,Q20),X20)</f>
        <v>43827.756785300924</v>
      </c>
      <c r="U20" s="1">
        <f>IFERROR(SMALL(Sheet1!$I$3:$I$35,Q20),Y20)</f>
        <v>43827.756785300924</v>
      </c>
      <c r="V20" s="1">
        <f>SMALL(Sheet1!$J$3:$J$38,Q20)</f>
        <v>43826.034904013977</v>
      </c>
      <c r="X20" s="30">
        <f t="shared" si="4"/>
        <v>43827.953726132218</v>
      </c>
      <c r="Y20" s="30">
        <f t="shared" si="5"/>
        <v>43826.742355591166</v>
      </c>
      <c r="Z20" s="1"/>
      <c r="AB20" s="34">
        <f>(V20-Sheet1!$V$2)/(Sheet1!$V$4-Sheet1!$V$2)</f>
        <v>0.69808027923229321</v>
      </c>
      <c r="AC20" s="1">
        <f t="shared" si="1"/>
        <v>43827.756785300924</v>
      </c>
      <c r="AD20" s="1">
        <f t="shared" si="2"/>
        <v>43826.034904013977</v>
      </c>
      <c r="AE20" s="1">
        <f t="shared" si="3"/>
        <v>43827.756785300924</v>
      </c>
    </row>
    <row r="21" spans="17:34" x14ac:dyDescent="0.25">
      <c r="Q21">
        <v>17</v>
      </c>
      <c r="S21" s="1" t="str">
        <f>IF(ISERR(SMALL(Sheet1!$I$3:$I$35,Q21)),"Predict","Done")</f>
        <v>Done</v>
      </c>
      <c r="T21" s="1">
        <f>IFERROR(SMALL(Sheet1!$I$3:$I$35,Q21),X21)</f>
        <v>43828.002952199073</v>
      </c>
      <c r="U21" s="1">
        <f>IFERROR(SMALL(Sheet1!$I$3:$I$35,Q21),Y21)</f>
        <v>43828.002952199073</v>
      </c>
      <c r="V21" s="1">
        <f>SMALL(Sheet1!$J$3:$J$38,Q21)</f>
        <v>43826.785340314149</v>
      </c>
      <c r="X21" s="30">
        <f t="shared" si="4"/>
        <v>43828.528745117183</v>
      </c>
      <c r="Y21" s="30">
        <f t="shared" si="5"/>
        <v>43828.460870866395</v>
      </c>
      <c r="AB21" s="34">
        <f>(V21-Sheet1!$V$2)/(Sheet1!$V$4-Sheet1!$V$2)</f>
        <v>0.70680628272266188</v>
      </c>
      <c r="AC21" s="1">
        <f t="shared" si="1"/>
        <v>43828.002952199073</v>
      </c>
      <c r="AD21" s="1">
        <f t="shared" si="2"/>
        <v>43826.785340314149</v>
      </c>
      <c r="AE21" s="1">
        <f t="shared" si="3"/>
        <v>43828.002952199073</v>
      </c>
    </row>
    <row r="22" spans="17:34" x14ac:dyDescent="0.25">
      <c r="Q22">
        <v>18</v>
      </c>
      <c r="S22" s="1" t="str">
        <f>IF(ISERR(SMALL(Sheet1!$I$3:$I$35,Q22)),"Predict","Done")</f>
        <v>Done</v>
      </c>
      <c r="T22" s="1">
        <f>IFERROR(SMALL(Sheet1!$I$3:$I$35,Q22),X22)</f>
        <v>43829.979939814817</v>
      </c>
      <c r="U22" s="1">
        <f>IFERROR(SMALL(Sheet1!$I$3:$I$35,Q22),Y22)</f>
        <v>43829.979939814817</v>
      </c>
      <c r="V22" s="1">
        <f>SMALL(Sheet1!$J$3:$J$38,Q22)</f>
        <v>43831.438045375231</v>
      </c>
      <c r="X22" s="30">
        <f t="shared" si="4"/>
        <v>43832.74885718221</v>
      </c>
      <c r="Y22" s="30">
        <f t="shared" si="5"/>
        <v>43829.5291869676</v>
      </c>
      <c r="AB22" s="34">
        <f>(V22-Sheet1!$V$2)/(Sheet1!$V$4-Sheet1!$V$2)</f>
        <v>0.76090750436315135</v>
      </c>
      <c r="AC22" s="1">
        <f t="shared" si="1"/>
        <v>43829.979939814817</v>
      </c>
      <c r="AD22" s="1">
        <f t="shared" si="2"/>
        <v>43831.438045375231</v>
      </c>
      <c r="AE22" s="1">
        <f t="shared" si="3"/>
        <v>43829.979939814817</v>
      </c>
    </row>
    <row r="23" spans="17:34" x14ac:dyDescent="0.25">
      <c r="Q23">
        <v>19</v>
      </c>
      <c r="S23" s="1" t="str">
        <f>IF(ISERR(SMALL(Sheet1!$I$3:$I$35,Q23)),"Predict","Done")</f>
        <v>Done</v>
      </c>
      <c r="T23" s="1">
        <f>IFERROR(SMALL(Sheet1!$I$3:$I$35,Q23),X23)</f>
        <v>43834.996551273151</v>
      </c>
      <c r="U23" s="1">
        <f>IFERROR(SMALL(Sheet1!$I$3:$I$35,Q23),Y23)</f>
        <v>43834.996551273151</v>
      </c>
      <c r="V23" s="1">
        <f>SMALL(Sheet1!$J$3:$J$38,Q23)</f>
        <v>43837.441535776627</v>
      </c>
      <c r="X23" s="30">
        <f t="shared" si="4"/>
        <v>43835.849659063882</v>
      </c>
      <c r="Y23" s="30">
        <f t="shared" si="5"/>
        <v>43832.530891577066</v>
      </c>
      <c r="AB23" s="34">
        <f>(V23-Sheet1!$V$2)/(Sheet1!$V$4-Sheet1!$V$2)</f>
        <v>0.8307155322863552</v>
      </c>
      <c r="AC23" s="1">
        <f t="shared" si="1"/>
        <v>43834.996551273151</v>
      </c>
      <c r="AD23" s="1">
        <f t="shared" si="2"/>
        <v>43837.441535776627</v>
      </c>
      <c r="AE23" s="1">
        <f t="shared" si="3"/>
        <v>43834.996551273151</v>
      </c>
    </row>
    <row r="24" spans="17:34" x14ac:dyDescent="0.25">
      <c r="Q24">
        <v>20</v>
      </c>
      <c r="S24" s="1" t="str">
        <f>IF(ISERR(SMALL(Sheet1!$I$3:$I$35,Q24)),"Predict","Done")</f>
        <v>Done</v>
      </c>
      <c r="T24" s="1">
        <f>IFERROR(SMALL(Sheet1!$I$3:$I$35,Q24),X24)</f>
        <v>43840.029855787034</v>
      </c>
      <c r="U24" s="1">
        <f>IFERROR(SMALL(Sheet1!$I$3:$I$35,Q24),Y24)</f>
        <v>43840.029855787034</v>
      </c>
      <c r="V24" s="1">
        <f>SMALL(Sheet1!$J$3:$J$38,Q24)</f>
        <v>43840.143106457253</v>
      </c>
      <c r="X24" s="30">
        <f t="shared" si="4"/>
        <v>43837.605664556584</v>
      </c>
      <c r="Y24" s="30">
        <f t="shared" si="5"/>
        <v>43837.2540264294</v>
      </c>
      <c r="AB24" s="34">
        <f>(V24-Sheet1!$V$2)/(Sheet1!$V$4-Sheet1!$V$2)</f>
        <v>0.86212914485178438</v>
      </c>
      <c r="AC24" s="1">
        <f t="shared" si="1"/>
        <v>43840.029855787034</v>
      </c>
      <c r="AD24" s="1">
        <f t="shared" si="2"/>
        <v>43840.143106457253</v>
      </c>
      <c r="AE24" s="1">
        <f t="shared" si="3"/>
        <v>43840.029855787034</v>
      </c>
    </row>
    <row r="25" spans="17:34" x14ac:dyDescent="0.25">
      <c r="Q25">
        <v>21</v>
      </c>
      <c r="S25" s="1" t="str">
        <f>IF(ISERR(SMALL(Sheet1!$I$3:$I$35,Q25)),"Predict","Done")</f>
        <v>Done</v>
      </c>
      <c r="T25" s="1">
        <f>IFERROR(SMALL(Sheet1!$I$3:$I$35,Q25),X25)</f>
        <v>43845.085082407408</v>
      </c>
      <c r="U25" s="1">
        <f>IFERROR(SMALL(Sheet1!$I$3:$I$35,Q25),Y25)</f>
        <v>43845.085082407408</v>
      </c>
      <c r="V25" s="1">
        <f>SMALL(Sheet1!$J$3:$J$38,Q25)</f>
        <v>43842.69458987785</v>
      </c>
      <c r="X25" s="30">
        <f t="shared" ref="X25:X30" si="6">(T24-$T$4)/(V24-$V$4)*(V25-V24)+T24</f>
        <v>43842.577441917361</v>
      </c>
      <c r="Y25" s="30">
        <f t="shared" ref="Y25:Y30" si="7">(U24-U23)/(V24-V23)*(V25-V24)+U24</f>
        <v>43844.783532272377</v>
      </c>
      <c r="AB25" s="34">
        <f>(V25-Sheet1!$V$2)/(Sheet1!$V$4-Sheet1!$V$2)</f>
        <v>0.89179755671919037</v>
      </c>
      <c r="AC25" s="1">
        <f t="shared" si="1"/>
        <v>43845.085082407408</v>
      </c>
      <c r="AD25" s="1">
        <f t="shared" si="2"/>
        <v>43842.69458987785</v>
      </c>
      <c r="AE25" s="1">
        <f t="shared" si="3"/>
        <v>43845.085082407408</v>
      </c>
    </row>
    <row r="26" spans="17:34" x14ac:dyDescent="0.25">
      <c r="Q26">
        <v>22</v>
      </c>
      <c r="S26" s="1" t="str">
        <f>IF(ISERR(SMALL(Sheet1!$I$3:$I$35,Q26)),"Predict","Done")</f>
        <v>Done</v>
      </c>
      <c r="T26" s="1">
        <f>IFERROR(SMALL(Sheet1!$I$3:$I$35,Q26),X26)</f>
        <v>43849.030152546293</v>
      </c>
      <c r="U26" s="1">
        <f>IFERROR(SMALL(Sheet1!$I$3:$I$35,Q26),Y26)</f>
        <v>43849.030152546293</v>
      </c>
      <c r="V26" s="1">
        <f>SMALL(Sheet1!$J$3:$J$38,Q26)</f>
        <v>43845.09598603841</v>
      </c>
      <c r="X26" s="30">
        <f t="shared" si="6"/>
        <v>43847.561327649128</v>
      </c>
      <c r="Y26" s="30">
        <f t="shared" si="7"/>
        <v>43849.842942755989</v>
      </c>
      <c r="AB26" s="34">
        <f>(V26-Sheet1!$V$2)/(Sheet1!$V$4-Sheet1!$V$2)</f>
        <v>0.91972076788848889</v>
      </c>
      <c r="AC26" s="1">
        <f t="shared" si="1"/>
        <v>43849.030152546293</v>
      </c>
      <c r="AD26" s="1">
        <f t="shared" si="2"/>
        <v>43845.09598603841</v>
      </c>
      <c r="AE26" s="1">
        <f t="shared" si="3"/>
        <v>43849.030152546293</v>
      </c>
    </row>
    <row r="27" spans="17:34" x14ac:dyDescent="0.25">
      <c r="Q27">
        <v>23</v>
      </c>
      <c r="S27" s="1" t="str">
        <f>IF(ISERR(SMALL(Sheet1!$I$3:$I$35,Q27)),"Predict","Done")</f>
        <v>Done</v>
      </c>
      <c r="T27" s="1">
        <f>IFERROR(SMALL(Sheet1!$I$3:$I$35,Q27),X27)</f>
        <v>43849.030152546293</v>
      </c>
      <c r="U27" s="1">
        <f>IFERROR(SMALL(Sheet1!$I$3:$I$35,Q27),Y27)</f>
        <v>43849.030152546293</v>
      </c>
      <c r="V27" s="1">
        <f>SMALL(Sheet1!$J$3:$J$38,Q27)</f>
        <v>43847.347294938932</v>
      </c>
      <c r="X27" s="30">
        <f t="shared" si="6"/>
        <v>43851.393439620661</v>
      </c>
      <c r="Y27" s="30">
        <f t="shared" si="7"/>
        <v>43852.728655801497</v>
      </c>
      <c r="AB27" s="34">
        <f>(V27-Sheet1!$V$2)/(Sheet1!$V$4-Sheet1!$V$2)</f>
        <v>0.94589877835967984</v>
      </c>
      <c r="AC27" s="1">
        <f t="shared" si="1"/>
        <v>43849.030152546293</v>
      </c>
      <c r="AD27" s="1">
        <f t="shared" si="2"/>
        <v>43847.347294938932</v>
      </c>
      <c r="AE27" s="1">
        <f t="shared" si="3"/>
        <v>43849.030152546293</v>
      </c>
    </row>
    <row r="28" spans="17:34" x14ac:dyDescent="0.25">
      <c r="Q28">
        <v>24</v>
      </c>
      <c r="S28" s="1" t="str">
        <f>IF(ISERR(SMALL(Sheet1!$I$3:$I$35,Q28)),"Predict","Done")</f>
        <v>Done</v>
      </c>
      <c r="T28" s="1">
        <f>IFERROR(SMALL(Sheet1!$I$3:$I$35,Q28),X28)</f>
        <v>43849.030152546293</v>
      </c>
      <c r="U28" s="1">
        <f>IFERROR(SMALL(Sheet1!$I$3:$I$35,Q28),Y28)</f>
        <v>43849.030152546293</v>
      </c>
      <c r="V28" s="1">
        <f>SMALL(Sheet1!$J$3:$J$38,Q28)</f>
        <v>43848.698080279246</v>
      </c>
      <c r="X28" s="30">
        <f t="shared" si="6"/>
        <v>43850.408882016614</v>
      </c>
      <c r="Y28" s="30">
        <f t="shared" si="7"/>
        <v>43849.030152546293</v>
      </c>
      <c r="AB28" s="34">
        <f>(V28-Sheet1!$V$2)/(Sheet1!$V$4-Sheet1!$V$2)</f>
        <v>0.96160558464239432</v>
      </c>
      <c r="AC28" s="1">
        <f t="shared" si="1"/>
        <v>43849.030152546293</v>
      </c>
      <c r="AD28" s="1">
        <f t="shared" si="2"/>
        <v>43848.698080279246</v>
      </c>
      <c r="AE28" s="1">
        <f t="shared" si="3"/>
        <v>43849.030152546293</v>
      </c>
    </row>
    <row r="29" spans="17:34" x14ac:dyDescent="0.25">
      <c r="Q29">
        <v>25</v>
      </c>
      <c r="S29" s="1" t="str">
        <f>IF(ISERR(SMALL(Sheet1!$I$3:$I$35,Q29)),"Predict","Done")</f>
        <v>Done</v>
      </c>
      <c r="T29" s="1">
        <f>IFERROR(SMALL(Sheet1!$I$3:$I$35,Q29),X29)</f>
        <v>43849.148571874997</v>
      </c>
      <c r="U29" s="1">
        <f>IFERROR(SMALL(Sheet1!$I$3:$I$35,Q29),Y29)</f>
        <v>43849.148571874997</v>
      </c>
      <c r="V29" s="1">
        <f>SMALL(Sheet1!$J$3:$J$38,Q29)</f>
        <v>43851.399650959873</v>
      </c>
      <c r="X29" s="30">
        <f t="shared" si="6"/>
        <v>43851.742571322757</v>
      </c>
      <c r="Y29" s="30">
        <f t="shared" si="7"/>
        <v>43849.030152546293</v>
      </c>
      <c r="AB29" s="34">
        <f>(V29-Sheet1!$V$2)/(Sheet1!$V$4-Sheet1!$V$2)</f>
        <v>0.99301919720782339</v>
      </c>
      <c r="AC29" s="1">
        <f t="shared" si="1"/>
        <v>43849.148571874997</v>
      </c>
      <c r="AD29" s="1">
        <f t="shared" si="2"/>
        <v>43851.399650959873</v>
      </c>
      <c r="AE29" s="1">
        <f t="shared" si="3"/>
        <v>43849.148571874997</v>
      </c>
    </row>
    <row r="30" spans="17:34" x14ac:dyDescent="0.25">
      <c r="Q30">
        <v>26</v>
      </c>
      <c r="S30" s="1" t="str">
        <f>IF(ISERR(SMALL(Sheet1!$I$3:$I$35,Q30)),"Predict","Done")</f>
        <v>Predict</v>
      </c>
      <c r="T30" s="1">
        <f>IFERROR(SMALL(Sheet1!$I$3:$I$35,Q30),X30)</f>
        <v>43849.733096106109</v>
      </c>
      <c r="U30" s="1">
        <f>IFERROR(SMALL(Sheet1!$I$3:$I$35,Q30),Y30)</f>
        <v>43849.174887281377</v>
      </c>
      <c r="V30" s="1">
        <f>SMALL(Sheet1!$J$3:$J$38,Q30)</f>
        <v>43852.000000000015</v>
      </c>
      <c r="X30" s="30">
        <f t="shared" si="6"/>
        <v>43849.733096106109</v>
      </c>
      <c r="Y30" s="30">
        <f t="shared" si="7"/>
        <v>43849.174887281377</v>
      </c>
      <c r="AB30" s="34">
        <f>(V30-Sheet1!$V$2)/(Sheet1!$V$4-Sheet1!$V$2)</f>
        <v>1.0000000000001692</v>
      </c>
      <c r="AC30" s="1">
        <f t="shared" si="1"/>
        <v>43849.733096106109</v>
      </c>
      <c r="AD30" s="1">
        <f t="shared" si="2"/>
        <v>43852.000000000015</v>
      </c>
      <c r="AE30" s="1">
        <f t="shared" si="3"/>
        <v>43849.174887281377</v>
      </c>
      <c r="AH30" s="35"/>
    </row>
    <row r="31" spans="17:34" x14ac:dyDescent="0.25">
      <c r="S31" s="1"/>
      <c r="X31" s="30"/>
      <c r="Y31" s="30"/>
      <c r="AB31" s="34"/>
      <c r="AC31" s="1"/>
      <c r="AD31" s="1"/>
      <c r="AE31" s="1"/>
      <c r="AH31" s="3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Jackson Leung</dc:creator>
  <cp:lastModifiedBy>Jackson Leung</cp:lastModifiedBy>
  <dcterms:created xsi:type="dcterms:W3CDTF">2019-07-10T15:29:23Z</dcterms:created>
  <dcterms:modified xsi:type="dcterms:W3CDTF">2020-01-18T19:42:24Z</dcterms:modified>
</cp:coreProperties>
</file>